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omments12.xml" ContentType="application/vnd.openxmlformats-officedocument.spreadsheetml.comments+xml"/>
  <Override PartName="/xl/charts/chart13.xml" ContentType="application/vnd.openxmlformats-officedocument.drawingml.chart+xml"/>
  <Override PartName="/xl/charts/style3.xml" ContentType="application/vnd.ms-office.chartstyle+xml"/>
  <Override PartName="/xl/charts/colors3.xml" ContentType="application/vnd.ms-office.chartcolorstyle+xml"/>
  <Override PartName="/xl/charts/chart14.xml" ContentType="application/vnd.openxmlformats-officedocument.drawingml.chart+xml"/>
  <Override PartName="/xl/charts/style4.xml" ContentType="application/vnd.ms-office.chartstyle+xml"/>
  <Override PartName="/xl/charts/colors4.xml" ContentType="application/vnd.ms-office.chartcolorstyle+xml"/>
  <Override PartName="/xl/charts/chart15.xml" ContentType="application/vnd.openxmlformats-officedocument.drawingml.chart+xml"/>
  <Override PartName="/xl/charts/style5.xml" ContentType="application/vnd.ms-office.chartstyle+xml"/>
  <Override PartName="/xl/charts/colors5.xml" ContentType="application/vnd.ms-office.chartcolorstyle+xml"/>
  <Override PartName="/xl/charts/chart16.xml" ContentType="application/vnd.openxmlformats-officedocument.drawingml.chart+xml"/>
  <Override PartName="/xl/charts/style6.xml" ContentType="application/vnd.ms-office.chartstyle+xml"/>
  <Override PartName="/xl/charts/colors6.xml" ContentType="application/vnd.ms-office.chartcolorstyle+xml"/>
  <Override PartName="/xl/charts/chart17.xml" ContentType="application/vnd.openxmlformats-officedocument.drawingml.chart+xml"/>
  <Override PartName="/xl/charts/style7.xml" ContentType="application/vnd.ms-office.chartstyle+xml"/>
  <Override PartName="/xl/charts/colors7.xml" ContentType="application/vnd.ms-office.chartcolorstyle+xml"/>
  <Override PartName="/xl/charts/chart18.xml" ContentType="application/vnd.openxmlformats-officedocument.drawingml.chart+xml"/>
  <Override PartName="/xl/charts/style8.xml" ContentType="application/vnd.ms-office.chartstyle+xml"/>
  <Override PartName="/xl/charts/colors8.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style9.xml" ContentType="application/vnd.ms-office.chartstyle+xml"/>
  <Override PartName="/xl/charts/colors9.xml" ContentType="application/vnd.ms-office.chartcolorstyle+xml"/>
  <Override PartName="/xl/charts/chart22.xml" ContentType="application/vnd.openxmlformats-officedocument.drawingml.chart+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aadq\Downloads\"/>
    </mc:Choice>
  </mc:AlternateContent>
  <xr:revisionPtr revIDLastSave="0" documentId="8_{23E92647-E6AF-4779-8128-F2F928DAEC9D}" xr6:coauthVersionLast="47" xr6:coauthVersionMax="47" xr10:uidLastSave="{00000000-0000-0000-0000-000000000000}"/>
  <bookViews>
    <workbookView xWindow="-108" yWindow="-108" windowWidth="23256" windowHeight="13896" xr2:uid="{00000000-000D-0000-FFFF-FFFF00000000}"/>
  </bookViews>
  <sheets>
    <sheet name="Cover" sheetId="2" r:id="rId1"/>
    <sheet name="Summary" sheetId="3" r:id="rId2"/>
    <sheet name="Model Output" sheetId="4" r:id="rId3"/>
    <sheet name="Football Field" sheetId="5" r:id="rId4"/>
    <sheet name="Integrity" sheetId="6" r:id="rId5"/>
    <sheet name="Revenue Build" sheetId="7" r:id="rId6"/>
    <sheet name="Model" sheetId="8" r:id="rId7"/>
    <sheet name="Segment Analysis" sheetId="9" r:id="rId8"/>
    <sheet name="Drivers" sheetId="10" r:id="rId9"/>
    <sheet name="_CIQHiddenCacheSheet" sheetId="20" state="veryHidden" r:id="rId10"/>
    <sheet name="Comparables" sheetId="11" r:id="rId11"/>
    <sheet name="CIQ ID Locater" sheetId="12" r:id="rId12"/>
    <sheet name="WACC" sheetId="13" r:id="rId13"/>
    <sheet name="Valuation" sheetId="14" r:id="rId14"/>
    <sheet name="Multiples Data" sheetId="15" r:id="rId15"/>
    <sheet name="Charts" sheetId="16" r:id="rId16"/>
    <sheet name="Benchmark" sheetId="17" r:id="rId17"/>
    <sheet name="Pre-Earnings" sheetId="18" r:id="rId18"/>
    <sheet name="Post-Earnings" sheetId="19"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_1_0_Table2_">[1]MERGER!#REF!</definedName>
    <definedName name="__FDS_HYPERLINK_TOGGLE_STATE__">"ON"</definedName>
    <definedName name="_1_0_Table2_">[1]MERGER!#REF!</definedName>
    <definedName name="_2_0_Table2_">[1]MERGER!#REF!</definedName>
    <definedName name="_3_0_Table2_">[1]MERGER!#REF!</definedName>
    <definedName name="_4_0_Table2_">[1]MERGER!#REF!</definedName>
    <definedName name="_5_0_Table2_">[1]MERGER!#REF!</definedName>
    <definedName name="_9_0_Table2_">[1]MERGER!#REF!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0</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bdm.001de5d049b6489bbc2025ad50c87030.edm">Model!$1:$1048576</definedName>
    <definedName name="_bdm.146e958bbea04416b86a4d5943392c04.edm" localSheetId="6">Model!$M$102</definedName>
    <definedName name="_bdm.1ff456f35144482ea0525e6d75d0206f.edm">Integrity!$1:$1048576</definedName>
    <definedName name="_bdm.a65ed6e2cd6142fea39714a1a8762f97.edm">Integrity!$1:$1048576</definedName>
    <definedName name="_bdm.bf5a9ed53fe44c598e3cfb84ac34b21f.edm" localSheetId="4">Integrity!$F$37</definedName>
    <definedName name="_bdm.dca432f6461240c98baf2847c1b05465.edm">Integrity!$1:$1048576</definedName>
    <definedName name="_Fill">#REF!</definedName>
    <definedName name="_Key1">#REF!</definedName>
    <definedName name="_Order1">255</definedName>
    <definedName name="_Order2">255</definedName>
    <definedName name="_Sort">#REF!</definedName>
    <definedName name="_Table1_In1">[2]merger!#REF!</definedName>
    <definedName name="_Table1_Out">[2]merger!#REF!</definedName>
    <definedName name="_Table2_In1">[2]merger!#REF!</definedName>
    <definedName name="_Table2_Out">[2]merger!#REF!</definedName>
    <definedName name="a">{"summary1",#N/A,TRUE,"Comps";"summary2",#N/A,TRUE,"Comps";"summary3",#N/A,TRUE,"Comps"}</definedName>
    <definedName name="aaaaaaaa">{"summary1",#N/A,TRUE,"Comps";"summary2",#N/A,TRUE,"Comps";"summary3",#N/A,TRUE,"Comps"}</definedName>
    <definedName name="aaaaaaaaaaa">{TRUE,TRUE,-1.25,-15.5,604.5,369,FALSE,FALSE,TRUE,TRUE,0,1,#N/A,41,#N/A,20.5555555555556,27.0714285714286,1,FALSE,FALSE,3,TRUE,1,FALSE,80,"Swvu.summary2.","ACwvu.summary2.",#N/A,FALSE,FALSE,0.5,0.5,0.5,0.5,2,"&amp;F","&amp;A&amp;RPage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dsfsadfas">{"multiple",#N/A,FALSE,"client (2)";"margins",#N/A,FALSE,"client (2)";"data",#N/A,FALSE,"client (2)";"multiple",#N/A,FALSE,"client";"margins",#N/A,FALSE,"client";"data",#N/A,FALSE,"client"}</definedName>
    <definedName name="adsfsdfe">{"Page1",#N/A,FALSE,"CompCo";"Page2",#N/A,FALSE,"CompCo"}</definedName>
    <definedName name="aefae">{"inputs raw data",#N/A,TRUE,"INPUT"}</definedName>
    <definedName name="aefe">{"cap_structure",#N/A,FALSE,"Graph-Mkt Cap";"price",#N/A,FALSE,"Graph-Price";"ebit",#N/A,FALSE,"Graph-EBITDA";"ebitda",#N/A,FALSE,"Graph-EBITDA"}</definedName>
    <definedName name="aefes">{TRUE,TRUE,-1.25,-15.5,604.5,369,FALSE,FALSE,TRUE,TRUE,0,1,83,1,38,4,5,4,TRUE,TRUE,3,TRUE,1,TRUE,75,"Swvu.inputs._.raw._.data.","ACwvu.inputs._.raw._.data.",#N/A,FALSE,FALSE,0.5,0.5,0.5,0.5,2,"&amp;F","&amp;A&amp;RPage &amp;P",FALSE,FALSE,FALSE,FALSE,1,60,#N/A,#N/A,"=R1C61:R53C89","=C1:C5",#N/A,#N/A,FALSE,FALSE,FALSE,1,600,600,FALSE,FALSE,TRUE,TRUE,TRUE}</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sdfasdfas">{"cap_structure",#N/A,FALSE,"Graph-Mkt Cap";"price",#N/A,FALSE,"Graph-Price";"ebit",#N/A,FALSE,"Graph-EBITDA";"ebitda",#N/A,FALSE,"Graph-EBITDA"}</definedName>
    <definedName name="asdfsdfasdf">{"Page1",#N/A,FALSE,"CompCo";"Page2",#N/A,FALSE,"CompCo"}</definedName>
    <definedName name="augpto">[3]Vacation!$M$56</definedName>
    <definedName name="avg_Health_and_Welfare">[4]PBCFringe!$Q$22</definedName>
    <definedName name="awefaw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wefweawe">{"Page1",#N/A,FALSE,"CompCo";"Page2",#N/A,FALSE,"CompCo"}</definedName>
    <definedName name="b">{"Page1",#N/A,FALSE,"CompCo";"Page2",#N/A,FALSE,"CompCo"}</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 localSheetId="11">Cover!$F$22</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hangeRange">[6]!ChangeRange</definedName>
    <definedName name="CIQWBGuid" localSheetId="11">"d7d956a9-85b8-4e89-a737-f5bc9d3e451f"</definedName>
    <definedName name="CIQWBGuid" hidden="1">"547b8df9-b5fa-4f9a-8efa-bd2c511ca997"</definedName>
    <definedName name="CIQWBInfo" hidden="1">"{ ""CIQVersion"":""9.51.3510.3078"" }"</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 localSheetId="11">'[7]Multiples Data'!$C$14:$H$26</definedName>
    <definedName name="Company_Cyclical_Multiples_Data">'Multiples Data'!$C$14:$H$26</definedName>
    <definedName name="Company_Name" localSheetId="11">Cover!$F$19</definedName>
    <definedName name="Company_Name">Cover!$F$19</definedName>
    <definedName name="Company_Rev_Methodology" localSheetId="11">'[7]Revenue Build'!$C$7</definedName>
    <definedName name="Company_Rev_Methodology">'Revenue Build'!$C$7</definedName>
    <definedName name="ContentsHelp">[6]!ContentsHelp</definedName>
    <definedName name="copy">{#N/A,#N/A,FALSE,"Title Page";#N/A,#N/A,FALSE,"Conclusions";#N/A,#N/A,FALSE,"Assum.";#N/A,#N/A,FALSE,"Sun  DCF-WC-Dep";#N/A,#N/A,FALSE,"MarketValue";#N/A,#N/A,FALSE,"BalSheet";#N/A,#N/A,FALSE,"WACC";#N/A,#N/A,FALSE,"PC+ Info.";#N/A,#N/A,FALSE,"PC+Info_2"}</definedName>
    <definedName name="Cost_of_Debt" localSheetId="11">WACC!$G$17</definedName>
    <definedName name="Cost_of_Debt">WACC!$G$17</definedName>
    <definedName name="Cost_of_Equity" localSheetId="11">WACC!$G$25</definedName>
    <definedName name="Cost_of_Equity">WACC!$G$25</definedName>
    <definedName name="Cost_of_Preferred" localSheetId="11">WACC!$G$10</definedName>
    <definedName name="Cost_of_Preferred">WACC!$G$10</definedName>
    <definedName name="CreateTable">[6]!CreateTable</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 localSheetId="11">Cover!$F$27</definedName>
    <definedName name="Current_Date">Cover!$F$27</definedName>
    <definedName name="Current_Salary">'[8]Planning Worksheet'!$C:$C</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 localSheetId="11">Valuation!$G$221</definedName>
    <definedName name="Cycle_Period_Toggle">Valuation!$G$221</definedName>
    <definedName name="Cycle_Toggle" localSheetId="11">Valuation!$G$220</definedName>
    <definedName name="Cycle_Toggle">Valuation!$G$220</definedName>
    <definedName name="Cyclical_LTM_NTM_Toggle" localSheetId="11">Valuation!$G$222</definedName>
    <definedName name="Cyclical_LTM_NTM_Toggle">Valuation!$G$222</definedName>
    <definedName name="Cyclical_Peer_Group_Toggle">Valuation!$G$223</definedName>
    <definedName name="d">{TRUE,TRUE,-1.25,-15.5,604.5,369,FALSE,FALSE,TRUE,TRUE,0,1,#N/A,1,#N/A,20.5555555555556,28.9285714285714,1,FALSE,FALSE,3,TRUE,1,FALSE,80,"Swvu.summary1.","ACwvu.summary1.",#N/A,FALSE,FALSE,0.5,0.5,0.5,0.5,2,"&amp;F","&amp;L&amp;D&amp;C&amp;A&amp;RPage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ata" localSheetId="11">Model!$C$25:$AK$160</definedName>
    <definedName name="Data">Model!$C$25:$AK$160</definedName>
    <definedName name="dd">{"Opsys",#N/A,FALSE,"NPV_OPsys";"NT",#N/A,FALSE,"NPV_NT";"DevP",#N/A,FALSE,"NPV_DevPdt";"Office",#N/A,FALSE,"NPV_Office"}</definedName>
    <definedName name="dddddddddddd">{TRUE,TRUE,-1.25,-15.5,604.5,369,FALSE,FALSE,TRUE,TRUE,0,1,83,1,38,4,5,4,TRUE,TRUE,3,TRUE,1,TRUE,75,"Swvu.inputs._.raw._.data.","ACwvu.inputs._.raw._.data.",#N/A,FALSE,FALSE,0.5,0.5,0.5,0.5,2,"&amp;F","&amp;A&amp;RPage &amp;P",FALSE,FALSE,FALSE,FALSE,1,60,#N/A,#N/A,"=R1C61:R53C89","=C1:C5",#N/A,#N/A,FALSE,FALSE,FALSE,1,600,600,FALSE,FALSE,TRUE,TRUE,TRUE}</definedName>
    <definedName name="decpto">[3]Vacation!$Q$56</definedName>
    <definedName name="del">{#N/A,#N/A,FALSE,"Cov";#N/A,#N/A,FALSE,"sum";#N/A,#N/A,FALSE,"baladj";#N/A,#N/A,FALSE,"bs";#N/A,#N/A,FALSE,"is";#N/A,#N/A,FALSE,"pis";#N/A,#N/A,FALSE,"pis";#N/A,#N/A,FALSE,"cf";#N/A,#N/A,FALSE,"balhist";#N/A,#N/A,FALSE,"wc";#N/A,#N/A,FALSE,"ltd";#N/A,#N/A,FALSE,"cover";#N/A,#N/A,FALSE,"fa";#N/A,#N/A,FALSE,"tax";#N/A,#N/A,FALSE,"irr";#N/A,#N/A,FALSE,"in";#N/A,#N/A,FALSE,"DCF Cov";#N/A,#N/A,FALSE,"dcf"}</definedName>
    <definedName name="dele">{#N/A,#N/A,FALSE,"Cov";#N/A,#N/A,FALSE,"sum";#N/A,#N/A,FALSE,"baladj";#N/A,#N/A,FALSE,"bs";#N/A,#N/A,FALSE,"is";#N/A,#N/A,FALSE,"pis";#N/A,#N/A,FALSE,"cf";#N/A,#N/A,FALSE,"balhist";#N/A,#N/A,FALSE,"wc";#N/A,#N/A,FALSE,"ltd";#N/A,#N/A,FALSE,"cover";#N/A,#N/A,FALSE,"fa";#N/A,#N/A,FALSE,"tax";#N/A,#N/A,FALSE,"irr";#N/A,#N/A,FALSE,"in"}</definedName>
    <definedName name="delete">{#N/A,#N/A,FALSE,"DCF Cov";#N/A,#N/A,FALSE,"dcf"}</definedName>
    <definedName name="DeleteRange">[6]!DeleteRange</definedName>
    <definedName name="DeleteTable">[6]!DeleteTable</definedName>
    <definedName name="Denominator">[5]data!$A$6</definedName>
    <definedName name="df09salary">[3]Salaries!$G$26</definedName>
    <definedName name="df10salary">[3]Salaries!$K$26</definedName>
    <definedName name="dff">[9]Salaries!$A$26</definedName>
    <definedName name="dfffffffff">{TRUE,TRUE,-1.25,-15.5,604.5,369,FALSE,FALSE,TRUE,TRUE,0,1,#N/A,91,#N/A,20.5555555555556,24.8571428571429,1,FALSE,FALSE,3,TRUE,1,FALSE,80,"Swvu.summary3.","ACwvu.summary3.",#N/A,FALSE,FALSE,0.5,0.5,0.5,0.5,2,"&amp;F","&amp;A&amp;RPage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 localSheetId="11">Cover!$F$35</definedName>
    <definedName name="Diluted_Shares">Cover!$F$35</definedName>
    <definedName name="Direct_Salary">'[10]Pay Roll &amp; Taxes'!$R$66</definedName>
    <definedName name="Discount_Rate" localSheetId="11">WACC!$O$13</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afee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eafeas">{"Page1",#N/A,FALSE,"CompCo";"Page2",#N/A,FALSE,"CompCo"}</definedName>
    <definedName name="eeeeeqq">{"data",#N/A,FALSE,"client (3)";"margins",#N/A,FALSE,"client (3)";"multiple",#N/A,FALSE,"client (3)"}</definedName>
    <definedName name="efasef">{"multiple",#N/A,FALSE,"client (2)";"margins",#N/A,FALSE,"client (2)";"data",#N/A,FALSE,"client (2)";"multiple",#N/A,FALSE,"client";"margins",#N/A,FALSE,"client";"data",#N/A,FALSE,"client"}</definedName>
    <definedName name="efefawwa">{"multiple",#N/A,FALSE,"client";"margins",#N/A,FALSE,"client";"data",#N/A,FALSE,"client"}</definedName>
    <definedName name="End_Bal">'[11]Loan Amortization Schedule'!$I$18:$I$377</definedName>
    <definedName name="eqewq">{"multiple",#N/A,FALSE,"client (2)";"margins",#N/A,FALSE,"client (2)";"data",#N/A,FALSE,"client (2)";"multiple",#N/A,FALSE,"client";"margins",#N/A,FALSE,"client";"data",#N/A,FALSE,"client"}</definedName>
    <definedName name="ERP" localSheetId="11">WACC!$G$7</definedName>
    <definedName name="ERP">WACC!$G$7</definedName>
    <definedName name="erqer">{"cap_structure",#N/A,FALSE,"Graph-Mkt Cap";"price",#N/A,FALSE,"Graph-Price";"ebit",#N/A,FALSE,"Graph-EBITDA";"ebitda",#N/A,FALSE,"Graph-EBITDA"}</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ewaeeeee">{"Page1",#N/A,FALSE,"CompCo";"Page2",#N/A,FALSE,"CompCo"}</definedName>
    <definedName name="ewrwqer">{TRUE,TRUE,-1.25,-15.5,604.5,369,FALSE,FALSE,TRUE,TRUE,0,1,83,1,38,4,5,4,TRUE,TRUE,3,TRUE,1,TRUE,75,"Swvu.inputs._.raw._.data.","ACwvu.inputs._.raw._.data.",#N/A,FALSE,FALSE,0.5,0.5,0.5,0.5,2,"&amp;F","&amp;A&amp;RPage &amp;P",FALSE,FALSE,FALSE,FALSE,1,60,#N/A,#N/A,"=R1C61:R53C89","=C1:C5",#N/A,#N/A,FALSE,FALSE,FALSE,1,600,600,FALSE,FALSE,TRUE,TRUE,TRUE}</definedName>
    <definedName name="fdsfe">{"data",#N/A,FALSE,"client (3)";"margins",#N/A,FALSE,"client (3)";"multiple",#N/A,FALSE,"client (3)"}</definedName>
    <definedName name="febpto">[3]Vacation!$G$56</definedName>
    <definedName name="Fiscal_Periods" localSheetId="11">Model!$C$25:$AG$25</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ender">'[8]Planning Worksheet'!$P:$P</definedName>
    <definedName name="gfg">[9]Salaries!$G$17</definedName>
    <definedName name="Header_Row">ROW('[11]Loan Amortization Schedule'!$A$17:$IV$17)</definedName>
    <definedName name="Hun">Cover!$F$41</definedName>
    <definedName name="ID">[5]Key_Company!$C$2</definedName>
    <definedName name="Interest_Rate">'[11]Loan Amortization Schedule'!$D$6</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DIN">"AUTO"</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NNUAL_DIVIDEND">"c229"</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UNUSED_UNUSED_UNUSED">"c6813"</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UNUSED_UNUSED_UNUSED">"c6815"</definedName>
    <definedName name="IQ_BALANCE_SERV_YOY_FC_UNUSED_UNUSED_UNUSED">"c8135"</definedName>
    <definedName name="IQ_BALANCE_SERV_YOY_UNUSED_UNUSED_UNUSED">"c7255"</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UNUSED_UNUSED_UNUSED">"c6817"</definedName>
    <definedName name="IQ_BALANCE_TRADE_YOY_FC_UNUSED_UNUSED_UNUSED">"c8137"</definedName>
    <definedName name="IQ_BALANCE_TRADE_YOY_UNUSED_UNUSED_UNUSED">"c7257"</definedName>
    <definedName name="IQ_BASIC_EPS_EXCL">"c85"</definedName>
    <definedName name="IQ_BASIC_EPS_INCL">"c86"</definedName>
    <definedName name="IQ_BASIC_NORMAL_EPS">"c1592"</definedName>
    <definedName name="IQ_BASIC_WEIGHT">"c87"</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FAX">"c2100"</definedName>
    <definedName name="IQ_BOARD_MEMBER_OFFICE">"c2098"</definedName>
    <definedName name="IQ_BOARD_MEMBER_PHONE">"c2099"</definedName>
    <definedName name="IQ_BOARD_MEMBER_TITLE">"c97"</definedName>
    <definedName name="IQ_BONDRATING_FITCH">"c223"</definedName>
    <definedName name="IQ_BONDRATING_FITCH_DATE">"c241"</definedName>
    <definedName name="IQ_BONDRATING_SP">"c224"</definedName>
    <definedName name="IQ_BONDRATING_SP_DATE">"c242"</definedName>
    <definedName name="IQ_BOOK_VALUE">"c68"</definedName>
    <definedName name="IQ_BROK_COMISSION">"c98"</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UILDINGS">"c99"</definedName>
    <definedName name="IQ_BUSINESS_DESCRIPTION">"c322"</definedName>
    <definedName name="IQ_BV_ACT_OR_EST_REUT">"c5471"</definedName>
    <definedName name="IQ_BV_ACT_OR_EST_THOM">"c5308"</definedName>
    <definedName name="IQ_BV_EST_REUT">"c5403"</definedName>
    <definedName name="IQ_BV_EST_THOM">"c5147"</definedName>
    <definedName name="IQ_BV_HIGH_EST_REUT">"c5405"</definedName>
    <definedName name="IQ_BV_HIGH_EST_THOM">"c5149"</definedName>
    <definedName name="IQ_BV_LOW_EST_REUT">"c5406"</definedName>
    <definedName name="IQ_BV_LOW_EST_THOM">"c5150"</definedName>
    <definedName name="IQ_BV_MEDIAN_EST_REUT">"c5404"</definedName>
    <definedName name="IQ_BV_MEDIAN_EST_THOM">"c5148"</definedName>
    <definedName name="IQ_BV_NUM_EST_REUT">"c5407"</definedName>
    <definedName name="IQ_BV_NUM_EST_THOM">"c5151"</definedName>
    <definedName name="IQ_BV_OVER_SHARES">"c1349"</definedName>
    <definedName name="IQ_BV_SHARE">"c100"</definedName>
    <definedName name="IQ_BV_STDDEV_EST_REUT">"c5408"</definedName>
    <definedName name="IQ_BV_STDDEV_EST_THOM">"c5152"</definedName>
    <definedName name="IQ_CAL_Q">"c101"</definedName>
    <definedName name="IQ_CAL_Y">"c102"</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IZED_INTEREST">"c2076"</definedName>
    <definedName name="IQ_CASH">"c1458"</definedName>
    <definedName name="IQ_CASH_ACQUIRE_CF">"c1630"</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OPER_ACT_OR_EST">"c4164"</definedName>
    <definedName name="IQ_CASH_SEGREG">"c123"</definedName>
    <definedName name="IQ_CASH_SHARE">"c1911"</definedName>
    <definedName name="IQ_CASH_ST">"c1355"</definedName>
    <definedName name="IQ_CASH_ST_INVEST">"c124"</definedName>
    <definedName name="IQ_CASH_TAXES">"c125"</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UNUSED_UNUSED_UNUSED">"c6960"</definedName>
    <definedName name="IQ_CHANGE_INVENT_REAL_YOY_FC_UNUSED_UNUSED_UNUSED">"c8280"</definedName>
    <definedName name="IQ_CHANGE_INVENT_REAL_YOY_UNUSED_UNUSED_UNUSED">"c7400"</definedName>
    <definedName name="IQ_CHANGE_INVENTORY">"c151"</definedName>
    <definedName name="IQ_CHANGE_NET_WORKING_CAPITAL">"c1909"</definedName>
    <definedName name="IQ_CHANGE_OTHER_NET_OPER_ASSETS_BR">"c3595"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ASSA_OUTSTANDING_BS_DATE">"c1971"</definedName>
    <definedName name="IQ_CLASSA_OUTSTANDING_FILING_DATE">"c1973"</definedName>
    <definedName name="IQ_CLASSB_OUTSTANDING_BS_DATE">"c1972"</definedName>
    <definedName name="IQ_CLASSB_OUTSTANDING_FILING_DATE">"c1974"</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TRACTS_OTHER_COMMODITIES_EQUITIES._FDIC">"c6522"</definedName>
    <definedName name="IQ_CONV_RATE">"c2192"</definedName>
    <definedName name="IQ_CONVERT_DEBT">"c224"</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Q">5000</definedName>
    <definedName name="IQ_CREDIT_CARD_FEE">"c231"</definedName>
    <definedName name="IQ_CREDIT_CARD_FEE_BNK">"c231"</definedName>
    <definedName name="IQ_CREDIT_CARD_FEE_FIN">"c1583"</definedName>
    <definedName name="IQ_CREDIT_LOSS_CF">"c232"</definedName>
    <definedName name="IQ_CUMULATIVE_SPLIT_FACTOR">"c2094"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OP_FC_UNUSED_UNUSED_UNUSED">"c7947"</definedName>
    <definedName name="IQ_CURR_ACCT_BALANCE_POP_UNUSED_UNUSED_UNUSED">"c7067"</definedName>
    <definedName name="IQ_CURR_ACCT_BALANCE_UNUSED_UNUSED_UNUSED">"c6847"</definedName>
    <definedName name="IQ_CURR_ACCT_BALANCE_YOY_FC_UNUSED_UNUSED_UNUSED">"c8167"</definedName>
    <definedName name="IQ_CURR_ACCT_BALANCE_YOY_UNUSED_UNUSED_UNUSED">"c7287"</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500000</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OTHER_COST">"c284"</definedName>
    <definedName name="IQ_DEF_BENEFIT_ROA">"c285"</definedName>
    <definedName name="IQ_DEF_BENEFIT_SERVICE_COST">"c286"</definedName>
    <definedName name="IQ_DEF_BENEFIT_TOTAL_COST">"c287"</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SCONT_OPER">"c1367"</definedName>
    <definedName name="IQ_DISCOUNT_RATE_PENSION_DOMESTIC">"c327"</definedName>
    <definedName name="IQ_DISCOUNT_RATE_PENSION_FOREIGN">"c328"</definedName>
    <definedName name="IQ_DISTR_EXCESS_EARN">"c329"</definedName>
    <definedName name="IQ_DIV_PAYMENT_DATE">"c2106"</definedName>
    <definedName name="IQ_DIV_RECORD_DATE">"c2105"</definedName>
    <definedName name="IQ_DIV_SHARE">"c330"</definedName>
    <definedName name="IQ_DIVEST_CF">"c331"</definedName>
    <definedName name="IQ_DIVID_SHARE">"c1366"</definedName>
    <definedName name="IQ_DIVIDEND_YIELD">"c332"</definedName>
    <definedName name="IQ_DNTM" hidden="1">700000</definedName>
    <definedName name="IQ_DO">"c333"</definedName>
    <definedName name="IQ_DO_ASSETS_CURRENT">"c334"</definedName>
    <definedName name="IQ_DO_ASSETS_LT">"c335"</definedName>
    <definedName name="IQ_DO_CF">"c336"</definedName>
    <definedName name="IQ_DPAC">"c2801"</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K">"IQ_EBIT_10K"</definedName>
    <definedName name="IQ_EBIT_10Q">"IQ_EBIT_10Q"</definedName>
    <definedName name="IQ_EBIT_10Q1">"IQ_EBIT_10Q1"</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GROWTH_1">"c157"</definedName>
    <definedName name="IQ_EBIT_GROWTH_2">"c161"</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K">"IQ_EBITDA_10K"</definedName>
    <definedName name="IQ_EBITDA_10Q">"IQ_EBITDA_10Q"</definedName>
    <definedName name="IQ_EBITDA_10Q1">"IQ_EBITDA_10Q1"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ST">"c369"</definedName>
    <definedName name="IQ_EBITDA_GROWTH_1">"c156"</definedName>
    <definedName name="IQ_EBITDA_GROWTH_2">"c160"</definedName>
    <definedName name="IQ_EBITDA_HIGH_EST">"c370"</definedName>
    <definedName name="IQ_EBITDA_INT">"c373"</definedName>
    <definedName name="IQ_EBITDA_LOW_EST">"c371"</definedName>
    <definedName name="IQ_EBITDA_MARGIN">"c372"</definedName>
    <definedName name="IQ_EBITDA_NO_EST">"c267"</definedName>
    <definedName name="IQ_EBITDA_NUM_EST">"c374"</definedName>
    <definedName name="IQ_EBITDA_OVER_TOTAL_IE">"c1371"</definedName>
    <definedName name="IQ_EBITDA_STDDEV_EST">"c375"</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10">"c6810"</definedName>
    <definedName name="IQ_ECO_METRIC_6811">"c6811"</definedName>
    <definedName name="IQ_ECO_METRIC_6812">"c6812"</definedName>
    <definedName name="IQ_ECO_METRIC_6813">"c6813"</definedName>
    <definedName name="IQ_ECO_METRIC_6814">"c6814"</definedName>
    <definedName name="IQ_ECO_METRIC_6815">"c6815"</definedName>
    <definedName name="IQ_ECO_METRIC_6816">"c6816"</definedName>
    <definedName name="IQ_ECO_METRIC_6817">"c6817"</definedName>
    <definedName name="IQ_ECO_METRIC_6818">"c6818"</definedName>
    <definedName name="IQ_ECO_METRIC_6819">"c6819"</definedName>
    <definedName name="IQ_ECO_METRIC_6820">"c6820"</definedName>
    <definedName name="IQ_ECO_METRIC_6821">"c6821"</definedName>
    <definedName name="IQ_ECO_METRIC_6822">"c6822"</definedName>
    <definedName name="IQ_ECO_METRIC_6823">"c6823"</definedName>
    <definedName name="IQ_ECO_METRIC_6824">"c6824"</definedName>
    <definedName name="IQ_ECO_METRIC_6825">"c6825"</definedName>
    <definedName name="IQ_ECO_METRIC_6825_UNUSED_UNUSED_UNUSED">"c6825"</definedName>
    <definedName name="IQ_ECO_METRIC_6826">"c6826"</definedName>
    <definedName name="IQ_ECO_METRIC_6827">"c6827"</definedName>
    <definedName name="IQ_ECO_METRIC_6828">"c6828"</definedName>
    <definedName name="IQ_ECO_METRIC_6829">"c6829"</definedName>
    <definedName name="IQ_ECO_METRIC_6830">"c6830"</definedName>
    <definedName name="IQ_ECO_METRIC_6831">"c6831"</definedName>
    <definedName name="IQ_ECO_METRIC_6832">"c6832"</definedName>
    <definedName name="IQ_ECO_METRIC_6833">"c6833"</definedName>
    <definedName name="IQ_ECO_METRIC_6834">"c6834"</definedName>
    <definedName name="IQ_ECO_METRIC_6835">"c6835"</definedName>
    <definedName name="IQ_ECO_METRIC_6836">"c6836"</definedName>
    <definedName name="IQ_ECO_METRIC_6837">"c6837"</definedName>
    <definedName name="IQ_ECO_METRIC_6838">"c6838"</definedName>
    <definedName name="IQ_ECO_METRIC_6839">"c6839"</definedName>
    <definedName name="IQ_ECO_METRIC_6839_UNUSED_UNUSED_UNUSED">"c6839"</definedName>
    <definedName name="IQ_ECO_METRIC_6840">"c6840"</definedName>
    <definedName name="IQ_ECO_METRIC_6841">"c6841"</definedName>
    <definedName name="IQ_ECO_METRIC_6842">"c6842"</definedName>
    <definedName name="IQ_ECO_METRIC_6843">"c6843"</definedName>
    <definedName name="IQ_ECO_METRIC_6844">"c6844"</definedName>
    <definedName name="IQ_ECO_METRIC_6845">"c6845"</definedName>
    <definedName name="IQ_ECO_METRIC_6846">"c6846"</definedName>
    <definedName name="IQ_ECO_METRIC_6847">"c6847"</definedName>
    <definedName name="IQ_ECO_METRIC_6848">"c6848"</definedName>
    <definedName name="IQ_ECO_METRIC_6849">"c6849"</definedName>
    <definedName name="IQ_ECO_METRIC_6850">"c6850"</definedName>
    <definedName name="IQ_ECO_METRIC_6851">"c6851"</definedName>
    <definedName name="IQ_ECO_METRIC_6852">"c6852"</definedName>
    <definedName name="IQ_ECO_METRIC_6853">"c6853"</definedName>
    <definedName name="IQ_ECO_METRIC_6854">"c6854"</definedName>
    <definedName name="IQ_ECO_METRIC_6855">"c6855"</definedName>
    <definedName name="IQ_ECO_METRIC_6856">"c6856"</definedName>
    <definedName name="IQ_ECO_METRIC_6857">"c6857"</definedName>
    <definedName name="IQ_ECO_METRIC_6858">"c6858"</definedName>
    <definedName name="IQ_ECO_METRIC_6859">"c6859"</definedName>
    <definedName name="IQ_ECO_METRIC_6860">"c6860"</definedName>
    <definedName name="IQ_ECO_METRIC_6861">"c6861"</definedName>
    <definedName name="IQ_ECO_METRIC_6862">"c6862"</definedName>
    <definedName name="IQ_ECO_METRIC_6863">"c6863"</definedName>
    <definedName name="IQ_ECO_METRIC_6864">"c6864"</definedName>
    <definedName name="IQ_ECO_METRIC_6865">"c6865"</definedName>
    <definedName name="IQ_ECO_METRIC_6866">"c6866"</definedName>
    <definedName name="IQ_ECO_METRIC_6867">"c6867"</definedName>
    <definedName name="IQ_ECO_METRIC_6868">"c6868"</definedName>
    <definedName name="IQ_ECO_METRIC_6869">"c6869"</definedName>
    <definedName name="IQ_ECO_METRIC_6870">"c6870"</definedName>
    <definedName name="IQ_ECO_METRIC_6871">"c6871"</definedName>
    <definedName name="IQ_ECO_METRIC_6872">"c6872"</definedName>
    <definedName name="IQ_ECO_METRIC_6873">"c6873"</definedName>
    <definedName name="IQ_ECO_METRIC_6874">"c6874"</definedName>
    <definedName name="IQ_ECO_METRIC_6875">"c6875"</definedName>
    <definedName name="IQ_ECO_METRIC_6876">"c6876"</definedName>
    <definedName name="IQ_ECO_METRIC_6877">"c6877"</definedName>
    <definedName name="IQ_ECO_METRIC_6878">"c6878"</definedName>
    <definedName name="IQ_ECO_METRIC_6879">"c6879"</definedName>
    <definedName name="IQ_ECO_METRIC_6880">"c6880"</definedName>
    <definedName name="IQ_ECO_METRIC_6881">"c6881"</definedName>
    <definedName name="IQ_ECO_METRIC_6882">"c6882"</definedName>
    <definedName name="IQ_ECO_METRIC_6883">"c6883"</definedName>
    <definedName name="IQ_ECO_METRIC_6884">"c6884"</definedName>
    <definedName name="IQ_ECO_METRIC_6885">"c6885"</definedName>
    <definedName name="IQ_ECO_METRIC_6886">"c6886"</definedName>
    <definedName name="IQ_ECO_METRIC_6887">"c6887"</definedName>
    <definedName name="IQ_ECO_METRIC_6888">"c6888"</definedName>
    <definedName name="IQ_ECO_METRIC_6889">"c6889"</definedName>
    <definedName name="IQ_ECO_METRIC_6890">"c6890"</definedName>
    <definedName name="IQ_ECO_METRIC_6891">"c6891"</definedName>
    <definedName name="IQ_ECO_METRIC_6892">"c6892"</definedName>
    <definedName name="IQ_ECO_METRIC_6893">"c6893"</definedName>
    <definedName name="IQ_ECO_METRIC_6894">"c6894"</definedName>
    <definedName name="IQ_ECO_METRIC_6895">"c6895"</definedName>
    <definedName name="IQ_ECO_METRIC_6896">"c6896"</definedName>
    <definedName name="IQ_ECO_METRIC_6896_UNUSED_UNUSED_UNUSED">"c6896"</definedName>
    <definedName name="IQ_ECO_METRIC_6897">"c6897"</definedName>
    <definedName name="IQ_ECO_METRIC_6897_UNUSED_UNUSED_UNUSED">"c6897"</definedName>
    <definedName name="IQ_ECO_METRIC_6899">"c6899"</definedName>
    <definedName name="IQ_ECO_METRIC_6900">"c6900"</definedName>
    <definedName name="IQ_ECO_METRIC_6901">"c6901"</definedName>
    <definedName name="IQ_ECO_METRIC_6902">"c6902"</definedName>
    <definedName name="IQ_ECO_METRIC_6903">"c6903"</definedName>
    <definedName name="IQ_ECO_METRIC_6904">"c6904"</definedName>
    <definedName name="IQ_ECO_METRIC_6905">"c6905"</definedName>
    <definedName name="IQ_ECO_METRIC_6906">"c6906"</definedName>
    <definedName name="IQ_ECO_METRIC_6907">"c6907"</definedName>
    <definedName name="IQ_ECO_METRIC_6908">"c6908"</definedName>
    <definedName name="IQ_ECO_METRIC_6909">"c6909"</definedName>
    <definedName name="IQ_ECO_METRIC_6910">"c6910"</definedName>
    <definedName name="IQ_ECO_METRIC_6911">"c6911"</definedName>
    <definedName name="IQ_ECO_METRIC_6912">"c6912"</definedName>
    <definedName name="IQ_ECO_METRIC_6913">"c6913"</definedName>
    <definedName name="IQ_ECO_METRIC_6914">"c6914"</definedName>
    <definedName name="IQ_ECO_METRIC_6915">"c6915"</definedName>
    <definedName name="IQ_ECO_METRIC_6916">"c6916"</definedName>
    <definedName name="IQ_ECO_METRIC_6917">"c6917"</definedName>
    <definedName name="IQ_ECO_METRIC_6918">"c6918"</definedName>
    <definedName name="IQ_ECO_METRIC_6919">"c6919"</definedName>
    <definedName name="IQ_ECO_METRIC_6920">"c6920"</definedName>
    <definedName name="IQ_ECO_METRIC_6921">"c6921"</definedName>
    <definedName name="IQ_ECO_METRIC_6922">"c6922"</definedName>
    <definedName name="IQ_ECO_METRIC_6923">"c6923"</definedName>
    <definedName name="IQ_ECO_METRIC_6924">"c6924"</definedName>
    <definedName name="IQ_ECO_METRIC_6925">"c6925"</definedName>
    <definedName name="IQ_ECO_METRIC_6926">"c6926"</definedName>
    <definedName name="IQ_ECO_METRIC_6928">"c6928"</definedName>
    <definedName name="IQ_ECO_METRIC_6929">"c6929"</definedName>
    <definedName name="IQ_ECO_METRIC_6930">"c6930"</definedName>
    <definedName name="IQ_ECO_METRIC_6931">"c6931"</definedName>
    <definedName name="IQ_ECO_METRIC_6932">"c6932"</definedName>
    <definedName name="IQ_ECO_METRIC_6933">"c6933"</definedName>
    <definedName name="IQ_ECO_METRIC_6934">"c6934"</definedName>
    <definedName name="IQ_ECO_METRIC_6935">"c6935"</definedName>
    <definedName name="IQ_ECO_METRIC_6936">"c6936"</definedName>
    <definedName name="IQ_ECO_METRIC_6937">"c6937"</definedName>
    <definedName name="IQ_ECO_METRIC_6938">"c6938"</definedName>
    <definedName name="IQ_ECO_METRIC_6939">"c6939"</definedName>
    <definedName name="IQ_ECO_METRIC_6940">"c6940"</definedName>
    <definedName name="IQ_ECO_METRIC_6941">"c6941"</definedName>
    <definedName name="IQ_ECO_METRIC_6942">"c6942"</definedName>
    <definedName name="IQ_ECO_METRIC_6943">"c6943"</definedName>
    <definedName name="IQ_ECO_METRIC_6944">"c6944"</definedName>
    <definedName name="IQ_ECO_METRIC_6945">"c6945"</definedName>
    <definedName name="IQ_ECO_METRIC_6946">"c6946"</definedName>
    <definedName name="IQ_ECO_METRIC_6947">"c6947"</definedName>
    <definedName name="IQ_ECO_METRIC_6948">"c6948"</definedName>
    <definedName name="IQ_ECO_METRIC_6949">"c6949"</definedName>
    <definedName name="IQ_ECO_METRIC_6950">"c6950"</definedName>
    <definedName name="IQ_ECO_METRIC_6951">"c6951"</definedName>
    <definedName name="IQ_ECO_METRIC_6952">"c6952"</definedName>
    <definedName name="IQ_ECO_METRIC_6953">"c6953"</definedName>
    <definedName name="IQ_ECO_METRIC_6954">"c6954"</definedName>
    <definedName name="IQ_ECO_METRIC_6955">"c6955"</definedName>
    <definedName name="IQ_ECO_METRIC_6956">"c6956"</definedName>
    <definedName name="IQ_ECO_METRIC_6957">"c6957"</definedName>
    <definedName name="IQ_ECO_METRIC_6958">"c6958"</definedName>
    <definedName name="IQ_ECO_METRIC_6959">"c6959"</definedName>
    <definedName name="IQ_ECO_METRIC_6960">"c6960"</definedName>
    <definedName name="IQ_ECO_METRIC_6962">"c6962"</definedName>
    <definedName name="IQ_ECO_METRIC_6963">"c6963"</definedName>
    <definedName name="IQ_ECO_METRIC_6964">"c6964"</definedName>
    <definedName name="IQ_ECO_METRIC_6965">"c6965"</definedName>
    <definedName name="IQ_ECO_METRIC_6966">"c6966"</definedName>
    <definedName name="IQ_ECO_METRIC_6967">"c6967"</definedName>
    <definedName name="IQ_ECO_METRIC_6968">"c6968"</definedName>
    <definedName name="IQ_ECO_METRIC_6969">"c6969"</definedName>
    <definedName name="IQ_ECO_METRIC_6970">"c6970"</definedName>
    <definedName name="IQ_ECO_METRIC_6971">"c6971"</definedName>
    <definedName name="IQ_ECO_METRIC_6972">"c6972"</definedName>
    <definedName name="IQ_ECO_METRIC_6973">"c6973"</definedName>
    <definedName name="IQ_ECO_METRIC_6974">"c6974"</definedName>
    <definedName name="IQ_ECO_METRIC_6975">"c6975"</definedName>
    <definedName name="IQ_ECO_METRIC_6976">"c6976"</definedName>
    <definedName name="IQ_ECO_METRIC_6977">"c6977"</definedName>
    <definedName name="IQ_ECO_METRIC_6978">"c6978"</definedName>
    <definedName name="IQ_ECO_METRIC_6979">"c6979"</definedName>
    <definedName name="IQ_ECO_METRIC_6980">"c6980"</definedName>
    <definedName name="IQ_ECO_METRIC_6981">"c6981"</definedName>
    <definedName name="IQ_ECO_METRIC_6982">"c6982"</definedName>
    <definedName name="IQ_ECO_METRIC_6983">"c6983"</definedName>
    <definedName name="IQ_ECO_METRIC_6984">"c6984"</definedName>
    <definedName name="IQ_ECO_METRIC_6985">"c6985"</definedName>
    <definedName name="IQ_ECO_METRIC_6986">"c6986"</definedName>
    <definedName name="IQ_ECO_METRIC_6987">"c6987"</definedName>
    <definedName name="IQ_ECO_METRIC_6988">"c6988"</definedName>
    <definedName name="IQ_ECO_METRIC_6988_UNUSED_UNUSED_UNUSED">"c6988"</definedName>
    <definedName name="IQ_ECO_METRIC_6989">"c6989"</definedName>
    <definedName name="IQ_ECO_METRIC_6990">"c6990"</definedName>
    <definedName name="IQ_ECO_METRIC_6991">"c6991"</definedName>
    <definedName name="IQ_ECO_METRIC_6992">"c6992"</definedName>
    <definedName name="IQ_ECO_METRIC_6993">"c6993"</definedName>
    <definedName name="IQ_ECO_METRIC_6994">"c6994"</definedName>
    <definedName name="IQ_ECO_METRIC_6995">"c6995"</definedName>
    <definedName name="IQ_ECO_METRIC_6996">"c6996"</definedName>
    <definedName name="IQ_ECO_METRIC_6997">"c6997"</definedName>
    <definedName name="IQ_ECO_METRIC_6998">"c6998"</definedName>
    <definedName name="IQ_ECO_METRIC_7000">"c7000"</definedName>
    <definedName name="IQ_ECO_METRIC_7001">"c7001"</definedName>
    <definedName name="IQ_ECO_METRIC_7002">"c7002"</definedName>
    <definedName name="IQ_ECO_METRIC_7003">"c7003"</definedName>
    <definedName name="IQ_ECO_METRIC_7004">"c7004"</definedName>
    <definedName name="IQ_ECO_METRIC_7005">"c7005"</definedName>
    <definedName name="IQ_ECO_METRIC_7006">"c7006"</definedName>
    <definedName name="IQ_ECO_METRIC_7007">"c7007"</definedName>
    <definedName name="IQ_ECO_METRIC_7008">"c7008"</definedName>
    <definedName name="IQ_ECO_METRIC_7009">"c7009"</definedName>
    <definedName name="IQ_ECO_METRIC_7010">"c7010"</definedName>
    <definedName name="IQ_ECO_METRIC_7011">"c7011"</definedName>
    <definedName name="IQ_ECO_METRIC_7012">"c7012"</definedName>
    <definedName name="IQ_ECO_METRIC_7013">"c7013"</definedName>
    <definedName name="IQ_ECO_METRIC_7015">"c7015"</definedName>
    <definedName name="IQ_ECO_METRIC_7016">"c7016"</definedName>
    <definedName name="IQ_ECO_METRIC_7017">"c7017"</definedName>
    <definedName name="IQ_ECO_METRIC_7018">"c7018"</definedName>
    <definedName name="IQ_ECO_METRIC_7019">"c7019"</definedName>
    <definedName name="IQ_ECO_METRIC_7020">"c7020"</definedName>
    <definedName name="IQ_ECO_METRIC_7021">"c7021"</definedName>
    <definedName name="IQ_ECO_METRIC_7023">"c7023"</definedName>
    <definedName name="IQ_ECO_METRIC_7024">"c7024"</definedName>
    <definedName name="IQ_ECO_METRIC_7025">"c7025"</definedName>
    <definedName name="IQ_ECO_METRIC_7026">"c7026"</definedName>
    <definedName name="IQ_ECO_METRIC_7027">"c7027"</definedName>
    <definedName name="IQ_ECO_METRIC_7028">"c7028"</definedName>
    <definedName name="IQ_ECO_METRIC_7029">"c7029"</definedName>
    <definedName name="IQ_ECO_METRIC_7030">"c7030"</definedName>
    <definedName name="IQ_ECO_METRIC_7031">"c7031"</definedName>
    <definedName name="IQ_ECO_METRIC_7032">"c7032"</definedName>
    <definedName name="IQ_ECO_METRIC_7033">"c7033"</definedName>
    <definedName name="IQ_ECO_METRIC_7034">"c7034"</definedName>
    <definedName name="IQ_ECO_METRIC_7035">"c7035"</definedName>
    <definedName name="IQ_ECO_METRIC_7036">"c7036"</definedName>
    <definedName name="IQ_ECO_METRIC_7037">"c7037"</definedName>
    <definedName name="IQ_ECO_METRIC_7038">"c7038"</definedName>
    <definedName name="IQ_ECO_METRIC_7039">"c7039"</definedName>
    <definedName name="IQ_ECO_METRIC_7040">"c7040"</definedName>
    <definedName name="IQ_ECO_METRIC_7041">"c7041"</definedName>
    <definedName name="IQ_ECO_METRIC_7042">"c7042"</definedName>
    <definedName name="IQ_ECO_METRIC_7043">"c7043"</definedName>
    <definedName name="IQ_ECO_METRIC_7044">"c7044"</definedName>
    <definedName name="IQ_ECO_METRIC_7045">"c7045"</definedName>
    <definedName name="IQ_ECO_METRIC_7045_UNUSED_UNUSED_UNUSED">"c7045"</definedName>
    <definedName name="IQ_ECO_METRIC_7046">"c7046"</definedName>
    <definedName name="IQ_ECO_METRIC_7047">"c7047"</definedName>
    <definedName name="IQ_ECO_METRIC_7048">"c7048"</definedName>
    <definedName name="IQ_ECO_METRIC_7049">"c7049"</definedName>
    <definedName name="IQ_ECO_METRIC_7050">"c7050"</definedName>
    <definedName name="IQ_ECO_METRIC_7051">"c7051"</definedName>
    <definedName name="IQ_ECO_METRIC_7052">"c7052"</definedName>
    <definedName name="IQ_ECO_METRIC_7053">"c7053"</definedName>
    <definedName name="IQ_ECO_METRIC_7054">"c7054"</definedName>
    <definedName name="IQ_ECO_METRIC_7055">"c7055"</definedName>
    <definedName name="IQ_ECO_METRIC_7056">"c7056"</definedName>
    <definedName name="IQ_ECO_METRIC_7057">"c7057"</definedName>
    <definedName name="IQ_ECO_METRIC_7058">"c7058"</definedName>
    <definedName name="IQ_ECO_METRIC_7059">"c7059"</definedName>
    <definedName name="IQ_ECO_METRIC_7059_UNUSED_UNUSED_UNUSED">"c7059"</definedName>
    <definedName name="IQ_ECO_METRIC_7060">"c7060"</definedName>
    <definedName name="IQ_ECO_METRIC_7061">"c7061"</definedName>
    <definedName name="IQ_ECO_METRIC_7062">"c7062"</definedName>
    <definedName name="IQ_ECO_METRIC_7063">"c7063"</definedName>
    <definedName name="IQ_ECO_METRIC_7064">"c7064"</definedName>
    <definedName name="IQ_ECO_METRIC_7065">"c7065"</definedName>
    <definedName name="IQ_ECO_METRIC_7066">"c7066"</definedName>
    <definedName name="IQ_ECO_METRIC_7067">"c7067"</definedName>
    <definedName name="IQ_ECO_METRIC_7068">"c7068"</definedName>
    <definedName name="IQ_ECO_METRIC_7069">"c7069"</definedName>
    <definedName name="IQ_ECO_METRIC_7070">"c7070"</definedName>
    <definedName name="IQ_ECO_METRIC_7071">"c7071"</definedName>
    <definedName name="IQ_ECO_METRIC_7072">"c7072"</definedName>
    <definedName name="IQ_ECO_METRIC_7073">"c7073"</definedName>
    <definedName name="IQ_ECO_METRIC_7074">"c7074"</definedName>
    <definedName name="IQ_ECO_METRIC_7075">"c7075"</definedName>
    <definedName name="IQ_ECO_METRIC_7076">"c7076"</definedName>
    <definedName name="IQ_ECO_METRIC_7077">"c7077"</definedName>
    <definedName name="IQ_ECO_METRIC_7078">"c7078"</definedName>
    <definedName name="IQ_ECO_METRIC_7079">"c7079"</definedName>
    <definedName name="IQ_ECO_METRIC_7080">"c7080"</definedName>
    <definedName name="IQ_ECO_METRIC_7081">"c7081"</definedName>
    <definedName name="IQ_ECO_METRIC_7082">"c7082"</definedName>
    <definedName name="IQ_ECO_METRIC_7083">"c7083"</definedName>
    <definedName name="IQ_ECO_METRIC_7084">"c7084"</definedName>
    <definedName name="IQ_ECO_METRIC_7085">"c7085"</definedName>
    <definedName name="IQ_ECO_METRIC_7086">"c7086"</definedName>
    <definedName name="IQ_ECO_METRIC_7087">"c7087"</definedName>
    <definedName name="IQ_ECO_METRIC_7088">"c7088"</definedName>
    <definedName name="IQ_ECO_METRIC_7089">"c7089"</definedName>
    <definedName name="IQ_ECO_METRIC_7090">"c7090"</definedName>
    <definedName name="IQ_ECO_METRIC_7091">"c7091"</definedName>
    <definedName name="IQ_ECO_METRIC_7092">"c7092"</definedName>
    <definedName name="IQ_ECO_METRIC_7093">"c7093"</definedName>
    <definedName name="IQ_ECO_METRIC_7094">"c7094"</definedName>
    <definedName name="IQ_ECO_METRIC_7095">"c7095"</definedName>
    <definedName name="IQ_ECO_METRIC_7096">"c7096"</definedName>
    <definedName name="IQ_ECO_METRIC_7097">"c7097"</definedName>
    <definedName name="IQ_ECO_METRIC_7098">"c7098"</definedName>
    <definedName name="IQ_ECO_METRIC_7099">"c7099"</definedName>
    <definedName name="IQ_ECO_METRIC_7100">"c7100"</definedName>
    <definedName name="IQ_ECO_METRIC_7101">"c7101"</definedName>
    <definedName name="IQ_ECO_METRIC_7102">"c7102"</definedName>
    <definedName name="IQ_ECO_METRIC_7103">"c7103"</definedName>
    <definedName name="IQ_ECO_METRIC_7104">"c7104"</definedName>
    <definedName name="IQ_ECO_METRIC_7105">"c7105"</definedName>
    <definedName name="IQ_ECO_METRIC_7106">"c7106"</definedName>
    <definedName name="IQ_ECO_METRIC_7107">"c7107"</definedName>
    <definedName name="IQ_ECO_METRIC_7108">"c7108"</definedName>
    <definedName name="IQ_ECO_METRIC_7109">"c7109"</definedName>
    <definedName name="IQ_ECO_METRIC_7110">"c7110"</definedName>
    <definedName name="IQ_ECO_METRIC_7111">"c7111"</definedName>
    <definedName name="IQ_ECO_METRIC_7112">"c7112"</definedName>
    <definedName name="IQ_ECO_METRIC_7113">"c7113"</definedName>
    <definedName name="IQ_ECO_METRIC_7114">"c7114"</definedName>
    <definedName name="IQ_ECO_METRIC_7115">"c7115"</definedName>
    <definedName name="IQ_ECO_METRIC_7116">"c7116"</definedName>
    <definedName name="IQ_ECO_METRIC_7116_UNUSED_UNUSED_UNUSED">"c7116"</definedName>
    <definedName name="IQ_ECO_METRIC_7117">"c7117"</definedName>
    <definedName name="IQ_ECO_METRIC_7117_UNUSED_UNUSED_UNUSED">"c7117"</definedName>
    <definedName name="IQ_ECO_METRIC_7119">"c7119"</definedName>
    <definedName name="IQ_ECO_METRIC_7120">"c7120"</definedName>
    <definedName name="IQ_ECO_METRIC_7121">"c7121"</definedName>
    <definedName name="IQ_ECO_METRIC_7122">"c7122"</definedName>
    <definedName name="IQ_ECO_METRIC_7123">"c7123"</definedName>
    <definedName name="IQ_ECO_METRIC_7124">"c7124"</definedName>
    <definedName name="IQ_ECO_METRIC_7125">"c7125"</definedName>
    <definedName name="IQ_ECO_METRIC_7126">"c7126"</definedName>
    <definedName name="IQ_ECO_METRIC_7127">"c7127"</definedName>
    <definedName name="IQ_ECO_METRIC_7128">"c7128"</definedName>
    <definedName name="IQ_ECO_METRIC_7129">"c7129"</definedName>
    <definedName name="IQ_ECO_METRIC_7130">"c7130"</definedName>
    <definedName name="IQ_ECO_METRIC_7131">"c7131"</definedName>
    <definedName name="IQ_ECO_METRIC_7132">"c7132"</definedName>
    <definedName name="IQ_ECO_METRIC_7133">"c7133"</definedName>
    <definedName name="IQ_ECO_METRIC_7134">"c7134"</definedName>
    <definedName name="IQ_ECO_METRIC_7135">"c7135"</definedName>
    <definedName name="IQ_ECO_METRIC_7136">"c7136"</definedName>
    <definedName name="IQ_ECO_METRIC_7137">"c7137"</definedName>
    <definedName name="IQ_ECO_METRIC_7138">"c7138"</definedName>
    <definedName name="IQ_ECO_METRIC_7139">"c7139"</definedName>
    <definedName name="IQ_ECO_METRIC_7140">"c7140"</definedName>
    <definedName name="IQ_ECO_METRIC_7141">"c7141"</definedName>
    <definedName name="IQ_ECO_METRIC_7142">"c7142"</definedName>
    <definedName name="IQ_ECO_METRIC_7143">"c7143"</definedName>
    <definedName name="IQ_ECO_METRIC_7144">"c7144"</definedName>
    <definedName name="IQ_ECO_METRIC_7145">"c7145"</definedName>
    <definedName name="IQ_ECO_METRIC_7146">"c7146"</definedName>
    <definedName name="IQ_ECO_METRIC_7148">"c7148"</definedName>
    <definedName name="IQ_ECO_METRIC_7149">"c7149"</definedName>
    <definedName name="IQ_ECO_METRIC_7150">"c7150"</definedName>
    <definedName name="IQ_ECO_METRIC_7151">"c7151"</definedName>
    <definedName name="IQ_ECO_METRIC_7152">"c7152"</definedName>
    <definedName name="IQ_ECO_METRIC_7153">"c7153"</definedName>
    <definedName name="IQ_ECO_METRIC_7154">"c7154"</definedName>
    <definedName name="IQ_ECO_METRIC_7155">"c7155"</definedName>
    <definedName name="IQ_ECO_METRIC_7156">"c7156"</definedName>
    <definedName name="IQ_ECO_METRIC_7157">"c7157"</definedName>
    <definedName name="IQ_ECO_METRIC_7158">"c7158"</definedName>
    <definedName name="IQ_ECO_METRIC_7159">"c7159"</definedName>
    <definedName name="IQ_ECO_METRIC_7160">"c7160"</definedName>
    <definedName name="IQ_ECO_METRIC_7161">"c7161"</definedName>
    <definedName name="IQ_ECO_METRIC_7162">"c7162"</definedName>
    <definedName name="IQ_ECO_METRIC_7163">"c7163"</definedName>
    <definedName name="IQ_ECO_METRIC_7164">"c7164"</definedName>
    <definedName name="IQ_ECO_METRIC_7165">"c7165"</definedName>
    <definedName name="IQ_ECO_METRIC_7166">"c7166"</definedName>
    <definedName name="IQ_ECO_METRIC_7167">"c7167"</definedName>
    <definedName name="IQ_ECO_METRIC_7168">"c7168"</definedName>
    <definedName name="IQ_ECO_METRIC_7169">"c7169"</definedName>
    <definedName name="IQ_ECO_METRIC_7170">"c7170"</definedName>
    <definedName name="IQ_ECO_METRIC_7171">"c7171"</definedName>
    <definedName name="IQ_ECO_METRIC_7172">"c7172"</definedName>
    <definedName name="IQ_ECO_METRIC_7173">"c7173"</definedName>
    <definedName name="IQ_ECO_METRIC_7174">"c7174"</definedName>
    <definedName name="IQ_ECO_METRIC_7175">"c7175"</definedName>
    <definedName name="IQ_ECO_METRIC_7176">"c7176"</definedName>
    <definedName name="IQ_ECO_METRIC_7177">"c7177"</definedName>
    <definedName name="IQ_ECO_METRIC_7178">"c7178"</definedName>
    <definedName name="IQ_ECO_METRIC_7179">"c7179"</definedName>
    <definedName name="IQ_ECO_METRIC_7180">"c7180"</definedName>
    <definedName name="IQ_ECO_METRIC_7182">"c7182"</definedName>
    <definedName name="IQ_ECO_METRIC_7183">"c7183"</definedName>
    <definedName name="IQ_ECO_METRIC_7184">"c7184"</definedName>
    <definedName name="IQ_ECO_METRIC_7185">"c7185"</definedName>
    <definedName name="IQ_ECO_METRIC_7186">"c7186"</definedName>
    <definedName name="IQ_ECO_METRIC_7187">"c7187"</definedName>
    <definedName name="IQ_ECO_METRIC_7188">"c7188"</definedName>
    <definedName name="IQ_ECO_METRIC_7189">"c7189"</definedName>
    <definedName name="IQ_ECO_METRIC_7190">"c7190"</definedName>
    <definedName name="IQ_ECO_METRIC_7191">"c7191"</definedName>
    <definedName name="IQ_ECO_METRIC_7192">"c7192"</definedName>
    <definedName name="IQ_ECO_METRIC_7193">"c7193"</definedName>
    <definedName name="IQ_ECO_METRIC_7194">"c7194"</definedName>
    <definedName name="IQ_ECO_METRIC_7195">"c7195"</definedName>
    <definedName name="IQ_ECO_METRIC_7196">"c7196"</definedName>
    <definedName name="IQ_ECO_METRIC_7197">"c7197"</definedName>
    <definedName name="IQ_ECO_METRIC_7198">"c7198"</definedName>
    <definedName name="IQ_ECO_METRIC_7199">"c7199"</definedName>
    <definedName name="IQ_ECO_METRIC_7200">"c7200"</definedName>
    <definedName name="IQ_ECO_METRIC_7201">"c7201"</definedName>
    <definedName name="IQ_ECO_METRIC_7202">"c7202"</definedName>
    <definedName name="IQ_ECO_METRIC_7203">"c7203"</definedName>
    <definedName name="IQ_ECO_METRIC_7204">"c7204"</definedName>
    <definedName name="IQ_ECO_METRIC_7205">"c7205"</definedName>
    <definedName name="IQ_ECO_METRIC_7206">"c7206"</definedName>
    <definedName name="IQ_ECO_METRIC_7207">"c7207"</definedName>
    <definedName name="IQ_ECO_METRIC_7208">"c7208"</definedName>
    <definedName name="IQ_ECO_METRIC_7208_UNUSED_UNUSED_UNUSED">"c7208"</definedName>
    <definedName name="IQ_ECO_METRIC_7209">"c7209"</definedName>
    <definedName name="IQ_ECO_METRIC_7210">"c7210"</definedName>
    <definedName name="IQ_ECO_METRIC_7211">"c7211"</definedName>
    <definedName name="IQ_ECO_METRIC_7212">"c7212"</definedName>
    <definedName name="IQ_ECO_METRIC_7213">"c7213"</definedName>
    <definedName name="IQ_ECO_METRIC_7214">"c7214"</definedName>
    <definedName name="IQ_ECO_METRIC_7215">"c7215"</definedName>
    <definedName name="IQ_ECO_METRIC_7216">"c7216"</definedName>
    <definedName name="IQ_ECO_METRIC_7217">"c7217"</definedName>
    <definedName name="IQ_ECO_METRIC_7218">"c7218"</definedName>
    <definedName name="IQ_ECO_METRIC_7220">"c7220"</definedName>
    <definedName name="IQ_ECO_METRIC_7221">"c7221"</definedName>
    <definedName name="IQ_ECO_METRIC_7222">"c7222"</definedName>
    <definedName name="IQ_ECO_METRIC_7223">"c7223"</definedName>
    <definedName name="IQ_ECO_METRIC_7224">"c7224"</definedName>
    <definedName name="IQ_ECO_METRIC_7225">"c7225"</definedName>
    <definedName name="IQ_ECO_METRIC_7226">"c7226"</definedName>
    <definedName name="IQ_ECO_METRIC_7227">"c7227"</definedName>
    <definedName name="IQ_ECO_METRIC_7228">"c7228"</definedName>
    <definedName name="IQ_ECO_METRIC_7229">"c7229"</definedName>
    <definedName name="IQ_ECO_METRIC_7230">"c7230"</definedName>
    <definedName name="IQ_ECO_METRIC_7231">"c7231"</definedName>
    <definedName name="IQ_ECO_METRIC_7232">"c7232"</definedName>
    <definedName name="IQ_ECO_METRIC_7233">"c7233"</definedName>
    <definedName name="IQ_ECO_METRIC_7235">"c7235"</definedName>
    <definedName name="IQ_ECO_METRIC_7236">"c7236"</definedName>
    <definedName name="IQ_ECO_METRIC_7237">"c7237"</definedName>
    <definedName name="IQ_ECO_METRIC_7238">"c7238"</definedName>
    <definedName name="IQ_ECO_METRIC_7239">"c7239"</definedName>
    <definedName name="IQ_ECO_METRIC_7240">"c7240"</definedName>
    <definedName name="IQ_ECO_METRIC_7241">"c7241"</definedName>
    <definedName name="IQ_ECO_METRIC_7243">"c7243"</definedName>
    <definedName name="IQ_ECO_METRIC_7244">"c7244"</definedName>
    <definedName name="IQ_ECO_METRIC_7245">"c7245"</definedName>
    <definedName name="IQ_ECO_METRIC_7246">"c7246"</definedName>
    <definedName name="IQ_ECO_METRIC_7247">"c7247"</definedName>
    <definedName name="IQ_ECO_METRIC_7248">"c7248"</definedName>
    <definedName name="IQ_ECO_METRIC_7249">"c7249"</definedName>
    <definedName name="IQ_ECO_METRIC_7250">"c7250"</definedName>
    <definedName name="IQ_ECO_METRIC_7251">"c7251"</definedName>
    <definedName name="IQ_ECO_METRIC_7252">"c7252"</definedName>
    <definedName name="IQ_ECO_METRIC_7253">"c7253"</definedName>
    <definedName name="IQ_ECO_METRIC_7254">"c7254"</definedName>
    <definedName name="IQ_ECO_METRIC_7255">"c7255"</definedName>
    <definedName name="IQ_ECO_METRIC_7256">"c7256"</definedName>
    <definedName name="IQ_ECO_METRIC_7257">"c7257"</definedName>
    <definedName name="IQ_ECO_METRIC_7258">"c7258"</definedName>
    <definedName name="IQ_ECO_METRIC_7259">"c7259"</definedName>
    <definedName name="IQ_ECO_METRIC_7260">"c7260"</definedName>
    <definedName name="IQ_ECO_METRIC_7261">"c7261"</definedName>
    <definedName name="IQ_ECO_METRIC_7262">"c7262"</definedName>
    <definedName name="IQ_ECO_METRIC_7263">"c7263"</definedName>
    <definedName name="IQ_ECO_METRIC_7264">"c7264"</definedName>
    <definedName name="IQ_ECO_METRIC_7265">"c7265"</definedName>
    <definedName name="IQ_ECO_METRIC_7265_UNUSED_UNUSED_UNUSED">"c7265"</definedName>
    <definedName name="IQ_ECO_METRIC_7266">"c7266"</definedName>
    <definedName name="IQ_ECO_METRIC_7267">"c7267"</definedName>
    <definedName name="IQ_ECO_METRIC_7268">"c7268"</definedName>
    <definedName name="IQ_ECO_METRIC_7269">"c7269"</definedName>
    <definedName name="IQ_ECO_METRIC_7270">"c7270"</definedName>
    <definedName name="IQ_ECO_METRIC_7272">"c7272"</definedName>
    <definedName name="IQ_ECO_METRIC_7273">"c7273"</definedName>
    <definedName name="IQ_ECO_METRIC_7274">"c7274"</definedName>
    <definedName name="IQ_ECO_METRIC_7275">"c7275"</definedName>
    <definedName name="IQ_ECO_METRIC_7276">"c7276"</definedName>
    <definedName name="IQ_ECO_METRIC_7277">"c7277"</definedName>
    <definedName name="IQ_ECO_METRIC_7278">"c7278"</definedName>
    <definedName name="IQ_ECO_METRIC_7279">"c7279"</definedName>
    <definedName name="IQ_ECO_METRIC_7279_UNUSED_UNUSED_UNUSED">"c7279"</definedName>
    <definedName name="IQ_ECO_METRIC_7280">"c7280"</definedName>
    <definedName name="IQ_ECO_METRIC_7281">"c7281"</definedName>
    <definedName name="IQ_ECO_METRIC_7282">"c7282"</definedName>
    <definedName name="IQ_ECO_METRIC_7283">"c7283"</definedName>
    <definedName name="IQ_ECO_METRIC_7284">"c7284"</definedName>
    <definedName name="IQ_ECO_METRIC_7285">"c7285"</definedName>
    <definedName name="IQ_ECO_METRIC_7286">"c7286"</definedName>
    <definedName name="IQ_ECO_METRIC_7287">"c7287"</definedName>
    <definedName name="IQ_ECO_METRIC_7288">"c7288"</definedName>
    <definedName name="IQ_ECO_METRIC_7289">"c7289"</definedName>
    <definedName name="IQ_ECO_METRIC_7290">"c7290"</definedName>
    <definedName name="IQ_ECO_METRIC_7291">"c7291"</definedName>
    <definedName name="IQ_ECO_METRIC_7292">"c7292"</definedName>
    <definedName name="IQ_ECO_METRIC_7293">"c7293"</definedName>
    <definedName name="IQ_ECO_METRIC_7294">"c7294"</definedName>
    <definedName name="IQ_ECO_METRIC_7295">"c7295"</definedName>
    <definedName name="IQ_ECO_METRIC_7296">"c7296"</definedName>
    <definedName name="IQ_ECO_METRIC_7297">"c7297"</definedName>
    <definedName name="IQ_ECO_METRIC_7298">"c7298"</definedName>
    <definedName name="IQ_ECO_METRIC_7299">"c7299"</definedName>
    <definedName name="IQ_ECO_METRIC_7300">"c7300"</definedName>
    <definedName name="IQ_ECO_METRIC_7301">"c7301"</definedName>
    <definedName name="IQ_ECO_METRIC_7302">"c7302"</definedName>
    <definedName name="IQ_ECO_METRIC_7303">"c7303"</definedName>
    <definedName name="IQ_ECO_METRIC_7304">"c7304"</definedName>
    <definedName name="IQ_ECO_METRIC_7305">"c7305"</definedName>
    <definedName name="IQ_ECO_METRIC_7306">"c7306"</definedName>
    <definedName name="IQ_ECO_METRIC_7307">"c7307"</definedName>
    <definedName name="IQ_ECO_METRIC_7308">"c7308"</definedName>
    <definedName name="IQ_ECO_METRIC_7309">"c7309"</definedName>
    <definedName name="IQ_ECO_METRIC_7310">"c7310"</definedName>
    <definedName name="IQ_ECO_METRIC_7311">"c7311"</definedName>
    <definedName name="IQ_ECO_METRIC_7312">"c7312"</definedName>
    <definedName name="IQ_ECO_METRIC_7313">"c7313"</definedName>
    <definedName name="IQ_ECO_METRIC_7314">"c7314"</definedName>
    <definedName name="IQ_ECO_METRIC_7315">"c7315"</definedName>
    <definedName name="IQ_ECO_METRIC_7316">"c7316"</definedName>
    <definedName name="IQ_ECO_METRIC_7317">"c7317"</definedName>
    <definedName name="IQ_ECO_METRIC_7318">"c7318"</definedName>
    <definedName name="IQ_ECO_METRIC_7319">"c7319"</definedName>
    <definedName name="IQ_ECO_METRIC_7320">"c7320"</definedName>
    <definedName name="IQ_ECO_METRIC_7321">"c7321"</definedName>
    <definedName name="IQ_ECO_METRIC_7322">"c7322"</definedName>
    <definedName name="IQ_ECO_METRIC_7323">"c7323"</definedName>
    <definedName name="IQ_ECO_METRIC_7324">"c7324"</definedName>
    <definedName name="IQ_ECO_METRIC_7325">"c7325"</definedName>
    <definedName name="IQ_ECO_METRIC_7326">"c7326"</definedName>
    <definedName name="IQ_ECO_METRIC_7327">"c7327"</definedName>
    <definedName name="IQ_ECO_METRIC_7328">"c7328"</definedName>
    <definedName name="IQ_ECO_METRIC_7329">"c7329"</definedName>
    <definedName name="IQ_ECO_METRIC_7330">"c7330"</definedName>
    <definedName name="IQ_ECO_METRIC_7331">"c7331"</definedName>
    <definedName name="IQ_ECO_METRIC_7332">"c7332"</definedName>
    <definedName name="IQ_ECO_METRIC_7333">"c7333"</definedName>
    <definedName name="IQ_ECO_METRIC_7334">"c7334"</definedName>
    <definedName name="IQ_ECO_METRIC_7335">"c7335"</definedName>
    <definedName name="IQ_ECO_METRIC_7336">"c7336"</definedName>
    <definedName name="IQ_ECO_METRIC_7336_UNUSED_UNUSED_UNUSED">"c7336"</definedName>
    <definedName name="IQ_ECO_METRIC_7337">"c7337"</definedName>
    <definedName name="IQ_ECO_METRIC_7337_UNUSED_UNUSED_UNUSED">"c7337"</definedName>
    <definedName name="IQ_ECO_METRIC_7339">"c7339"</definedName>
    <definedName name="IQ_ECO_METRIC_7341">"c7341"</definedName>
    <definedName name="IQ_ECO_METRIC_7342">"c7342"</definedName>
    <definedName name="IQ_ECO_METRIC_7343">"c7343"</definedName>
    <definedName name="IQ_ECO_METRIC_7344">"c7344"</definedName>
    <definedName name="IQ_ECO_METRIC_7345">"c7345"</definedName>
    <definedName name="IQ_ECO_METRIC_7346">"c7346"</definedName>
    <definedName name="IQ_ECO_METRIC_7347">"c7347"</definedName>
    <definedName name="IQ_ECO_METRIC_7348">"c7348"</definedName>
    <definedName name="IQ_ECO_METRIC_7349">"c7349"</definedName>
    <definedName name="IQ_ECO_METRIC_7350">"c7350"</definedName>
    <definedName name="IQ_ECO_METRIC_7351">"c7351"</definedName>
    <definedName name="IQ_ECO_METRIC_7352">"c7352"</definedName>
    <definedName name="IQ_ECO_METRIC_7353">"c7353"</definedName>
    <definedName name="IQ_ECO_METRIC_7354">"c7354"</definedName>
    <definedName name="IQ_ECO_METRIC_7355">"c7355"</definedName>
    <definedName name="IQ_ECO_METRIC_7356">"c7356"</definedName>
    <definedName name="IQ_ECO_METRIC_7357">"c7357"</definedName>
    <definedName name="IQ_ECO_METRIC_7358">"c7358"</definedName>
    <definedName name="IQ_ECO_METRIC_7359">"c7359"</definedName>
    <definedName name="IQ_ECO_METRIC_7360">"c7360"</definedName>
    <definedName name="IQ_ECO_METRIC_7361">"c7361"</definedName>
    <definedName name="IQ_ECO_METRIC_7362">"c7362"</definedName>
    <definedName name="IQ_ECO_METRIC_7363">"c7363"</definedName>
    <definedName name="IQ_ECO_METRIC_7364">"c7364"</definedName>
    <definedName name="IQ_ECO_METRIC_7365">"c7365"</definedName>
    <definedName name="IQ_ECO_METRIC_7366">"c7366"</definedName>
    <definedName name="IQ_ECO_METRIC_7368">"c7368"</definedName>
    <definedName name="IQ_ECO_METRIC_7369">"c7369"</definedName>
    <definedName name="IQ_ECO_METRIC_7370">"c7370"</definedName>
    <definedName name="IQ_ECO_METRIC_7371">"c7371"</definedName>
    <definedName name="IQ_ECO_METRIC_7372">"c7372"</definedName>
    <definedName name="IQ_ECO_METRIC_7373">"c7373"</definedName>
    <definedName name="IQ_ECO_METRIC_7374">"c7374"</definedName>
    <definedName name="IQ_ECO_METRIC_7375">"c7375"</definedName>
    <definedName name="IQ_ECO_METRIC_7376">"c7376"</definedName>
    <definedName name="IQ_ECO_METRIC_7377">"c7377"</definedName>
    <definedName name="IQ_ECO_METRIC_7378">"c7378"</definedName>
    <definedName name="IQ_ECO_METRIC_7379">"c7379"</definedName>
    <definedName name="IQ_ECO_METRIC_7380">"c7380"</definedName>
    <definedName name="IQ_ECO_METRIC_7381">"c7381"</definedName>
    <definedName name="IQ_ECO_METRIC_7382">"c7382"</definedName>
    <definedName name="IQ_ECO_METRIC_7383">"c7383"</definedName>
    <definedName name="IQ_ECO_METRIC_7384">"c7384"</definedName>
    <definedName name="IQ_ECO_METRIC_7385">"c7385"</definedName>
    <definedName name="IQ_ECO_METRIC_7386">"c7386"</definedName>
    <definedName name="IQ_ECO_METRIC_7387">"c7387"</definedName>
    <definedName name="IQ_ECO_METRIC_7388">"c7388"</definedName>
    <definedName name="IQ_ECO_METRIC_7389">"c7389"</definedName>
    <definedName name="IQ_ECO_METRIC_7390">"c7390"</definedName>
    <definedName name="IQ_ECO_METRIC_7391">"c7391"</definedName>
    <definedName name="IQ_ECO_METRIC_7392">"c7392"</definedName>
    <definedName name="IQ_ECO_METRIC_7393">"c7393"</definedName>
    <definedName name="IQ_ECO_METRIC_7394">"c7394"</definedName>
    <definedName name="IQ_ECO_METRIC_7395">"c7395"</definedName>
    <definedName name="IQ_ECO_METRIC_7396">"c7396"</definedName>
    <definedName name="IQ_ECO_METRIC_7397">"c7397"</definedName>
    <definedName name="IQ_ECO_METRIC_7398">"c7398"</definedName>
    <definedName name="IQ_ECO_METRIC_7399">"c7399"</definedName>
    <definedName name="IQ_ECO_METRIC_7400">"c7400"</definedName>
    <definedName name="IQ_ECO_METRIC_7402">"c7402"</definedName>
    <definedName name="IQ_ECO_METRIC_7403">"c7403"</definedName>
    <definedName name="IQ_ECO_METRIC_7404">"c7404"</definedName>
    <definedName name="IQ_ECO_METRIC_7405">"c7405"</definedName>
    <definedName name="IQ_ECO_METRIC_7406">"c7406"</definedName>
    <definedName name="IQ_ECO_METRIC_7407">"c7407"</definedName>
    <definedName name="IQ_ECO_METRIC_7408">"c7408"</definedName>
    <definedName name="IQ_ECO_METRIC_7409">"c7409"</definedName>
    <definedName name="IQ_ECO_METRIC_7410">"c7410"</definedName>
    <definedName name="IQ_ECO_METRIC_7411">"c7411"</definedName>
    <definedName name="IQ_ECO_METRIC_7412">"c7412"</definedName>
    <definedName name="IQ_ECO_METRIC_7413">"c7413"</definedName>
    <definedName name="IQ_ECO_METRIC_7414">"c7414"</definedName>
    <definedName name="IQ_ECO_METRIC_7415">"c7415"</definedName>
    <definedName name="IQ_ECO_METRIC_7416">"c7416"</definedName>
    <definedName name="IQ_ECO_METRIC_7417">"c7417"</definedName>
    <definedName name="IQ_ECO_METRIC_7418">"c7418"</definedName>
    <definedName name="IQ_ECO_METRIC_7419">"c7419"</definedName>
    <definedName name="IQ_ECO_METRIC_7420">"c7420"</definedName>
    <definedName name="IQ_ECO_METRIC_7421">"c7421"</definedName>
    <definedName name="IQ_ECO_METRIC_7422">"c7422"</definedName>
    <definedName name="IQ_ECO_METRIC_7423">"c7423"</definedName>
    <definedName name="IQ_ECO_METRIC_7424">"c7424"</definedName>
    <definedName name="IQ_ECO_METRIC_7425">"c7425"</definedName>
    <definedName name="IQ_ECO_METRIC_7426">"c7426"</definedName>
    <definedName name="IQ_ECO_METRIC_7427">"c7427"</definedName>
    <definedName name="IQ_ECO_METRIC_7428">"c7428"</definedName>
    <definedName name="IQ_ECO_METRIC_7428_UNUSED_UNUSED_UNUSED">"c7428"</definedName>
    <definedName name="IQ_ECO_METRIC_7429">"c7429"</definedName>
    <definedName name="IQ_ECO_METRIC_7430">"c7430"</definedName>
    <definedName name="IQ_ECO_METRIC_7431">"c7431"</definedName>
    <definedName name="IQ_ECO_METRIC_7432">"c7432"</definedName>
    <definedName name="IQ_ECO_METRIC_7433">"c7433"</definedName>
    <definedName name="IQ_ECO_METRIC_7434">"c7434"</definedName>
    <definedName name="IQ_ECO_METRIC_7435">"c7435"</definedName>
    <definedName name="IQ_ECO_METRIC_7436">"c7436"</definedName>
    <definedName name="IQ_ECO_METRIC_7437">"c7437"</definedName>
    <definedName name="IQ_ECO_METRIC_7438">"c7438"</definedName>
    <definedName name="IQ_ECO_METRIC_7440">"c7440"</definedName>
    <definedName name="IQ_ECO_METRIC_7441">"c7441"</definedName>
    <definedName name="IQ_ECO_METRIC_7442">"c7442"</definedName>
    <definedName name="IQ_ECO_METRIC_7443">"c7443"</definedName>
    <definedName name="IQ_ECO_METRIC_7444">"c7444"</definedName>
    <definedName name="IQ_ECO_METRIC_7445">"c7445"</definedName>
    <definedName name="IQ_ECO_METRIC_7446">"c7446"</definedName>
    <definedName name="IQ_ECO_METRIC_7447">"c7447"</definedName>
    <definedName name="IQ_ECO_METRIC_7448">"c7448"</definedName>
    <definedName name="IQ_ECO_METRIC_7449">"c7449"</definedName>
    <definedName name="IQ_ECO_METRIC_7450">"c7450"</definedName>
    <definedName name="IQ_ECO_METRIC_7451">"c7451"</definedName>
    <definedName name="IQ_ECO_METRIC_7452">"c7452"</definedName>
    <definedName name="IQ_ECO_METRIC_7453">"c7453"</definedName>
    <definedName name="IQ_ECO_METRIC_7455">"c7455"</definedName>
    <definedName name="IQ_ECO_METRIC_7456">"c7456"</definedName>
    <definedName name="IQ_ECO_METRIC_7457">"c7457"</definedName>
    <definedName name="IQ_ECO_METRIC_7458">"c7458"</definedName>
    <definedName name="IQ_ECO_METRIC_7459">"c7459"</definedName>
    <definedName name="IQ_ECO_METRIC_7460">"c7460"</definedName>
    <definedName name="IQ_ECO_METRIC_7461">"c7461"</definedName>
    <definedName name="IQ_ECO_METRIC_7463">"c7463"</definedName>
    <definedName name="IQ_ECO_METRIC_7464">"c7464"</definedName>
    <definedName name="IQ_ECO_METRIC_7465">"c7465"</definedName>
    <definedName name="IQ_ECO_METRIC_7466">"c7466"</definedName>
    <definedName name="IQ_ECO_METRIC_7467">"c7467"</definedName>
    <definedName name="IQ_ECO_METRIC_7468">"c7468"</definedName>
    <definedName name="IQ_ECO_METRIC_7469">"c7469"</definedName>
    <definedName name="IQ_ECO_METRIC_7470">"c7470"</definedName>
    <definedName name="IQ_ECO_METRIC_7472">"c7472"</definedName>
    <definedName name="IQ_ECO_METRIC_7473">"c7473"</definedName>
    <definedName name="IQ_ECO_METRIC_7474">"c7474"</definedName>
    <definedName name="IQ_ECO_METRIC_7475">"c7475"</definedName>
    <definedName name="IQ_ECO_METRIC_7476">"c7476"</definedName>
    <definedName name="IQ_ECO_METRIC_7477">"c7477"</definedName>
    <definedName name="IQ_ECO_METRIC_7478">"c7478"</definedName>
    <definedName name="IQ_ECO_METRIC_7479">"c7479"</definedName>
    <definedName name="IQ_ECO_METRIC_7480">"c7480"</definedName>
    <definedName name="IQ_ECO_METRIC_7481">"c7481"</definedName>
    <definedName name="IQ_ECO_METRIC_7482">"c7482"</definedName>
    <definedName name="IQ_ECO_METRIC_7483">"c7483"</definedName>
    <definedName name="IQ_ECO_METRIC_7486">"c7486"</definedName>
    <definedName name="IQ_ECO_METRIC_7487">"c7487"</definedName>
    <definedName name="IQ_ECO_METRIC_7488">"c7488"</definedName>
    <definedName name="IQ_ECO_METRIC_7489">"c7489"</definedName>
    <definedName name="IQ_ECO_METRIC_7490">"c7490"</definedName>
    <definedName name="IQ_ECO_METRIC_7491">"c7491"</definedName>
    <definedName name="IQ_ECO_METRIC_7492">"c7492"</definedName>
    <definedName name="IQ_ECO_METRIC_7493">"c7493"</definedName>
    <definedName name="IQ_ECO_METRIC_7494">"c7494"</definedName>
    <definedName name="IQ_ECO_METRIC_7495">"c7495"</definedName>
    <definedName name="IQ_ECO_METRIC_7496">"c7496"</definedName>
    <definedName name="IQ_ECO_METRIC_7497">"c7497"</definedName>
    <definedName name="IQ_ECO_METRIC_7498">"c7498"</definedName>
    <definedName name="IQ_ECO_METRIC_7500">"c7500"</definedName>
    <definedName name="IQ_ECO_METRIC_7501">"c7501"</definedName>
    <definedName name="IQ_ECO_METRIC_7502">"c7502"</definedName>
    <definedName name="IQ_ECO_METRIC_7503">"c7503"</definedName>
    <definedName name="IQ_ECO_METRIC_7504">"c7504"</definedName>
    <definedName name="IQ_ECO_METRIC_7505">"c7505"</definedName>
    <definedName name="IQ_ECO_METRIC_7507">"c7507"</definedName>
    <definedName name="IQ_ECO_METRIC_7508">"c7508"</definedName>
    <definedName name="IQ_ECO_METRIC_7509">"c7509"</definedName>
    <definedName name="IQ_ECO_METRIC_7510">"c7510"</definedName>
    <definedName name="IQ_ECO_METRIC_7511">"c7511"</definedName>
    <definedName name="IQ_ECO_METRIC_7512">"c7512"</definedName>
    <definedName name="IQ_ECO_METRIC_7513">"c7513"</definedName>
    <definedName name="IQ_ECO_METRIC_7514">"c7514"</definedName>
    <definedName name="IQ_ECO_METRIC_7515">"c7515"</definedName>
    <definedName name="IQ_ECO_METRIC_7516">"c7516"</definedName>
    <definedName name="IQ_ECO_METRIC_7517">"c7517"</definedName>
    <definedName name="IQ_ECO_METRIC_7518">"c7518"</definedName>
    <definedName name="IQ_ECO_METRIC_7519">"c7519"</definedName>
    <definedName name="IQ_ECO_METRIC_7520">"c7520"</definedName>
    <definedName name="IQ_ECO_METRIC_7521">"c7521"</definedName>
    <definedName name="IQ_ECO_METRIC_7522">"c7522"</definedName>
    <definedName name="IQ_ECO_METRIC_7523">"c7523"</definedName>
    <definedName name="IQ_ECO_METRIC_7524">"c7524"</definedName>
    <definedName name="IQ_ECO_METRIC_7525">"c7525"</definedName>
    <definedName name="IQ_ECO_METRIC_7526">"c7526"</definedName>
    <definedName name="IQ_ECO_METRIC_7527">"c7527"</definedName>
    <definedName name="IQ_ECO_METRIC_7528">"c7528"</definedName>
    <definedName name="IQ_ECO_METRIC_7529">"c7529"</definedName>
    <definedName name="IQ_ECO_METRIC_7530">"c7530"</definedName>
    <definedName name="IQ_ECO_METRIC_7531">"c7531"</definedName>
    <definedName name="IQ_ECO_METRIC_7532">"c7532"</definedName>
    <definedName name="IQ_ECO_METRIC_7533">"c7533"</definedName>
    <definedName name="IQ_ECO_METRIC_7534">"c7534"</definedName>
    <definedName name="IQ_ECO_METRIC_7535">"c7535"</definedName>
    <definedName name="IQ_ECO_METRIC_7536">"c7536"</definedName>
    <definedName name="IQ_ECO_METRIC_7537">"c7537"</definedName>
    <definedName name="IQ_ECO_METRIC_7538">"c7538"</definedName>
    <definedName name="IQ_ECO_METRIC_7539">"c7539"</definedName>
    <definedName name="IQ_ECO_METRIC_7540">"c7540"</definedName>
    <definedName name="IQ_ECO_METRIC_7541">"c7541"</definedName>
    <definedName name="IQ_ECO_METRIC_7542">"c7542"</definedName>
    <definedName name="IQ_ECO_METRIC_7543">"c7543"</definedName>
    <definedName name="IQ_ECO_METRIC_7544">"c7544"</definedName>
    <definedName name="IQ_ECO_METRIC_7545">"c7545"</definedName>
    <definedName name="IQ_ECO_METRIC_7546">"c7546"</definedName>
    <definedName name="IQ_ECO_METRIC_7547">"c7547"</definedName>
    <definedName name="IQ_ECO_METRIC_7548">"c7548"</definedName>
    <definedName name="IQ_ECO_METRIC_7549">"c7549"</definedName>
    <definedName name="IQ_ECO_METRIC_7550">"c7550"</definedName>
    <definedName name="IQ_ECO_METRIC_7551">"c7551"</definedName>
    <definedName name="IQ_ECO_METRIC_7552">"c7552"</definedName>
    <definedName name="IQ_ECO_METRIC_7553">"c7553"</definedName>
    <definedName name="IQ_ECO_METRIC_7554">"c7554"</definedName>
    <definedName name="IQ_ECO_METRIC_7555">"c7555"</definedName>
    <definedName name="IQ_ECO_METRIC_7556">"c7556"</definedName>
    <definedName name="IQ_ECO_METRIC_7556_UNUSED_UNUSED_UNUSED">"c7556"</definedName>
    <definedName name="IQ_ECO_METRIC_7557">"c7557"</definedName>
    <definedName name="IQ_ECO_METRIC_7557_UNUSED_UNUSED_UNUSED">"c7557"</definedName>
    <definedName name="IQ_ECO_METRIC_7560">"c7560"</definedName>
    <definedName name="IQ_ECO_METRIC_7561">"c7561"</definedName>
    <definedName name="IQ_ECO_METRIC_7562">"c7562"</definedName>
    <definedName name="IQ_ECO_METRIC_7563">"c7563"</definedName>
    <definedName name="IQ_ECO_METRIC_7564">"c7564"</definedName>
    <definedName name="IQ_ECO_METRIC_7565">"c7565"</definedName>
    <definedName name="IQ_ECO_METRIC_7566">"c7566"</definedName>
    <definedName name="IQ_ECO_METRIC_7567">"c7567"</definedName>
    <definedName name="IQ_ECO_METRIC_7568">"c7568"</definedName>
    <definedName name="IQ_ECO_METRIC_7570">"c7570"</definedName>
    <definedName name="IQ_ECO_METRIC_7571">"c7571"</definedName>
    <definedName name="IQ_ECO_METRIC_7572">"c7572"</definedName>
    <definedName name="IQ_ECO_METRIC_7573">"c7573"</definedName>
    <definedName name="IQ_ECO_METRIC_7574">"c7574"</definedName>
    <definedName name="IQ_ECO_METRIC_7575">"c7575"</definedName>
    <definedName name="IQ_ECO_METRIC_7576">"c7576"</definedName>
    <definedName name="IQ_ECO_METRIC_7577">"c7577"</definedName>
    <definedName name="IQ_ECO_METRIC_7578">"c7578"</definedName>
    <definedName name="IQ_ECO_METRIC_7579">"c7579"</definedName>
    <definedName name="IQ_ECO_METRIC_7580">"c7580"</definedName>
    <definedName name="IQ_ECO_METRIC_7581">"c7581"</definedName>
    <definedName name="IQ_ECO_METRIC_7582">"c7582"</definedName>
    <definedName name="IQ_ECO_METRIC_7583">"c7583"</definedName>
    <definedName name="IQ_ECO_METRIC_7584">"c7584"</definedName>
    <definedName name="IQ_ECO_METRIC_7585">"c7585"</definedName>
    <definedName name="IQ_ECO_METRIC_7586">"c7586"</definedName>
    <definedName name="IQ_ECO_METRIC_7588">"c7588"</definedName>
    <definedName name="IQ_ECO_METRIC_7589">"c7589"</definedName>
    <definedName name="IQ_ECO_METRIC_7590">"c7590"</definedName>
    <definedName name="IQ_ECO_METRIC_7591">"c7591"</definedName>
    <definedName name="IQ_ECO_METRIC_7592">"c7592"</definedName>
    <definedName name="IQ_ECO_METRIC_7593">"c7593"</definedName>
    <definedName name="IQ_ECO_METRIC_7594">"c7594"</definedName>
    <definedName name="IQ_ECO_METRIC_7596">"c7596"</definedName>
    <definedName name="IQ_ECO_METRIC_7597">"c7597"</definedName>
    <definedName name="IQ_ECO_METRIC_7598">"c7598"</definedName>
    <definedName name="IQ_ECO_METRIC_7599">"c7599"</definedName>
    <definedName name="IQ_ECO_METRIC_7600">"c7600"</definedName>
    <definedName name="IQ_ECO_METRIC_7601">"c7601"</definedName>
    <definedName name="IQ_ECO_METRIC_7602">"c7602"</definedName>
    <definedName name="IQ_ECO_METRIC_7603">"c7603"</definedName>
    <definedName name="IQ_ECO_METRIC_7604">"c7604"</definedName>
    <definedName name="IQ_ECO_METRIC_7605">"c7605"</definedName>
    <definedName name="IQ_ECO_METRIC_7606">"c7606"</definedName>
    <definedName name="IQ_ECO_METRIC_7607">"c7607"</definedName>
    <definedName name="IQ_ECO_METRIC_7608">"c7608"</definedName>
    <definedName name="IQ_ECO_METRIC_7609">"c7609"</definedName>
    <definedName name="IQ_ECO_METRIC_7610">"c7610"</definedName>
    <definedName name="IQ_ECO_METRIC_7611">"c7611"</definedName>
    <definedName name="IQ_ECO_METRIC_7612">"c7612"</definedName>
    <definedName name="IQ_ECO_METRIC_7613">"c7613"</definedName>
    <definedName name="IQ_ECO_METRIC_7614">"c7614"</definedName>
    <definedName name="IQ_ECO_METRIC_7615">"c7615"</definedName>
    <definedName name="IQ_ECO_METRIC_7616">"c7616"</definedName>
    <definedName name="IQ_ECO_METRIC_7617">"c7617"</definedName>
    <definedName name="IQ_ECO_METRIC_7618">"c7618"</definedName>
    <definedName name="IQ_ECO_METRIC_7619">"c7619"</definedName>
    <definedName name="IQ_ECO_METRIC_7620">"c7620"</definedName>
    <definedName name="IQ_ECO_METRIC_7622">"c7622"</definedName>
    <definedName name="IQ_ECO_METRIC_7623">"c7623"</definedName>
    <definedName name="IQ_ECO_METRIC_7624">"c7624"</definedName>
    <definedName name="IQ_ECO_METRIC_7625">"c7625"</definedName>
    <definedName name="IQ_ECO_METRIC_7626">"c7626"</definedName>
    <definedName name="IQ_ECO_METRIC_7627">"c7627"</definedName>
    <definedName name="IQ_ECO_METRIC_7628">"c7628"</definedName>
    <definedName name="IQ_ECO_METRIC_7629">"c7629"</definedName>
    <definedName name="IQ_ECO_METRIC_7630">"c7630"</definedName>
    <definedName name="IQ_ECO_METRIC_7631">"c7631"</definedName>
    <definedName name="IQ_ECO_METRIC_7632">"c7632"</definedName>
    <definedName name="IQ_ECO_METRIC_7633">"c7633"</definedName>
    <definedName name="IQ_ECO_METRIC_7634">"c7634"</definedName>
    <definedName name="IQ_ECO_METRIC_7635">"c7635"</definedName>
    <definedName name="IQ_ECO_METRIC_7636">"c7636"</definedName>
    <definedName name="IQ_ECO_METRIC_7637">"c7637"</definedName>
    <definedName name="IQ_ECO_METRIC_7638">"c7638"</definedName>
    <definedName name="IQ_ECO_METRIC_7639">"c7639"</definedName>
    <definedName name="IQ_ECO_METRIC_7640">"c7640"</definedName>
    <definedName name="IQ_ECO_METRIC_7641">"c7641"</definedName>
    <definedName name="IQ_ECO_METRIC_7642">"c7642"</definedName>
    <definedName name="IQ_ECO_METRIC_7643">"c7643"</definedName>
    <definedName name="IQ_ECO_METRIC_7644">"c7644"</definedName>
    <definedName name="IQ_ECO_METRIC_7645">"c7645"</definedName>
    <definedName name="IQ_ECO_METRIC_7646">"c7646"</definedName>
    <definedName name="IQ_ECO_METRIC_7647">"c7647"</definedName>
    <definedName name="IQ_ECO_METRIC_7648">"c7648"</definedName>
    <definedName name="IQ_ECO_METRIC_7648_UNUSED_UNUSED_UNUSED">"c7648"</definedName>
    <definedName name="IQ_ECO_METRIC_7649">"c7649"</definedName>
    <definedName name="IQ_ECO_METRIC_7650">"c7650"</definedName>
    <definedName name="IQ_ECO_METRIC_7651">"c7651"</definedName>
    <definedName name="IQ_ECO_METRIC_7652">"c7652"</definedName>
    <definedName name="IQ_ECO_METRIC_7653">"c7653"</definedName>
    <definedName name="IQ_ECO_METRIC_7654">"c7654"</definedName>
    <definedName name="IQ_ECO_METRIC_7655">"c7655"</definedName>
    <definedName name="IQ_ECO_METRIC_7656">"c7656"</definedName>
    <definedName name="IQ_ECO_METRIC_7657">"c7657"</definedName>
    <definedName name="IQ_ECO_METRIC_7658">"c7658"</definedName>
    <definedName name="IQ_ECO_METRIC_7660">"c7660"</definedName>
    <definedName name="IQ_ECO_METRIC_7661">"c7661"</definedName>
    <definedName name="IQ_ECO_METRIC_7663">"c7663"</definedName>
    <definedName name="IQ_ECO_METRIC_7664">"c7664"</definedName>
    <definedName name="IQ_ECO_METRIC_7665">"c7665"</definedName>
    <definedName name="IQ_ECO_METRIC_7666">"c7666"</definedName>
    <definedName name="IQ_ECO_METRIC_7667">"c7667"</definedName>
    <definedName name="IQ_ECO_METRIC_7668">"c7668"</definedName>
    <definedName name="IQ_ECO_METRIC_7669">"c7669"</definedName>
    <definedName name="IQ_ECO_METRIC_7670">"c7670"</definedName>
    <definedName name="IQ_ECO_METRIC_7675">"c7675"</definedName>
    <definedName name="IQ_ECO_METRIC_7676">"c7676"</definedName>
    <definedName name="IQ_ECO_METRIC_7677">"c7677"</definedName>
    <definedName name="IQ_ECO_METRIC_7678">"c7678"</definedName>
    <definedName name="IQ_ECO_METRIC_7679">"c7679"</definedName>
    <definedName name="IQ_ECO_METRIC_7680">"c7680"</definedName>
    <definedName name="IQ_ECO_METRIC_7681">"c7681"</definedName>
    <definedName name="IQ_ECO_METRIC_7685">"c7685"</definedName>
    <definedName name="IQ_ECO_METRIC_7687">"c7687"</definedName>
    <definedName name="IQ_ECO_METRIC_7688">"c7688"</definedName>
    <definedName name="IQ_ECO_METRIC_7689">"c7689"</definedName>
    <definedName name="IQ_ECO_METRIC_7690">"c7690"</definedName>
    <definedName name="IQ_ECO_METRIC_7691">"c7691"</definedName>
    <definedName name="IQ_ECO_METRIC_7692">"c7692"</definedName>
    <definedName name="IQ_ECO_METRIC_7693">"c7693"</definedName>
    <definedName name="IQ_ECO_METRIC_7694">"c7694"</definedName>
    <definedName name="IQ_ECO_METRIC_7695">"c7695"</definedName>
    <definedName name="IQ_ECO_METRIC_7696">"c7696"</definedName>
    <definedName name="IQ_ECO_METRIC_7697">"c7697"</definedName>
    <definedName name="IQ_ECO_METRIC_7698">"c7698"</definedName>
    <definedName name="IQ_ECO_METRIC_7699">"c7699"</definedName>
    <definedName name="IQ_ECO_METRIC_7700">"c7700"</definedName>
    <definedName name="IQ_ECO_METRIC_7701">"c7701"</definedName>
    <definedName name="IQ_ECO_METRIC_7702">"c7702"</definedName>
    <definedName name="IQ_ECO_METRIC_7703">"c7703"</definedName>
    <definedName name="IQ_ECO_METRIC_7705">"c7705"</definedName>
    <definedName name="IQ_ECO_METRIC_7705_UNUSED_UNUSED_UNUSED">"c7705"</definedName>
    <definedName name="IQ_ECO_METRIC_7707">"c7707"</definedName>
    <definedName name="IQ_ECO_METRIC_7708">"c7708"</definedName>
    <definedName name="IQ_ECO_METRIC_7709">"c7709"</definedName>
    <definedName name="IQ_ECO_METRIC_7710">"c7710"</definedName>
    <definedName name="IQ_ECO_METRIC_7711">"c7711"</definedName>
    <definedName name="IQ_ECO_METRIC_7712">"c7712"</definedName>
    <definedName name="IQ_ECO_METRIC_7713">"c7713"</definedName>
    <definedName name="IQ_ECO_METRIC_7714">"c7714"</definedName>
    <definedName name="IQ_ECO_METRIC_7715">"c7715"</definedName>
    <definedName name="IQ_ECO_METRIC_7716">"c7716"</definedName>
    <definedName name="IQ_ECO_METRIC_7717">"c7717"</definedName>
    <definedName name="IQ_ECO_METRIC_7719">"c7719"</definedName>
    <definedName name="IQ_ECO_METRIC_7719_UNUSED_UNUSED_UNUSED">"c7719"</definedName>
    <definedName name="IQ_ECO_METRIC_7720">"c7720"</definedName>
    <definedName name="IQ_ECO_METRIC_7721">"c7721"</definedName>
    <definedName name="IQ_ECO_METRIC_7722">"c7722"</definedName>
    <definedName name="IQ_ECO_METRIC_7723">"c7723"</definedName>
    <definedName name="IQ_ECO_METRIC_7724">"c7724"</definedName>
    <definedName name="IQ_ECO_METRIC_7725">"c7725"</definedName>
    <definedName name="IQ_ECO_METRIC_7726">"c7726"</definedName>
    <definedName name="IQ_ECO_METRIC_7727">"c7727"</definedName>
    <definedName name="IQ_ECO_METRIC_7728">"c7728"</definedName>
    <definedName name="IQ_ECO_METRIC_7729">"c7729"</definedName>
    <definedName name="IQ_ECO_METRIC_7730">"c7730"</definedName>
    <definedName name="IQ_ECO_METRIC_7731">"c7731"</definedName>
    <definedName name="IQ_ECO_METRIC_7732">"c7732"</definedName>
    <definedName name="IQ_ECO_METRIC_7733">"c7733"</definedName>
    <definedName name="IQ_ECO_METRIC_7734">"c7734"</definedName>
    <definedName name="IQ_ECO_METRIC_7735">"c7735"</definedName>
    <definedName name="IQ_ECO_METRIC_7736">"c7736"</definedName>
    <definedName name="IQ_ECO_METRIC_7737">"c7737"</definedName>
    <definedName name="IQ_ECO_METRIC_7738">"c7738"</definedName>
    <definedName name="IQ_ECO_METRIC_7739">"c7739"</definedName>
    <definedName name="IQ_ECO_METRIC_7740">"c7740"</definedName>
    <definedName name="IQ_ECO_METRIC_7741">"c7741"</definedName>
    <definedName name="IQ_ECO_METRIC_7742">"c7742"</definedName>
    <definedName name="IQ_ECO_METRIC_7743">"c7743"</definedName>
    <definedName name="IQ_ECO_METRIC_7744">"c7744"</definedName>
    <definedName name="IQ_ECO_METRIC_7745">"c7745"</definedName>
    <definedName name="IQ_ECO_METRIC_7746">"c7746"</definedName>
    <definedName name="IQ_ECO_METRIC_7747">"c7747"</definedName>
    <definedName name="IQ_ECO_METRIC_7748">"c7748"</definedName>
    <definedName name="IQ_ECO_METRIC_7749">"c7749"</definedName>
    <definedName name="IQ_ECO_METRIC_7750">"c7750"</definedName>
    <definedName name="IQ_ECO_METRIC_7751">"c7751"</definedName>
    <definedName name="IQ_ECO_METRIC_7752">"c7752"</definedName>
    <definedName name="IQ_ECO_METRIC_7753">"c7753"</definedName>
    <definedName name="IQ_ECO_METRIC_7754">"c7754"</definedName>
    <definedName name="IQ_ECO_METRIC_7755">"c7755"</definedName>
    <definedName name="IQ_ECO_METRIC_7756">"c7756"</definedName>
    <definedName name="IQ_ECO_METRIC_7757">"c7757"</definedName>
    <definedName name="IQ_ECO_METRIC_7758">"c7758"</definedName>
    <definedName name="IQ_ECO_METRIC_7759">"c7759"</definedName>
    <definedName name="IQ_ECO_METRIC_7760">"c7760"</definedName>
    <definedName name="IQ_ECO_METRIC_7761">"c7761"</definedName>
    <definedName name="IQ_ECO_METRIC_7762">"c7762"</definedName>
    <definedName name="IQ_ECO_METRIC_7763">"c7763"</definedName>
    <definedName name="IQ_ECO_METRIC_7764">"c7764"</definedName>
    <definedName name="IQ_ECO_METRIC_7765">"c7765"</definedName>
    <definedName name="IQ_ECO_METRIC_7766">"c7766"</definedName>
    <definedName name="IQ_ECO_METRIC_7767">"c7767"</definedName>
    <definedName name="IQ_ECO_METRIC_7768">"c7768"</definedName>
    <definedName name="IQ_ECO_METRIC_7769">"c7769"</definedName>
    <definedName name="IQ_ECO_METRIC_7770">"c7770"</definedName>
    <definedName name="IQ_ECO_METRIC_7771">"c7771"</definedName>
    <definedName name="IQ_ECO_METRIC_7772">"c7772"</definedName>
    <definedName name="IQ_ECO_METRIC_7773">"c7773"</definedName>
    <definedName name="IQ_ECO_METRIC_7774">"c7774"</definedName>
    <definedName name="IQ_ECO_METRIC_7775">"c7775"</definedName>
    <definedName name="IQ_ECO_METRIC_7776">"c7776"</definedName>
    <definedName name="IQ_ECO_METRIC_7776_UNUSED_UNUSED_UNUSED">"c7776"</definedName>
    <definedName name="IQ_ECO_METRIC_7777">"c7777"</definedName>
    <definedName name="IQ_ECO_METRIC_7777_UNUSED_UNUSED_UNUSED">"c7777"</definedName>
    <definedName name="IQ_ECO_METRIC_7779">"c7779"</definedName>
    <definedName name="IQ_ECO_METRIC_7780">"c7780"</definedName>
    <definedName name="IQ_ECO_METRIC_7781">"c7781"</definedName>
    <definedName name="IQ_ECO_METRIC_7782">"c7782"</definedName>
    <definedName name="IQ_ECO_METRIC_7783">"c7783"</definedName>
    <definedName name="IQ_ECO_METRIC_7784">"c7784"</definedName>
    <definedName name="IQ_ECO_METRIC_7785">"c7785"</definedName>
    <definedName name="IQ_ECO_METRIC_7786">"c7786"</definedName>
    <definedName name="IQ_ECO_METRIC_7787">"c7787"</definedName>
    <definedName name="IQ_ECO_METRIC_7788">"c7788"</definedName>
    <definedName name="IQ_ECO_METRIC_7789">"c7789"</definedName>
    <definedName name="IQ_ECO_METRIC_7790">"c7790"</definedName>
    <definedName name="IQ_ECO_METRIC_7791">"c7791"</definedName>
    <definedName name="IQ_ECO_METRIC_7792">"c7792"</definedName>
    <definedName name="IQ_ECO_METRIC_7793">"c7793"</definedName>
    <definedName name="IQ_ECO_METRIC_7794">"c7794"</definedName>
    <definedName name="IQ_ECO_METRIC_7795">"c7795"</definedName>
    <definedName name="IQ_ECO_METRIC_7796">"c7796"</definedName>
    <definedName name="IQ_ECO_METRIC_7797">"c7797"</definedName>
    <definedName name="IQ_ECO_METRIC_7798">"c7798"</definedName>
    <definedName name="IQ_ECO_METRIC_7799">"c7799"</definedName>
    <definedName name="IQ_ECO_METRIC_7800">"c7800"</definedName>
    <definedName name="IQ_ECO_METRIC_7801">"c7801"</definedName>
    <definedName name="IQ_ECO_METRIC_7802">"c7802"</definedName>
    <definedName name="IQ_ECO_METRIC_7803">"c7803"</definedName>
    <definedName name="IQ_ECO_METRIC_7804">"c7804"</definedName>
    <definedName name="IQ_ECO_METRIC_7805">"c7805"</definedName>
    <definedName name="IQ_ECO_METRIC_7806">"c7806"</definedName>
    <definedName name="IQ_ECO_METRIC_7808">"c7808"</definedName>
    <definedName name="IQ_ECO_METRIC_7809">"c7809"</definedName>
    <definedName name="IQ_ECO_METRIC_7810">"c7810"</definedName>
    <definedName name="IQ_ECO_METRIC_7812">"c7812"</definedName>
    <definedName name="IQ_ECO_METRIC_7813">"c7813"</definedName>
    <definedName name="IQ_ECO_METRIC_7814">"c7814"</definedName>
    <definedName name="IQ_ECO_METRIC_7815">"c7815"</definedName>
    <definedName name="IQ_ECO_METRIC_7816">"c7816"</definedName>
    <definedName name="IQ_ECO_METRIC_7817">"c7817"</definedName>
    <definedName name="IQ_ECO_METRIC_7818">"c7818"</definedName>
    <definedName name="IQ_ECO_METRIC_7819">"c7819"</definedName>
    <definedName name="IQ_ECO_METRIC_7820">"c7820"</definedName>
    <definedName name="IQ_ECO_METRIC_7821">"c7821"</definedName>
    <definedName name="IQ_ECO_METRIC_7822">"c7822"</definedName>
    <definedName name="IQ_ECO_METRIC_7823">"c7823"</definedName>
    <definedName name="IQ_ECO_METRIC_7824">"c7824"</definedName>
    <definedName name="IQ_ECO_METRIC_7825">"c7825"</definedName>
    <definedName name="IQ_ECO_METRIC_7826">"c7826"</definedName>
    <definedName name="IQ_ECO_METRIC_7827">"c7827"</definedName>
    <definedName name="IQ_ECO_METRIC_7828">"c7828"</definedName>
    <definedName name="IQ_ECO_METRIC_7829">"c7829"</definedName>
    <definedName name="IQ_ECO_METRIC_7830">"c7830"</definedName>
    <definedName name="IQ_ECO_METRIC_7831">"c7831"</definedName>
    <definedName name="IQ_ECO_METRIC_7832">"c7832"</definedName>
    <definedName name="IQ_ECO_METRIC_7833">"c7833"</definedName>
    <definedName name="IQ_ECO_METRIC_7834">"c7834"</definedName>
    <definedName name="IQ_ECO_METRIC_7835">"c7835"</definedName>
    <definedName name="IQ_ECO_METRIC_7836">"c7836"</definedName>
    <definedName name="IQ_ECO_METRIC_7837">"c7837"</definedName>
    <definedName name="IQ_ECO_METRIC_7838">"c7838"</definedName>
    <definedName name="IQ_ECO_METRIC_7839">"c7839"</definedName>
    <definedName name="IQ_ECO_METRIC_7840">"c7840"</definedName>
    <definedName name="IQ_ECO_METRIC_7842">"c7842"</definedName>
    <definedName name="IQ_ECO_METRIC_7843">"c7843"</definedName>
    <definedName name="IQ_ECO_METRIC_7844">"c7844"</definedName>
    <definedName name="IQ_ECO_METRIC_7845">"c7845"</definedName>
    <definedName name="IQ_ECO_METRIC_7846">"c7846"</definedName>
    <definedName name="IQ_ECO_METRIC_7847">"c7847"</definedName>
    <definedName name="IQ_ECO_METRIC_7848">"c7848"</definedName>
    <definedName name="IQ_ECO_METRIC_7849">"c7849"</definedName>
    <definedName name="IQ_ECO_METRIC_7850">"c7850"</definedName>
    <definedName name="IQ_ECO_METRIC_7851">"c7851"</definedName>
    <definedName name="IQ_ECO_METRIC_7852">"c7852"</definedName>
    <definedName name="IQ_ECO_METRIC_7853">"c7853"</definedName>
    <definedName name="IQ_ECO_METRIC_7854">"c7854"</definedName>
    <definedName name="IQ_ECO_METRIC_7855">"c7855"</definedName>
    <definedName name="IQ_ECO_METRIC_7856">"c7856"</definedName>
    <definedName name="IQ_ECO_METRIC_7857">"c7857"</definedName>
    <definedName name="IQ_ECO_METRIC_7858">"c7858"</definedName>
    <definedName name="IQ_ECO_METRIC_7859">"c7859"</definedName>
    <definedName name="IQ_ECO_METRIC_7860">"c7860"</definedName>
    <definedName name="IQ_ECO_METRIC_7861">"c7861"</definedName>
    <definedName name="IQ_ECO_METRIC_7862">"c7862"</definedName>
    <definedName name="IQ_ECO_METRIC_7863">"c7863"</definedName>
    <definedName name="IQ_ECO_METRIC_7864">"c7864"</definedName>
    <definedName name="IQ_ECO_METRIC_7865">"c7865"</definedName>
    <definedName name="IQ_ECO_METRIC_7866">"c7866"</definedName>
    <definedName name="IQ_ECO_METRIC_7867">"c7867"</definedName>
    <definedName name="IQ_ECO_METRIC_7868">"c7868"</definedName>
    <definedName name="IQ_ECO_METRIC_7868_UNUSED_UNUSED_UNUSED">"c7868"</definedName>
    <definedName name="IQ_ECO_METRIC_7869">"c7869"</definedName>
    <definedName name="IQ_ECO_METRIC_7870">"c7870"</definedName>
    <definedName name="IQ_ECO_METRIC_7871">"c7871"</definedName>
    <definedName name="IQ_ECO_METRIC_7872">"c7872"</definedName>
    <definedName name="IQ_ECO_METRIC_7874">"c7874"</definedName>
    <definedName name="IQ_ECO_METRIC_7875">"c7875"</definedName>
    <definedName name="IQ_ECO_METRIC_7876">"c7876"</definedName>
    <definedName name="IQ_ECO_METRIC_7877">"c7877"</definedName>
    <definedName name="IQ_ECO_METRIC_7878">"c7878"</definedName>
    <definedName name="IQ_ECO_METRIC_7880">"c7880"</definedName>
    <definedName name="IQ_ECO_METRIC_7881">"c7881"</definedName>
    <definedName name="IQ_ECO_METRIC_7882">"c7882"</definedName>
    <definedName name="IQ_ECO_METRIC_7883">"c7883"</definedName>
    <definedName name="IQ_ECO_METRIC_7884">"c7884"</definedName>
    <definedName name="IQ_ECO_METRIC_7885">"c7885"</definedName>
    <definedName name="IQ_ECO_METRIC_7886">"c7886"</definedName>
    <definedName name="IQ_ECO_METRIC_7887">"c7887"</definedName>
    <definedName name="IQ_ECO_METRIC_7888">"c7888"</definedName>
    <definedName name="IQ_ECO_METRIC_7889">"c7889"</definedName>
    <definedName name="IQ_ECO_METRIC_7890">"c7890"</definedName>
    <definedName name="IQ_ECO_METRIC_7891">"c7891"</definedName>
    <definedName name="IQ_ECO_METRIC_7892">"c7892"</definedName>
    <definedName name="IQ_ECO_METRIC_7893">"c7893"</definedName>
    <definedName name="IQ_ECO_METRIC_7895">"c7895"</definedName>
    <definedName name="IQ_ECO_METRIC_7896">"c7896"</definedName>
    <definedName name="IQ_ECO_METRIC_7897">"c7897"</definedName>
    <definedName name="IQ_ECO_METRIC_7898">"c7898"</definedName>
    <definedName name="IQ_ECO_METRIC_7899">"c7899"</definedName>
    <definedName name="IQ_ECO_METRIC_7900">"c7900"</definedName>
    <definedName name="IQ_ECO_METRIC_7901">"c7901"</definedName>
    <definedName name="IQ_ECO_METRIC_7903">"c7903"</definedName>
    <definedName name="IQ_ECO_METRIC_7904">"c7904"</definedName>
    <definedName name="IQ_ECO_METRIC_7905">"c7905"</definedName>
    <definedName name="IQ_ECO_METRIC_7906">"c7906"</definedName>
    <definedName name="IQ_ECO_METRIC_7907">"c7907"</definedName>
    <definedName name="IQ_ECO_METRIC_7908">"c7908"</definedName>
    <definedName name="IQ_ECO_METRIC_7909">"c7909"</definedName>
    <definedName name="IQ_ECO_METRIC_7910">"c7910"</definedName>
    <definedName name="IQ_ECO_METRIC_7911">"c7911"</definedName>
    <definedName name="IQ_ECO_METRIC_7912">"c7912"</definedName>
    <definedName name="IQ_ECO_METRIC_7913">"c7913"</definedName>
    <definedName name="IQ_ECO_METRIC_7914">"c7914"</definedName>
    <definedName name="IQ_ECO_METRIC_7915">"c7915"</definedName>
    <definedName name="IQ_ECO_METRIC_7916">"c7916"</definedName>
    <definedName name="IQ_ECO_METRIC_7917">"c7917"</definedName>
    <definedName name="IQ_ECO_METRIC_7918">"c7918"</definedName>
    <definedName name="IQ_ECO_METRIC_7919">"c7919"</definedName>
    <definedName name="IQ_ECO_METRIC_7920">"c7920"</definedName>
    <definedName name="IQ_ECO_METRIC_7921">"c7921"</definedName>
    <definedName name="IQ_ECO_METRIC_7922">"c7922"</definedName>
    <definedName name="IQ_ECO_METRIC_7923">"c7923"</definedName>
    <definedName name="IQ_ECO_METRIC_7925">"c7925"</definedName>
    <definedName name="IQ_ECO_METRIC_7925_UNUSED_UNUSED_UNUSED">"c7925"</definedName>
    <definedName name="IQ_ECO_METRIC_7927">"c7927"</definedName>
    <definedName name="IQ_ECO_METRIC_7928">"c7928"</definedName>
    <definedName name="IQ_ECO_METRIC_7929">"c7929"</definedName>
    <definedName name="IQ_ECO_METRIC_7930">"c7930"</definedName>
    <definedName name="IQ_ECO_METRIC_7931">"c7931"</definedName>
    <definedName name="IQ_ECO_METRIC_7932">"c7932"</definedName>
    <definedName name="IQ_ECO_METRIC_7933">"c7933"</definedName>
    <definedName name="IQ_ECO_METRIC_7934">"c7934"</definedName>
    <definedName name="IQ_ECO_METRIC_7935">"c7935"</definedName>
    <definedName name="IQ_ECO_METRIC_7936">"c7936"</definedName>
    <definedName name="IQ_ECO_METRIC_7937">"c7937"</definedName>
    <definedName name="IQ_ECO_METRIC_7939">"c7939"</definedName>
    <definedName name="IQ_ECO_METRIC_7939_UNUSED_UNUSED_UNUSED">"c7939"</definedName>
    <definedName name="IQ_ECO_METRIC_7940">"c7940"</definedName>
    <definedName name="IQ_ECO_METRIC_7941">"c7941"</definedName>
    <definedName name="IQ_ECO_METRIC_7942">"c7942"</definedName>
    <definedName name="IQ_ECO_METRIC_7943">"c7943"</definedName>
    <definedName name="IQ_ECO_METRIC_7944">"c7944"</definedName>
    <definedName name="IQ_ECO_METRIC_7945">"c7945"</definedName>
    <definedName name="IQ_ECO_METRIC_7946">"c7946"</definedName>
    <definedName name="IQ_ECO_METRIC_7947">"c7947"</definedName>
    <definedName name="IQ_ECO_METRIC_7948">"c7948"</definedName>
    <definedName name="IQ_ECO_METRIC_7949">"c7949"</definedName>
    <definedName name="IQ_ECO_METRIC_7950">"c7950"</definedName>
    <definedName name="IQ_ECO_METRIC_7951">"c7951"</definedName>
    <definedName name="IQ_ECO_METRIC_7952">"c7952"</definedName>
    <definedName name="IQ_ECO_METRIC_7953">"c7953"</definedName>
    <definedName name="IQ_ECO_METRIC_7954">"c7954"</definedName>
    <definedName name="IQ_ECO_METRIC_7955">"c7955"</definedName>
    <definedName name="IQ_ECO_METRIC_7956">"c7956"</definedName>
    <definedName name="IQ_ECO_METRIC_7957">"c7957"</definedName>
    <definedName name="IQ_ECO_METRIC_7958">"c7958"</definedName>
    <definedName name="IQ_ECO_METRIC_7959">"c7959"</definedName>
    <definedName name="IQ_ECO_METRIC_7960">"c7960"</definedName>
    <definedName name="IQ_ECO_METRIC_7961">"c7961"</definedName>
    <definedName name="IQ_ECO_METRIC_7962">"c7962"</definedName>
    <definedName name="IQ_ECO_METRIC_7963">"c7963"</definedName>
    <definedName name="IQ_ECO_METRIC_7964">"c7964"</definedName>
    <definedName name="IQ_ECO_METRIC_7965">"c7965"</definedName>
    <definedName name="IQ_ECO_METRIC_7966">"c7966"</definedName>
    <definedName name="IQ_ECO_METRIC_7967">"c7967"</definedName>
    <definedName name="IQ_ECO_METRIC_7968">"c7968"</definedName>
    <definedName name="IQ_ECO_METRIC_7969">"c7969"</definedName>
    <definedName name="IQ_ECO_METRIC_7970">"c7970"</definedName>
    <definedName name="IQ_ECO_METRIC_7971">"c7971"</definedName>
    <definedName name="IQ_ECO_METRIC_7972">"c7972"</definedName>
    <definedName name="IQ_ECO_METRIC_7973">"c7973"</definedName>
    <definedName name="IQ_ECO_METRIC_7974">"c7974"</definedName>
    <definedName name="IQ_ECO_METRIC_7975">"c7975"</definedName>
    <definedName name="IQ_ECO_METRIC_7976">"c7976"</definedName>
    <definedName name="IQ_ECO_METRIC_7977">"c7977"</definedName>
    <definedName name="IQ_ECO_METRIC_7978">"c7978"</definedName>
    <definedName name="IQ_ECO_METRIC_7979">"c7979"</definedName>
    <definedName name="IQ_ECO_METRIC_7980">"c7980"</definedName>
    <definedName name="IQ_ECO_METRIC_7981">"c7981"</definedName>
    <definedName name="IQ_ECO_METRIC_7982">"c7982"</definedName>
    <definedName name="IQ_ECO_METRIC_7983">"c7983"</definedName>
    <definedName name="IQ_ECO_METRIC_7984">"c7984"</definedName>
    <definedName name="IQ_ECO_METRIC_7985">"c7985"</definedName>
    <definedName name="IQ_ECO_METRIC_7986">"c7986"</definedName>
    <definedName name="IQ_ECO_METRIC_7987">"c7987"</definedName>
    <definedName name="IQ_ECO_METRIC_7988">"c7988"</definedName>
    <definedName name="IQ_ECO_METRIC_7989">"c7989"</definedName>
    <definedName name="IQ_ECO_METRIC_7990">"c7990"</definedName>
    <definedName name="IQ_ECO_METRIC_7991">"c7991"</definedName>
    <definedName name="IQ_ECO_METRIC_7992">"c7992"</definedName>
    <definedName name="IQ_ECO_METRIC_7993">"c7993"</definedName>
    <definedName name="IQ_ECO_METRIC_7994">"c7994"</definedName>
    <definedName name="IQ_ECO_METRIC_7995">"c7995"</definedName>
    <definedName name="IQ_ECO_METRIC_7996">"c7996"</definedName>
    <definedName name="IQ_ECO_METRIC_7996_UNUSED_UNUSED_UNUSED">"c7996"</definedName>
    <definedName name="IQ_ECO_METRIC_7997">"c7997"</definedName>
    <definedName name="IQ_ECO_METRIC_7997_UNUSED_UNUSED_UNUSED">"c7997"</definedName>
    <definedName name="IQ_ECO_METRIC_7999">"c7999"</definedName>
    <definedName name="IQ_ECO_METRIC_8000">"c8000"</definedName>
    <definedName name="IQ_ECO_METRIC_8001">"c8001"</definedName>
    <definedName name="IQ_ECO_METRIC_8002">"c8002"</definedName>
    <definedName name="IQ_ECO_METRIC_8003">"c8003"</definedName>
    <definedName name="IQ_ECO_METRIC_8004">"c8004"</definedName>
    <definedName name="IQ_ECO_METRIC_8005">"c8005"</definedName>
    <definedName name="IQ_ECO_METRIC_8006">"c8006"</definedName>
    <definedName name="IQ_ECO_METRIC_8007">"c8007"</definedName>
    <definedName name="IQ_ECO_METRIC_8008">"c8008"</definedName>
    <definedName name="IQ_ECO_METRIC_8009">"c8009"</definedName>
    <definedName name="IQ_ECO_METRIC_8010">"c8010"</definedName>
    <definedName name="IQ_ECO_METRIC_8011">"c8011"</definedName>
    <definedName name="IQ_ECO_METRIC_8012">"c8012"</definedName>
    <definedName name="IQ_ECO_METRIC_8013">"c8013"</definedName>
    <definedName name="IQ_ECO_METRIC_8014">"c8014"</definedName>
    <definedName name="IQ_ECO_METRIC_8015">"c8015"</definedName>
    <definedName name="IQ_ECO_METRIC_8016">"c8016"</definedName>
    <definedName name="IQ_ECO_METRIC_8017">"c8017"</definedName>
    <definedName name="IQ_ECO_METRIC_8018">"c8018"</definedName>
    <definedName name="IQ_ECO_METRIC_8019">"c8019"</definedName>
    <definedName name="IQ_ECO_METRIC_8020">"c8020"</definedName>
    <definedName name="IQ_ECO_METRIC_8021">"c8021"</definedName>
    <definedName name="IQ_ECO_METRIC_8022">"c8022"</definedName>
    <definedName name="IQ_ECO_METRIC_8023">"c8023"</definedName>
    <definedName name="IQ_ECO_METRIC_8024">"c8024"</definedName>
    <definedName name="IQ_ECO_METRIC_8025">"c8025"</definedName>
    <definedName name="IQ_ECO_METRIC_8026">"c8026"</definedName>
    <definedName name="IQ_ECO_METRIC_8028">"c8028"</definedName>
    <definedName name="IQ_ECO_METRIC_8029">"c8029"</definedName>
    <definedName name="IQ_ECO_METRIC_8030">"c8030"</definedName>
    <definedName name="IQ_ECO_METRIC_8032">"c8032"</definedName>
    <definedName name="IQ_ECO_METRIC_8033">"c8033"</definedName>
    <definedName name="IQ_ECO_METRIC_8034">"c8034"</definedName>
    <definedName name="IQ_ECO_METRIC_8035">"c8035"</definedName>
    <definedName name="IQ_ECO_METRIC_8036">"c8036"</definedName>
    <definedName name="IQ_ECO_METRIC_8037">"c8037"</definedName>
    <definedName name="IQ_ECO_METRIC_8038">"c8038"</definedName>
    <definedName name="IQ_ECO_METRIC_8039">"c8039"</definedName>
    <definedName name="IQ_ECO_METRIC_8040">"c8040"</definedName>
    <definedName name="IQ_ECO_METRIC_8041">"c8041"</definedName>
    <definedName name="IQ_ECO_METRIC_8042">"c8042"</definedName>
    <definedName name="IQ_ECO_METRIC_8043">"c8043"</definedName>
    <definedName name="IQ_ECO_METRIC_8044">"c8044"</definedName>
    <definedName name="IQ_ECO_METRIC_8045">"c8045"</definedName>
    <definedName name="IQ_ECO_METRIC_8046">"c8046"</definedName>
    <definedName name="IQ_ECO_METRIC_8047">"c8047"</definedName>
    <definedName name="IQ_ECO_METRIC_8048">"c8048"</definedName>
    <definedName name="IQ_ECO_METRIC_8049">"c8049"</definedName>
    <definedName name="IQ_ECO_METRIC_8050">"c8050"</definedName>
    <definedName name="IQ_ECO_METRIC_8051">"c8051"</definedName>
    <definedName name="IQ_ECO_METRIC_8052">"c8052"</definedName>
    <definedName name="IQ_ECO_METRIC_8053">"c8053"</definedName>
    <definedName name="IQ_ECO_METRIC_8054">"c8054"</definedName>
    <definedName name="IQ_ECO_METRIC_8055">"c8055"</definedName>
    <definedName name="IQ_ECO_METRIC_8056">"c8056"</definedName>
    <definedName name="IQ_ECO_METRIC_8057">"c8057"</definedName>
    <definedName name="IQ_ECO_METRIC_8058">"c8058"</definedName>
    <definedName name="IQ_ECO_METRIC_8059">"c8059"</definedName>
    <definedName name="IQ_ECO_METRIC_8060">"c8060"</definedName>
    <definedName name="IQ_ECO_METRIC_8062">"c8062"</definedName>
    <definedName name="IQ_ECO_METRIC_8063">"c8063"</definedName>
    <definedName name="IQ_ECO_METRIC_8064">"c8064"</definedName>
    <definedName name="IQ_ECO_METRIC_8065">"c8065"</definedName>
    <definedName name="IQ_ECO_METRIC_8066">"c8066"</definedName>
    <definedName name="IQ_ECO_METRIC_8067">"c8067"</definedName>
    <definedName name="IQ_ECO_METRIC_8068">"c8068"</definedName>
    <definedName name="IQ_ECO_METRIC_8069">"c8069"</definedName>
    <definedName name="IQ_ECO_METRIC_8070">"c8070"</definedName>
    <definedName name="IQ_ECO_METRIC_8071">"c8071"</definedName>
    <definedName name="IQ_ECO_METRIC_8072">"c8072"</definedName>
    <definedName name="IQ_ECO_METRIC_8073">"c8073"</definedName>
    <definedName name="IQ_ECO_METRIC_8074">"c8074"</definedName>
    <definedName name="IQ_ECO_METRIC_8075">"c8075"</definedName>
    <definedName name="IQ_ECO_METRIC_8076">"c8076"</definedName>
    <definedName name="IQ_ECO_METRIC_8077">"c8077"</definedName>
    <definedName name="IQ_ECO_METRIC_8078">"c8078"</definedName>
    <definedName name="IQ_ECO_METRIC_8079">"c8079"</definedName>
    <definedName name="IQ_ECO_METRIC_8080">"c8080"</definedName>
    <definedName name="IQ_ECO_METRIC_8081">"c8081"</definedName>
    <definedName name="IQ_ECO_METRIC_8082">"c8082"</definedName>
    <definedName name="IQ_ECO_METRIC_8083">"c8083"</definedName>
    <definedName name="IQ_ECO_METRIC_8084">"c8084"</definedName>
    <definedName name="IQ_ECO_METRIC_8085">"c8085"</definedName>
    <definedName name="IQ_ECO_METRIC_8086">"c8086"</definedName>
    <definedName name="IQ_ECO_METRIC_8087">"c8087"</definedName>
    <definedName name="IQ_ECO_METRIC_8088">"c8088"</definedName>
    <definedName name="IQ_ECO_METRIC_8088_UNUSED_UNUSED_UNUSED">"c8088"</definedName>
    <definedName name="IQ_ECO_METRIC_8089">"c8089"</definedName>
    <definedName name="IQ_ECO_METRIC_8090">"c8090"</definedName>
    <definedName name="IQ_ECO_METRIC_8091">"c8091"</definedName>
    <definedName name="IQ_ECO_METRIC_8092">"c8092"</definedName>
    <definedName name="IQ_ECO_METRIC_8094">"c8094"</definedName>
    <definedName name="IQ_ECO_METRIC_8095">"c8095"</definedName>
    <definedName name="IQ_ECO_METRIC_8096">"c8096"</definedName>
    <definedName name="IQ_ECO_METRIC_8097">"c8097"</definedName>
    <definedName name="IQ_ECO_METRIC_8098">"c8098"</definedName>
    <definedName name="IQ_ECO_METRIC_8100">"c8100"</definedName>
    <definedName name="IQ_ECO_METRIC_8101">"c8101"</definedName>
    <definedName name="IQ_ECO_METRIC_8102">"c8102"</definedName>
    <definedName name="IQ_ECO_METRIC_8103">"c8103"</definedName>
    <definedName name="IQ_ECO_METRIC_8104">"c8104"</definedName>
    <definedName name="IQ_ECO_METRIC_8105">"c8105"</definedName>
    <definedName name="IQ_ECO_METRIC_8106">"c8106"</definedName>
    <definedName name="IQ_ECO_METRIC_8107">"c8107"</definedName>
    <definedName name="IQ_ECO_METRIC_8108">"c8108"</definedName>
    <definedName name="IQ_ECO_METRIC_8109">"c8109"</definedName>
    <definedName name="IQ_ECO_METRIC_8110">"c8110"</definedName>
    <definedName name="IQ_ECO_METRIC_8111">"c8111"</definedName>
    <definedName name="IQ_ECO_METRIC_8112">"c8112"</definedName>
    <definedName name="IQ_ECO_METRIC_8113">"c8113"</definedName>
    <definedName name="IQ_ECO_METRIC_8115">"c8115"</definedName>
    <definedName name="IQ_ECO_METRIC_8116">"c8116"</definedName>
    <definedName name="IQ_ECO_METRIC_8117">"c8117"</definedName>
    <definedName name="IQ_ECO_METRIC_8118">"c8118"</definedName>
    <definedName name="IQ_ECO_METRIC_8119">"c8119"</definedName>
    <definedName name="IQ_ECO_METRIC_8120">"c8120"</definedName>
    <definedName name="IQ_ECO_METRIC_8121">"c8121"</definedName>
    <definedName name="IQ_ECO_METRIC_8123">"c8123"</definedName>
    <definedName name="IQ_ECO_METRIC_8124">"c8124"</definedName>
    <definedName name="IQ_ECO_METRIC_8125">"c8125"</definedName>
    <definedName name="IQ_ECO_METRIC_8126">"c8126"</definedName>
    <definedName name="IQ_ECO_METRIC_8127">"c8127"</definedName>
    <definedName name="IQ_ECO_METRIC_8128">"c8128"</definedName>
    <definedName name="IQ_ECO_METRIC_8129">"c8129"</definedName>
    <definedName name="IQ_ECO_METRIC_8130">"c8130"</definedName>
    <definedName name="IQ_ECO_METRIC_8131">"c8131"</definedName>
    <definedName name="IQ_ECO_METRIC_8132">"c8132"</definedName>
    <definedName name="IQ_ECO_METRIC_8133">"c8133"</definedName>
    <definedName name="IQ_ECO_METRIC_8134">"c8134"</definedName>
    <definedName name="IQ_ECO_METRIC_8135">"c8135"</definedName>
    <definedName name="IQ_ECO_METRIC_8136">"c8136"</definedName>
    <definedName name="IQ_ECO_METRIC_8137">"c8137"</definedName>
    <definedName name="IQ_ECO_METRIC_8138">"c8138"</definedName>
    <definedName name="IQ_ECO_METRIC_8139">"c8139"</definedName>
    <definedName name="IQ_ECO_METRIC_8140">"c8140"</definedName>
    <definedName name="IQ_ECO_METRIC_8141">"c8141"</definedName>
    <definedName name="IQ_ECO_METRIC_8142">"c8142"</definedName>
    <definedName name="IQ_ECO_METRIC_8143">"c8143"</definedName>
    <definedName name="IQ_ECO_METRIC_8145">"c8145"</definedName>
    <definedName name="IQ_ECO_METRIC_8145_UNUSED_UNUSED_UNUSED">"c8145"</definedName>
    <definedName name="IQ_ECO_METRIC_8147">"c8147"</definedName>
    <definedName name="IQ_ECO_METRIC_8148">"c8148"</definedName>
    <definedName name="IQ_ECO_METRIC_8149">"c8149"</definedName>
    <definedName name="IQ_ECO_METRIC_8150">"c8150"</definedName>
    <definedName name="IQ_ECO_METRIC_8152">"c8152"</definedName>
    <definedName name="IQ_ECO_METRIC_8153">"c8153"</definedName>
    <definedName name="IQ_ECO_METRIC_8154">"c8154"</definedName>
    <definedName name="IQ_ECO_METRIC_8155">"c8155"</definedName>
    <definedName name="IQ_ECO_METRIC_8156">"c8156"</definedName>
    <definedName name="IQ_ECO_METRIC_8157">"c8157"</definedName>
    <definedName name="IQ_ECO_METRIC_8159">"c8159"</definedName>
    <definedName name="IQ_ECO_METRIC_8159_UNUSED_UNUSED_UNUSED">"c8159"</definedName>
    <definedName name="IQ_ECO_METRIC_8160">"c8160"</definedName>
    <definedName name="IQ_ECO_METRIC_8161">"c8161"</definedName>
    <definedName name="IQ_ECO_METRIC_8162">"c8162"</definedName>
    <definedName name="IQ_ECO_METRIC_8163">"c8163"</definedName>
    <definedName name="IQ_ECO_METRIC_8164">"c8164"</definedName>
    <definedName name="IQ_ECO_METRIC_8165">"c8165"</definedName>
    <definedName name="IQ_ECO_METRIC_8166">"c8166"</definedName>
    <definedName name="IQ_ECO_METRIC_8167">"c8167"</definedName>
    <definedName name="IQ_ECO_METRIC_8168">"c8168"</definedName>
    <definedName name="IQ_ECO_METRIC_8169">"c8169"</definedName>
    <definedName name="IQ_ECO_METRIC_8170">"c8170"</definedName>
    <definedName name="IQ_ECO_METRIC_8171">"c8171"</definedName>
    <definedName name="IQ_ECO_METRIC_8172">"c8172"</definedName>
    <definedName name="IQ_ECO_METRIC_8173">"c8173"</definedName>
    <definedName name="IQ_ECO_METRIC_8174">"c8174"</definedName>
    <definedName name="IQ_ECO_METRIC_8175">"c8175"</definedName>
    <definedName name="IQ_ECO_METRIC_8176">"c8176"</definedName>
    <definedName name="IQ_ECO_METRIC_8177">"c8177"</definedName>
    <definedName name="IQ_ECO_METRIC_8178">"c8178"</definedName>
    <definedName name="IQ_ECO_METRIC_8179">"c8179"</definedName>
    <definedName name="IQ_ECO_METRIC_8180">"c8180"</definedName>
    <definedName name="IQ_ECO_METRIC_8181">"c8181"</definedName>
    <definedName name="IQ_ECO_METRIC_8182">"c8182"</definedName>
    <definedName name="IQ_ECO_METRIC_8183">"c8183"</definedName>
    <definedName name="IQ_ECO_METRIC_8184">"c8184"</definedName>
    <definedName name="IQ_ECO_METRIC_8185">"c8185"</definedName>
    <definedName name="IQ_ECO_METRIC_8186">"c8186"</definedName>
    <definedName name="IQ_ECO_METRIC_8187">"c8187"</definedName>
    <definedName name="IQ_ECO_METRIC_8188">"c8188"</definedName>
    <definedName name="IQ_ECO_METRIC_8189">"c8189"</definedName>
    <definedName name="IQ_ECO_METRIC_8190">"c8190"</definedName>
    <definedName name="IQ_ECO_METRIC_8191">"c8191"</definedName>
    <definedName name="IQ_ECO_METRIC_8192">"c8192"</definedName>
    <definedName name="IQ_ECO_METRIC_8193">"c8193"</definedName>
    <definedName name="IQ_ECO_METRIC_8194">"c8194"</definedName>
    <definedName name="IQ_ECO_METRIC_8195">"c8195"</definedName>
    <definedName name="IQ_ECO_METRIC_8196">"c8196"</definedName>
    <definedName name="IQ_ECO_METRIC_8197">"c8197"</definedName>
    <definedName name="IQ_ECO_METRIC_8198">"c8198"</definedName>
    <definedName name="IQ_ECO_METRIC_8199">"c8199"</definedName>
    <definedName name="IQ_ECO_METRIC_8200">"c8200"</definedName>
    <definedName name="IQ_ECO_METRIC_8201">"c8201"</definedName>
    <definedName name="IQ_ECO_METRIC_8202">"c8202"</definedName>
    <definedName name="IQ_ECO_METRIC_8203">"c8203"</definedName>
    <definedName name="IQ_ECO_METRIC_8204">"c8204"</definedName>
    <definedName name="IQ_ECO_METRIC_8205">"c8205"</definedName>
    <definedName name="IQ_ECO_METRIC_8206">"c8206"</definedName>
    <definedName name="IQ_ECO_METRIC_8207">"c8207"</definedName>
    <definedName name="IQ_ECO_METRIC_8208">"c8208"</definedName>
    <definedName name="IQ_ECO_METRIC_8209">"c8209"</definedName>
    <definedName name="IQ_ECO_METRIC_8210">"c8210"</definedName>
    <definedName name="IQ_ECO_METRIC_8211">"c8211"</definedName>
    <definedName name="IQ_ECO_METRIC_8212">"c8212"</definedName>
    <definedName name="IQ_ECO_METRIC_8213">"c8213"</definedName>
    <definedName name="IQ_ECO_METRIC_8214">"c8214"</definedName>
    <definedName name="IQ_ECO_METRIC_8215">"c8215"</definedName>
    <definedName name="IQ_ECO_METRIC_8216">"c8216"</definedName>
    <definedName name="IQ_ECO_METRIC_8216_UNUSED_UNUSED_UNUSED">"c8216"</definedName>
    <definedName name="IQ_ECO_METRIC_8217">"c8217"</definedName>
    <definedName name="IQ_ECO_METRIC_8217_UNUSED_UNUSED_UNUSED">"c8217"</definedName>
    <definedName name="IQ_ECO_METRIC_8219">"c8219"</definedName>
    <definedName name="IQ_ECO_METRIC_8221">"c8221"</definedName>
    <definedName name="IQ_ECO_METRIC_8222">"c8222"</definedName>
    <definedName name="IQ_ECO_METRIC_8223">"c8223"</definedName>
    <definedName name="IQ_ECO_METRIC_8224">"c8224"</definedName>
    <definedName name="IQ_ECO_METRIC_8225">"c8225"</definedName>
    <definedName name="IQ_ECO_METRIC_8226">"c8226"</definedName>
    <definedName name="IQ_ECO_METRIC_8227">"c8227"</definedName>
    <definedName name="IQ_ECO_METRIC_8228">"c8228"</definedName>
    <definedName name="IQ_ECO_METRIC_8229">"c8229"</definedName>
    <definedName name="IQ_ECO_METRIC_8230">"c8230"</definedName>
    <definedName name="IQ_ECO_METRIC_8231">"c8231"</definedName>
    <definedName name="IQ_ECO_METRIC_8232">"c8232"</definedName>
    <definedName name="IQ_ECO_METRIC_8233">"c8233"</definedName>
    <definedName name="IQ_ECO_METRIC_8234">"c8234"</definedName>
    <definedName name="IQ_ECO_METRIC_8235">"c8235"</definedName>
    <definedName name="IQ_ECO_METRIC_8236">"c8236"</definedName>
    <definedName name="IQ_ECO_METRIC_8237">"c8237"</definedName>
    <definedName name="IQ_ECO_METRIC_8238">"c8238"</definedName>
    <definedName name="IQ_ECO_METRIC_8239">"c8239"</definedName>
    <definedName name="IQ_ECO_METRIC_8240">"c8240"</definedName>
    <definedName name="IQ_ECO_METRIC_8241">"c8241"</definedName>
    <definedName name="IQ_ECO_METRIC_8242">"c8242"</definedName>
    <definedName name="IQ_ECO_METRIC_8243">"c8243"</definedName>
    <definedName name="IQ_ECO_METRIC_8244">"c8244"</definedName>
    <definedName name="IQ_ECO_METRIC_8245">"c8245"</definedName>
    <definedName name="IQ_ECO_METRIC_8246">"c8246"</definedName>
    <definedName name="IQ_ECO_METRIC_8248">"c8248"</definedName>
    <definedName name="IQ_ECO_METRIC_8249">"c8249"</definedName>
    <definedName name="IQ_ECO_METRIC_8250">"c8250"</definedName>
    <definedName name="IQ_ECO_METRIC_8252">"c8252"</definedName>
    <definedName name="IQ_ECO_METRIC_8253">"c8253"</definedName>
    <definedName name="IQ_ECO_METRIC_8254">"c8254"</definedName>
    <definedName name="IQ_ECO_METRIC_8255">"c8255"</definedName>
    <definedName name="IQ_ECO_METRIC_8256">"c8256"</definedName>
    <definedName name="IQ_ECO_METRIC_8257">"c8257"</definedName>
    <definedName name="IQ_ECO_METRIC_8258">"c8258"</definedName>
    <definedName name="IQ_ECO_METRIC_8259">"c8259"</definedName>
    <definedName name="IQ_ECO_METRIC_8260">"c8260"</definedName>
    <definedName name="IQ_ECO_METRIC_8261">"c8261"</definedName>
    <definedName name="IQ_ECO_METRIC_8262">"c8262"</definedName>
    <definedName name="IQ_ECO_METRIC_8263">"c8263"</definedName>
    <definedName name="IQ_ECO_METRIC_8264">"c8264"</definedName>
    <definedName name="IQ_ECO_METRIC_8265">"c8265"</definedName>
    <definedName name="IQ_ECO_METRIC_8266">"c8266"</definedName>
    <definedName name="IQ_ECO_METRIC_8267">"c8267"</definedName>
    <definedName name="IQ_ECO_METRIC_8268">"c8268"</definedName>
    <definedName name="IQ_ECO_METRIC_8269">"c8269"</definedName>
    <definedName name="IQ_ECO_METRIC_8270">"c8270"</definedName>
    <definedName name="IQ_ECO_METRIC_8271">"c8271"</definedName>
    <definedName name="IQ_ECO_METRIC_8272">"c8272"</definedName>
    <definedName name="IQ_ECO_METRIC_8273">"c8273"</definedName>
    <definedName name="IQ_ECO_METRIC_8274">"c8274"</definedName>
    <definedName name="IQ_ECO_METRIC_8275">"c8275"</definedName>
    <definedName name="IQ_ECO_METRIC_8276">"c8276"</definedName>
    <definedName name="IQ_ECO_METRIC_8277">"c8277"</definedName>
    <definedName name="IQ_ECO_METRIC_8278">"c8278"</definedName>
    <definedName name="IQ_ECO_METRIC_8279">"c8279"</definedName>
    <definedName name="IQ_ECO_METRIC_8280">"c8280"</definedName>
    <definedName name="IQ_ECO_METRIC_8282">"c8282"</definedName>
    <definedName name="IQ_ECO_METRIC_8283">"c8283"</definedName>
    <definedName name="IQ_ECO_METRIC_8284">"c8284"</definedName>
    <definedName name="IQ_ECO_METRIC_8285">"c8285"</definedName>
    <definedName name="IQ_ECO_METRIC_8286">"c8286"</definedName>
    <definedName name="IQ_ECO_METRIC_8287">"c8287"</definedName>
    <definedName name="IQ_ECO_METRIC_8288">"c8288"</definedName>
    <definedName name="IQ_ECO_METRIC_8289">"c8289"</definedName>
    <definedName name="IQ_ECO_METRIC_8290">"c8290"</definedName>
    <definedName name="IQ_ECO_METRIC_8291">"c8291"</definedName>
    <definedName name="IQ_ECO_METRIC_8292">"c8292"</definedName>
    <definedName name="IQ_ECO_METRIC_8293">"c8293"</definedName>
    <definedName name="IQ_ECO_METRIC_8294">"c8294"</definedName>
    <definedName name="IQ_ECO_METRIC_8295">"c8295"</definedName>
    <definedName name="IQ_ECO_METRIC_8296">"c8296"</definedName>
    <definedName name="IQ_ECO_METRIC_8297">"c8297"</definedName>
    <definedName name="IQ_ECO_METRIC_8298">"c8298"</definedName>
    <definedName name="IQ_ECO_METRIC_8299">"c8299"</definedName>
    <definedName name="IQ_ECO_METRIC_8300">"c8300"</definedName>
    <definedName name="IQ_ECO_METRIC_8301">"c8301"</definedName>
    <definedName name="IQ_ECO_METRIC_8302">"c8302"</definedName>
    <definedName name="IQ_ECO_METRIC_8303">"c8303"</definedName>
    <definedName name="IQ_ECO_METRIC_8304">"c8304"</definedName>
    <definedName name="IQ_ECO_METRIC_8305">"c8305"</definedName>
    <definedName name="IQ_ECO_METRIC_8306">"c8306"</definedName>
    <definedName name="IQ_ECO_METRIC_8307">"c8307"</definedName>
    <definedName name="IQ_ECO_METRIC_8308">"c8308"</definedName>
    <definedName name="IQ_ECO_METRIC_8308_UNUSED_UNUSED_UNUSED">"c8308"</definedName>
    <definedName name="IQ_ECO_METRIC_8309">"c8309"</definedName>
    <definedName name="IQ_ECO_METRIC_8310">"c8310"</definedName>
    <definedName name="IQ_ECO_METRIC_8311">"c8311"</definedName>
    <definedName name="IQ_ECO_METRIC_8312">"c8312"</definedName>
    <definedName name="IQ_ECO_METRIC_8314">"c8314"</definedName>
    <definedName name="IQ_ECO_METRIC_8315">"c8315"</definedName>
    <definedName name="IQ_ECO_METRIC_8316">"c8316"</definedName>
    <definedName name="IQ_ECO_METRIC_8317">"c8317"</definedName>
    <definedName name="IQ_ECO_METRIC_8318">"c8318"</definedName>
    <definedName name="IQ_ECO_METRIC_8320">"c8320"</definedName>
    <definedName name="IQ_ECO_METRIC_8321">"c8321"</definedName>
    <definedName name="IQ_ECO_METRIC_8322">"c8322"</definedName>
    <definedName name="IQ_ECO_METRIC_8323">"c8323"</definedName>
    <definedName name="IQ_ECO_METRIC_8324">"c8324"</definedName>
    <definedName name="IQ_ECO_METRIC_8325">"c8325"</definedName>
    <definedName name="IQ_ECO_METRIC_8326">"c8326"</definedName>
    <definedName name="IQ_ECO_METRIC_8327">"c8327"</definedName>
    <definedName name="IQ_ECO_METRIC_8328">"c8328"</definedName>
    <definedName name="IQ_ECO_METRIC_8329">"c8329"</definedName>
    <definedName name="IQ_ECO_METRIC_8330">"c8330"</definedName>
    <definedName name="IQ_ECO_METRIC_8331">"c8331"</definedName>
    <definedName name="IQ_ECO_METRIC_8332">"c8332"</definedName>
    <definedName name="IQ_ECO_METRIC_8333">"c8333"</definedName>
    <definedName name="IQ_ECO_METRIC_8335">"c8335"</definedName>
    <definedName name="IQ_ECO_METRIC_8336">"c8336"</definedName>
    <definedName name="IQ_ECO_METRIC_8337">"c8337"</definedName>
    <definedName name="IQ_ECO_METRIC_8338">"c8338"</definedName>
    <definedName name="IQ_ECO_METRIC_8339">"c8339"</definedName>
    <definedName name="IQ_ECO_METRIC_8340">"c8340"</definedName>
    <definedName name="IQ_ECO_METRIC_8341">"c8341"</definedName>
    <definedName name="IQ_ECO_METRIC_8343">"c8343"</definedName>
    <definedName name="IQ_ECO_METRIC_8344">"c8344"</definedName>
    <definedName name="IQ_ECO_METRIC_8345">"c8345"</definedName>
    <definedName name="IQ_ECO_METRIC_8346">"c8346"</definedName>
    <definedName name="IQ_ECO_METRIC_8347">"c8347"</definedName>
    <definedName name="IQ_ECO_METRIC_8348">"c8348"</definedName>
    <definedName name="IQ_ECO_METRIC_8349">"c8349"</definedName>
    <definedName name="IQ_ECO_METRIC_8350">"c8350"</definedName>
    <definedName name="IQ_ECO_METRIC_8352">"c8352"</definedName>
    <definedName name="IQ_ECO_METRIC_8353">"c8353"</definedName>
    <definedName name="IQ_ECO_METRIC_8354">"c8354"</definedName>
    <definedName name="IQ_ECO_METRIC_8355">"c8355"</definedName>
    <definedName name="IQ_ECO_METRIC_8356">"c8356"</definedName>
    <definedName name="IQ_ECO_METRIC_8357">"c8357"</definedName>
    <definedName name="IQ_ECO_METRIC_8358">"c8358"</definedName>
    <definedName name="IQ_ECO_METRIC_8359">"c8359"</definedName>
    <definedName name="IQ_ECO_METRIC_8360">"c8360"</definedName>
    <definedName name="IQ_ECO_METRIC_8361">"c8361"</definedName>
    <definedName name="IQ_ECO_METRIC_8362">"c8362"</definedName>
    <definedName name="IQ_ECO_METRIC_8363">"c8363"</definedName>
    <definedName name="IQ_ECO_METRIC_8367">"c8367"</definedName>
    <definedName name="IQ_ECO_METRIC_8368">"c8368"</definedName>
    <definedName name="IQ_ECO_METRIC_8369">"c8369"</definedName>
    <definedName name="IQ_ECO_METRIC_8370">"c8370"</definedName>
    <definedName name="IQ_ECO_METRIC_8371">"c8371"</definedName>
    <definedName name="IQ_ECO_METRIC_8372">"c8372"</definedName>
    <definedName name="IQ_ECO_METRIC_8373">"c8373"</definedName>
    <definedName name="IQ_ECO_METRIC_8374">"c8374"</definedName>
    <definedName name="IQ_ECO_METRIC_8375">"c8375"</definedName>
    <definedName name="IQ_ECO_METRIC_8376">"c8376"</definedName>
    <definedName name="IQ_ECO_METRIC_8377">"c8377"</definedName>
    <definedName name="IQ_ECO_METRIC_8380">"c8380"</definedName>
    <definedName name="IQ_ECO_METRIC_8381">"c8381"</definedName>
    <definedName name="IQ_ECO_METRIC_8382">"c8382"</definedName>
    <definedName name="IQ_ECO_METRIC_8383">"c8383"</definedName>
    <definedName name="IQ_ECO_METRIC_8384">"c8384"</definedName>
    <definedName name="IQ_ECO_METRIC_8385">"c8385"</definedName>
    <definedName name="IQ_ECO_METRIC_8387">"c8387"</definedName>
    <definedName name="IQ_ECO_METRIC_8388">"c8388"</definedName>
    <definedName name="IQ_ECO_METRIC_8389">"c8389"</definedName>
    <definedName name="IQ_ECO_METRIC_8390">"c8390"</definedName>
    <definedName name="IQ_ECO_METRIC_8391">"c8391"</definedName>
    <definedName name="IQ_ECO_METRIC_8392">"c8392"</definedName>
    <definedName name="IQ_ECO_METRIC_8393">"c8393"</definedName>
    <definedName name="IQ_ECO_METRIC_8394">"c8394"</definedName>
    <definedName name="IQ_ECO_METRIC_8395">"c8395"</definedName>
    <definedName name="IQ_ECO_METRIC_8396">"c8396"</definedName>
    <definedName name="IQ_ECO_METRIC_8397">"c8397"</definedName>
    <definedName name="IQ_ECO_METRIC_8398">"c8398"</definedName>
    <definedName name="IQ_ECO_METRIC_8399">"c8399"</definedName>
    <definedName name="IQ_ECO_METRIC_8400">"c8400"</definedName>
    <definedName name="IQ_ECO_METRIC_8401">"c8401"</definedName>
    <definedName name="IQ_ECO_METRIC_8402">"c8402"</definedName>
    <definedName name="IQ_ECO_METRIC_8403">"c8403"</definedName>
    <definedName name="IQ_ECO_METRIC_8404">"c8404"</definedName>
    <definedName name="IQ_ECO_METRIC_8405">"c8405"</definedName>
    <definedName name="IQ_ECO_METRIC_8406">"c8406"</definedName>
    <definedName name="IQ_ECO_METRIC_8407">"c8407"</definedName>
    <definedName name="IQ_ECO_METRIC_8408">"c8408"</definedName>
    <definedName name="IQ_ECO_METRIC_8409">"c8409"</definedName>
    <definedName name="IQ_ECO_METRIC_8410">"c8410"</definedName>
    <definedName name="IQ_ECO_METRIC_8411">"c8411"</definedName>
    <definedName name="IQ_ECO_METRIC_8412">"c8412"</definedName>
    <definedName name="IQ_ECO_METRIC_8413">"c8413"</definedName>
    <definedName name="IQ_ECO_METRIC_8414">"c8414"</definedName>
    <definedName name="IQ_ECO_METRIC_8415">"c8415"</definedName>
    <definedName name="IQ_ECO_METRIC_8416">"c8416"</definedName>
    <definedName name="IQ_ECO_METRIC_8417">"c8417"</definedName>
    <definedName name="IQ_ECO_METRIC_8418">"c8418"</definedName>
    <definedName name="IQ_ECO_METRIC_8419">"c8419"</definedName>
    <definedName name="IQ_ECO_METRIC_8420">"c8420"</definedName>
    <definedName name="IQ_ECO_METRIC_8421">"c8421"</definedName>
    <definedName name="IQ_ECO_METRIC_8422">"c8422"</definedName>
    <definedName name="IQ_ECO_METRIC_8423">"c8423"</definedName>
    <definedName name="IQ_ECO_METRIC_8424">"c8424"</definedName>
    <definedName name="IQ_ECO_METRIC_8425">"c8425"</definedName>
    <definedName name="IQ_ECO_METRIC_8426">"c8426"</definedName>
    <definedName name="IQ_ECO_METRIC_8427">"c8427"</definedName>
    <definedName name="IQ_ECO_METRIC_8428">"c8428"</definedName>
    <definedName name="IQ_ECO_METRIC_8429">"c8429"</definedName>
    <definedName name="IQ_ECO_METRIC_8430">"c8430"</definedName>
    <definedName name="IQ_ECO_METRIC_8431">"c8431"</definedName>
    <definedName name="IQ_ECO_METRIC_8432">"c8432"</definedName>
    <definedName name="IQ_ECO_METRIC_8433">"c8433"</definedName>
    <definedName name="IQ_ECO_METRIC_8434">"c8434"</definedName>
    <definedName name="IQ_ECO_METRIC_8435">"c8435"</definedName>
    <definedName name="IQ_ECO_METRIC_8436">"c8436"</definedName>
    <definedName name="IQ_ECO_METRIC_8436_UNUSED_UNUSED_UNUSED">"c8436"</definedName>
    <definedName name="IQ_ECO_METRIC_8437">"c8437"</definedName>
    <definedName name="IQ_ECO_METRIC_8437_UNUSED_UNUSED_UNUSED">"c8437"</definedName>
    <definedName name="IQ_ECO_METRIC_8440">"c8440"</definedName>
    <definedName name="IQ_ECO_METRIC_8441">"c8441"</definedName>
    <definedName name="IQ_ECO_METRIC_8442">"c8442"</definedName>
    <definedName name="IQ_ECO_METRIC_8443">"c8443"</definedName>
    <definedName name="IQ_ECO_METRIC_8444">"c8444"</definedName>
    <definedName name="IQ_ECO_METRIC_8445">"c8445"</definedName>
    <definedName name="IQ_ECO_METRIC_8446">"c8446"</definedName>
    <definedName name="IQ_ECO_METRIC_8447">"c8447"</definedName>
    <definedName name="IQ_ECO_METRIC_8448">"c8448"</definedName>
    <definedName name="IQ_ECO_METRIC_8450">"c8450"</definedName>
    <definedName name="IQ_ECO_METRIC_8451">"c8451"</definedName>
    <definedName name="IQ_ECO_METRIC_8452">"c8452"</definedName>
    <definedName name="IQ_ECO_METRIC_8453">"c8453"</definedName>
    <definedName name="IQ_ECO_METRIC_8454">"c8454"</definedName>
    <definedName name="IQ_ECO_METRIC_8455">"c8455"</definedName>
    <definedName name="IQ_ECO_METRIC_8456">"c8456"</definedName>
    <definedName name="IQ_ECO_METRIC_8457">"c8457"</definedName>
    <definedName name="IQ_ECO_METRIC_8458">"c8458"</definedName>
    <definedName name="IQ_ECO_METRIC_8459">"c8459"</definedName>
    <definedName name="IQ_ECO_METRIC_8460">"c8460"</definedName>
    <definedName name="IQ_ECO_METRIC_8461">"c8461"</definedName>
    <definedName name="IQ_ECO_METRIC_8462">"c8462"</definedName>
    <definedName name="IQ_ECO_METRIC_8463">"c8463"</definedName>
    <definedName name="IQ_ECO_METRIC_8464">"c8464"</definedName>
    <definedName name="IQ_ECO_METRIC_8465">"c8465"</definedName>
    <definedName name="IQ_ECO_METRIC_8466">"c8466"</definedName>
    <definedName name="IQ_ECO_METRIC_8468">"c8468"</definedName>
    <definedName name="IQ_ECO_METRIC_8469">"c8469"</definedName>
    <definedName name="IQ_ECO_METRIC_8470">"c8470"</definedName>
    <definedName name="IQ_ECO_METRIC_8472">"c8472"</definedName>
    <definedName name="IQ_ECO_METRIC_8473">"c8473"</definedName>
    <definedName name="IQ_ECO_METRIC_8474">"c8474"</definedName>
    <definedName name="IQ_ECO_METRIC_8476">"c8476"</definedName>
    <definedName name="IQ_ECO_METRIC_8477">"c8477"</definedName>
    <definedName name="IQ_ECO_METRIC_8478">"c8478"</definedName>
    <definedName name="IQ_ECO_METRIC_8479">"c8479"</definedName>
    <definedName name="IQ_ECO_METRIC_8480">"c8480"</definedName>
    <definedName name="IQ_ECO_METRIC_8481">"c8481"</definedName>
    <definedName name="IQ_ECO_METRIC_8482">"c8482"</definedName>
    <definedName name="IQ_ECO_METRIC_8483">"c8483"</definedName>
    <definedName name="IQ_ECO_METRIC_8484">"c8484"</definedName>
    <definedName name="IQ_ECO_METRIC_8485">"c8485"</definedName>
    <definedName name="IQ_ECO_METRIC_8486">"c8486"</definedName>
    <definedName name="IQ_ECO_METRIC_8487">"c8487"</definedName>
    <definedName name="IQ_ECO_METRIC_8488">"c8488"</definedName>
    <definedName name="IQ_ECO_METRIC_8489">"c8489"</definedName>
    <definedName name="IQ_ECO_METRIC_8490">"c8490"</definedName>
    <definedName name="IQ_ECO_METRIC_8491">"c8491"</definedName>
    <definedName name="IQ_ECO_METRIC_8492">"c8492"</definedName>
    <definedName name="IQ_ECO_METRIC_8493">"c8493"</definedName>
    <definedName name="IQ_ECO_METRIC_8494">"c8494"</definedName>
    <definedName name="IQ_ECO_METRIC_8495">"c8495"</definedName>
    <definedName name="IQ_ECO_METRIC_8496">"c8496"</definedName>
    <definedName name="IQ_ECO_METRIC_8497">"c8497"</definedName>
    <definedName name="IQ_ECO_METRIC_8498">"c8498"</definedName>
    <definedName name="IQ_ECO_METRIC_8499">"c8499"</definedName>
    <definedName name="IQ_ECO_METRIC_8500">"c8500"</definedName>
    <definedName name="IQ_ECO_METRIC_8502">"c8502"</definedName>
    <definedName name="IQ_ECO_METRIC_8503">"c8503"</definedName>
    <definedName name="IQ_ECO_METRIC_8504">"c8504"</definedName>
    <definedName name="IQ_ECO_METRIC_8505">"c8505"</definedName>
    <definedName name="IQ_ECO_METRIC_8506">"c8506"</definedName>
    <definedName name="IQ_ECO_METRIC_8507">"c8507"</definedName>
    <definedName name="IQ_ECO_METRIC_8508">"c8508"</definedName>
    <definedName name="IQ_ECO_METRIC_8509">"c8509"</definedName>
    <definedName name="IQ_ECO_METRIC_8510">"c8510"</definedName>
    <definedName name="IQ_ECO_METRIC_8511">"c8511"</definedName>
    <definedName name="IQ_ECO_METRIC_8512">"c8512"</definedName>
    <definedName name="IQ_ECO_METRIC_8513">"c8513"</definedName>
    <definedName name="IQ_ECO_METRIC_8514">"c8514"</definedName>
    <definedName name="IQ_ECO_METRIC_8515">"c8515"</definedName>
    <definedName name="IQ_ECO_METRIC_8516">"c8516"</definedName>
    <definedName name="IQ_ECO_METRIC_8517">"c8517"</definedName>
    <definedName name="IQ_ECO_METRIC_8518">"c8518"</definedName>
    <definedName name="IQ_ECO_METRIC_8519">"c8519"</definedName>
    <definedName name="IQ_ECO_METRIC_8520">"c8520"</definedName>
    <definedName name="IQ_ECO_METRIC_8521">"c8521"</definedName>
    <definedName name="IQ_ECO_METRIC_8522">"c8522"</definedName>
    <definedName name="IQ_ECO_METRIC_8523">"c8523"</definedName>
    <definedName name="IQ_ECO_METRIC_8524">"c8524"</definedName>
    <definedName name="IQ_ECO_METRIC_8525">"c8525"</definedName>
    <definedName name="IQ_ECO_METRIC_8526">"c8526"</definedName>
    <definedName name="IQ_ECO_METRIC_8527">"c8527"</definedName>
    <definedName name="IQ_ECO_METRIC_8528">"c8528"</definedName>
    <definedName name="IQ_ECO_METRIC_8528_UNUSED_UNUSED_UNUSED">"c8528"</definedName>
    <definedName name="IQ_ECO_METRIC_8529">"c8529"</definedName>
    <definedName name="IQ_ECO_METRIC_8530">"c8530"</definedName>
    <definedName name="IQ_ECO_METRIC_8531">"c8531"</definedName>
    <definedName name="IQ_ECO_METRIC_8532">"c8532"</definedName>
    <definedName name="IQ_ECO_METRIC_8534">"c8534"</definedName>
    <definedName name="IQ_ECO_METRIC_8535">"c8535"</definedName>
    <definedName name="IQ_ECO_METRIC_8536">"c8536"</definedName>
    <definedName name="IQ_ECO_METRIC_8537">"c8537"</definedName>
    <definedName name="IQ_ECO_METRIC_8538">"c8538"</definedName>
    <definedName name="IQ_ECO_METRIC_8540">"c8540"</definedName>
    <definedName name="IQ_ECO_METRIC_8541">"c8541"</definedName>
    <definedName name="IQ_ECO_METRIC_8543">"c8543"</definedName>
    <definedName name="IQ_ECO_METRIC_8544">"c8544"</definedName>
    <definedName name="IQ_ECO_METRIC_8545">"c8545"</definedName>
    <definedName name="IQ_ECO_METRIC_8546">"c8546"</definedName>
    <definedName name="IQ_ECO_METRIC_8547">"c8547"</definedName>
    <definedName name="IQ_ECO_METRIC_8548">"c8548"</definedName>
    <definedName name="IQ_ECO_METRIC_8549">"c8549"</definedName>
    <definedName name="IQ_ECO_METRIC_8550">"c8550"</definedName>
    <definedName name="IQ_ECO_METRIC_8555">"c8555"</definedName>
    <definedName name="IQ_ECO_METRIC_8556">"c8556"</definedName>
    <definedName name="IQ_ECO_METRIC_8557">"c8557"</definedName>
    <definedName name="IQ_ECO_METRIC_8558">"c8558"</definedName>
    <definedName name="IQ_ECO_METRIC_8559">"c8559"</definedName>
    <definedName name="IQ_ECO_METRIC_8560">"c8560"</definedName>
    <definedName name="IQ_ECO_METRIC_8561">"c8561"</definedName>
    <definedName name="IQ_ECO_METRIC_8565">"c8565"</definedName>
    <definedName name="IQ_ECO_METRIC_8567">"c8567"</definedName>
    <definedName name="IQ_ECO_METRIC_8568">"c8568"</definedName>
    <definedName name="IQ_ECO_METRIC_8569">"c8569"</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"IQ_EPS"</definedName>
    <definedName name="IQ_EPS_10K">"IQ_EPS_10K"</definedName>
    <definedName name="IQ_EPS_10Q">"IQ_EPS_10Q"</definedName>
    <definedName name="IQ_EPS_10Q1">"IQ_EPS_10Q1"</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EST">"c399"</definedName>
    <definedName name="IQ_EPS_EST_1">"c189"</definedName>
    <definedName name="IQ_EPS_HIGH_EST">"c400"</definedName>
    <definedName name="IQ_EPS_LOW_EST">"c401"</definedName>
    <definedName name="IQ_EPS_MEDIAN_EST">"c1661"</definedName>
    <definedName name="IQ_EPS_NO_EST">"c271"</definedName>
    <definedName name="IQ_EPS_NORM">"c1902"</definedName>
    <definedName name="IQ_EPS_NUM_EST">"c402"</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BV_REUT">"c5409"</definedName>
    <definedName name="IQ_EST_ACT_BV_THOM">"c5153"</definedName>
    <definedName name="IQ_EST_ACT_EPS">"c1648"</definedName>
    <definedName name="IQ_EST_ACT_FFO_REUT">"c3843"</definedName>
    <definedName name="IQ_EST_ACT_FFO_THOM">"c4005"</definedName>
    <definedName name="IQ_EST_BV_DIFF_REUT">"c5433"</definedName>
    <definedName name="IQ_EST_BV_DIFF_THOM">"c5204"</definedName>
    <definedName name="IQ_EST_BV_SURPRISE_PERCENT_REUT">"c5434"</definedName>
    <definedName name="IQ_EST_BV_SURPRISE_PERCENT_THOM">"c5205"</definedName>
    <definedName name="IQ_EST_CURRENCY">"c2140"</definedName>
    <definedName name="IQ_EST_DATE">"c1634"</definedName>
    <definedName name="IQ_EST_EPS_DIFF">"c1864"</definedName>
    <definedName name="IQ_EST_EPS_GROWTH_1YR">"c1636"</definedName>
    <definedName name="IQ_EST_EPS_GROWTH_2YR">"c1637"</definedName>
    <definedName name="IQ_EST_EPS_GROWTH_5YR">"c1655"</definedName>
    <definedName name="IQ_EST_EPS_GROWTH_5YR_HIGH">"c1657"</definedName>
    <definedName name="IQ_EST_EPS_GROWTH_5YR_LOW">"c1658"</definedName>
    <definedName name="IQ_EST_EPS_GROWTH_5YR_MEDIAN">"c1656"</definedName>
    <definedName name="IQ_EST_EPS_GROWTH_5YR_NUM">"c1659"</definedName>
    <definedName name="IQ_EST_EPS_GROWTH_5YR_STDDEV">"c1660"</definedName>
    <definedName name="IQ_EST_EPS_GROWTH_Q_1YR">"c1641"</definedName>
    <definedName name="IQ_EST_EPS_SURPRISE">"c1635"</definedName>
    <definedName name="IQ_EST_FFO_DIFF_REUT">"c3890"</definedName>
    <definedName name="IQ_EST_FFO_DIFF_THOM">"c5186"</definedName>
    <definedName name="IQ_EST_FFO_SURPRISE_PERCENT_REUT">"c3891"</definedName>
    <definedName name="IQ_EST_FFO_SURPRISE_PERCENT_THOM">"c5187"</definedName>
    <definedName name="IQ_EST_NUM_BUY_CIQ">"c3700"</definedName>
    <definedName name="IQ_EST_NUM_BUY_REUT">"c3869"</definedName>
    <definedName name="IQ_EST_NUM_BUY_THOM">"c5165"</definedName>
    <definedName name="IQ_EST_NUM_HOLD_CIQ">"c3702"</definedName>
    <definedName name="IQ_EST_NUM_HOLD_REUT">"c3871"</definedName>
    <definedName name="IQ_EST_NUM_HOLD_THOM">"c5167"</definedName>
    <definedName name="IQ_EST_NUM_OUTPERFORM_CIQ">"c3701"</definedName>
    <definedName name="IQ_EST_NUM_OUTPERFORM_REUT">"c3870"</definedName>
    <definedName name="IQ_EST_NUM_OUTPERFORM_THOM">"c5166"</definedName>
    <definedName name="IQ_EST_NUM_SELL_CIQ">"c3704"</definedName>
    <definedName name="IQ_EST_NUM_SELL_REUT">"c3873"</definedName>
    <definedName name="IQ_EST_NUM_SELL_THOM">"c5169"</definedName>
    <definedName name="IQ_EST_NUM_UNDERPERFORM_CIQ">"c3703"</definedName>
    <definedName name="IQ_EST_NUM_UNDERPERFORM_REUT">"c3872"</definedName>
    <definedName name="IQ_EST_NUM_UNDERPERFORM_THOM">"c5168"</definedName>
    <definedName name="IQ_EST_REV_GROWTH_1YR">"c1638"</definedName>
    <definedName name="IQ_EST_REV_GROWTH_2YR">"c1639"</definedName>
    <definedName name="IQ_EST_REV_GROWTH_Q_1YR">"c1640"</definedName>
    <definedName name="IQ_EV_OVER_EMPLOYEE">"c1428"</definedName>
    <definedName name="IQ_EV_OVER_LTM_EBIT">"c1426"</definedName>
    <definedName name="IQ_EV_OVER_LTM_EBITDA">"c1427"</definedName>
    <definedName name="IQ_EV_OVER_LTM_REVENUE">"c1429"</definedName>
    <definedName name="IQ_EV_OVER_REVENUE_EST">"c165"</definedName>
    <definedName name="IQ_EV_OVER_REVENUE_EST_1">"c166"</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 localSheetId="11">"test"</definedName>
    <definedName name="IQ_EXPENSE_CODE_">"01"</definedName>
    <definedName name="IQ_EXPLORE_DRILL">"c409"</definedName>
    <definedName name="IQ_EXPORTS_APR_FC_UNUSED_UNUSED_UNUSED">"c8401"</definedName>
    <definedName name="IQ_EXPORTS_APR_UNUSED_UNUSED_UNUSED">"c7521"</definedName>
    <definedName name="IQ_EXPORTS_FC_UNUSED_UNUSED_UNUSED">"c7741"</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_FC_UNUSED_UNUSED_UNUSED">"c8292"</definedName>
    <definedName name="IQ_EXPORTS_GOODS_REAL_SAAR_YOY_UNUSED_UNUSED_UNUSED">"c7412"</definedName>
    <definedName name="IQ_EXPORTS_POP_FC_UNUSED_UNUSED_UNUSED">"c7961"</definedName>
    <definedName name="IQ_EXPORTS_POP_UNUSED_UNUSED_UNUSED">"c7081"</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_FC_UNUSED_UNUSED_UNUSED">"c8296"</definedName>
    <definedName name="IQ_EXPORTS_SERVICES_REAL_SAAR_YOY_UNUSED_UNUSED_UNUSED">"c7416"</definedName>
    <definedName name="IQ_EXPORTS_UNUSED_UNUSED_UNUSED">"c6861"</definedName>
    <definedName name="IQ_EXPORTS_YOY_FC_UNUSED_UNUSED_UNUSED">"c8181"</definedName>
    <definedName name="IQ_EXPORTS_YOY_UNUSED_UNUSED_UNUSED">"c7301"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FO">"c1574"</definedName>
    <definedName name="IQ_FFO_EST">"c418"</definedName>
    <definedName name="IQ_FFO_EST_REUT">"c3837"</definedName>
    <definedName name="IQ_FFO_EST_THOM">"c3999"</definedName>
    <definedName name="IQ_FFO_HIGH_EST">"c419"</definedName>
    <definedName name="IQ_FFO_HIGH_EST_REUT">"c3839"</definedName>
    <definedName name="IQ_FFO_HIGH_EST_THOM">"c4001"</definedName>
    <definedName name="IQ_FFO_LOW_EST">"c420"</definedName>
    <definedName name="IQ_FFO_LOW_EST_REUT">"c3840"</definedName>
    <definedName name="IQ_FFO_LOW_EST_THOM">"c4002"</definedName>
    <definedName name="IQ_FFO_MEDIAN_EST_REUT">"c3838"</definedName>
    <definedName name="IQ_FFO_MEDIAN_EST_THOM">"c4000"</definedName>
    <definedName name="IQ_FFO_NO_EST">"c276"</definedName>
    <definedName name="IQ_FFO_NUM_EST">"c421"</definedName>
    <definedName name="IQ_FFO_NUM_EST_REUT">"c3841"</definedName>
    <definedName name="IQ_FFO_NUM_EST_THOM">"c4003"</definedName>
    <definedName name="IQ_FFO_STDDEV_EST">"c422"</definedName>
    <definedName name="IQ_FFO_STDDEV_EST_REUT">"c3842"</definedName>
    <definedName name="IQ_FFO_STDDEV_EST_THOM">"c4004"</definedName>
    <definedName name="IQ_FH">100000</definedName>
    <definedName name="IQ_FHLB_DEBT">"c423"</definedName>
    <definedName name="IQ_FHLB_DUE_AFTER_FIVE">"c2086"</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N_DIV_ASSETS_CURRENT">"c427"</definedName>
    <definedName name="IQ_FIN_DIV_ASSETS_LT">"c428"</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NOTES_PAY_TOTAL">"c5522"</definedName>
    <definedName name="IQ_FIN_DIV_REV">"c437"</definedName>
    <definedName name="IQ_FINANCING_CASH">"c1405"</definedName>
    <definedName name="IQ_FINANCING_CASH_SUPPL">"c1406"</definedName>
    <definedName name="IQ_FINISHED_INV">"c438"</definedName>
    <definedName name="IQ_FIRST_YEAR_LIFE">"c439"</definedName>
    <definedName name="IQ_FISCAL_Q">"c440"</definedName>
    <definedName name="IQ_FISCAL_Y">"c441"</definedName>
    <definedName name="IQ_FIVE_PERCENT_AMOUNT">"c240"</definedName>
    <definedName name="IQ_FIVE_PERCENT_OWNER">"c442"</definedName>
    <definedName name="IQ_FIVEPERCENT_OWNER">"c239"</definedName>
    <definedName name="IQ_FIVEPERCENT_PERCENT">"c443"</definedName>
    <definedName name="IQ_FIVEPERCENT_SHARES">"c444"</definedName>
    <definedName name="IQ_FIXED_ASSET_TURNS">"c445"</definedName>
    <definedName name="IQ_FIXED_INVEST_APR_FC_UNUSED_UNUSED_UNUSED">"c8410"</definedName>
    <definedName name="IQ_FIXED_INVEST_APR_UNUSED_UNUSED_UNUSED">"c7530"</definedName>
    <definedName name="IQ_FIXED_INVEST_FC_UNUSED_UNUSED_UNUSED">"c7750"</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UNUSED_UNUSED_UNUSED">"c6978"</definedName>
    <definedName name="IQ_FIXED_INVEST_REAL_YOY_FC_UNUSED_UNUSED_UNUSED">"c8298"</definedName>
    <definedName name="IQ_FIXED_INVEST_REAL_YOY_UNUSED_UNUSED_UNUSED">"c7418"</definedName>
    <definedName name="IQ_FIXED_INVEST_UNUSED_UNUSED_UNUSED">"c6870"</definedName>
    <definedName name="IQ_FIXED_INVEST_YOY_FC_UNUSED_UNUSED_UNUSED">"c8190"</definedName>
    <definedName name="IQ_FIXED_INVEST_YOY_UNUSED_UNUSED_UNUSED">"c7310"</definedName>
    <definedName name="IQ_FLOAT">"c225"</definedName>
    <definedName name="IQ_FLOAT_PERCENT">"c1575"</definedName>
    <definedName name="IQ_FOREIGN_BRANCHES_U.S._BANKS_LOANS_FDIC">"c6438"</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"504"</definedName>
    <definedName name="IQ_FWD_Q4">"505"</definedName>
    <definedName name="IQ_FWD_Q5">"506"</definedName>
    <definedName name="IQ_FWD_Q6">"507"</definedName>
    <definedName name="IQ_FWD_Q7">"508"</definedName>
    <definedName name="IQ_FWD1">"LTM"</definedName>
    <definedName name="IQ_FX">"c451"</definedName>
    <definedName name="IQ_FY">1000</definedName>
    <definedName name="IQ_FY_DATE">"IQ_FY_DATE"</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C_BNK">"c488"</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DIVID">"c1446"</definedName>
    <definedName name="IQ_GROSS_GW">"c519"</definedName>
    <definedName name="IQ_GROSS_INTAN">"c520"</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ROFIT">"c1378"</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G_REV_OTHER_CASINO">"c8721"</definedName>
    <definedName name="IQ_HG_REV_OTHER_HOTEL_MOTEL">"c8731"</definedName>
    <definedName name="IQ_HG_REV_TOTAL_CASINO_GAMING">"c8723"</definedName>
    <definedName name="IQ_HG_REV_TOTAL_HOTEL_MOTEL">"c8732"</definedName>
    <definedName name="IQ_HIGHPRICE">"c545"</definedName>
    <definedName name="IQ_HOMEOWNERS_WRITTEN">"c546"</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IMPAIR_OIL">"c547"</definedName>
    <definedName name="IQ_IMPAIRMENT_GW">"c548"</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YOY_FC_UNUSED_UNUSED_UNUSED">"c8304"</definedName>
    <definedName name="IQ_IMPORTS_GOODS_SERVICES_REAL_SAAR_YOY_UNUSED_UNUSED_UNUSED">"c7424"</definedName>
    <definedName name="IQ_IMPORTS_GOODS_SERVICES_UNUSED_UNUSED_UNUSED">"c6889"</definedName>
    <definedName name="IQ_IMPORTS_GOODS_SERVICES_YOY_FC_UNUSED_UNUSED_UNUSED">"c8209"</definedName>
    <definedName name="IQ_IMPORTS_GOODS_SERVICES_YOY_UNUSED_UNUSED_UNUSED">"c7329"</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"c1534"</definedName>
    <definedName name="IQ_INSIDER_3MTH_BOUGHT_PCT">"c1534"</definedName>
    <definedName name="IQ_INSIDER_3MTH_NET">"c1535"</definedName>
    <definedName name="IQ_INSIDER_3MTH_NET_PCT">"c1535"</definedName>
    <definedName name="IQ_INSIDER_3MTH_SOLD">"c1533"</definedName>
    <definedName name="IQ_INSIDER_3MTH_SOLD_PCT">"c1533"</definedName>
    <definedName name="IQ_INSIDER_6MTH_BOUGHT">"c1537"</definedName>
    <definedName name="IQ_INSIDER_6MTH_BOUGHT_PCT">"c1537"</definedName>
    <definedName name="IQ_INSIDER_6MTH_NET">"c1538"</definedName>
    <definedName name="IQ_INSIDER_6MTH_NET_PCT">"c1538"</definedName>
    <definedName name="IQ_INSIDER_6MTH_SOLD">"c1536"</definedName>
    <definedName name="IQ_INSIDER_6MTH_SOLD_PCT">"c1536"</definedName>
    <definedName name="IQ_INSIDER_AMOUNT">"c238"</definedName>
    <definedName name="IQ_INSIDER_OVER_TOTAL">"c1581"</definedName>
    <definedName name="IQ_INSIDER_OWNER">"c577"</definedName>
    <definedName name="IQ_INSIDER_PERCENT">"c578"</definedName>
    <definedName name="IQ_INSIDER_SHARES">"c579"</definedName>
    <definedName name="IQ_INSTITUTIONAL_AMOUNT">"c236"</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10K">"IQ_INTEREST_INC_10K"</definedName>
    <definedName name="IQ_INTEREST_INC_10Q">"IQ_INTEREST_INC_10Q"</definedName>
    <definedName name="IQ_INTEREST_INC_10Q1">"IQ_INTEREST_INC_10Q1"</definedName>
    <definedName name="IQ_INTEREST_INC_NON">"c1384"</definedName>
    <definedName name="IQ_INTEREST_INVEST_INC">"c619"</definedName>
    <definedName name="IQ_INTEREST_LT_DEBT">"c2086"</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M_SERVICES_APR_FC_UNUSED_UNUSED_UNUSED">"c8443"</definedName>
    <definedName name="IQ_ISM_SERVICES_APR_UNUSED_UNUSED_UNUSED">"c7563"</definedName>
    <definedName name="IQ_ISM_SERVICES_FC_UNUSED_UNUSED_UNUSED">"c7783"</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_DEBT_NET">"c1391"</definedName>
    <definedName name="IQ_ISS_STOCK_NET">"c1601"</definedName>
    <definedName name="IQ_LAND">"c645"</definedName>
    <definedName name="IQ_LAST_EBIT_MARGIN">"c151"</definedName>
    <definedName name="IQ_LAST_EBITDA_MARGIN">"c150"</definedName>
    <definedName name="IQ_LAST_GROSS_MARGIN">"c149"</definedName>
    <definedName name="IQ_LAST_NET_INC_MARGIN">"c152"</definedName>
    <definedName name="IQ_LAST_SPLIT_DATE">"c2095"</definedName>
    <definedName name="IQ_LAST_SPLIT_FACTOR">"c2093"</definedName>
    <definedName name="IQ_LASTSALEPRICE">"c646"</definedName>
    <definedName name="IQ_LASTSALEPRICE_DATE">"c2109"</definedName>
    <definedName name="IQ_LATEST">"1"</definedName>
    <definedName name="IQ_LATESTK" hidden="1">1000</definedName>
    <definedName name="IQ_LATESTKFR">"100"</definedName>
    <definedName name="IQ_LATESTQ" hidden="1">500</definedName>
    <definedName name="IQ_LATESTQFR">"50"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ICENSED_POPS">"c2123"</definedName>
    <definedName name="IQ_LIFOR">"c655"</definedName>
    <definedName name="IQ_LISTING_CURRENCY">"c2127"</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WPRICE">"c673"</definedName>
    <definedName name="IQ_LT_DEBT">"c674"</definedName>
    <definedName name="IQ_LT_DEBT_BNK">"c675"</definedName>
    <definedName name="IQ_LT_DEBT_BR">"c676"</definedName>
    <definedName name="IQ_LT_DEBT_CAPITAL">"c677"</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_SENIOR_DEBT">"c702"</definedName>
    <definedName name="IQ_LT_SUB_DEBT">"c703"</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DATE">"IQ_LTM_DATE"</definedName>
    <definedName name="IQ_LTM_REVENUE_OVER_EMPLOYEES">"c1437"</definedName>
    <definedName name="IQ_LTMMONTH" hidden="1">120000</definedName>
    <definedName name="IQ_MACHINERY">"c711"</definedName>
    <definedName name="IQ_MAINT_CAPEX_ACT_OR_EST">"c4458"</definedName>
    <definedName name="IQ_MAINT_REPAIR">"c2087"</definedName>
    <definedName name="IQ_MARKET_CAP_LFCF">"c2209"</definedName>
    <definedName name="IQ_MARKETCAP">"c712"</definedName>
    <definedName name="IQ_MARKETING">"c2239"</definedName>
    <definedName name="IQ_MARKTCAP">"c258"</definedName>
    <definedName name="IQ_MC_GA_MARGIN">"c9930"</definedName>
    <definedName name="IQ_MC_GA_OPERATING_REV">"c9929"</definedName>
    <definedName name="IQ_MC_MEDICAL_EXPENSE_RATIO">"c9927"</definedName>
    <definedName name="IQ_MC_SGA_MARGIN">"c9932"</definedName>
    <definedName name="IQ_MC_SGA_OPERATING_REV">"c9931"</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M_ACCOUNT">"c743"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MTD" hidden="1">800000</definedName>
    <definedName name="IQ_NAMES_REVISION_DATE_" hidden="1">45392.4641203704</definedName>
    <definedName name="IQ_NAV_ACT_OR_EST">"c2225"</definedName>
    <definedName name="IQ_NET_CHANGE">"c749"</definedName>
    <definedName name="IQ_NET_DEBT">"c1584"</definedName>
    <definedName name="IQ_NET_DEBT_EBITDA">"c750"</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INC">"c1394"</definedName>
    <definedName name="IQ_NET_INC_10K">"IQ_NET_INC_10K"</definedName>
    <definedName name="IQ_NET_INC_10Q">"IQ_NET_INC_10Q"</definedName>
    <definedName name="IQ_NET_INC_10Q1">"IQ_NET_INC_10Q1"</definedName>
    <definedName name="IQ_NET_INC_BEFORE">"c1368"</definedName>
    <definedName name="IQ_NET_INC_CF">"c1397"</definedName>
    <definedName name="IQ_NET_INC_GROWTH_1">"c158"</definedName>
    <definedName name="IQ_NET_INC_GROWTH_2">"c162"</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UNUSED_UNUSED_UNUSED">"c6928"</definedName>
    <definedName name="IQ_NONRES_FIXED_INVEST_PRIV_YOY_FC_UNUSED_UNUSED_UNUSED">"c8248"</definedName>
    <definedName name="IQ_NONRES_FIXED_INVEST_PRIV_YOY_UNUSED_UNUSED_UNUSED">"c7368"</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_OFFICES">"c2088"</definedName>
    <definedName name="IQ_NUMBER_ADRHOLDERS">"c1970"</definedName>
    <definedName name="IQ_NUMBER_DAYS">"c1904"</definedName>
    <definedName name="IQ_NUMBER_SHAREHOLDERS">"c1967"</definedName>
    <definedName name="IQ_NUMBER_SHAREHOLDERS_CLASSA">"c1968"</definedName>
    <definedName name="IQ_NUMBER_SHAREHOLDERS_CLASSB">"c1969"</definedName>
    <definedName name="IQ_NUMBER_SHAREHOLDERS_OTHER">"c1969"</definedName>
    <definedName name="IQ_OCCUPY_EXP">"c839"</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CLOSE_BALANCE_GAS">"c2049"</definedName>
    <definedName name="IQ_OG_CLOSE_BALANCE_OIL">"c2037"</definedName>
    <definedName name="IQ_OG_DAILY_PRDUCTION_GROWTH_GAS">"c10073"</definedName>
    <definedName name="IQ_OG_DAILY_PRDUCTION_GROWTH_GAS_EQUIVALENT">"c10076"</definedName>
    <definedName name="IQ_OG_DAILY_PRDUCTION_GROWTH_NGL">"c10074"</definedName>
    <definedName name="IQ_OG_DAILY_PRDUCTION_GROWTH_OIL">"c10072"</definedName>
    <definedName name="IQ_OG_DAILY_PRDUCTION_GROWTH_OIL_EQUIVALENT">"c10075"</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OIL">"c2029"</definedName>
    <definedName name="IQ_OG_OTHER_ADJ">"c1999"</definedName>
    <definedName name="IQ_OG_OTHER_ADJ_FCF">"c1999"</definedName>
    <definedName name="IQ_OG_OTHER_ADJ_FCF_GAS">"c2019"</definedName>
    <definedName name="IQ_OG_OTHER_ADJ_FCF_OIL">"c2009"</definedName>
    <definedName name="IQ_OG_OTHER_ADJ_GAS">"c2048"</definedName>
    <definedName name="IQ_OG_OTHER_ADJ_OIL">"c2036"</definedName>
    <definedName name="IQ_OG_OTHER_COSTS">"c1979"</definedName>
    <definedName name="IQ_OG_OTHER_COSTS_GAS">"c1991"</definedName>
    <definedName name="IQ_OG_OTHER_COSTS_OIL">"c1985"</definedName>
    <definedName name="IQ_OG_PRDUCTION_GROWTH_GAS">"c10067"</definedName>
    <definedName name="IQ_OG_PRDUCTION_GROWTH_GAS_EQUIVALENT">"c10070"</definedName>
    <definedName name="IQ_OG_PRDUCTION_GROWTH_NGL">"c10068"</definedName>
    <definedName name="IQ_OG_PRDUCTION_GROWTH_OIL">"c10066"</definedName>
    <definedName name="IQ_OG_PRDUCTION_GROWTH_OIL_EQUIVALENT">"c10069"</definedName>
    <definedName name="IQ_OG_PRDUCTION_GROWTH_TOAL">"c10071"</definedName>
    <definedName name="IQ_OG_PRODUCTION_GAS">"c2047"</definedName>
    <definedName name="IQ_OG_PRODUCTION_OIL">"c2035"</definedName>
    <definedName name="IQ_OG_PURCHASES_GAS">"c2045"</definedName>
    <definedName name="IQ_OG_PURCHASES_OIL">"c2033"</definedName>
    <definedName name="IQ_OG_REVISIONS_GAS">"c2042"</definedName>
    <definedName name="IQ_OG_REVISIONS_OIL">"c2030"</definedName>
    <definedName name="IQ_OG_SALES_IN_PLACE_GAS">"c2046"</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ON">"c2059"</definedName>
    <definedName name="IQ_OG_UNDEVELOPED_RESERVES_GAS">"c2051"</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1</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CERCISED">"c2116"</definedName>
    <definedName name="IQ_OPTIONS_EXERCISED">"c2116"</definedName>
    <definedName name="IQ_OPTIONS_ISSUED">"c857"</definedName>
    <definedName name="IQ_OPTIONS_OS">"c858"</definedName>
    <definedName name="IQ_ORDER_BACKLOG">"c2090"</definedName>
    <definedName name="IQ_OTHER_ADJUST_GROSS_LOANS">"c859"</definedName>
    <definedName name="IQ_OTHER_AMORT_BR">"c5566"</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UTSTANDING_BS_DATE">"c2128"</definedName>
    <definedName name="IQ_OUTSTANDING_FILING_DATE">"c2127"</definedName>
    <definedName name="IQ_OUTSTANDING_FILING_DATE_TOTAL">"c2107"</definedName>
    <definedName name="IQ_PART_TIME">"c1024"</definedName>
    <definedName name="IQ_PAY_ACCRUED">"c1457"</definedName>
    <definedName name="IQ_PAYOUT_RATIO">"c1900"</definedName>
    <definedName name="IQ_PBV">"c1025"</definedName>
    <definedName name="IQ_PBV_AVG">"c1026"</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NSION">"c1031"</definedName>
    <definedName name="IQ_PERCENT_CHANGE_EST_FFO_12MONTHS">"c1828"</definedName>
    <definedName name="IQ_PERCENT_CHANGE_EST_FFO_12MONTHS_CIQ">"c3769"</definedName>
    <definedName name="IQ_PERCENT_CHANGE_EST_FFO_12MONTHS_REUT">"c3938"</definedName>
    <definedName name="IQ_PERCENT_CHANGE_EST_FFO_12MONTHS_THOM">"c5248"</definedName>
    <definedName name="IQ_PERCENT_CHANGE_EST_FFO_18MONTHS">"c1829"</definedName>
    <definedName name="IQ_PERCENT_CHANGE_EST_FFO_18MONTHS_CIQ">"c3770"</definedName>
    <definedName name="IQ_PERCENT_CHANGE_EST_FFO_18MONTHS_REUT">"c3939"</definedName>
    <definedName name="IQ_PERCENT_CHANGE_EST_FFO_18MONTHS_THOM">"c5249"</definedName>
    <definedName name="IQ_PERCENT_CHANGE_EST_FFO_3MONTHS">"c1825"</definedName>
    <definedName name="IQ_PERCENT_CHANGE_EST_FFO_3MONTHS_CIQ">"c3766"</definedName>
    <definedName name="IQ_PERCENT_CHANGE_EST_FFO_3MONTHS_REUT">"c3935"</definedName>
    <definedName name="IQ_PERCENT_CHANGE_EST_FFO_3MONTHS_THOM">"c5245"</definedName>
    <definedName name="IQ_PERCENT_CHANGE_EST_FFO_6MONTHS">"c1826"</definedName>
    <definedName name="IQ_PERCENT_CHANGE_EST_FFO_6MONTHS_CIQ">"c3767"</definedName>
    <definedName name="IQ_PERCENT_CHANGE_EST_FFO_6MONTHS_REUT">"c3936"</definedName>
    <definedName name="IQ_PERCENT_CHANGE_EST_FFO_6MONTHS_THOM">"c5246"</definedName>
    <definedName name="IQ_PERCENT_CHANGE_EST_FFO_9MONTHS">"c1827"</definedName>
    <definedName name="IQ_PERCENT_CHANGE_EST_FFO_9MONTHS_CIQ">"c3768"</definedName>
    <definedName name="IQ_PERCENT_CHANGE_EST_FFO_9MONTHS_REUT">"c3937"</definedName>
    <definedName name="IQ_PERCENT_CHANGE_EST_FFO_9MONTHS_THOM">"c5247"</definedName>
    <definedName name="IQ_PERCENT_CHANGE_EST_FFO_DAY">"c1822"</definedName>
    <definedName name="IQ_PERCENT_CHANGE_EST_FFO_DAY_CIQ">"c3764"</definedName>
    <definedName name="IQ_PERCENT_CHANGE_EST_FFO_DAY_REUT">"c3933"</definedName>
    <definedName name="IQ_PERCENT_CHANGE_EST_FFO_DAY_THOM">"c5243"</definedName>
    <definedName name="IQ_PERCENT_CHANGE_EST_FFO_MONTH">"c1824"</definedName>
    <definedName name="IQ_PERCENT_CHANGE_EST_FFO_MONTH_CIQ">"c3765"</definedName>
    <definedName name="IQ_PERCENT_CHANGE_EST_FFO_MONTH_REUT">"c3934"</definedName>
    <definedName name="IQ_PERCENT_CHANGE_EST_FFO_MONTH_THOM">"c5244"</definedName>
    <definedName name="IQ_PERCENT_CHANGE_EST_FFO_WEEK">"c1823"</definedName>
    <definedName name="IQ_PERCENT_CHANGE_EST_FFO_WEEK_CIQ">"c3795"</definedName>
    <definedName name="IQ_PERCENT_CHANGE_EST_FFO_WEEK_REUT">"c3964"</definedName>
    <definedName name="IQ_PERCENT_CHANGE_EST_FFO_WEEK_THOM">"c5274"</definedName>
    <definedName name="IQ_PERCENT_FLOAT">"c227"</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HARMBIO_NUMBER_PROD__APPROVED_DURING_PERIOD">"c10027"</definedName>
    <definedName name="IQ_PHARMBIO_NUMBER_PROD__CLINICAL_DEV">"c10022"</definedName>
    <definedName name="IQ_PHARMBIO_NUMBER_PROD__LAUNCHED_DURING_PERIOD">"c10028"</definedName>
    <definedName name="IQ_PHARMBIO_NUMBER_PROD__PHASE_I">"c10023"</definedName>
    <definedName name="IQ_PHARMBIO_NUMBER_PROD__PHASE_II">"c10024"</definedName>
    <definedName name="IQ_PHARMBIO_NUMBER_PROD__PHASE_III">"c10025"</definedName>
    <definedName name="IQ_PHARMBIO_NUMBER_PROD__PRE_CLINICAL_TRIALS">"c10021"</definedName>
    <definedName name="IQ_PHARMBIO_NUMBER_PROD__PRE_REGISTRATION">"c10026"</definedName>
    <definedName name="IQ_PHARMBIO_NUMBER_PROD__RESEARCH_DEV">"c10020"</definedName>
    <definedName name="IQ_PLL">"c2114"</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INC">"c16"</definedName>
    <definedName name="IQ_PRETAX_INC_10K">"IQ_PRETAX_INC_10K"</definedName>
    <definedName name="IQ_PRETAX_INC_10Q">"IQ_PRETAX_INC_10Q"</definedName>
    <definedName name="IQ_PRETAX_INC_10Q1">"IQ_PRETAX_INC_10Q1"</definedName>
    <definedName name="IQ_PRICE_OVER_BVPS">"c1412"</definedName>
    <definedName name="IQ_PRICE_OVER_EPS_EST">"c174"</definedName>
    <definedName name="IQ_PRICE_OVER_EPS_EST_1">"c175"</definedName>
    <definedName name="IQ_PRICE_OVER_LTM_EPS">"c1413"</definedName>
    <definedName name="IQ_PRICE_TARGET">"c82"</definedName>
    <definedName name="IQ_PRICEDATE">"c1069"</definedName>
    <definedName name="IQ_PRICEDATETIME">"IQ_PRICEDATETIME"</definedName>
    <definedName name="IQ_PRICING_DATE">"c1613"</definedName>
    <definedName name="IQ_PRIMARY_EPS_TYPE_THOM">"c5297"</definedName>
    <definedName name="IQ_PRIMARY_INDUSTRY">"c1070"</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QTD" hidden="1">750000</definedName>
    <definedName name="IQ_QUICK_RATIO">"c1086"</definedName>
    <definedName name="IQ_RATE_COMP_GROWTH_DOMESTIC">"c1087"</definedName>
    <definedName name="IQ_RATE_COMP_GROWTH_FOREIGN">"c1088"</definedName>
    <definedName name="IQ_RAW_INV">"c1089"</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VG_STORE_SIZE_GROSS">"c2066"</definedName>
    <definedName name="IQ_RETAIL_AVG_STORE_SIZE_NET">"c2067"</definedName>
    <definedName name="IQ_RETAIL_CLOSED_STORES">"c2063"</definedName>
    <definedName name="IQ_RETAIL_OPENED_STORES">"c2062"</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Q_FOOTAGE">"c2064"</definedName>
    <definedName name="IQ_RETAIL_STORE_SELLING_AREA">"c2065"</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STDDEV_EST">"c1124"</definedName>
    <definedName name="IQ_REV_UTI">"c1125"</definedName>
    <definedName name="IQ_REVENUE">"c1422"</definedName>
    <definedName name="IQ_REVENUE_10K">"IQ_REVENUE_10K"</definedName>
    <definedName name="IQ_REVENUE_10Q">"IQ_REVENUE_10Q"</definedName>
    <definedName name="IQ_REVENUE_10Q1">"IQ_REVENUE_10Q1"</definedName>
    <definedName name="IQ_REVENUE_EST">"c1126"</definedName>
    <definedName name="IQ_REVENUE_EST_1">"c190"</definedName>
    <definedName name="IQ_REVENUE_GROWTH_1">"c155"</definedName>
    <definedName name="IQ_REVENUE_GROWTH_2">"c159"</definedName>
    <definedName name="IQ_REVENUE_HIGH_EST">"c1127"</definedName>
    <definedName name="IQ_REVENUE_LOW_EST">"c1128"</definedName>
    <definedName name="IQ_REVENUE_NO_EST">"c263"</definedName>
    <definedName name="IQ_REVENUE_NUM_EST">"c1129"</definedName>
    <definedName name="IQ_REVOLVING_SECURED_1_–4_NON_ACCRUAL_FFIEC" hidden="1">"c15565"</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VING_DEP">"c1150"</definedName>
    <definedName name="IQ_SECUR_RECEIV">"c1151"</definedName>
    <definedName name="IQ_SECURITY_BORROW">"c1152"</definedName>
    <definedName name="IQ_SECURITY_OWN">"c1153"</definedName>
    <definedName name="IQ_SECURITY_RESELL">"c1154"</definedName>
    <definedName name="IQ_SEMI_BACKLOG_UNITS">"c10005"</definedName>
    <definedName name="IQ_SEMI_BOOKINGS_AVG_PRICE">"c10002"</definedName>
    <definedName name="IQ_SEMI_BOOKINGS_UNITS">"c10001"</definedName>
    <definedName name="IQ_SEMI_BOOKINGS_VALUE">"c10003"</definedName>
    <definedName name="IQ_SEMI_BOOKINGS_VALUE_CHANGE">"c10004"</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INTEREST_VOLUME">"c228"</definedName>
    <definedName name="IQ_SHORT_TERM_INVEST">"c1425"</definedName>
    <definedName name="IQ_SMALL_INT_BEAR_CD">"c1166"</definedName>
    <definedName name="IQ_SOFTWARE">"c1167"</definedName>
    <definedName name="IQ_SOURCE">"c1168"</definedName>
    <definedName name="IQ_SP_ISSUE_LC_ACTION">"c2644"</definedName>
    <definedName name="IQ_SP_ISSUE_LC_DATE">"c2643"</definedName>
    <definedName name="IQ_SP_ISSUE_LC_LT">"c2645"</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CF">"c1203"</definedName>
    <definedName name="IQ_STOCK_BASED_COGS_FIN">"c2998"</definedName>
    <definedName name="IQ_STOCK_BASED_COGS_UTIL">"c2997"</definedName>
    <definedName name="IQ_STRIKE_PRICE_ISSUED">"c1645"</definedName>
    <definedName name="IQ_STRIKE_PRICE_OS">"c1646"</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RGET_PRICE_LASTCLOSE">"c1855"</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V">"c1219"</definedName>
    <definedName name="IQ_TEV_EBIT">"c1220"</definedName>
    <definedName name="IQ_TEV_EBIT_AVG">"c1221"</definedName>
    <definedName name="IQ_TEV_EBITDA">"c1222"</definedName>
    <definedName name="IQ_TEV_EBITDA_AVG">"c1223"</definedName>
    <definedName name="IQ_TEV_EBITDA_FWD">"c1224"</definedName>
    <definedName name="IQ_TEV_EMPLOYEE_AVG">"c1225"</definedName>
    <definedName name="IQ_TEV_TOTAL_REV">"c1226"</definedName>
    <definedName name="IQ_TEV_TOTAL_REV_AVG">"c1227"</definedName>
    <definedName name="IQ_TEV_TOTAL_REV_FWD">"c1228"</definedName>
    <definedName name="IQ_TEV_UFCF">"c2208"</definedName>
    <definedName name="IQ_TIER_ONE_RATIO">"c1229"</definedName>
    <definedName name="IQ_TIME_DEP">"c1230"</definedName>
    <definedName name="IQ_TODAY" hidden="1">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DUE">"c2509"</definedName>
    <definedName name="IQ_TOTAL_DEBT_EBITDA">"c1249"</definedName>
    <definedName name="IQ_TOTAL_DEBT_EQUITY">"c1250"</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THER_OPER">"c1289"</definedName>
    <definedName name="IQ_TOTAL_OUTSTANDING_BS_DATE">"c1022"</definedName>
    <definedName name="IQ_TOTAL_OUTSTANDING_FILING_DATE">"c2107"</definedName>
    <definedName name="IQ_TOTAL_PENSION_ASSETS">"c1290"</definedName>
    <definedName name="IQ_TOTAL_PENSION_EXP">"c1291"</definedName>
    <definedName name="IQ_TOTAL_PENSION_OBLIGATION">"c1292"</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S">"c2119"</definedName>
    <definedName name="IQ_TOTAL_UNUSUAL">"c1508"</definedName>
    <definedName name="IQ_TOTAL_UNUSUAL_BR">"c5517"</definedName>
    <definedName name="IQ_TR_BUY_ADVISORS">"c2387"</definedName>
    <definedName name="IQ_TR_SELL_ADVISORS">"c2388"</definedName>
    <definedName name="IQ_TR_SUBDEBT">"c2370"</definedName>
    <definedName name="IQ_TR_TARGET_ADVISORS">"c2386"</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USUAL_EXP">"c1456"</definedName>
    <definedName name="IQ_US_GAAP">"c1331"</definedName>
    <definedName name="IQ_US_GAAP_CA">"c2930"</definedName>
    <definedName name="IQ_US_GAAP_CL">"c2932"</definedName>
    <definedName name="IQ_US_GAAP_COST_REV">"c2965"</definedName>
    <definedName name="IQ_US_GAAP_DO">"c2973"</definedName>
    <definedName name="IQ_US_GAAP_EXTRA_ACC_ITEMS">"c2972"</definedName>
    <definedName name="IQ_US_GAAP_INC_TAX">"c2975"</definedName>
    <definedName name="IQ_US_GAAP_INTEREST_EXP">"c2971"</definedName>
    <definedName name="IQ_US_GAAP_LIAB_LT">"c2933"</definedName>
    <definedName name="IQ_US_GAAP_MINORITY_INTEREST_IS">"c2974"</definedName>
    <definedName name="IQ_US_GAAP_NCA">"c2931"</definedName>
    <definedName name="IQ_US_GAAP_NI_AVAIL_EXCL">"c2977"</definedName>
    <definedName name="IQ_US_GAAP_OTHER_NON_OPER">"c2969"</definedName>
    <definedName name="IQ_US_GAAP_OTHER_OPER">"c2968"</definedName>
    <definedName name="IQ_US_GAAP_RD">"c2967"</definedName>
    <definedName name="IQ_US_GAAP_SGA">"c2966"</definedName>
    <definedName name="IQ_US_GAAP_TOTAL_REV">"c2964"</definedName>
    <definedName name="IQ_US_GAAP_TOTAL_UNUSUAL">"c2970"</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EEK">50000</definedName>
    <definedName name="IQ_WEIGHTED_AVG_PRICE">"c1334"</definedName>
    <definedName name="IQ_WIP_INV">"c1335"</definedName>
    <definedName name="IQ_WORKMEN_WRITTEN">"c1336"</definedName>
    <definedName name="IQ_XDIV_DATE">"c2104"</definedName>
    <definedName name="IQ_YEARHIGH">"c1337"</definedName>
    <definedName name="IQ_YEARLOW">"c1338"</definedName>
    <definedName name="IQ_YTD">3000</definedName>
    <definedName name="IQ_YTDMONTH" hidden="1">130000</definedName>
    <definedName name="IQ_Z_SCORE">"c1339"</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J14" hidden="1">'CIQ ID Locater'!$K$14:$O$14</definedName>
    <definedName name="IQRCIQIDLocaterJ15" hidden="1">'CIQ ID Locater'!$K$15:$O$15</definedName>
    <definedName name="IQRCIQIDLocaterJ16" hidden="1">'CIQ ID Locater'!$K$16:$O$16</definedName>
    <definedName name="IQRCIQIDLocaterJ17" hidden="1">'CIQ ID Locater'!$K$17:$O$17</definedName>
    <definedName name="IQRCIQIDLocaterJ18" hidden="1">'CIQ ID Locater'!$K$18:$O$18</definedName>
    <definedName name="IQRCIQIDLocaterJ19" hidden="1">'CIQ ID Locater'!$K$19:$O$19</definedName>
    <definedName name="IQRCIQIDLocaterJ20" hidden="1">'CIQ ID Locater'!$K$20:$O$20</definedName>
    <definedName name="IQRCIQIDLocaterJ21" hidden="1">'CIQ ID Locater'!$K$21:$O$21</definedName>
    <definedName name="IQRCIQIDLocaterJ22" hidden="1">'CIQ ID Locater'!$K$22:$O$22</definedName>
    <definedName name="IQRCIQIDLocaterJ23" hidden="1">'CIQ ID Locater'!$K$23:$O$23</definedName>
    <definedName name="IQRCIQIDLocaterJ24" hidden="1">'CIQ ID Locater'!$K$24:$O$24</definedName>
    <definedName name="IQRCIQIDLocaterJ25" hidden="1">'CIQ ID Locater'!$K$25:$O$25</definedName>
    <definedName name="IQRCIQIDLocaterJ26" hidden="1">'CIQ ID Locater'!$K$26:$O$26</definedName>
    <definedName name="IQRCIQIDLocaterJ27" hidden="1">'CIQ ID Locater'!$K$27:$O$27</definedName>
    <definedName name="IQRCIQIDLocaterJ28" hidden="1">'CIQ ID Locater'!$K$28:$O$28</definedName>
    <definedName name="IQRCIQIDLocaterJ29" hidden="1">'CIQ ID Locater'!$K$29:$L$29</definedName>
    <definedName name="IQRCIQIDLocaterJ30" hidden="1">'CIQ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IQIDLocaterP14" hidden="1">'CIQ ID Locater'!$Q$14:$U$14</definedName>
    <definedName name="IQRCIQIDLocaterP15" hidden="1">'CIQ ID Locater'!$Q$15:$U$15</definedName>
    <definedName name="IQRCIQIDLocaterP16" hidden="1">'CIQ ID Locater'!$Q$16:$U$16</definedName>
    <definedName name="IQRCIQIDLocaterP17" hidden="1">'CIQ ID Locater'!$Q$17:$U$17</definedName>
    <definedName name="IQRCIQIDLocaterP18" hidden="1">'CIQ ID Locater'!$Q$18:$U$18</definedName>
    <definedName name="IQRCIQIDLocaterP19" hidden="1">'CIQ ID Locater'!$Q$19:$U$19</definedName>
    <definedName name="IQRCIQIDLocaterP20" hidden="1">'CIQ ID Locater'!$Q$20:$U$20</definedName>
    <definedName name="IQRCIQIDLocaterP21" hidden="1">'CIQ ID Locater'!$Q$21:$U$21</definedName>
    <definedName name="IQRCIQIDLocaterP22" hidden="1">'CIQ ID Locater'!$Q$22:$U$22</definedName>
    <definedName name="IQRCIQIDLocaterP23" hidden="1">'CIQ ID Locater'!$Q$23:$U$23</definedName>
    <definedName name="IQRCIQIDLocaterP24" hidden="1">'CIQ ID Locater'!$Q$24:$U$24</definedName>
    <definedName name="IQRCIQIDLocaterP25" hidden="1">'CIQ ID Locater'!$Q$25:$U$25</definedName>
    <definedName name="IQRCIQIDLocaterP26" hidden="1">'CIQ ID Locater'!$Q$26:$U$26</definedName>
    <definedName name="IQRCIQIDLocaterP27" hidden="1">'CIQ ID Locater'!$Q$27:$U$27</definedName>
    <definedName name="IQRCIQIDLocaterP28" hidden="1">'CIQ ID Locater'!$Q$28:$U$28</definedName>
    <definedName name="IQRCIQIDLocaterP29" hidden="1">'CIQ ID Locater'!$Q$29:$R$29</definedName>
    <definedName name="IQRCIQIDLocaterP30" hidden="1">'CIQ ID Locater'!$Q$30</definedName>
    <definedName name="IQRCompaniesH12">'CIQ ID Locater'!#REF!</definedName>
    <definedName name="IQRCompaniesH13">'CIQ ID Locater'!$K$13:$O$13</definedName>
    <definedName name="IQRCompaniesH14">'CIQ ID Locater'!$K$14:$O$14</definedName>
    <definedName name="IQRCompaniesH15">'CIQ ID Locater'!$K$15:$O$15</definedName>
    <definedName name="IQRCompaniesH16">'CIQ ID Locater'!#REF!</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2">'CIQ ID Locater'!#REF!</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2">'CIQ ID Locater'!#REF!</definedName>
    <definedName name="IQRCompaniesN13">'CIQ ID Locater'!$Q$13:$U$13</definedName>
    <definedName name="IQRCompaniesN14">'CIQ ID Locater'!$Q$14:$U$14</definedName>
    <definedName name="IQRCompaniesN15">'CIQ ID Locater'!$Q$15:$U$15</definedName>
    <definedName name="IQRCompaniesN16">'CIQ ID Locater'!#REF!</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2">'CIQ ID Locater'!#REF!</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2">'CIQ ID Locater'!#REF!</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2">'CIQ ID Locater'!#REF!</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Comps1F7">[12]Comps!#REF!</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 localSheetId="11">"$O$14"</definedName>
    <definedName name="IQRN14">"$N$15:$N$22"</definedName>
    <definedName name="IQRN15">"$O$15:$S$15"</definedName>
    <definedName name="IQRN16" localSheetId="11">"$O$16:$S$16"</definedName>
    <definedName name="IQRN16">"$N$17:$N$24"</definedName>
    <definedName name="IQRN17" localSheetId="11">"$O$17:$S$17"</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2">'CIQ ID Locater'!#REF!</definedName>
    <definedName name="IQRSheet1H13">'CIQ ID Locater'!$K$13:$O$13</definedName>
    <definedName name="IQRSheet1H14">'CIQ ID Locater'!$K$14</definedName>
    <definedName name="IQRSheet1H15">'CIQ ID Locater'!$K$15:$O$15</definedName>
    <definedName name="IQRSheet1H16">'CIQ ID Locater'!#REF!</definedName>
    <definedName name="IQRSheet1H17">'CIQ ID Locater'!$K$16:$O$16</definedName>
    <definedName name="IQRSheet1H18">'CIQ ID Locater'!$K$17:$O$17</definedName>
    <definedName name="IQRSheet1H19">'CIQ ID Locater'!$K$18:$O$18</definedName>
    <definedName name="IQRSheet1H20">'CIQ ID Locater'!$K$19:$O$19</definedName>
    <definedName name="IQRSheet1I12">'CIQ ID Locater'!#REF!</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J12">'CIQ ID Locater'!#REF!</definedName>
    <definedName name="IQRSheet1N12">'CIQ ID Locater'!#REF!</definedName>
    <definedName name="IQRSheet1N13">'CIQ ID Locater'!$Q$13:$U$13</definedName>
    <definedName name="IQRSheet1N14">'CIQ ID Locater'!$Q$14</definedName>
    <definedName name="IQRSheet1N15">'CIQ ID Locater'!$Q$15:$U$15</definedName>
    <definedName name="IQRSheet1N16">'CIQ ID Locater'!#REF!</definedName>
    <definedName name="IQRSheet1N17">'CIQ ID Locater'!$Q$16:$U$16</definedName>
    <definedName name="IQRSheet1N18">'CIQ ID Locater'!$Q$17:$U$17</definedName>
    <definedName name="IQRSheet1N19">'CIQ ID Locater'!$Q$18:$U$18</definedName>
    <definedName name="IQRSheet1N20">'CIQ ID Locater'!$Q$19:$U$19</definedName>
    <definedName name="IQRSheet1O12">'CIQ ID Locater'!#REF!</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 localSheetId="11">Cover!$F$26</definedName>
    <definedName name="Last_FQR">Cover!$F$26</definedName>
    <definedName name="Last_FYE" localSheetId="11">Cover!$F$24</definedName>
    <definedName name="Last_FYE">Cover!$F$24</definedName>
    <definedName name="lc">'[3]2010 Labor Rates 091130'!$A$356</definedName>
    <definedName name="lcid">'[3]2010 Labor Rates 091130'!$E$363</definedName>
    <definedName name="Line_Items" localSheetId="11">Model!$C$25:$C$160</definedName>
    <definedName name="Line_Items">Model!$C$25:$C$160</definedName>
    <definedName name="ListOffset">1</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b_inputLocation">#REF!</definedName>
    <definedName name="mc09salary">[3]Salaries!$G$27</definedName>
    <definedName name="MerrillPrintIt">[6]!MerrillPrintIt</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[6]!ChangeRange</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wJSECcustomer">{#N/A,#N/A,FALSE,"Title Page";#N/A,#N/A,FALSE,"Conclusions";#N/A,#N/A,FALSE,"Assum.";#N/A,#N/A,FALSE,"Sun  DCF-WC-Dep";#N/A,#N/A,FALSE,"MarketValue";#N/A,#N/A,FALSE,"BalSheet";#N/A,#N/A,FALSE,"WACC";#N/A,#N/A,FALSE,"PC+ Info.";#N/A,#N/A,FALSE,"PC+Info_2"}</definedName>
    <definedName name="NewRange">[6]!NewRange</definedName>
    <definedName name="Next_FYE" localSheetId="11">Cover!$F$25</definedName>
    <definedName name="Next_FYE">Cover!$F$25</definedName>
    <definedName name="novpto">[3]Vacation!$P$56</definedName>
    <definedName name="NTM_Earnings">Model!$U$45:$X$45</definedName>
    <definedName name="NTM_EBITDA" localSheetId="11">Model!$U$61:$X$61</definedName>
    <definedName name="NTM_EBITDA">Valuation!$F$132</definedName>
    <definedName name="NTM_EPS" localSheetId="11">Model!$U$54:$X$54</definedName>
    <definedName name="NTM_EPS">Valuation!$F$131</definedName>
    <definedName name="Number_of_Payments">MATCH(0.01,End_Bal,-1)+1</definedName>
    <definedName name="octpto">[3]Vacation!$O$56</definedName>
    <definedName name="ohtotalbonus">[3]Salaries!$P$68</definedName>
    <definedName name="ok">{"Opsys",#N/A,FALSE,"NPV_OPsys";"NT",#N/A,FALSE,"NPV_NT";"DevP",#N/A,FALSE,"NPV_DevPdt";"Office",#N/A,FALSE,"NPV_Office"}</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ayment_Date">DATE(YEAR(Loan_Start),MONTH(Loan_Start)+Payment_Number,DAY(Loan_Start))</definedName>
    <definedName name="PCCnewcustomer">{#N/A,#N/A,FALSE,"Title Page";#N/A,#N/A,FALSE,"Conclusions";#N/A,#N/A,FALSE,"Assum.";#N/A,#N/A,FALSE,"Sun  DCF-WC-Dep";#N/A,#N/A,FALSE,"MarketValue";#N/A,#N/A,FALSE,"BalSheet";#N/A,#N/A,FALSE,"WACC";#N/A,#N/A,FALSE,"PC+ Info.";#N/A,#N/A,FALSE,"PC+Info_2"}</definedName>
    <definedName name="PeerGroup2_Cyclical_Valuation_Data" localSheetId="11">'[7]Multiples Data'!$C$58:$H$70</definedName>
    <definedName name="PeerGroup2_Cyclical_Valuation_Data">'Multiples Data'!$C$58:$H$70</definedName>
    <definedName name="PeerGroup3_Cyclical_Valuation_Data" localSheetId="11">'[7]Multiples Data'!$C$80:$H$93</definedName>
    <definedName name="PeerGroup3_Cyclical_Valuation_Data">'Multiples Data'!$C$80:$H$92</definedName>
    <definedName name="Primary_Peer_Cyclical_Valuation_Data" localSheetId="11">'[7]Multiples Data'!$C$36:$H$48</definedName>
    <definedName name="Primary_Peer_Cyclical_Valuation_Data">'Multiples Data'!$C$36:$H$48</definedName>
    <definedName name="Print_Area_Reset">OFFSET(Full_Print,0,0,Last_Row)</definedName>
    <definedName name="qeeee">{"Page1",#N/A,FALSE,"CompCo";"Page2",#N/A,FALSE,"CompCo"}</definedName>
    <definedName name="qeqe">{"Page1",#N/A,FALSE,"CompCo";"Page2",#N/A,FALSE,"CompCo"}</definedName>
    <definedName name="qerqwer">{TRUE,TRUE,-1.25,-15.5,604.5,369,FALSE,FALSE,TRUE,TRUE,0,1,#N/A,41,#N/A,20.5555555555556,27.0714285714286,1,FALSE,FALSE,3,TRUE,1,FALSE,80,"Swvu.summary2.","ACwvu.summary2.",#N/A,FALSE,FALSE,0.5,0.5,0.5,0.5,2,"&amp;F","&amp;A&amp;RPage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ewqe">{"Page1",#N/A,FALSE,"CompCo";"Page2",#N/A,FALSE,"CompCo"}</definedName>
    <definedName name="qewrqw">{TRUE,TRUE,-1.25,-15.5,604.5,369,FALSE,FALSE,TRUE,TRUE,0,1,#N/A,1,#N/A,20.5555555555556,28.9285714285714,1,FALSE,FALSE,3,TRUE,1,FALSE,80,"Swvu.summary1.","ACwvu.summary1.",#N/A,FALSE,FALSE,0.5,0.5,0.5,0.5,2,"&amp;F","&amp;L&amp;D&amp;C&amp;A&amp;RPage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qewrqwer">{"inputs raw data",#N/A,TRUE,"INPUT"}</definedName>
    <definedName name="qewrwe">{"summary1",#N/A,TRUE,"Comps";"summary2",#N/A,TRUE,"Comps";"summary3",#N/A,TRUE,"Comps"}</definedName>
    <definedName name="qewrwer">{TRUE,TRUE,-1.25,-15.5,604.5,369,FALSE,FALSE,TRUE,TRUE,0,1,#N/A,91,#N/A,20.5555555555556,24.8571428571429,1,FALSE,FALSE,3,TRUE,1,FALSE,80,"Swvu.summary3.","ACwvu.summary3.",#N/A,FALSE,FALSE,0.5,0.5,0.5,0.5,2,"&amp;F","&amp;A&amp;RPage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qqqq">{"multiple",#N/A,FALSE,"client";"margins",#N/A,FALSE,"client";"data",#N/A,FALSE,"client"}</definedName>
    <definedName name="question">[8]Sheet2!$D$6:$D$7</definedName>
    <definedName name="qweqe">{"multiple",#N/A,FALSE,"client (4)";"margins",#N/A,FALSE,"client (4)";"data",#N/A,FALSE,"client (4)"}</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ality">{#N/A,#N/A,FALSE,"Title Page";#N/A,#N/A,FALSE,"Conclusions";#N/A,#N/A,FALSE,"Assum.";#N/A,#N/A,FALSE,"Sun  DCF-WC-Dep";#N/A,#N/A,FALSE,"MarketValue";#N/A,#N/A,FALSE,"BalSheet";#N/A,#N/A,FALSE,"WACC";#N/A,#N/A,FALSE,"PC+ Info.";#N/A,#N/A,FALSE,"PC+Info_2"}</definedName>
    <definedName name="RedefinePrintTableRange">[6]!RedefinePrintTableRange</definedName>
    <definedName name="ReportGroup">0</definedName>
    <definedName name="Revenue_Data_Summary" localSheetId="11">'[7]Revenue Build'!$C$26:$AG$47</definedName>
    <definedName name="Revenue_Data_Summary">'Revenue Build'!$C$28:$AG$49</definedName>
    <definedName name="Risk_Free_Rate" localSheetId="11">WACC!$G$6</definedName>
    <definedName name="Risk_Free_Rate">WACC!$G$6</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UpdateDisplay">FALSE</definedName>
    <definedName name="RiskUseDifferentSeedForEachSim">FALSE</definedName>
    <definedName name="RiskUseFixedSeed">FALSE</definedName>
    <definedName name="RiskUseMultipleCPUs">TRUE</definedName>
    <definedName name="sddddd">{"inputs raw data",#N/A,TRUE,"INPUT"}</definedName>
    <definedName name="Segment1_Rev_Methodology" localSheetId="11">'[7]Revenue Build'!$C$9</definedName>
    <definedName name="Segment1_Rev_Methodology">'Revenue Build'!$C$9</definedName>
    <definedName name="Segment2_Rev_Methodology" localSheetId="11">'[7]Revenue Build'!$C$11</definedName>
    <definedName name="Segment2_Rev_Methodology">'Revenue Build'!$C$11</definedName>
    <definedName name="Segment3_Rev_Methodology" localSheetId="11">'[7]Revenue Build'!$C$13</definedName>
    <definedName name="Segment3_Rev_Methodology">'Revenue Build'!$C$13</definedName>
    <definedName name="Segment4_Rev_Methodology" localSheetId="11">'[7]Revenue Build'!$C$15</definedName>
    <definedName name="Segment4_Rev_Methodology">'Revenue Build'!$C$15</definedName>
    <definedName name="Segment5_Rev_Methodology" localSheetId="11">'[7]Revenue Build'!$C$17</definedName>
    <definedName name="Segment5_Rev_Methodology">'Revenue Build'!$C$17</definedName>
    <definedName name="Segment6_Rev_Methodology" localSheetId="11">'[7]Revenue Build'!$C$19</definedName>
    <definedName name="Segment6_Rev_Methodology">'Revenue Build'!$C$19</definedName>
    <definedName name="seppto">[3]Vacation!$N$56</definedName>
    <definedName name="Share_Price" localSheetId="11">Cover!$F$29</definedName>
    <definedName name="Share_Price">Cover!$F$29</definedName>
    <definedName name="Share_Price_High" localSheetId="11">Cover!$F$30</definedName>
    <definedName name="Share_Price_High">Cover!$F$30</definedName>
    <definedName name="Share_Price_Low" localSheetId="11">Cover!$F$31</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ssssssssssss">{TRUE,TRUE,-1.25,-15.5,604.5,369,FALSE,FALSE,TRUE,TRUE,0,1,#N/A,1,#N/A,20.5555555555556,28.9285714285714,1,FALSE,FALSE,3,TRUE,1,FALSE,80,"Swvu.summary1.","ACwvu.summary1.",#N/A,FALSE,FALSE,0.5,0.5,0.5,0.5,2,"&amp;F","&amp;L&amp;D&amp;C&amp;A&amp;RPage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Start_date">#REF!</definedName>
    <definedName name="suckit">#REF!</definedName>
    <definedName name="Tax_Rate" localSheetId="11">Cover!$F$33</definedName>
    <definedName name="Tax_Rate">Cover!$F$33</definedName>
    <definedName name="Taylor">'[13]P&amp;L Assumptions'!$A$42:$A$81</definedName>
    <definedName name="temp">{"contributory1",#N/A,FALSE,"Contributory Assets Detail";"contributory2",#N/A,FALSE,"Contributory Assets Detail"}</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 localSheetId="11">Cover!$F$20</definedName>
    <definedName name="Ticker">Cover!$F$20</definedName>
    <definedName name="Total_PTO">'[10]Pay Roll &amp; Taxes'!$R$67</definedName>
    <definedName name="utilization_correction_factor">'[10]FY11 CFF - the PLAN'!$X$14</definedName>
    <definedName name="Values_Entered">IF(Loan_Amount*Interest_Rate*Loan_Years*Loan_Start&gt;0,1,0)</definedName>
    <definedName name="we">'[3]2010 Labor Rates 091130'!$A$265</definedName>
    <definedName name="we09salary">[3]Salaries!$G$20</definedName>
    <definedName name="we10salary">[3]Salaries!$K$20</definedName>
    <definedName name="weee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eeee">{"multiple",#N/A,FALSE,"client";"margins",#N/A,FALSE,"client";"data",#N/A,FALSE,"client"}</definedName>
    <definedName name="wefwaefeaew">{"Page1",#N/A,FALSE,"CompCo";"Page2",#N/A,FALSE,"CompCo"}</definedName>
    <definedName name="wefweca">{"data",#N/A,FALSE,"client (3)";"margins",#N/A,FALSE,"client (3)";"multiple",#N/A,FALSE,"client (3)"}</definedName>
    <definedName name="wefwefe">{"multiple",#N/A,FALSE,"client (4)";"margins",#N/A,FALSE,"client (4)";"data",#N/A,FALSE,"client (4)"}</definedName>
    <definedName name="weid">'[3]2010 Labor Rates 091130'!$E$272</definedName>
    <definedName name="Weight_of_Debt" localSheetId="11">WACC!$N$6</definedName>
    <definedName name="Weight_of_Debt">WACC!$N$6</definedName>
    <definedName name="Weight_of_Equity">WACC!$N$7</definedName>
    <definedName name="Weight_of_Preferred" localSheetId="11">WACC!$N$8</definedName>
    <definedName name="Weight_of_Preferred">WACC!$N$8</definedName>
    <definedName name="wename">[3]Salaries!$A$20</definedName>
    <definedName name="wfeawa">{"multiple",#N/A,FALSE,"client (4)";"margins",#N/A,FALSE,"client (4)";"data",#N/A,FALSE,"client (4)"}</definedName>
    <definedName name="wrn.client.">{"multiple",#N/A,FALSE,"client";"margins",#N/A,FALSE,"client";"data",#N/A,FALSE,"client"}</definedName>
    <definedName name="wrn.Client3.">{"data",#N/A,FALSE,"client (3)";"margins",#N/A,FALSE,"client (3)";"multiple",#N/A,FALSE,"client (3)"}</definedName>
    <definedName name="wrn.client4.">{"multiple",#N/A,FALSE,"client (4)";"margins",#N/A,FALSE,"client (4)";"data",#N/A,FALSE,"client (4)"}</definedName>
    <definedName name="wrn.COMPCO.">{"Page1",#N/A,FALSE,"CompCo";"Page2",#N/A,FALSE,"CompCo"}</definedName>
    <definedName name="wrn.COMPCo1.">{"Page1",#N/A,FALSE,"CompCo";"Page2",#N/A,FALSE,"CompCo"}</definedName>
    <definedName name="wrn.COMPCO3.">{"Page1",#N/A,FALSE,"CompCo";"Page2",#N/A,FALSE,"CompCo"}</definedName>
    <definedName name="wrn.contributory._.asset._.charges.">{"contributory1",#N/A,FALSE,"Contributory Assets Detail";"contributory2",#N/A,FALSE,"Contributory Assets Detail"}</definedName>
    <definedName name="wrn.Customer_base.">{"customer base",#N/A,FALSE,"customer_base";"customer base perf estimates",#N/A,FALSE,"customer_base"}</definedName>
    <definedName name="wrn.DCF.">{#N/A,#N/A,FALSE,"DCF Cov";#N/A,#N/A,FALSE,"dcf"}</definedName>
    <definedName name="wrn.documentation.">{"documentation1",#N/A,FALSE,"Documentation";"documentation2",#N/A,FALSE,"Documentation"}</definedName>
    <definedName name="wrn.Fcst._.by._.Mon.">{"Fcst by Mon Full",#N/A,FALSE,"Tot PalmPalm";"Fcst by Mon Full",#N/A,FALSE,"Tot Device";"Fcst by Mon Full",#N/A,FALSE,"Platform";"Fcst by Mon Full",#N/A,FALSE,"Palm.Net";"Fcst by Mon Full",#N/A,FALSE,"Elim"}</definedName>
    <definedName name="wrn.Fcst._.by._.Qtr.">{"Fcst by Qtr Full",#N/A,FALSE,"Tot PalmPalm";"Fcst by Qtr Full",#N/A,FALSE,"Tot Device";"Fcst by Qtr Full",#N/A,FALSE,"Platform";"Fcst by Qtr Full",#N/A,FALSE,"Palm.Net";"Fcst by Qtr Full",#N/A,FALSE,"Elim"}</definedName>
    <definedName name="wrn.Full._.Model.">{#N/A,#N/A,FALSE,"Cov";#N/A,#N/A,FALSE,"sum";#N/A,#N/A,FALSE,"baladj";#N/A,#N/A,FALSE,"bs";#N/A,#N/A,FALSE,"is";#N/A,#N/A,FALSE,"pis";#N/A,#N/A,FALSE,"pis";#N/A,#N/A,FALSE,"cf";#N/A,#N/A,FALSE,"balhist";#N/A,#N/A,FALSE,"wc";#N/A,#N/A,FALSE,"ltd";#N/A,#N/A,FALSE,"cover";#N/A,#N/A,FALSE,"fa";#N/A,#N/A,FALSE,"tax";#N/A,#N/A,FALSE,"irr";#N/A,#N/A,FALSE,"in";#N/A,#N/A,FALSE,"DCF Cov";#N/A,#N/A,FALSE,"dcf"}</definedName>
    <definedName name="wrn.Full._.report.">{"multiple",#N/A,FALSE,"client (2)";"margins",#N/A,FALSE,"client (2)";"data",#N/A,FALSE,"client (2)";"multiple",#N/A,FALSE,"client";"margins",#N/A,FALSE,"client";"data",#N/A,FALSE,"client"}</definedName>
    <definedName name="wrn.LBO.">{#N/A,#N/A,FALSE,"Cov";#N/A,#N/A,FALSE,"sum";#N/A,#N/A,FALSE,"baladj";#N/A,#N/A,FALSE,"bs";#N/A,#N/A,FALSE,"is";#N/A,#N/A,FALSE,"pis";#N/A,#N/A,FALSE,"cf";#N/A,#N/A,FALSE,"balhist";#N/A,#N/A,FALSE,"wc";#N/A,#N/A,FALSE,"ltd";#N/A,#N/A,FALSE,"cover";#N/A,#N/A,FALSE,"fa";#N/A,#N/A,FALSE,"tax";#N/A,#N/A,FALSE,"irr";#N/A,#N/A,FALSE,"in"}</definedName>
    <definedName name="wrn.Olk._.by._.Qtr.">{"Olk by Qtr Full",#N/A,FALSE,"Tot PalmPalm";"Olk by Qtr Full",#N/A,FALSE,"Tot Device";"Olk by Qtr Full",#N/A,FALSE,"Platform";"Olk by Qtr Full",#N/A,FALSE,"Palm.Net";"Olk by Qtr Full",#N/A,FALSE,"Elim"}</definedName>
    <definedName name="wrn.Print.">{"vi1",#N/A,FALSE,"Financial Statements";"vi2",#N/A,FALSE,"Financial Statements";#N/A,#N/A,FALSE,"DCF"}</definedName>
    <definedName name="wrn.print._.all._.sheets.">{"summary1",#N/A,FALSE,"Summary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wrn.Print._.Disk.">{#N/A,#N/A,FALSE,"Intro";#N/A,#N/A,FALSE,"General Assumptions";#N/A,#N/A,FALSE,"Specific Assumptions";#N/A,#N/A,FALSE,"Value Growth";#N/A,#N/A,FALSE,"Dividend Yield";#N/A,#N/A,FALSE,"C Corporation Equivalent Yield";#N/A,#N/A,FALSE,"Dividend Growth";#N/A,#N/A,FALSE,"Holding Period";#N/A,#N/A,FALSE,"Required Return";#N/A,#N/A,FALSE,"Analysis of Prospective Returns";#N/A,#N/A,FALSE,"Multiple Scenario Analysis";#N/A,#N/A,FALSE,"Base QMDM";#N/A,#N/A,FALSE,"Tables";#N/A,#N/A,FALSE,"Special";#N/A,#N/A,FALSE,"Chart Data";#N/A,#N/A,FALSE,"QMDM-Analysis";#N/A,#N/A,FALSE,"QMDM-Components";#N/A,#N/A,FALSE,"Multi-Scenario QMDM";#N/A,#N/A,FALSE,"Scenario #1";#N/A,#N/A,FALSE,"Scenario #2"}</definedName>
    <definedName name="wrn.print._.graphs.">{"cap_structure",#N/A,FALSE,"Graph-Mkt Cap";"price",#N/A,FALSE,"Graph-Price";"ebit",#N/A,FALSE,"Graph-EBITDA";"ebitda",#N/A,FALSE,"Graph-EBITDA"}</definedName>
    <definedName name="wrn.print._.raw._.data._.entry.">{"inputs raw data",#N/A,TRUE,"INPUT"}</definedName>
    <definedName name="wrn.print._.summary._.sheets.">{"summary1",#N/A,TRUE,"Comps";"summary2",#N/A,TRUE,"Comps";"summary3",#N/A,TRUE,"Comps"}</definedName>
    <definedName name="wrn.Relevant.">{#N/A,#N/A,FALSE,"Title Page";#N/A,#N/A,FALSE,"Conclusions";#N/A,#N/A,FALSE,"Assum.";#N/A,#N/A,FALSE,"Sun  DCF-WC-Dep";#N/A,#N/A,FALSE,"MarketValue";#N/A,#N/A,FALSE,"BalSheet";#N/A,#N/A,FALSE,"WACC";#N/A,#N/A,FALSE,"PC+ Info.";#N/A,#N/A,FALSE,"PC+Info_2"}</definedName>
    <definedName name="wrn.Relevant1.">{#N/A,#N/A,FALSE,"Title Page";#N/A,#N/A,FALSE,"Conclusions";#N/A,#N/A,FALSE,"Assum.";#N/A,#N/A,FALSE,"Sun  DCF-WC-Dep";#N/A,#N/A,FALSE,"MarketValue";#N/A,#N/A,FALSE,"BalSheet";#N/A,#N/A,FALSE,"WACC";#N/A,#N/A,FALSE,"PC+ Info.";#N/A,#N/A,FALSE,"PC+Info_2"}</definedName>
    <definedName name="wrn.revenue._.detail.">{"revenue detail 1",#N/A,FALSE,"Revenue Detail";"revenue detail 2",#N/A,FALSE,"Revenue Detail";"revenue detail 3",#N/A,FALSE,"Revenue Detail";"revenue detail 4",#N/A,FALSE,"Revenue Detail"}</definedName>
    <definedName name="wrn.Revs.">{"Base_rev",#N/A,FALSE,"Proj_IS_Base";"Projrev",#N/A,FALSE,"Proj_IS_wOTLC";"Delta",#N/A,FALSE,"Delta Rev_PV"}</definedName>
    <definedName name="wrn.Riverwood_comp_model.">{#N/A,#N/A,FALSE,"Che-Ga";#N/A,#N/A,FALSE,"Iv-Sm";#N/A,#N/A,FALSE,"So-We";#N/A,#N/A,FALSE,"Me-Po";#N/A,#N/A,FALSE,"Be-Bo";#N/A,#N/A,FALSE,"Cha-Ki";#N/A,#N/A,FALSE,"In";#N/A,#N/A,FALSE,"Schedule 23";#N/A,#N/A,FALSE,"Schedule 22";#N/A,#N/A,FALSE,"WACC"}</definedName>
    <definedName name="wrn.sum.">{"Opsys",#N/A,FALSE,"NPV_OPsys";"NT",#N/A,FALSE,"NPV_NT";"DevP",#N/A,FALSE,"NPV_DevPdt";"Office",#N/A,FALSE,"NPV_Office"}</definedName>
    <definedName name="wrn.summary._.schedules.">{"summary1",#N/A,FALSE,"Summary of Values";"summary2",#N/A,FALSE,"Summary of Values"}</definedName>
    <definedName name="wrn.technology.">{"developed valuation",#N/A,FALSE,"Valuation Analysis";"developed income statement",#N/A,FALSE,"Abbreviated Income Statement";"inprocess valuation",#N/A,FALSE,"Valuation Analysis";"inprocess income statement",#N/A,FALSE,"Abbreviated Income Statement"}</definedName>
    <definedName name="wrn.trademark._.and._.trade._.name.">{"trademark1",#N/A,FALSE,"Trademark(s) and Trade Name(s)"}</definedName>
    <definedName name="wrn.wara.">{"weighted average returns",#N/A,FALSE,"WACC and WARA"}</definedName>
    <definedName name="wrn.work._.paper._.shcedules.">{"summary1",#N/A,FALSE,"Summary of Values";"summary2",#N/A,FALSE,"Summary of Values";"weighted average returns",#N/A,FALSE,"WACC and WARA";"fixed asset detail",#N/A,FALSE,"Fixed Asset Detail"}</definedName>
    <definedName name="wt09salary">[3]Salaries!$G$32</definedName>
    <definedName name="wt10salary">[3]Salaries!$K$32</definedName>
    <definedName name="wtid">'[3]2010 Labor Rates 091130'!$E$735</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Rele">{#N/A,#N/A,FALSE,"Title Page";#N/A,#N/A,FALSE,"Conclusions";#N/A,#N/A,FALSE,"Assum.";#N/A,#N/A,FALSE,"Sun  DCF-WC-Dep";#N/A,#N/A,FALSE,"MarketValue";#N/A,#N/A,FALSE,"BalSheet";#N/A,#N/A,FALSE,"WACC";#N/A,#N/A,FALSE,"PC+ Info.";#N/A,#N/A,FALSE,"PC+Info_2"}</definedName>
    <definedName name="x">{"contributory1",#N/A,FALSE,"Contributory Assets Detail";"contributory2",#N/A,FALSE,"Contributory Assets Detail"}</definedName>
    <definedName name="xxx">{"summary1",#N/A,FALSE,"Summary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yale">{"Opsys",#N/A,FALSE,"NPV_OPsys";"NT",#N/A,FALSE,"NPV_NT";"DevP",#N/A,FALSE,"NPV_DevPdt";"Office",#N/A,FALSE,"NPV_Office"}</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7" i="16" l="1"/>
  <c r="H137" i="16"/>
  <c r="D128" i="17" l="1"/>
  <c r="D129" i="17"/>
  <c r="D127" i="17"/>
  <c r="D111" i="17"/>
  <c r="D112" i="17"/>
  <c r="D113" i="17"/>
  <c r="D110" i="17"/>
  <c r="D96" i="17"/>
  <c r="D97" i="17"/>
  <c r="D79" i="17"/>
  <c r="D80" i="17"/>
  <c r="D81" i="17"/>
  <c r="D63" i="17"/>
  <c r="D64" i="17"/>
  <c r="D65" i="17"/>
  <c r="D62" i="17"/>
  <c r="D47" i="17"/>
  <c r="D48" i="17"/>
  <c r="D49" i="17"/>
  <c r="D46" i="17"/>
  <c r="D31" i="17"/>
  <c r="D32" i="17"/>
  <c r="D33" i="17"/>
  <c r="D30" i="17"/>
  <c r="D15" i="17"/>
  <c r="D16" i="17"/>
  <c r="D17" i="17"/>
  <c r="D14" i="17"/>
  <c r="I5" i="17"/>
  <c r="AA48" i="10"/>
  <c r="AB48" i="10"/>
  <c r="AC48" i="10"/>
  <c r="Z48" i="10"/>
  <c r="W48" i="10"/>
  <c r="X48" i="10"/>
  <c r="V48" i="10"/>
  <c r="AC57" i="7"/>
  <c r="AB57" i="7"/>
  <c r="AA57" i="7"/>
  <c r="Z57" i="7"/>
  <c r="X57" i="7"/>
  <c r="W57" i="7"/>
  <c r="V57" i="7"/>
  <c r="Z63" i="7"/>
  <c r="AF57" i="7"/>
  <c r="AG57" i="7"/>
  <c r="AE57" i="7"/>
  <c r="AF63" i="7"/>
  <c r="AG63" i="7"/>
  <c r="AE63" i="7"/>
  <c r="AI86" i="15" l="1"/>
  <c r="AH86" i="15"/>
  <c r="AB86" i="15"/>
  <c r="AC86" i="15"/>
  <c r="P86" i="15"/>
  <c r="Q86" i="15"/>
  <c r="V86" i="15"/>
  <c r="W86" i="15"/>
  <c r="O6" i="15"/>
  <c r="F119" i="14"/>
  <c r="F123" i="14" s="1"/>
  <c r="G87" i="14" a="1"/>
  <c r="G87" i="14" s="1"/>
  <c r="G38" i="7"/>
  <c r="AE94" i="10"/>
  <c r="AF94" i="10"/>
  <c r="AG94" i="10"/>
  <c r="X61" i="7"/>
  <c r="Z61" i="7"/>
  <c r="AF96" i="10"/>
  <c r="AG96" i="10"/>
  <c r="AE96" i="10"/>
  <c r="AA94" i="10"/>
  <c r="AB94" i="10"/>
  <c r="AC94" i="10"/>
  <c r="Z94" i="10"/>
  <c r="W94" i="10"/>
  <c r="X94" i="10"/>
  <c r="V94" i="10"/>
  <c r="AF182" i="10"/>
  <c r="AG182" i="10"/>
  <c r="AE182" i="10"/>
  <c r="AF180" i="10"/>
  <c r="AG180" i="10"/>
  <c r="AE180" i="10"/>
  <c r="AA182" i="10"/>
  <c r="AB182" i="10"/>
  <c r="AC182" i="10"/>
  <c r="Z182" i="10"/>
  <c r="AA180" i="10"/>
  <c r="AB180" i="10"/>
  <c r="AC180" i="10"/>
  <c r="Z180" i="10"/>
  <c r="W182" i="10"/>
  <c r="X182" i="10"/>
  <c r="V182" i="10"/>
  <c r="W180" i="10"/>
  <c r="X180" i="10"/>
  <c r="V180" i="10"/>
  <c r="S57" i="3" l="1"/>
  <c r="S44" i="3"/>
  <c r="W160" i="10"/>
  <c r="X160" i="10"/>
  <c r="W158" i="10"/>
  <c r="X158" i="10"/>
  <c r="V160" i="10"/>
  <c r="V158" i="10"/>
  <c r="AF160" i="10"/>
  <c r="AG160" i="10"/>
  <c r="AE160" i="10"/>
  <c r="AF158" i="10"/>
  <c r="AG158" i="10"/>
  <c r="AE158" i="10"/>
  <c r="AA158" i="10"/>
  <c r="AB158" i="10"/>
  <c r="AC158" i="10"/>
  <c r="AA160" i="10"/>
  <c r="AB160" i="10"/>
  <c r="AC160" i="10"/>
  <c r="Z160" i="10"/>
  <c r="Z158" i="10"/>
  <c r="C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G18" i="12"/>
  <c r="J18" i="12"/>
  <c r="P18" i="12"/>
  <c r="G17" i="12"/>
  <c r="J17" i="12"/>
  <c r="P17" i="12"/>
  <c r="G16" i="12"/>
  <c r="P16" i="12"/>
  <c r="J16" i="12"/>
  <c r="G15" i="12"/>
  <c r="P15" i="12"/>
  <c r="J15" i="12"/>
  <c r="G14" i="12"/>
  <c r="AC2" i="12"/>
  <c r="G13" i="12"/>
  <c r="J13" i="12"/>
  <c r="P13" i="12"/>
  <c r="P26" i="12"/>
  <c r="P28" i="12"/>
  <c r="J28" i="12"/>
  <c r="P23" i="12"/>
  <c r="P30" i="12"/>
  <c r="P20" i="12"/>
  <c r="J21" i="12"/>
  <c r="J29" i="12"/>
  <c r="J24" i="12"/>
  <c r="J22" i="12"/>
  <c r="J27" i="12"/>
  <c r="P27" i="12"/>
  <c r="J25" i="12"/>
  <c r="J30" i="12"/>
  <c r="P25" i="12"/>
  <c r="P24" i="12"/>
  <c r="J23" i="12"/>
  <c r="J20" i="12"/>
  <c r="P22" i="12"/>
  <c r="P29" i="12"/>
  <c r="J19" i="12"/>
  <c r="J26" i="12"/>
  <c r="P19" i="12"/>
  <c r="P21" i="12"/>
  <c r="J14" i="12"/>
  <c r="P14" i="12"/>
  <c r="W115" i="10"/>
  <c r="X115" i="10"/>
  <c r="V115" i="10"/>
  <c r="AG115" i="10"/>
  <c r="AF115" i="10"/>
  <c r="AE115" i="10"/>
  <c r="AA115" i="10"/>
  <c r="AB115" i="10"/>
  <c r="AC115" i="10"/>
  <c r="Z115" i="10"/>
  <c r="AA60" i="10"/>
  <c r="AB60" i="10"/>
  <c r="AC60" i="10"/>
  <c r="Z60" i="10"/>
  <c r="W60" i="10"/>
  <c r="X60" i="10"/>
  <c r="V60" i="10"/>
  <c r="AF48" i="10"/>
  <c r="AG48" i="10"/>
  <c r="AE48" i="10"/>
  <c r="AC63" i="7"/>
  <c r="AB63" i="7"/>
  <c r="AA63" i="7"/>
  <c r="X63" i="7"/>
  <c r="W63" i="7"/>
  <c r="V63" i="7"/>
  <c r="W68" i="10"/>
  <c r="W67" i="10" s="1"/>
  <c r="W72" i="8" s="1"/>
  <c r="X68" i="10"/>
  <c r="V68" i="10"/>
  <c r="V67" i="10" s="1"/>
  <c r="V72" i="8" s="1"/>
  <c r="AF46" i="10"/>
  <c r="AG46" i="10"/>
  <c r="AE46" i="10"/>
  <c r="AA46" i="10"/>
  <c r="AB46" i="10"/>
  <c r="AC46" i="10"/>
  <c r="Z46" i="10"/>
  <c r="W61" i="7"/>
  <c r="AF61" i="7"/>
  <c r="AG61" i="7"/>
  <c r="AE61" i="7"/>
  <c r="AF55" i="7"/>
  <c r="AG55" i="7"/>
  <c r="AE55" i="7"/>
  <c r="X55" i="7"/>
  <c r="AA68" i="10"/>
  <c r="AB68" i="10"/>
  <c r="AC68" i="10"/>
  <c r="Z68" i="10"/>
  <c r="AC61" i="7"/>
  <c r="AB61" i="7"/>
  <c r="AA61" i="7"/>
  <c r="V61" i="7"/>
  <c r="AC55" i="7"/>
  <c r="AB55" i="7"/>
  <c r="AA55" i="7"/>
  <c r="Z55" i="7"/>
  <c r="W55" i="7"/>
  <c r="V55" i="7"/>
  <c r="AF41" i="10"/>
  <c r="AG41" i="10"/>
  <c r="AE41" i="10"/>
  <c r="AA41" i="10"/>
  <c r="AB41" i="10"/>
  <c r="AC41" i="10"/>
  <c r="Z41" i="10"/>
  <c r="W41" i="10"/>
  <c r="X41" i="10"/>
  <c r="V41" i="10"/>
  <c r="X46" i="10"/>
  <c r="AF68" i="10"/>
  <c r="AG68" i="10"/>
  <c r="AE68" i="10"/>
  <c r="AE67" i="10"/>
  <c r="AE72" i="8" s="1"/>
  <c r="X67" i="10"/>
  <c r="X72" i="8" s="1"/>
  <c r="W47" i="10"/>
  <c r="W46" i="10" s="1"/>
  <c r="V47" i="10"/>
  <c r="V46" i="10" s="1"/>
  <c r="AF70" i="10"/>
  <c r="AG70" i="10"/>
  <c r="AE70" i="10"/>
  <c r="AG67" i="10"/>
  <c r="AG72" i="8" s="1"/>
  <c r="AB67" i="10"/>
  <c r="AB72" i="8" s="1"/>
  <c r="AC67" i="10"/>
  <c r="AC72" i="8" s="1"/>
  <c r="AA70" i="10"/>
  <c r="AB70" i="10"/>
  <c r="AC70" i="10"/>
  <c r="Z70" i="10"/>
  <c r="W70" i="10"/>
  <c r="X70" i="10"/>
  <c r="V70" i="10"/>
  <c r="C67" i="10"/>
  <c r="AF67" i="10"/>
  <c r="AF72" i="8" s="1"/>
  <c r="AA67" i="10"/>
  <c r="AA72" i="8" s="1"/>
  <c r="Z67" i="10"/>
  <c r="Z72" i="8" s="1"/>
  <c r="AF125" i="10" l="1"/>
  <c r="AG125" i="10"/>
  <c r="AE125" i="10"/>
  <c r="AA125" i="10"/>
  <c r="AB125" i="10"/>
  <c r="AC125" i="10"/>
  <c r="Z125" i="10"/>
  <c r="W125" i="10"/>
  <c r="X125" i="10"/>
  <c r="V125" i="10"/>
  <c r="AF163" i="10"/>
  <c r="AG163" i="10"/>
  <c r="AE163" i="10"/>
  <c r="AF165" i="10"/>
  <c r="AG165" i="10"/>
  <c r="AE165" i="10"/>
  <c r="AA165" i="10"/>
  <c r="AB165" i="10"/>
  <c r="AC165" i="10"/>
  <c r="Z165" i="10"/>
  <c r="AA163" i="10"/>
  <c r="AB163" i="10"/>
  <c r="AC163" i="10"/>
  <c r="Z163" i="10"/>
  <c r="W163" i="10"/>
  <c r="X163" i="10"/>
  <c r="V163" i="10"/>
  <c r="W165" i="10"/>
  <c r="X165" i="10"/>
  <c r="V165" i="10"/>
  <c r="AF150" i="10"/>
  <c r="AG150" i="10"/>
  <c r="AG149" i="10" s="1"/>
  <c r="AG233" i="8" s="1"/>
  <c r="AF152" i="10"/>
  <c r="AG152" i="10"/>
  <c r="AE152" i="10"/>
  <c r="AE150" i="10"/>
  <c r="AE149" i="10" s="1"/>
  <c r="AE233" i="8" s="1"/>
  <c r="AA152" i="10"/>
  <c r="AB152" i="10"/>
  <c r="AC152" i="10"/>
  <c r="Z152" i="10"/>
  <c r="AA150" i="10"/>
  <c r="AB150" i="10"/>
  <c r="AB149" i="10" s="1"/>
  <c r="AB233" i="8" s="1"/>
  <c r="AC150" i="10"/>
  <c r="AC149" i="10" s="1"/>
  <c r="AC233" i="8" s="1"/>
  <c r="Z150" i="10"/>
  <c r="Z149" i="10" s="1"/>
  <c r="Z233" i="8" s="1"/>
  <c r="W150" i="10"/>
  <c r="X150" i="10"/>
  <c r="V150" i="10"/>
  <c r="W152" i="10"/>
  <c r="X152" i="10"/>
  <c r="V152" i="10"/>
  <c r="AF147" i="10"/>
  <c r="AG147" i="10"/>
  <c r="AE147" i="10"/>
  <c r="AF145" i="10"/>
  <c r="AG145" i="10"/>
  <c r="AE145" i="10"/>
  <c r="AA145" i="10"/>
  <c r="AB145" i="10"/>
  <c r="AC145" i="10"/>
  <c r="AA147" i="10"/>
  <c r="AB147" i="10"/>
  <c r="AC147" i="10"/>
  <c r="Z147" i="10"/>
  <c r="Z145" i="10"/>
  <c r="W147" i="10"/>
  <c r="X147" i="10"/>
  <c r="W145" i="10"/>
  <c r="X145" i="10"/>
  <c r="V145" i="10"/>
  <c r="V147" i="10"/>
  <c r="AF137" i="10"/>
  <c r="AG137" i="10"/>
  <c r="AE137" i="10"/>
  <c r="AF135" i="10"/>
  <c r="AG135" i="10"/>
  <c r="AE135" i="10"/>
  <c r="AA135" i="10"/>
  <c r="AB135" i="10"/>
  <c r="AC135" i="10"/>
  <c r="AA137" i="10"/>
  <c r="AB137" i="10"/>
  <c r="AC137" i="10"/>
  <c r="Z137" i="10"/>
  <c r="Z135" i="10"/>
  <c r="W137" i="10"/>
  <c r="X137" i="10"/>
  <c r="V137" i="10"/>
  <c r="W135" i="10"/>
  <c r="X135" i="10"/>
  <c r="V135" i="10"/>
  <c r="AA117" i="10"/>
  <c r="AB117" i="10"/>
  <c r="AC117" i="10"/>
  <c r="Z117" i="10"/>
  <c r="W117" i="10"/>
  <c r="X117" i="10"/>
  <c r="V117" i="10"/>
  <c r="AF117" i="10"/>
  <c r="AG117" i="10"/>
  <c r="AE117" i="10"/>
  <c r="AG114" i="10"/>
  <c r="AE114" i="10"/>
  <c r="AA114" i="10"/>
  <c r="AB114" i="10"/>
  <c r="AC114" i="10"/>
  <c r="Z114" i="10"/>
  <c r="W114" i="10"/>
  <c r="AF112" i="10"/>
  <c r="AG112" i="10"/>
  <c r="AE112" i="10"/>
  <c r="AF110" i="10"/>
  <c r="AG110" i="10"/>
  <c r="AE110" i="10"/>
  <c r="AA110" i="10"/>
  <c r="AB110" i="10"/>
  <c r="AC110" i="10"/>
  <c r="Z110" i="10"/>
  <c r="AC112" i="10"/>
  <c r="AB112" i="10"/>
  <c r="AA112" i="10"/>
  <c r="Z112" i="10"/>
  <c r="W112" i="10"/>
  <c r="X112" i="10"/>
  <c r="V112" i="10"/>
  <c r="W110" i="10"/>
  <c r="X110" i="10"/>
  <c r="V110" i="10"/>
  <c r="AF103" i="10"/>
  <c r="AG103" i="10"/>
  <c r="AE103" i="10"/>
  <c r="AA103" i="10"/>
  <c r="AB103" i="10"/>
  <c r="AC103" i="10"/>
  <c r="Z103" i="10"/>
  <c r="W103" i="10"/>
  <c r="X103" i="10"/>
  <c r="V103" i="10"/>
  <c r="AF101" i="10"/>
  <c r="AG101" i="10"/>
  <c r="AE101" i="10"/>
  <c r="AA101" i="10"/>
  <c r="AB101" i="10"/>
  <c r="AC101" i="10"/>
  <c r="Z101" i="10"/>
  <c r="W101" i="10"/>
  <c r="X101" i="10"/>
  <c r="V101" i="10"/>
  <c r="AA96" i="10"/>
  <c r="AB96" i="10"/>
  <c r="AC96" i="10"/>
  <c r="Z96" i="10"/>
  <c r="W96" i="10"/>
  <c r="X96" i="10"/>
  <c r="V96" i="10"/>
  <c r="U86" i="15"/>
  <c r="O86" i="15"/>
  <c r="AA86" i="15"/>
  <c r="AG86" i="15"/>
  <c r="AF86" i="15"/>
  <c r="Y86" i="15"/>
  <c r="Z86" i="15"/>
  <c r="T86" i="15"/>
  <c r="N86" i="15"/>
  <c r="M86" i="15"/>
  <c r="AB60" i="14" a="1"/>
  <c r="AB60" i="14" s="1"/>
  <c r="E23" i="15"/>
  <c r="E21" i="15"/>
  <c r="E20" i="15"/>
  <c r="E16" i="15" s="1"/>
  <c r="AF127" i="10"/>
  <c r="AG127" i="10"/>
  <c r="AE127" i="10"/>
  <c r="AA127" i="10"/>
  <c r="AB127" i="10"/>
  <c r="AC127" i="10"/>
  <c r="Z127" i="10"/>
  <c r="W127" i="10"/>
  <c r="X127" i="10"/>
  <c r="V127" i="10"/>
  <c r="AF60" i="10"/>
  <c r="AG60" i="10"/>
  <c r="AE60" i="10"/>
  <c r="AF58" i="10"/>
  <c r="AG58" i="10"/>
  <c r="AE58" i="10"/>
  <c r="AA58" i="10"/>
  <c r="AB58" i="10"/>
  <c r="AC58" i="10"/>
  <c r="Z58" i="10"/>
  <c r="W58" i="10"/>
  <c r="X58" i="10"/>
  <c r="V58" i="10"/>
  <c r="AF43" i="10"/>
  <c r="AG43" i="10"/>
  <c r="AE43" i="10"/>
  <c r="AA43" i="10"/>
  <c r="AB43" i="10"/>
  <c r="AC43" i="10"/>
  <c r="Z43" i="10"/>
  <c r="X43" i="10"/>
  <c r="W43" i="10"/>
  <c r="V43" i="10"/>
  <c r="D12" i="14"/>
  <c r="U131" i="8"/>
  <c r="F131" i="8"/>
  <c r="G131" i="8"/>
  <c r="H131" i="8"/>
  <c r="I131" i="8"/>
  <c r="AF114" i="10"/>
  <c r="X114" i="10"/>
  <c r="V114" i="10"/>
  <c r="AF149" i="10"/>
  <c r="AF233" i="8" s="1"/>
  <c r="AD149" i="10"/>
  <c r="AA149" i="10"/>
  <c r="AA233" i="8" s="1"/>
  <c r="Y149" i="10"/>
  <c r="X149" i="10"/>
  <c r="X233" i="8" s="1"/>
  <c r="W149" i="10"/>
  <c r="W233" i="8" s="1"/>
  <c r="V149" i="10"/>
  <c r="V233" i="8" s="1"/>
  <c r="C149" i="10"/>
  <c r="U143" i="8"/>
  <c r="U169" i="8"/>
  <c r="U188" i="8" s="1"/>
  <c r="F308" i="8" l="1"/>
  <c r="U144" i="8"/>
  <c r="S144" i="8"/>
  <c r="R144" i="8"/>
  <c r="Q144" i="8"/>
  <c r="P144" i="8"/>
  <c r="N144" i="8"/>
  <c r="M144" i="8"/>
  <c r="L144" i="8"/>
  <c r="K144" i="8"/>
  <c r="G144" i="8"/>
  <c r="H144" i="8"/>
  <c r="I144" i="8"/>
  <c r="F144" i="8"/>
  <c r="T140" i="8"/>
  <c r="O140" i="8"/>
  <c r="J140" i="8"/>
  <c r="Y91" i="8" l="1"/>
  <c r="AD91" i="8"/>
  <c r="V315" i="8" l="1"/>
  <c r="V86" i="8"/>
  <c r="V100" i="8"/>
  <c r="U106" i="8"/>
  <c r="V104" i="8" s="1"/>
  <c r="Y104" i="8" s="1"/>
  <c r="U211" i="8"/>
  <c r="S211" i="8"/>
  <c r="R211" i="8"/>
  <c r="Q211" i="8"/>
  <c r="P211" i="8"/>
  <c r="N211" i="8"/>
  <c r="M211" i="8"/>
  <c r="L211" i="8"/>
  <c r="L208" i="8" s="1"/>
  <c r="K211" i="8"/>
  <c r="I211" i="8"/>
  <c r="H211" i="8"/>
  <c r="G211" i="8"/>
  <c r="G208" i="8" s="1"/>
  <c r="F211" i="8"/>
  <c r="X174" i="10"/>
  <c r="W174" i="10"/>
  <c r="V174" i="10"/>
  <c r="G268" i="8"/>
  <c r="W187" i="10"/>
  <c r="V187" i="10"/>
  <c r="W179" i="10"/>
  <c r="V179" i="10"/>
  <c r="W167" i="10"/>
  <c r="V167" i="10"/>
  <c r="W162" i="10"/>
  <c r="V162" i="10"/>
  <c r="V188" i="8" s="1"/>
  <c r="W157" i="10"/>
  <c r="W185" i="8" s="1"/>
  <c r="V157" i="10"/>
  <c r="V185" i="8" s="1"/>
  <c r="W144" i="10"/>
  <c r="V144" i="10"/>
  <c r="W134" i="10"/>
  <c r="V134" i="10"/>
  <c r="W129" i="10"/>
  <c r="V129" i="10"/>
  <c r="W124" i="10"/>
  <c r="V124" i="10"/>
  <c r="W109" i="10"/>
  <c r="V109" i="10"/>
  <c r="W100" i="10"/>
  <c r="V100" i="10"/>
  <c r="W93" i="10"/>
  <c r="V93" i="10"/>
  <c r="W75" i="10"/>
  <c r="V75" i="10"/>
  <c r="W62" i="10"/>
  <c r="V62" i="10"/>
  <c r="W57" i="10"/>
  <c r="V57" i="10"/>
  <c r="W50" i="10"/>
  <c r="V50" i="10"/>
  <c r="W45" i="10"/>
  <c r="V45" i="10"/>
  <c r="W40" i="10"/>
  <c r="V40" i="10"/>
  <c r="W32" i="10"/>
  <c r="V32" i="10"/>
  <c r="W27" i="10"/>
  <c r="V27" i="10"/>
  <c r="W22" i="10"/>
  <c r="V22" i="10"/>
  <c r="W17" i="10"/>
  <c r="V17" i="10"/>
  <c r="W12" i="10"/>
  <c r="V12" i="10"/>
  <c r="W7" i="10"/>
  <c r="V7" i="10"/>
  <c r="M208" i="8" l="1"/>
  <c r="S208" i="8"/>
  <c r="Q208" i="8"/>
  <c r="H208" i="8"/>
  <c r="I208" i="8"/>
  <c r="N208" i="8"/>
  <c r="R208" i="8"/>
  <c r="L215" i="8"/>
  <c r="N215" i="8"/>
  <c r="V293" i="8"/>
  <c r="M215" i="8"/>
  <c r="G215" i="8"/>
  <c r="H215" i="8"/>
  <c r="I215" i="8"/>
  <c r="Q215" i="8"/>
  <c r="R215" i="8"/>
  <c r="S215" i="8"/>
  <c r="V297" i="8"/>
  <c r="V231" i="8"/>
  <c r="V296" i="8"/>
  <c r="V309" i="8" s="1"/>
  <c r="V215" i="8"/>
  <c r="V211" i="8" s="1"/>
  <c r="W231" i="8"/>
  <c r="V129" i="8" l="1"/>
  <c r="V208" i="8"/>
  <c r="V85" i="8"/>
  <c r="V310" i="8"/>
  <c r="V93" i="8" s="1"/>
  <c r="V92" i="8"/>
  <c r="W232" i="7"/>
  <c r="V232" i="7"/>
  <c r="W228" i="7"/>
  <c r="V228" i="7"/>
  <c r="W220" i="7"/>
  <c r="V220" i="7"/>
  <c r="W216" i="7"/>
  <c r="V216" i="7"/>
  <c r="W208" i="7"/>
  <c r="V208" i="7"/>
  <c r="W204" i="7"/>
  <c r="V204" i="7"/>
  <c r="W196" i="7"/>
  <c r="V196" i="7"/>
  <c r="W192" i="7"/>
  <c r="V192" i="7"/>
  <c r="W184" i="7"/>
  <c r="V184" i="7"/>
  <c r="W180" i="7"/>
  <c r="V180" i="7"/>
  <c r="W172" i="7"/>
  <c r="V172" i="7"/>
  <c r="W168" i="7"/>
  <c r="V168" i="7"/>
  <c r="W158" i="7"/>
  <c r="V158" i="7"/>
  <c r="V157" i="7" s="1"/>
  <c r="W153" i="7"/>
  <c r="V153" i="7"/>
  <c r="V152" i="7" s="1"/>
  <c r="W146" i="7"/>
  <c r="V146" i="7"/>
  <c r="W141" i="7"/>
  <c r="V141" i="7"/>
  <c r="V140" i="7" s="1"/>
  <c r="W134" i="7"/>
  <c r="V134" i="7"/>
  <c r="W129" i="7"/>
  <c r="V129" i="7"/>
  <c r="V128" i="7" s="1"/>
  <c r="W122" i="7"/>
  <c r="V122" i="7"/>
  <c r="W117" i="7"/>
  <c r="V117" i="7"/>
  <c r="V116" i="7" s="1"/>
  <c r="W110" i="7"/>
  <c r="V110" i="7"/>
  <c r="W105" i="7"/>
  <c r="V105" i="7"/>
  <c r="V104" i="7" s="1"/>
  <c r="W98" i="7"/>
  <c r="V98" i="7"/>
  <c r="W93" i="7"/>
  <c r="V93" i="7"/>
  <c r="V92" i="7" s="1"/>
  <c r="V87" i="7"/>
  <c r="W87" i="7" s="1"/>
  <c r="X87" i="7" s="1"/>
  <c r="Z87" i="7" s="1"/>
  <c r="AA87" i="7" s="1"/>
  <c r="AB87" i="7" s="1"/>
  <c r="AC87" i="7" s="1"/>
  <c r="AE87" i="7" s="1"/>
  <c r="AF87" i="7" s="1"/>
  <c r="AG87" i="7" s="1"/>
  <c r="V86" i="7"/>
  <c r="V84" i="7" s="1"/>
  <c r="V85" i="7"/>
  <c r="W85" i="7" s="1"/>
  <c r="X85" i="7" s="1"/>
  <c r="Z85" i="7" s="1"/>
  <c r="AA85" i="7" s="1"/>
  <c r="AB85" i="7" s="1"/>
  <c r="AC85" i="7" s="1"/>
  <c r="AE85" i="7" s="1"/>
  <c r="AF85" i="7" s="1"/>
  <c r="AG85" i="7" s="1"/>
  <c r="W78" i="7"/>
  <c r="V78" i="7"/>
  <c r="W72" i="7"/>
  <c r="V72" i="7"/>
  <c r="W66" i="7"/>
  <c r="V66" i="7"/>
  <c r="W60" i="7"/>
  <c r="V60" i="7"/>
  <c r="W54" i="7"/>
  <c r="V54" i="7"/>
  <c r="Q283" i="8"/>
  <c r="Q284" i="8" s="1"/>
  <c r="R283" i="8"/>
  <c r="R267" i="8" s="1"/>
  <c r="S283" i="8"/>
  <c r="S284" i="8" s="1"/>
  <c r="P283" i="8"/>
  <c r="P284" i="8" s="1"/>
  <c r="L283" i="8"/>
  <c r="L267" i="8" s="1"/>
  <c r="M283" i="8"/>
  <c r="M284" i="8" s="1"/>
  <c r="N283" i="8"/>
  <c r="N267" i="8" s="1"/>
  <c r="K283" i="8"/>
  <c r="K267" i="8" s="1"/>
  <c r="G283" i="8"/>
  <c r="G284" i="8" s="1"/>
  <c r="H283" i="8"/>
  <c r="H284" i="8" s="1"/>
  <c r="I283" i="8"/>
  <c r="I267" i="8" s="1"/>
  <c r="F283" i="8"/>
  <c r="F267" i="8" s="1"/>
  <c r="U283" i="8"/>
  <c r="U267" i="8" s="1"/>
  <c r="P255" i="8"/>
  <c r="Q255" i="8" s="1"/>
  <c r="Q268" i="8" s="1"/>
  <c r="L255" i="8"/>
  <c r="L268" i="8" s="1"/>
  <c r="G255" i="8"/>
  <c r="Q247" i="8"/>
  <c r="R247" i="8" s="1"/>
  <c r="L247" i="8"/>
  <c r="M247" i="8" s="1"/>
  <c r="G247" i="8"/>
  <c r="H247" i="8" s="1"/>
  <c r="I247" i="8" s="1"/>
  <c r="U154" i="8"/>
  <c r="K67" i="3" s="1"/>
  <c r="S154" i="8"/>
  <c r="S72" i="8" s="1"/>
  <c r="S67" i="10" s="1"/>
  <c r="R154" i="8"/>
  <c r="R72" i="8" s="1"/>
  <c r="R67" i="10" s="1"/>
  <c r="Q154" i="8"/>
  <c r="Q72" i="8" s="1"/>
  <c r="Q67" i="10" s="1"/>
  <c r="P154" i="8"/>
  <c r="P72" i="8" s="1"/>
  <c r="P67" i="10" s="1"/>
  <c r="N154" i="8"/>
  <c r="N72" i="8" s="1"/>
  <c r="N67" i="10" s="1"/>
  <c r="M154" i="8"/>
  <c r="M72" i="8" s="1"/>
  <c r="M67" i="10" s="1"/>
  <c r="L154" i="8"/>
  <c r="L72" i="8" s="1"/>
  <c r="L67" i="10" s="1"/>
  <c r="K154" i="8"/>
  <c r="K72" i="8" s="1"/>
  <c r="K67" i="10" s="1"/>
  <c r="I154" i="8"/>
  <c r="I72" i="8" s="1"/>
  <c r="I67" i="10" s="1"/>
  <c r="H154" i="8"/>
  <c r="H72" i="8" s="1"/>
  <c r="H67" i="10" s="1"/>
  <c r="G154" i="8"/>
  <c r="G72" i="8" s="1"/>
  <c r="G67" i="10" s="1"/>
  <c r="F154" i="8"/>
  <c r="C57" i="10"/>
  <c r="J44" i="8"/>
  <c r="G34" i="14" s="1"/>
  <c r="I32" i="8"/>
  <c r="H32" i="8"/>
  <c r="G32" i="8"/>
  <c r="F32" i="8"/>
  <c r="W327" i="8"/>
  <c r="X327" i="8" s="1"/>
  <c r="Z327" i="8" s="1"/>
  <c r="AA327" i="8" s="1"/>
  <c r="AB327" i="8" s="1"/>
  <c r="AC327" i="8" s="1"/>
  <c r="AE327" i="8" s="1"/>
  <c r="AF327" i="8" s="1"/>
  <c r="AG327" i="8" s="1"/>
  <c r="W315" i="8"/>
  <c r="W279" i="8"/>
  <c r="V279" i="8"/>
  <c r="V278" i="8"/>
  <c r="V240" i="8"/>
  <c r="I9" i="9"/>
  <c r="H9" i="9"/>
  <c r="G9" i="9"/>
  <c r="F9" i="9"/>
  <c r="W194" i="9"/>
  <c r="V194" i="9"/>
  <c r="W193" i="9"/>
  <c r="V193" i="9"/>
  <c r="W192" i="9"/>
  <c r="V192" i="9"/>
  <c r="W191" i="9"/>
  <c r="V191" i="9"/>
  <c r="W174" i="9"/>
  <c r="V174" i="9"/>
  <c r="W173" i="9"/>
  <c r="V173" i="9"/>
  <c r="W172" i="9"/>
  <c r="V172" i="9"/>
  <c r="W171" i="9"/>
  <c r="V171" i="9"/>
  <c r="W170" i="9"/>
  <c r="V170" i="9"/>
  <c r="W78" i="9"/>
  <c r="W87" i="9" s="1"/>
  <c r="V78" i="9"/>
  <c r="V87" i="9" s="1"/>
  <c r="F7" i="9"/>
  <c r="C17" i="9"/>
  <c r="C43" i="9" s="1"/>
  <c r="C16" i="9"/>
  <c r="C272" i="14" s="1"/>
  <c r="C289" i="14" s="1"/>
  <c r="C44" i="19"/>
  <c r="C43" i="19"/>
  <c r="C42" i="19"/>
  <c r="N40" i="19"/>
  <c r="J40" i="19"/>
  <c r="I40" i="19"/>
  <c r="C37" i="19"/>
  <c r="C36" i="19"/>
  <c r="C35" i="19"/>
  <c r="C34" i="19"/>
  <c r="C33" i="19"/>
  <c r="C32" i="19"/>
  <c r="J24" i="19"/>
  <c r="I24" i="19"/>
  <c r="C21" i="19"/>
  <c r="C19" i="19"/>
  <c r="C18" i="19"/>
  <c r="C17" i="19"/>
  <c r="C16" i="19"/>
  <c r="C15" i="19"/>
  <c r="C14" i="19"/>
  <c r="C13" i="19"/>
  <c r="C12" i="19"/>
  <c r="N10" i="19"/>
  <c r="N24" i="19" s="1"/>
  <c r="M10" i="19"/>
  <c r="M40" i="19" s="1"/>
  <c r="H7" i="19"/>
  <c r="K10" i="19" s="1"/>
  <c r="C2" i="19"/>
  <c r="C1" i="19"/>
  <c r="C44" i="18"/>
  <c r="C43" i="18"/>
  <c r="C42" i="18"/>
  <c r="I40" i="18"/>
  <c r="H40" i="18"/>
  <c r="C37" i="18"/>
  <c r="C36" i="18"/>
  <c r="C35" i="18"/>
  <c r="C34" i="18"/>
  <c r="C33" i="18"/>
  <c r="C32" i="18"/>
  <c r="I24" i="18"/>
  <c r="H24" i="18"/>
  <c r="C21" i="18"/>
  <c r="C19" i="18"/>
  <c r="C18" i="18"/>
  <c r="C17" i="18"/>
  <c r="C16" i="18"/>
  <c r="C15" i="18"/>
  <c r="C14" i="18"/>
  <c r="C13" i="18"/>
  <c r="C12" i="18"/>
  <c r="L10" i="18"/>
  <c r="L24" i="18" s="1"/>
  <c r="H7" i="18"/>
  <c r="J10" i="18" s="1"/>
  <c r="J24" i="18" s="1"/>
  <c r="C2" i="18"/>
  <c r="C1" i="18"/>
  <c r="B157" i="17"/>
  <c r="B158" i="17" s="1"/>
  <c r="P156" i="17"/>
  <c r="B142" i="17"/>
  <c r="P142" i="17" s="1"/>
  <c r="P141" i="17"/>
  <c r="B141" i="17"/>
  <c r="P140" i="17"/>
  <c r="B127" i="17"/>
  <c r="D126" i="17"/>
  <c r="B126" i="17"/>
  <c r="D125" i="17"/>
  <c r="D124" i="17"/>
  <c r="P124" i="17" s="1"/>
  <c r="B111" i="17"/>
  <c r="B112" i="17" s="1"/>
  <c r="B110" i="17"/>
  <c r="D109" i="17"/>
  <c r="D108" i="17"/>
  <c r="P108" i="17" s="1"/>
  <c r="D94" i="17"/>
  <c r="B94" i="17"/>
  <c r="B95" i="17" s="1"/>
  <c r="D92" i="17"/>
  <c r="P92" i="17" s="1"/>
  <c r="D78" i="17"/>
  <c r="B78" i="17"/>
  <c r="B79" i="17" s="1"/>
  <c r="B80" i="17" s="1"/>
  <c r="D76" i="17"/>
  <c r="P76" i="17" s="1"/>
  <c r="B62" i="17"/>
  <c r="B63" i="17" s="1"/>
  <c r="D61" i="17"/>
  <c r="D60" i="17"/>
  <c r="P60" i="17" s="1"/>
  <c r="B47" i="17"/>
  <c r="B46" i="17"/>
  <c r="D45" i="17"/>
  <c r="D44" i="17"/>
  <c r="P44" i="17" s="1"/>
  <c r="C42" i="17"/>
  <c r="C58" i="17" s="1"/>
  <c r="C74" i="17" s="1"/>
  <c r="C90" i="17" s="1"/>
  <c r="C106" i="17" s="1"/>
  <c r="C122" i="17" s="1"/>
  <c r="C138" i="17" s="1"/>
  <c r="C154" i="17" s="1"/>
  <c r="B30" i="17"/>
  <c r="B31" i="17" s="1"/>
  <c r="D29" i="17"/>
  <c r="D28" i="17"/>
  <c r="P28" i="17" s="1"/>
  <c r="O26" i="17"/>
  <c r="O42" i="17" s="1"/>
  <c r="O58" i="17" s="1"/>
  <c r="O74" i="17" s="1"/>
  <c r="O90" i="17" s="1"/>
  <c r="O106" i="17" s="1"/>
  <c r="O122" i="17" s="1"/>
  <c r="O138" i="17" s="1"/>
  <c r="O154" i="17" s="1"/>
  <c r="C26" i="17"/>
  <c r="B14" i="17"/>
  <c r="B15" i="17" s="1"/>
  <c r="D13" i="17"/>
  <c r="D12" i="17"/>
  <c r="P12" i="17" s="1"/>
  <c r="L5" i="17"/>
  <c r="K5" i="17"/>
  <c r="J5" i="17"/>
  <c r="H5" i="17"/>
  <c r="G5" i="17"/>
  <c r="E5" i="17"/>
  <c r="C8" i="17" s="1"/>
  <c r="C2" i="17"/>
  <c r="C1" i="17"/>
  <c r="P184" i="16"/>
  <c r="O184" i="16"/>
  <c r="P183" i="16"/>
  <c r="O183" i="16"/>
  <c r="H181" i="16"/>
  <c r="G181" i="16"/>
  <c r="F181" i="16"/>
  <c r="C177" i="16"/>
  <c r="M159" i="16"/>
  <c r="N159" i="16" s="1"/>
  <c r="O159" i="16" s="1"/>
  <c r="P159" i="16" s="1"/>
  <c r="Q159" i="16" s="1"/>
  <c r="E159" i="16"/>
  <c r="F159" i="16" s="1"/>
  <c r="G159" i="16" s="1"/>
  <c r="H159" i="16" s="1"/>
  <c r="I159" i="16" s="1"/>
  <c r="E135" i="16"/>
  <c r="F135" i="16" s="1"/>
  <c r="G135" i="16" s="1"/>
  <c r="H135" i="16" s="1"/>
  <c r="I135" i="16" s="1"/>
  <c r="J135" i="16" s="1"/>
  <c r="K135" i="16" s="1"/>
  <c r="L135" i="16" s="1"/>
  <c r="M135" i="16" s="1"/>
  <c r="C133" i="16"/>
  <c r="I116" i="16"/>
  <c r="H116" i="16"/>
  <c r="G116" i="16"/>
  <c r="F116" i="16"/>
  <c r="G92" i="16"/>
  <c r="F92" i="16"/>
  <c r="E92" i="16"/>
  <c r="R88" i="16"/>
  <c r="C88" i="16"/>
  <c r="C91" i="16" s="1"/>
  <c r="K71" i="16"/>
  <c r="C71" i="16"/>
  <c r="K68" i="16"/>
  <c r="C68" i="16"/>
  <c r="K28" i="16"/>
  <c r="K31" i="16" s="1"/>
  <c r="C25" i="16"/>
  <c r="C2" i="16"/>
  <c r="C1" i="16"/>
  <c r="H92" i="15"/>
  <c r="G92" i="15"/>
  <c r="F92" i="15"/>
  <c r="E92" i="15"/>
  <c r="H91" i="15"/>
  <c r="G91" i="15"/>
  <c r="F91" i="15"/>
  <c r="E91" i="15"/>
  <c r="H90" i="15"/>
  <c r="G90" i="15"/>
  <c r="G82" i="15" s="1"/>
  <c r="F90" i="15"/>
  <c r="O221" i="14" s="1" a="1"/>
  <c r="O221" i="14" s="1"/>
  <c r="E90" i="15"/>
  <c r="H89" i="15"/>
  <c r="G89" i="15"/>
  <c r="F89" i="15"/>
  <c r="E89" i="15"/>
  <c r="H88" i="15"/>
  <c r="G88" i="15"/>
  <c r="F88" i="15"/>
  <c r="E88" i="15"/>
  <c r="E84" i="15" s="1"/>
  <c r="H87" i="15"/>
  <c r="G87" i="15"/>
  <c r="G83" i="15" s="1"/>
  <c r="F87" i="15"/>
  <c r="F83" i="15" s="1"/>
  <c r="E87" i="15"/>
  <c r="BK86" i="15"/>
  <c r="BD86" i="15"/>
  <c r="CD86" i="15" s="1"/>
  <c r="AX86" i="15"/>
  <c r="BX86" i="15" s="1"/>
  <c r="AR86" i="15"/>
  <c r="BR86" i="15" s="1"/>
  <c r="AL86" i="15"/>
  <c r="BL86" i="15" s="1"/>
  <c r="AK86" i="15"/>
  <c r="H86" i="15"/>
  <c r="G86" i="15"/>
  <c r="F86" i="15"/>
  <c r="E86" i="15"/>
  <c r="H85" i="15"/>
  <c r="G85" i="15"/>
  <c r="F85" i="15"/>
  <c r="E85" i="15"/>
  <c r="BD84" i="15"/>
  <c r="CD84" i="15" s="1"/>
  <c r="AX84" i="15"/>
  <c r="BX84" i="15" s="1"/>
  <c r="AR84" i="15"/>
  <c r="BR84" i="15" s="1"/>
  <c r="AL84" i="15"/>
  <c r="BL84" i="15" s="1"/>
  <c r="BD83" i="15"/>
  <c r="CD83" i="15" s="1"/>
  <c r="AX83" i="15"/>
  <c r="BX83" i="15" s="1"/>
  <c r="AR83" i="15"/>
  <c r="BR83" i="15" s="1"/>
  <c r="AL83" i="15"/>
  <c r="BL83" i="15" s="1"/>
  <c r="BX82" i="15"/>
  <c r="BD82" i="15"/>
  <c r="CD82" i="15" s="1"/>
  <c r="AX82" i="15"/>
  <c r="AR82" i="15"/>
  <c r="BR82" i="15" s="1"/>
  <c r="AL82" i="15"/>
  <c r="BL82" i="15" s="1"/>
  <c r="H82" i="15"/>
  <c r="F82" i="15"/>
  <c r="BL81" i="15"/>
  <c r="BD81" i="15"/>
  <c r="CD81" i="15" s="1"/>
  <c r="AX81" i="15"/>
  <c r="BX81" i="15" s="1"/>
  <c r="AR81" i="15"/>
  <c r="BR81" i="15" s="1"/>
  <c r="AL81" i="15"/>
  <c r="H81" i="15"/>
  <c r="G81" i="15"/>
  <c r="F81" i="15"/>
  <c r="E81" i="15"/>
  <c r="BD80" i="15"/>
  <c r="CD80" i="15" s="1"/>
  <c r="AX80" i="15"/>
  <c r="BX80" i="15" s="1"/>
  <c r="AR80" i="15"/>
  <c r="BR80" i="15" s="1"/>
  <c r="AL80" i="15"/>
  <c r="BL80" i="15" s="1"/>
  <c r="BD79" i="15"/>
  <c r="CD79" i="15" s="1"/>
  <c r="AX79" i="15"/>
  <c r="BX79" i="15" s="1"/>
  <c r="AR79" i="15"/>
  <c r="BR79" i="15" s="1"/>
  <c r="AL79" i="15"/>
  <c r="BL79" i="15" s="1"/>
  <c r="BX78" i="15"/>
  <c r="BD78" i="15"/>
  <c r="CD78" i="15" s="1"/>
  <c r="AX78" i="15"/>
  <c r="AR78" i="15"/>
  <c r="BR78" i="15" s="1"/>
  <c r="AL78" i="15"/>
  <c r="BL78" i="15" s="1"/>
  <c r="H78" i="15"/>
  <c r="G78" i="15"/>
  <c r="F78" i="15"/>
  <c r="E78" i="15"/>
  <c r="BD77" i="15"/>
  <c r="CD77" i="15" s="1"/>
  <c r="AX77" i="15"/>
  <c r="BX77" i="15" s="1"/>
  <c r="AR77" i="15"/>
  <c r="BR77" i="15" s="1"/>
  <c r="AL77" i="15"/>
  <c r="BL77" i="15" s="1"/>
  <c r="H77" i="15"/>
  <c r="G77" i="15"/>
  <c r="F77" i="15"/>
  <c r="E77" i="15"/>
  <c r="CD76" i="15"/>
  <c r="BD76" i="15"/>
  <c r="AX76" i="15"/>
  <c r="BX76" i="15" s="1"/>
  <c r="AR76" i="15"/>
  <c r="BR76" i="15" s="1"/>
  <c r="AL76" i="15"/>
  <c r="BL76" i="15" s="1"/>
  <c r="H76" i="15"/>
  <c r="G76" i="15"/>
  <c r="F76" i="15"/>
  <c r="E76" i="15"/>
  <c r="BD75" i="15"/>
  <c r="CD75" i="15" s="1"/>
  <c r="AX75" i="15"/>
  <c r="BX75" i="15" s="1"/>
  <c r="AR75" i="15"/>
  <c r="BR75" i="15" s="1"/>
  <c r="AL75" i="15"/>
  <c r="BL75" i="15" s="1"/>
  <c r="H75" i="15"/>
  <c r="G75" i="15"/>
  <c r="F75" i="15"/>
  <c r="E75" i="15"/>
  <c r="BD74" i="15"/>
  <c r="CD74" i="15" s="1"/>
  <c r="AX74" i="15"/>
  <c r="BX74" i="15" s="1"/>
  <c r="AR74" i="15"/>
  <c r="BR74" i="15" s="1"/>
  <c r="AL74" i="15"/>
  <c r="BL74" i="15" s="1"/>
  <c r="BD73" i="15"/>
  <c r="CD73" i="15" s="1"/>
  <c r="AX73" i="15"/>
  <c r="BX73" i="15" s="1"/>
  <c r="AR73" i="15"/>
  <c r="BR73" i="15" s="1"/>
  <c r="AL73" i="15"/>
  <c r="BL73" i="15" s="1"/>
  <c r="BX72" i="15"/>
  <c r="BD72" i="15"/>
  <c r="CD72" i="15" s="1"/>
  <c r="AX72" i="15"/>
  <c r="AR72" i="15"/>
  <c r="BR72" i="15" s="1"/>
  <c r="AL72" i="15"/>
  <c r="BL72" i="15" s="1"/>
  <c r="C72" i="15"/>
  <c r="BD71" i="15"/>
  <c r="CD71" i="15" s="1"/>
  <c r="AX71" i="15"/>
  <c r="BX71" i="15" s="1"/>
  <c r="AR71" i="15"/>
  <c r="BR71" i="15" s="1"/>
  <c r="AL71" i="15"/>
  <c r="BL71" i="15" s="1"/>
  <c r="BD70" i="15"/>
  <c r="CD70" i="15" s="1"/>
  <c r="AX70" i="15"/>
  <c r="BX70" i="15" s="1"/>
  <c r="AR70" i="15"/>
  <c r="BR70" i="15" s="1"/>
  <c r="AL70" i="15"/>
  <c r="BL70" i="15" s="1"/>
  <c r="H70" i="15"/>
  <c r="G70" i="15"/>
  <c r="G62" i="15" s="1"/>
  <c r="F70" i="15"/>
  <c r="E70" i="15"/>
  <c r="E62" i="15" s="1"/>
  <c r="BD69" i="15"/>
  <c r="CD69" i="15" s="1"/>
  <c r="AX69" i="15"/>
  <c r="BX69" i="15" s="1"/>
  <c r="AR69" i="15"/>
  <c r="BR69" i="15" s="1"/>
  <c r="AL69" i="15"/>
  <c r="BL69" i="15" s="1"/>
  <c r="H69" i="15"/>
  <c r="G69" i="15"/>
  <c r="F69" i="15"/>
  <c r="E69" i="15"/>
  <c r="BD68" i="15"/>
  <c r="CD68" i="15" s="1"/>
  <c r="AX68" i="15"/>
  <c r="BX68" i="15" s="1"/>
  <c r="AR68" i="15"/>
  <c r="BR68" i="15" s="1"/>
  <c r="AL68" i="15"/>
  <c r="BL68" i="15" s="1"/>
  <c r="H68" i="15"/>
  <c r="M222" i="14" s="1" a="1"/>
  <c r="M222" i="14" s="1"/>
  <c r="G68" i="15"/>
  <c r="F68" i="15"/>
  <c r="M221" i="14" s="1" a="1"/>
  <c r="M221" i="14" s="1"/>
  <c r="E68" i="15"/>
  <c r="E60" i="15" s="1"/>
  <c r="BD67" i="15"/>
  <c r="CD67" i="15" s="1"/>
  <c r="AX67" i="15"/>
  <c r="BX67" i="15" s="1"/>
  <c r="AR67" i="15"/>
  <c r="BR67" i="15" s="1"/>
  <c r="AL67" i="15"/>
  <c r="BL67" i="15" s="1"/>
  <c r="H67" i="15"/>
  <c r="G67" i="15"/>
  <c r="F67" i="15"/>
  <c r="E67" i="15"/>
  <c r="BD66" i="15"/>
  <c r="CD66" i="15" s="1"/>
  <c r="AX66" i="15"/>
  <c r="BX66" i="15" s="1"/>
  <c r="AR66" i="15"/>
  <c r="BR66" i="15" s="1"/>
  <c r="AL66" i="15"/>
  <c r="BL66" i="15" s="1"/>
  <c r="H66" i="15"/>
  <c r="H62" i="15" s="1"/>
  <c r="G66" i="15"/>
  <c r="F66" i="15"/>
  <c r="E66" i="15"/>
  <c r="BD65" i="15"/>
  <c r="CD65" i="15" s="1"/>
  <c r="AX65" i="15"/>
  <c r="BX65" i="15" s="1"/>
  <c r="AR65" i="15"/>
  <c r="BR65" i="15" s="1"/>
  <c r="AL65" i="15"/>
  <c r="BL65" i="15" s="1"/>
  <c r="H65" i="15"/>
  <c r="H61" i="15" s="1"/>
  <c r="G65" i="15"/>
  <c r="F65" i="15"/>
  <c r="E65" i="15"/>
  <c r="BD64" i="15"/>
  <c r="CD64" i="15" s="1"/>
  <c r="AX64" i="15"/>
  <c r="BX64" i="15" s="1"/>
  <c r="AR64" i="15"/>
  <c r="BR64" i="15" s="1"/>
  <c r="AL64" i="15"/>
  <c r="BL64" i="15" s="1"/>
  <c r="H64" i="15"/>
  <c r="G64" i="15"/>
  <c r="F64" i="15"/>
  <c r="E64" i="15"/>
  <c r="BD63" i="15"/>
  <c r="CD63" i="15" s="1"/>
  <c r="AX63" i="15"/>
  <c r="BX63" i="15" s="1"/>
  <c r="AR63" i="15"/>
  <c r="BR63" i="15" s="1"/>
  <c r="AL63" i="15"/>
  <c r="BL63" i="15" s="1"/>
  <c r="H63" i="15"/>
  <c r="G63" i="15"/>
  <c r="F63" i="15"/>
  <c r="E63" i="15"/>
  <c r="CD62" i="15"/>
  <c r="BD62" i="15"/>
  <c r="AX62" i="15"/>
  <c r="BX62" i="15" s="1"/>
  <c r="AR62" i="15"/>
  <c r="BR62" i="15" s="1"/>
  <c r="AL62" i="15"/>
  <c r="BL62" i="15" s="1"/>
  <c r="F62" i="15"/>
  <c r="CD61" i="15"/>
  <c r="BD61" i="15"/>
  <c r="AX61" i="15"/>
  <c r="BX61" i="15" s="1"/>
  <c r="AR61" i="15"/>
  <c r="BR61" i="15" s="1"/>
  <c r="AL61" i="15"/>
  <c r="BL61" i="15" s="1"/>
  <c r="BD60" i="15"/>
  <c r="CD60" i="15" s="1"/>
  <c r="AX60" i="15"/>
  <c r="BX60" i="15" s="1"/>
  <c r="AR60" i="15"/>
  <c r="BR60" i="15" s="1"/>
  <c r="AL60" i="15"/>
  <c r="BL60" i="15" s="1"/>
  <c r="H60" i="15"/>
  <c r="BD59" i="15"/>
  <c r="CD59" i="15" s="1"/>
  <c r="AX59" i="15"/>
  <c r="BX59" i="15" s="1"/>
  <c r="AR59" i="15"/>
  <c r="BR59" i="15" s="1"/>
  <c r="AL59" i="15"/>
  <c r="BL59" i="15" s="1"/>
  <c r="H59" i="15"/>
  <c r="G59" i="15"/>
  <c r="F59" i="15"/>
  <c r="E59" i="15"/>
  <c r="BD58" i="15"/>
  <c r="CD58" i="15" s="1"/>
  <c r="AX58" i="15"/>
  <c r="BX58" i="15" s="1"/>
  <c r="AR58" i="15"/>
  <c r="BR58" i="15" s="1"/>
  <c r="AL58" i="15"/>
  <c r="BL58" i="15" s="1"/>
  <c r="BD57" i="15"/>
  <c r="CD57" i="15" s="1"/>
  <c r="AX57" i="15"/>
  <c r="BX57" i="15" s="1"/>
  <c r="AR57" i="15"/>
  <c r="BR57" i="15" s="1"/>
  <c r="AL57" i="15"/>
  <c r="BL57" i="15" s="1"/>
  <c r="BX56" i="15"/>
  <c r="BR56" i="15"/>
  <c r="BD56" i="15"/>
  <c r="CD56" i="15" s="1"/>
  <c r="AX56" i="15"/>
  <c r="AR56" i="15"/>
  <c r="AL56" i="15"/>
  <c r="BL56" i="15" s="1"/>
  <c r="H56" i="15"/>
  <c r="G56" i="15"/>
  <c r="F56" i="15"/>
  <c r="E56" i="15"/>
  <c r="BD55" i="15"/>
  <c r="CD55" i="15" s="1"/>
  <c r="AX55" i="15"/>
  <c r="BX55" i="15" s="1"/>
  <c r="AR55" i="15"/>
  <c r="BR55" i="15" s="1"/>
  <c r="AL55" i="15"/>
  <c r="BL55" i="15" s="1"/>
  <c r="H55" i="15"/>
  <c r="G55" i="15"/>
  <c r="F55" i="15"/>
  <c r="E55" i="15"/>
  <c r="BD54" i="15"/>
  <c r="CD54" i="15" s="1"/>
  <c r="AX54" i="15"/>
  <c r="BX54" i="15" s="1"/>
  <c r="AR54" i="15"/>
  <c r="BR54" i="15" s="1"/>
  <c r="AL54" i="15"/>
  <c r="BL54" i="15" s="1"/>
  <c r="H54" i="15"/>
  <c r="G54" i="15"/>
  <c r="F54" i="15"/>
  <c r="E54" i="15"/>
  <c r="BX53" i="15"/>
  <c r="BD53" i="15"/>
  <c r="CD53" i="15" s="1"/>
  <c r="AX53" i="15"/>
  <c r="AR53" i="15"/>
  <c r="BR53" i="15" s="1"/>
  <c r="AL53" i="15"/>
  <c r="BL53" i="15" s="1"/>
  <c r="H53" i="15"/>
  <c r="G53" i="15"/>
  <c r="F53" i="15"/>
  <c r="E53" i="15"/>
  <c r="BD52" i="15"/>
  <c r="CD52" i="15" s="1"/>
  <c r="AX52" i="15"/>
  <c r="BX52" i="15" s="1"/>
  <c r="AR52" i="15"/>
  <c r="BR52" i="15" s="1"/>
  <c r="AL52" i="15"/>
  <c r="BL52" i="15" s="1"/>
  <c r="BR51" i="15"/>
  <c r="BD51" i="15"/>
  <c r="CD51" i="15" s="1"/>
  <c r="AX51" i="15"/>
  <c r="BX51" i="15" s="1"/>
  <c r="AR51" i="15"/>
  <c r="AL51" i="15"/>
  <c r="BL51" i="15" s="1"/>
  <c r="BD50" i="15"/>
  <c r="CD50" i="15" s="1"/>
  <c r="AX50" i="15"/>
  <c r="BX50" i="15" s="1"/>
  <c r="AR50" i="15"/>
  <c r="BR50" i="15" s="1"/>
  <c r="AL50" i="15"/>
  <c r="BL50" i="15" s="1"/>
  <c r="C50" i="15"/>
  <c r="BD49" i="15"/>
  <c r="CD49" i="15" s="1"/>
  <c r="AX49" i="15"/>
  <c r="BX49" i="15" s="1"/>
  <c r="AR49" i="15"/>
  <c r="BR49" i="15" s="1"/>
  <c r="AL49" i="15"/>
  <c r="BL49" i="15" s="1"/>
  <c r="BD48" i="15"/>
  <c r="CD48" i="15" s="1"/>
  <c r="AX48" i="15"/>
  <c r="BX48" i="15" s="1"/>
  <c r="AR48" i="15"/>
  <c r="BR48" i="15" s="1"/>
  <c r="AL48" i="15"/>
  <c r="BL48" i="15" s="1"/>
  <c r="H48" i="15"/>
  <c r="G48" i="15"/>
  <c r="F48" i="15"/>
  <c r="E48" i="15"/>
  <c r="BD47" i="15"/>
  <c r="CD47" i="15" s="1"/>
  <c r="AX47" i="15"/>
  <c r="BX47" i="15" s="1"/>
  <c r="AR47" i="15"/>
  <c r="BR47" i="15" s="1"/>
  <c r="AL47" i="15"/>
  <c r="BL47" i="15" s="1"/>
  <c r="H47" i="15"/>
  <c r="G47" i="15"/>
  <c r="F47" i="15"/>
  <c r="E47" i="15"/>
  <c r="BD46" i="15"/>
  <c r="CD46" i="15" s="1"/>
  <c r="AX46" i="15"/>
  <c r="BX46" i="15" s="1"/>
  <c r="AR46" i="15"/>
  <c r="BR46" i="15" s="1"/>
  <c r="AL46" i="15"/>
  <c r="BL46" i="15" s="1"/>
  <c r="H46" i="15"/>
  <c r="K222" i="14" s="1" a="1"/>
  <c r="K222" i="14" s="1"/>
  <c r="G46" i="15"/>
  <c r="F46" i="15"/>
  <c r="K221" i="14" s="1" a="1"/>
  <c r="K221" i="14" s="1"/>
  <c r="E46" i="15"/>
  <c r="BD45" i="15"/>
  <c r="CD45" i="15" s="1"/>
  <c r="AX45" i="15"/>
  <c r="BX45" i="15" s="1"/>
  <c r="AR45" i="15"/>
  <c r="BR45" i="15" s="1"/>
  <c r="AL45" i="15"/>
  <c r="BL45" i="15" s="1"/>
  <c r="H45" i="15"/>
  <c r="G45" i="15"/>
  <c r="F45" i="15"/>
  <c r="E45" i="15"/>
  <c r="BD44" i="15"/>
  <c r="CD44" i="15" s="1"/>
  <c r="AX44" i="15"/>
  <c r="BX44" i="15" s="1"/>
  <c r="AR44" i="15"/>
  <c r="BR44" i="15" s="1"/>
  <c r="AL44" i="15"/>
  <c r="BL44" i="15" s="1"/>
  <c r="H44" i="15"/>
  <c r="G44" i="15"/>
  <c r="F44" i="15"/>
  <c r="E44" i="15"/>
  <c r="BD43" i="15"/>
  <c r="CD43" i="15" s="1"/>
  <c r="AX43" i="15"/>
  <c r="BX43" i="15" s="1"/>
  <c r="AR43" i="15"/>
  <c r="BR43" i="15" s="1"/>
  <c r="AL43" i="15"/>
  <c r="BL43" i="15" s="1"/>
  <c r="H43" i="15"/>
  <c r="G43" i="15"/>
  <c r="F43" i="15"/>
  <c r="E43" i="15"/>
  <c r="BD42" i="15"/>
  <c r="CD42" i="15" s="1"/>
  <c r="AX42" i="15"/>
  <c r="BX42" i="15" s="1"/>
  <c r="AR42" i="15"/>
  <c r="BR42" i="15" s="1"/>
  <c r="AL42" i="15"/>
  <c r="BL42" i="15" s="1"/>
  <c r="H42" i="15"/>
  <c r="G42" i="15"/>
  <c r="F42" i="15"/>
  <c r="E42" i="15"/>
  <c r="E38" i="15" s="1"/>
  <c r="BL41" i="15"/>
  <c r="BD41" i="15"/>
  <c r="CD41" i="15" s="1"/>
  <c r="AX41" i="15"/>
  <c r="BX41" i="15" s="1"/>
  <c r="AR41" i="15"/>
  <c r="BR41" i="15" s="1"/>
  <c r="AL41" i="15"/>
  <c r="H41" i="15"/>
  <c r="G41" i="15"/>
  <c r="F41" i="15"/>
  <c r="E41" i="15"/>
  <c r="BD40" i="15"/>
  <c r="CD40" i="15" s="1"/>
  <c r="AX40" i="15"/>
  <c r="BX40" i="15" s="1"/>
  <c r="AR40" i="15"/>
  <c r="BR40" i="15" s="1"/>
  <c r="AL40" i="15"/>
  <c r="BL40" i="15" s="1"/>
  <c r="BD39" i="15"/>
  <c r="CD39" i="15" s="1"/>
  <c r="AX39" i="15"/>
  <c r="BX39" i="15" s="1"/>
  <c r="AR39" i="15"/>
  <c r="BR39" i="15" s="1"/>
  <c r="AL39" i="15"/>
  <c r="BL39" i="15" s="1"/>
  <c r="CD38" i="15"/>
  <c r="BD38" i="15"/>
  <c r="AX38" i="15"/>
  <c r="BX38" i="15" s="1"/>
  <c r="AR38" i="15"/>
  <c r="BR38" i="15" s="1"/>
  <c r="AL38" i="15"/>
  <c r="BL38" i="15" s="1"/>
  <c r="BD37" i="15"/>
  <c r="CD37" i="15" s="1"/>
  <c r="AX37" i="15"/>
  <c r="BX37" i="15" s="1"/>
  <c r="AR37" i="15"/>
  <c r="BR37" i="15" s="1"/>
  <c r="AL37" i="15"/>
  <c r="BL37" i="15" s="1"/>
  <c r="H37" i="15"/>
  <c r="G37" i="15"/>
  <c r="F37" i="15"/>
  <c r="E37" i="15"/>
  <c r="BD36" i="15"/>
  <c r="CD36" i="15" s="1"/>
  <c r="AX36" i="15"/>
  <c r="BX36" i="15" s="1"/>
  <c r="AR36" i="15"/>
  <c r="BR36" i="15" s="1"/>
  <c r="AL36" i="15"/>
  <c r="BL36" i="15" s="1"/>
  <c r="BD35" i="15"/>
  <c r="CD35" i="15" s="1"/>
  <c r="AX35" i="15"/>
  <c r="BX35" i="15" s="1"/>
  <c r="AR35" i="15"/>
  <c r="BR35" i="15" s="1"/>
  <c r="AL35" i="15"/>
  <c r="BL35" i="15" s="1"/>
  <c r="BD34" i="15"/>
  <c r="CD34" i="15" s="1"/>
  <c r="AX34" i="15"/>
  <c r="BX34" i="15" s="1"/>
  <c r="AR34" i="15"/>
  <c r="BR34" i="15" s="1"/>
  <c r="AL34" i="15"/>
  <c r="BL34" i="15" s="1"/>
  <c r="H34" i="15"/>
  <c r="G34" i="15"/>
  <c r="F34" i="15"/>
  <c r="E34" i="15"/>
  <c r="BD33" i="15"/>
  <c r="CD33" i="15" s="1"/>
  <c r="AX33" i="15"/>
  <c r="BX33" i="15" s="1"/>
  <c r="AR33" i="15"/>
  <c r="BR33" i="15" s="1"/>
  <c r="AL33" i="15"/>
  <c r="BL33" i="15" s="1"/>
  <c r="H33" i="15"/>
  <c r="G33" i="15"/>
  <c r="F33" i="15"/>
  <c r="E33" i="15"/>
  <c r="BD32" i="15"/>
  <c r="CD32" i="15" s="1"/>
  <c r="AX32" i="15"/>
  <c r="BX32" i="15" s="1"/>
  <c r="AR32" i="15"/>
  <c r="BR32" i="15" s="1"/>
  <c r="AL32" i="15"/>
  <c r="BL32" i="15" s="1"/>
  <c r="H32" i="15"/>
  <c r="G32" i="15"/>
  <c r="F32" i="15"/>
  <c r="E32" i="15"/>
  <c r="BL31" i="15"/>
  <c r="BD31" i="15"/>
  <c r="CD31" i="15" s="1"/>
  <c r="AX31" i="15"/>
  <c r="BX31" i="15" s="1"/>
  <c r="AR31" i="15"/>
  <c r="BR31" i="15" s="1"/>
  <c r="AL31" i="15"/>
  <c r="H31" i="15"/>
  <c r="G31" i="15"/>
  <c r="F31" i="15"/>
  <c r="E31" i="15"/>
  <c r="BD30" i="15"/>
  <c r="CD30" i="15" s="1"/>
  <c r="AX30" i="15"/>
  <c r="BX30" i="15" s="1"/>
  <c r="AR30" i="15"/>
  <c r="BR30" i="15" s="1"/>
  <c r="AL30" i="15"/>
  <c r="BL30" i="15" s="1"/>
  <c r="BD29" i="15"/>
  <c r="CD29" i="15" s="1"/>
  <c r="AX29" i="15"/>
  <c r="BX29" i="15" s="1"/>
  <c r="AR29" i="15"/>
  <c r="BR29" i="15" s="1"/>
  <c r="AL29" i="15"/>
  <c r="BL29" i="15" s="1"/>
  <c r="BX28" i="15"/>
  <c r="BD28" i="15"/>
  <c r="CD28" i="15" s="1"/>
  <c r="AX28" i="15"/>
  <c r="AR28" i="15"/>
  <c r="BR28" i="15" s="1"/>
  <c r="AL28" i="15"/>
  <c r="BL28" i="15" s="1"/>
  <c r="C28" i="15"/>
  <c r="BX27" i="15"/>
  <c r="BD27" i="15"/>
  <c r="CD27" i="15" s="1"/>
  <c r="AX27" i="15"/>
  <c r="AR27" i="15"/>
  <c r="BR27" i="15" s="1"/>
  <c r="AL27" i="15"/>
  <c r="BL27" i="15" s="1"/>
  <c r="BD26" i="15"/>
  <c r="CD26" i="15" s="1"/>
  <c r="AX26" i="15"/>
  <c r="BX26" i="15" s="1"/>
  <c r="AR26" i="15"/>
  <c r="BR26" i="15" s="1"/>
  <c r="AL26" i="15"/>
  <c r="BL26" i="15" s="1"/>
  <c r="H26" i="15"/>
  <c r="G26" i="15"/>
  <c r="F26" i="15"/>
  <c r="F18" i="15" s="1"/>
  <c r="E26" i="15"/>
  <c r="BD25" i="15"/>
  <c r="CD25" i="15" s="1"/>
  <c r="AX25" i="15"/>
  <c r="BX25" i="15" s="1"/>
  <c r="AR25" i="15"/>
  <c r="BR25" i="15" s="1"/>
  <c r="AL25" i="15"/>
  <c r="BL25" i="15" s="1"/>
  <c r="H25" i="15"/>
  <c r="G25" i="15"/>
  <c r="F25" i="15"/>
  <c r="E25" i="15"/>
  <c r="BD24" i="15"/>
  <c r="CD24" i="15" s="1"/>
  <c r="AX24" i="15"/>
  <c r="BX24" i="15" s="1"/>
  <c r="AR24" i="15"/>
  <c r="BR24" i="15" s="1"/>
  <c r="AL24" i="15"/>
  <c r="BL24" i="15" s="1"/>
  <c r="H24" i="15"/>
  <c r="N197" i="14" s="1" a="1"/>
  <c r="N197" i="14" s="1"/>
  <c r="N201" i="14" s="1"/>
  <c r="G24" i="15"/>
  <c r="F24" i="15"/>
  <c r="F197" i="14" s="1" a="1"/>
  <c r="F197" i="14" s="1"/>
  <c r="F201" i="14" s="1"/>
  <c r="E24" i="15"/>
  <c r="BD23" i="15"/>
  <c r="CD23" i="15" s="1"/>
  <c r="AX23" i="15"/>
  <c r="BX23" i="15" s="1"/>
  <c r="AR23" i="15"/>
  <c r="BR23" i="15" s="1"/>
  <c r="AL23" i="15"/>
  <c r="BL23" i="15" s="1"/>
  <c r="H23" i="15"/>
  <c r="G23" i="15"/>
  <c r="F23" i="15"/>
  <c r="CD22" i="15"/>
  <c r="BL22" i="15"/>
  <c r="BD22" i="15"/>
  <c r="AX22" i="15"/>
  <c r="BX22" i="15" s="1"/>
  <c r="AR22" i="15"/>
  <c r="BR22" i="15" s="1"/>
  <c r="AL22" i="15"/>
  <c r="H22" i="15"/>
  <c r="G22" i="15"/>
  <c r="F22" i="15"/>
  <c r="E22" i="15"/>
  <c r="E18" i="15" s="1"/>
  <c r="BR21" i="15"/>
  <c r="AX21" i="15"/>
  <c r="BX21" i="15" s="1"/>
  <c r="AR21" i="15"/>
  <c r="AL21" i="15"/>
  <c r="BL21" i="15" s="1"/>
  <c r="H21" i="15"/>
  <c r="H17" i="15" s="1"/>
  <c r="G21" i="15"/>
  <c r="G17" i="15" s="1"/>
  <c r="F21" i="15"/>
  <c r="F17" i="15" s="1"/>
  <c r="E17" i="15"/>
  <c r="AX20" i="15"/>
  <c r="BX20" i="15" s="1"/>
  <c r="AR20" i="15"/>
  <c r="BR20" i="15" s="1"/>
  <c r="AL20" i="15"/>
  <c r="BL20" i="15" s="1"/>
  <c r="H20" i="15"/>
  <c r="H16" i="15" s="1"/>
  <c r="G20" i="15"/>
  <c r="G16" i="15" s="1"/>
  <c r="F20" i="15"/>
  <c r="AX19" i="15"/>
  <c r="BX19" i="15" s="1"/>
  <c r="AR19" i="15"/>
  <c r="BR19" i="15" s="1"/>
  <c r="AL19" i="15"/>
  <c r="BL19" i="15" s="1"/>
  <c r="H19" i="15"/>
  <c r="G19" i="15"/>
  <c r="F19" i="15"/>
  <c r="E19" i="15"/>
  <c r="AX18" i="15"/>
  <c r="BX18" i="15" s="1"/>
  <c r="AR18" i="15"/>
  <c r="BR18" i="15" s="1"/>
  <c r="AL18" i="15"/>
  <c r="BL18" i="15" s="1"/>
  <c r="AX17" i="15"/>
  <c r="BX17" i="15" s="1"/>
  <c r="AR17" i="15"/>
  <c r="BR17" i="15" s="1"/>
  <c r="AL17" i="15"/>
  <c r="BL17" i="15" s="1"/>
  <c r="AX16" i="15"/>
  <c r="BX16" i="15" s="1"/>
  <c r="AR16" i="15"/>
  <c r="BR16" i="15" s="1"/>
  <c r="AL16" i="15"/>
  <c r="BL16" i="15" s="1"/>
  <c r="BL15" i="15"/>
  <c r="AX15" i="15"/>
  <c r="BX15" i="15" s="1"/>
  <c r="AR15" i="15"/>
  <c r="BR15" i="15" s="1"/>
  <c r="AL15" i="15"/>
  <c r="H15" i="15"/>
  <c r="G15" i="15"/>
  <c r="F15" i="15"/>
  <c r="E15" i="15"/>
  <c r="AX14" i="15"/>
  <c r="BX14" i="15" s="1"/>
  <c r="AR14" i="15"/>
  <c r="BR14" i="15" s="1"/>
  <c r="AL14" i="15"/>
  <c r="BL14" i="15" s="1"/>
  <c r="AX13" i="15"/>
  <c r="BX13" i="15" s="1"/>
  <c r="AR13" i="15"/>
  <c r="BR13" i="15" s="1"/>
  <c r="AL13" i="15"/>
  <c r="BL13" i="15" s="1"/>
  <c r="AX12" i="15"/>
  <c r="BX12" i="15" s="1"/>
  <c r="AR12" i="15"/>
  <c r="BR12" i="15" s="1"/>
  <c r="AL12" i="15"/>
  <c r="BL12" i="15" s="1"/>
  <c r="H12" i="15"/>
  <c r="G12" i="15"/>
  <c r="F12" i="15"/>
  <c r="E12" i="15"/>
  <c r="AX11" i="15"/>
  <c r="BX11" i="15" s="1"/>
  <c r="AR11" i="15"/>
  <c r="BR11" i="15" s="1"/>
  <c r="AL11" i="15"/>
  <c r="BL11" i="15" s="1"/>
  <c r="H11" i="15"/>
  <c r="R118" i="14" s="1"/>
  <c r="G11" i="15"/>
  <c r="F11" i="15"/>
  <c r="E11" i="15"/>
  <c r="AX10" i="15"/>
  <c r="BX10" i="15" s="1"/>
  <c r="AR10" i="15"/>
  <c r="BR10" i="15" s="1"/>
  <c r="AL10" i="15"/>
  <c r="BL10" i="15" s="1"/>
  <c r="H10" i="15"/>
  <c r="G10" i="15"/>
  <c r="F10" i="15"/>
  <c r="E10" i="15"/>
  <c r="AX9" i="15"/>
  <c r="BX9" i="15" s="1"/>
  <c r="AR9" i="15"/>
  <c r="BR9" i="15" s="1"/>
  <c r="AL9" i="15"/>
  <c r="BL9" i="15" s="1"/>
  <c r="H9" i="15"/>
  <c r="G9" i="15"/>
  <c r="F9" i="15"/>
  <c r="E9" i="15"/>
  <c r="AX8" i="15"/>
  <c r="BX8" i="15" s="1"/>
  <c r="AR8" i="15"/>
  <c r="BR8" i="15" s="1"/>
  <c r="AL8" i="15"/>
  <c r="BL8" i="15" s="1"/>
  <c r="CD7" i="15"/>
  <c r="BX7" i="15"/>
  <c r="BQ7" i="15"/>
  <c r="BW7" i="15" s="1"/>
  <c r="CC7" i="15" s="1"/>
  <c r="CI7" i="15" s="1"/>
  <c r="BP7" i="15"/>
  <c r="BV7" i="15" s="1"/>
  <c r="CB7" i="15" s="1"/>
  <c r="CH7" i="15" s="1"/>
  <c r="BO7" i="15"/>
  <c r="BU7" i="15" s="1"/>
  <c r="CA7" i="15" s="1"/>
  <c r="CG7" i="15" s="1"/>
  <c r="BN7" i="15"/>
  <c r="BT7" i="15" s="1"/>
  <c r="BZ7" i="15" s="1"/>
  <c r="CF7" i="15" s="1"/>
  <c r="BM7" i="15"/>
  <c r="BS7" i="15" s="1"/>
  <c r="BY7" i="15" s="1"/>
  <c r="CE7" i="15" s="1"/>
  <c r="BL7" i="15"/>
  <c r="AQ7" i="15"/>
  <c r="AW7" i="15" s="1"/>
  <c r="BC7" i="15" s="1"/>
  <c r="BI7" i="15" s="1"/>
  <c r="AP7" i="15"/>
  <c r="AV7" i="15" s="1"/>
  <c r="BB7" i="15" s="1"/>
  <c r="BH7" i="15" s="1"/>
  <c r="AO7" i="15"/>
  <c r="AU7" i="15" s="1"/>
  <c r="BA7" i="15" s="1"/>
  <c r="BG7" i="15" s="1"/>
  <c r="AN7" i="15"/>
  <c r="AT7" i="15" s="1"/>
  <c r="AZ7" i="15" s="1"/>
  <c r="BF7" i="15" s="1"/>
  <c r="AM7" i="15"/>
  <c r="AS7" i="15" s="1"/>
  <c r="AY7" i="15" s="1"/>
  <c r="BE7" i="15" s="1"/>
  <c r="AL7" i="15"/>
  <c r="AR7" i="15" s="1"/>
  <c r="Q7" i="15"/>
  <c r="W7" i="15" s="1"/>
  <c r="P7" i="15"/>
  <c r="AH7" i="15" s="1"/>
  <c r="O7" i="15"/>
  <c r="AG7" i="15" s="1"/>
  <c r="N7" i="15"/>
  <c r="M7" i="15"/>
  <c r="AE7" i="15" s="1"/>
  <c r="L7" i="15"/>
  <c r="AD7" i="15" s="1"/>
  <c r="CD6" i="15"/>
  <c r="BX6" i="15"/>
  <c r="BQ6" i="15"/>
  <c r="J20" i="14" s="1"/>
  <c r="BP6" i="15"/>
  <c r="I20" i="14" s="1"/>
  <c r="BO6" i="15"/>
  <c r="H20" i="14" s="1"/>
  <c r="BN6" i="15"/>
  <c r="BT6" i="15" s="1"/>
  <c r="BZ6" i="15" s="1"/>
  <c r="CF6" i="15" s="1"/>
  <c r="BM6" i="15"/>
  <c r="BS6" i="15" s="1"/>
  <c r="BY6" i="15" s="1"/>
  <c r="CE6" i="15" s="1"/>
  <c r="BL6" i="15"/>
  <c r="AQ6" i="15"/>
  <c r="AW6" i="15" s="1"/>
  <c r="BC6" i="15" s="1"/>
  <c r="BI6" i="15" s="1"/>
  <c r="AP6" i="15"/>
  <c r="AV6" i="15" s="1"/>
  <c r="BB6" i="15" s="1"/>
  <c r="BH6" i="15" s="1"/>
  <c r="AO6" i="15"/>
  <c r="AU6" i="15" s="1"/>
  <c r="BA6" i="15" s="1"/>
  <c r="BG6" i="15" s="1"/>
  <c r="AN6" i="15"/>
  <c r="AT6" i="15" s="1"/>
  <c r="AZ6" i="15" s="1"/>
  <c r="BF6" i="15" s="1"/>
  <c r="AM6" i="15"/>
  <c r="AS6" i="15" s="1"/>
  <c r="AY6" i="15" s="1"/>
  <c r="BE6" i="15" s="1"/>
  <c r="Q6" i="15"/>
  <c r="W6" i="15" s="1"/>
  <c r="P6" i="15"/>
  <c r="V6" i="15" s="1"/>
  <c r="U6" i="15"/>
  <c r="N6" i="15"/>
  <c r="T6" i="15" s="1"/>
  <c r="M6" i="15"/>
  <c r="S6" i="15" s="1"/>
  <c r="I6" i="15"/>
  <c r="I7" i="15" s="1"/>
  <c r="I8" i="15" s="1"/>
  <c r="C6" i="15"/>
  <c r="BL4" i="15"/>
  <c r="C19" i="14" s="1"/>
  <c r="AL4" i="15"/>
  <c r="C14" i="14" s="1"/>
  <c r="L4" i="15"/>
  <c r="C9" i="14" s="1"/>
  <c r="B9" i="14" s="1"/>
  <c r="C2" i="15"/>
  <c r="C1" i="15"/>
  <c r="R279" i="14"/>
  <c r="R277" i="14"/>
  <c r="C277" i="14"/>
  <c r="C294" i="14" s="1"/>
  <c r="C276" i="14"/>
  <c r="C293" i="14" s="1"/>
  <c r="C275" i="14"/>
  <c r="C292" i="14" s="1"/>
  <c r="C274" i="14"/>
  <c r="C291" i="14" s="1"/>
  <c r="R266" i="14"/>
  <c r="Q266" i="14"/>
  <c r="P266" i="14"/>
  <c r="O266" i="14"/>
  <c r="N266" i="14"/>
  <c r="E266" i="14"/>
  <c r="M266" i="14" s="1"/>
  <c r="R265" i="14"/>
  <c r="Q265" i="14"/>
  <c r="P265" i="14"/>
  <c r="O265" i="14"/>
  <c r="N265" i="14"/>
  <c r="E265" i="14"/>
  <c r="M265" i="14" s="1"/>
  <c r="R264" i="14"/>
  <c r="Q264" i="14"/>
  <c r="P264" i="14"/>
  <c r="O264" i="14"/>
  <c r="N264" i="14"/>
  <c r="M264" i="14"/>
  <c r="R263" i="14"/>
  <c r="Q263" i="14"/>
  <c r="P263" i="14"/>
  <c r="O263" i="14"/>
  <c r="N263" i="14"/>
  <c r="E263" i="14"/>
  <c r="M263" i="14" s="1"/>
  <c r="R262" i="14"/>
  <c r="Q262" i="14"/>
  <c r="P262" i="14"/>
  <c r="O262" i="14"/>
  <c r="N262" i="14"/>
  <c r="E262" i="14"/>
  <c r="M262" i="14" s="1"/>
  <c r="P261" i="14"/>
  <c r="M261" i="14"/>
  <c r="I261" i="14"/>
  <c r="Q261" i="14" s="1"/>
  <c r="G261" i="14"/>
  <c r="O261" i="14" s="1"/>
  <c r="F260" i="14"/>
  <c r="N260" i="14" s="1"/>
  <c r="R258" i="14"/>
  <c r="Q258" i="14"/>
  <c r="P258" i="14"/>
  <c r="O258" i="14"/>
  <c r="N258" i="14"/>
  <c r="E258" i="14"/>
  <c r="M258" i="14" s="1"/>
  <c r="R257" i="14"/>
  <c r="Q257" i="14"/>
  <c r="P257" i="14"/>
  <c r="O257" i="14"/>
  <c r="N257" i="14"/>
  <c r="E257" i="14"/>
  <c r="M257" i="14" s="1"/>
  <c r="R256" i="14"/>
  <c r="Q256" i="14"/>
  <c r="P256" i="14"/>
  <c r="O256" i="14"/>
  <c r="N256" i="14"/>
  <c r="M256" i="14"/>
  <c r="R255" i="14"/>
  <c r="Q255" i="14"/>
  <c r="P255" i="14"/>
  <c r="O255" i="14"/>
  <c r="N255" i="14"/>
  <c r="E255" i="14"/>
  <c r="M255" i="14" s="1"/>
  <c r="R254" i="14"/>
  <c r="Q254" i="14"/>
  <c r="P254" i="14"/>
  <c r="O254" i="14"/>
  <c r="N254" i="14"/>
  <c r="E254" i="14"/>
  <c r="M254" i="14" s="1"/>
  <c r="P253" i="14"/>
  <c r="M253" i="14"/>
  <c r="I253" i="14"/>
  <c r="G253" i="14"/>
  <c r="F253" i="14" s="1"/>
  <c r="N253" i="14" s="1"/>
  <c r="F252" i="14"/>
  <c r="N252" i="14" s="1"/>
  <c r="R250" i="14"/>
  <c r="Q250" i="14"/>
  <c r="P250" i="14"/>
  <c r="O250" i="14"/>
  <c r="N250" i="14"/>
  <c r="E250" i="14"/>
  <c r="M250" i="14" s="1"/>
  <c r="R249" i="14"/>
  <c r="Q249" i="14"/>
  <c r="P249" i="14"/>
  <c r="O249" i="14"/>
  <c r="N249" i="14"/>
  <c r="E249" i="14"/>
  <c r="M249" i="14" s="1"/>
  <c r="R248" i="14"/>
  <c r="Q248" i="14"/>
  <c r="P248" i="14"/>
  <c r="O248" i="14"/>
  <c r="N248" i="14"/>
  <c r="M248" i="14"/>
  <c r="R247" i="14"/>
  <c r="Q247" i="14"/>
  <c r="P247" i="14"/>
  <c r="O247" i="14"/>
  <c r="N247" i="14"/>
  <c r="E247" i="14"/>
  <c r="M247" i="14" s="1"/>
  <c r="R246" i="14"/>
  <c r="Q246" i="14"/>
  <c r="P246" i="14"/>
  <c r="O246" i="14"/>
  <c r="N246" i="14"/>
  <c r="E246" i="14"/>
  <c r="M246" i="14" s="1"/>
  <c r="P245" i="14"/>
  <c r="M245" i="14"/>
  <c r="I245" i="14"/>
  <c r="J245" i="14" s="1"/>
  <c r="R245" i="14" s="1"/>
  <c r="G245" i="14"/>
  <c r="F245" i="14" s="1"/>
  <c r="N245" i="14" s="1"/>
  <c r="F244" i="14"/>
  <c r="N244" i="14" s="1"/>
  <c r="R242" i="14"/>
  <c r="Q242" i="14"/>
  <c r="P242" i="14"/>
  <c r="O242" i="14"/>
  <c r="N242" i="14"/>
  <c r="E242" i="14"/>
  <c r="M242" i="14" s="1"/>
  <c r="R241" i="14"/>
  <c r="Q241" i="14"/>
  <c r="P241" i="14"/>
  <c r="O241" i="14"/>
  <c r="N241" i="14"/>
  <c r="E241" i="14"/>
  <c r="M241" i="14" s="1"/>
  <c r="R240" i="14"/>
  <c r="Q240" i="14"/>
  <c r="P240" i="14"/>
  <c r="O240" i="14"/>
  <c r="N240" i="14"/>
  <c r="M240" i="14"/>
  <c r="R239" i="14"/>
  <c r="Q239" i="14"/>
  <c r="P239" i="14"/>
  <c r="O239" i="14"/>
  <c r="N239" i="14"/>
  <c r="E239" i="14"/>
  <c r="M239" i="14" s="1"/>
  <c r="R238" i="14"/>
  <c r="Q238" i="14"/>
  <c r="P238" i="14"/>
  <c r="O238" i="14"/>
  <c r="N238" i="14"/>
  <c r="E238" i="14"/>
  <c r="M238" i="14" s="1"/>
  <c r="P237" i="14"/>
  <c r="M237" i="14"/>
  <c r="I237" i="14"/>
  <c r="Q237" i="14" s="1"/>
  <c r="G237" i="14"/>
  <c r="O237" i="14" s="1"/>
  <c r="F236" i="14"/>
  <c r="N236" i="14" s="1"/>
  <c r="O222" i="14" a="1"/>
  <c r="O222" i="14" s="1"/>
  <c r="H222" i="14"/>
  <c r="R190" i="14"/>
  <c r="Q190" i="14"/>
  <c r="P190" i="14"/>
  <c r="O190" i="14"/>
  <c r="N190" i="14"/>
  <c r="E190" i="14"/>
  <c r="M190" i="14" s="1"/>
  <c r="R189" i="14"/>
  <c r="Q189" i="14"/>
  <c r="P189" i="14"/>
  <c r="O189" i="14"/>
  <c r="N189" i="14"/>
  <c r="E189" i="14"/>
  <c r="M189" i="14" s="1"/>
  <c r="R188" i="14"/>
  <c r="Q188" i="14"/>
  <c r="P188" i="14"/>
  <c r="O188" i="14"/>
  <c r="N188" i="14"/>
  <c r="M188" i="14"/>
  <c r="R187" i="14"/>
  <c r="Q187" i="14"/>
  <c r="P187" i="14"/>
  <c r="O187" i="14"/>
  <c r="N187" i="14"/>
  <c r="E187" i="14"/>
  <c r="M187" i="14" s="1"/>
  <c r="R186" i="14"/>
  <c r="Q186" i="14"/>
  <c r="P186" i="14"/>
  <c r="O186" i="14"/>
  <c r="N186" i="14"/>
  <c r="E186" i="14"/>
  <c r="M186" i="14" s="1"/>
  <c r="P185" i="14"/>
  <c r="M185" i="14"/>
  <c r="I185" i="14"/>
  <c r="Q185" i="14" s="1"/>
  <c r="G185" i="14"/>
  <c r="F185" i="14" s="1"/>
  <c r="N185" i="14" s="1"/>
  <c r="F184" i="14"/>
  <c r="N184" i="14" s="1"/>
  <c r="R182" i="14"/>
  <c r="Q182" i="14"/>
  <c r="P182" i="14"/>
  <c r="O182" i="14"/>
  <c r="N182" i="14"/>
  <c r="E182" i="14"/>
  <c r="M182" i="14" s="1"/>
  <c r="R181" i="14"/>
  <c r="Q181" i="14"/>
  <c r="P181" i="14"/>
  <c r="O181" i="14"/>
  <c r="N181" i="14"/>
  <c r="E181" i="14"/>
  <c r="M181" i="14" s="1"/>
  <c r="R180" i="14"/>
  <c r="Q180" i="14"/>
  <c r="P180" i="14"/>
  <c r="O180" i="14"/>
  <c r="N180" i="14"/>
  <c r="M180" i="14"/>
  <c r="R179" i="14"/>
  <c r="Q179" i="14"/>
  <c r="P179" i="14"/>
  <c r="O179" i="14"/>
  <c r="N179" i="14"/>
  <c r="E179" i="14"/>
  <c r="M179" i="14" s="1"/>
  <c r="R178" i="14"/>
  <c r="Q178" i="14"/>
  <c r="P178" i="14"/>
  <c r="O178" i="14"/>
  <c r="N178" i="14"/>
  <c r="E178" i="14"/>
  <c r="M178" i="14" s="1"/>
  <c r="P177" i="14"/>
  <c r="M177" i="14"/>
  <c r="I177" i="14"/>
  <c r="Q177" i="14" s="1"/>
  <c r="G177" i="14"/>
  <c r="O177" i="14" s="1"/>
  <c r="F176" i="14"/>
  <c r="N176" i="14" s="1"/>
  <c r="R174" i="14"/>
  <c r="Q174" i="14"/>
  <c r="P174" i="14"/>
  <c r="O174" i="14"/>
  <c r="N174" i="14"/>
  <c r="E174" i="14"/>
  <c r="M174" i="14" s="1"/>
  <c r="R173" i="14"/>
  <c r="Q173" i="14"/>
  <c r="P173" i="14"/>
  <c r="O173" i="14"/>
  <c r="N173" i="14"/>
  <c r="E173" i="14"/>
  <c r="M173" i="14" s="1"/>
  <c r="R172" i="14"/>
  <c r="Q172" i="14"/>
  <c r="P172" i="14"/>
  <c r="O172" i="14"/>
  <c r="N172" i="14"/>
  <c r="M172" i="14"/>
  <c r="R171" i="14"/>
  <c r="Q171" i="14"/>
  <c r="P171" i="14"/>
  <c r="O171" i="14"/>
  <c r="N171" i="14"/>
  <c r="E171" i="14"/>
  <c r="M171" i="14" s="1"/>
  <c r="R170" i="14"/>
  <c r="Q170" i="14"/>
  <c r="P170" i="14"/>
  <c r="O170" i="14"/>
  <c r="N170" i="14"/>
  <c r="E170" i="14"/>
  <c r="M170" i="14" s="1"/>
  <c r="P169" i="14"/>
  <c r="M169" i="14"/>
  <c r="I169" i="14"/>
  <c r="J169" i="14" s="1"/>
  <c r="R169" i="14" s="1"/>
  <c r="G169" i="14"/>
  <c r="O169" i="14" s="1"/>
  <c r="N168" i="14"/>
  <c r="F168" i="14"/>
  <c r="R166" i="14"/>
  <c r="Q166" i="14"/>
  <c r="P166" i="14"/>
  <c r="O166" i="14"/>
  <c r="N166" i="14"/>
  <c r="E166" i="14"/>
  <c r="M166" i="14" s="1"/>
  <c r="R165" i="14"/>
  <c r="Q165" i="14"/>
  <c r="P165" i="14"/>
  <c r="O165" i="14"/>
  <c r="N165" i="14"/>
  <c r="E165" i="14"/>
  <c r="M165" i="14" s="1"/>
  <c r="R164" i="14"/>
  <c r="Q164" i="14"/>
  <c r="P164" i="14"/>
  <c r="O164" i="14"/>
  <c r="N164" i="14"/>
  <c r="M164" i="14"/>
  <c r="R163" i="14"/>
  <c r="Q163" i="14"/>
  <c r="P163" i="14"/>
  <c r="O163" i="14"/>
  <c r="N163" i="14"/>
  <c r="E163" i="14"/>
  <c r="M163" i="14" s="1"/>
  <c r="R162" i="14"/>
  <c r="Q162" i="14"/>
  <c r="P162" i="14"/>
  <c r="O162" i="14"/>
  <c r="N162" i="14"/>
  <c r="E162" i="14"/>
  <c r="M162" i="14" s="1"/>
  <c r="P161" i="14"/>
  <c r="M161" i="14"/>
  <c r="I161" i="14"/>
  <c r="J161" i="14" s="1"/>
  <c r="R161" i="14" s="1"/>
  <c r="G161" i="14"/>
  <c r="F161" i="14" s="1"/>
  <c r="N161" i="14" s="1"/>
  <c r="F160" i="14"/>
  <c r="N160" i="14" s="1"/>
  <c r="H144" i="14"/>
  <c r="N132" i="14"/>
  <c r="R132" i="14" s="1"/>
  <c r="N130" i="14"/>
  <c r="R130" i="14" s="1"/>
  <c r="J118" i="14"/>
  <c r="R111" i="14"/>
  <c r="Q111" i="14"/>
  <c r="P111" i="14"/>
  <c r="O111" i="14"/>
  <c r="N111" i="14"/>
  <c r="R110" i="14"/>
  <c r="Q110" i="14"/>
  <c r="P110" i="14"/>
  <c r="O110" i="14"/>
  <c r="N110" i="14"/>
  <c r="R109" i="14"/>
  <c r="Q109" i="14"/>
  <c r="P109" i="14"/>
  <c r="O109" i="14"/>
  <c r="N109" i="14"/>
  <c r="M109" i="14"/>
  <c r="R108" i="14"/>
  <c r="Q108" i="14"/>
  <c r="P108" i="14"/>
  <c r="O108" i="14"/>
  <c r="N108" i="14"/>
  <c r="R107" i="14"/>
  <c r="Q107" i="14"/>
  <c r="P107" i="14"/>
  <c r="O107" i="14"/>
  <c r="N107" i="14"/>
  <c r="P106" i="14"/>
  <c r="M106" i="14"/>
  <c r="I106" i="14"/>
  <c r="J106" i="14" s="1"/>
  <c r="R106" i="14" s="1"/>
  <c r="G106" i="14"/>
  <c r="O106" i="14" s="1"/>
  <c r="F106" i="14"/>
  <c r="N106" i="14" s="1"/>
  <c r="R103" i="14"/>
  <c r="Q103" i="14"/>
  <c r="P103" i="14"/>
  <c r="O103" i="14"/>
  <c r="N103" i="14"/>
  <c r="R102" i="14"/>
  <c r="Q102" i="14"/>
  <c r="P102" i="14"/>
  <c r="O102" i="14"/>
  <c r="N102" i="14"/>
  <c r="E102" i="14"/>
  <c r="E103" i="14" s="1"/>
  <c r="R101" i="14"/>
  <c r="Q101" i="14"/>
  <c r="P101" i="14"/>
  <c r="O101" i="14"/>
  <c r="N101" i="14"/>
  <c r="M101" i="14"/>
  <c r="R100" i="14"/>
  <c r="Q100" i="14"/>
  <c r="P100" i="14"/>
  <c r="O100" i="14"/>
  <c r="N100" i="14"/>
  <c r="E100" i="14"/>
  <c r="E108" i="14" s="1"/>
  <c r="M108" i="14" s="1"/>
  <c r="R99" i="14"/>
  <c r="Q99" i="14"/>
  <c r="P99" i="14"/>
  <c r="O99" i="14"/>
  <c r="N99" i="14"/>
  <c r="P98" i="14"/>
  <c r="M98" i="14"/>
  <c r="I98" i="14"/>
  <c r="J98" i="14" s="1"/>
  <c r="R98" i="14" s="1"/>
  <c r="G98" i="14"/>
  <c r="O98" i="14" s="1"/>
  <c r="J92" i="14"/>
  <c r="K92" i="14" s="1"/>
  <c r="E92" i="14"/>
  <c r="F92" i="14" s="1"/>
  <c r="R71" i="14"/>
  <c r="R69" i="14"/>
  <c r="AB67" i="14"/>
  <c r="K67" i="14"/>
  <c r="R275" i="14" s="1"/>
  <c r="R60" i="14"/>
  <c r="K60" i="14"/>
  <c r="S27" i="4" s="1"/>
  <c r="J43" i="14"/>
  <c r="C43" i="14"/>
  <c r="C42" i="14"/>
  <c r="J41" i="14"/>
  <c r="C40" i="14"/>
  <c r="J39" i="14"/>
  <c r="C39" i="14"/>
  <c r="J38" i="14"/>
  <c r="C38" i="14"/>
  <c r="J34" i="14"/>
  <c r="C34" i="14"/>
  <c r="C33" i="14"/>
  <c r="C32" i="14"/>
  <c r="C31" i="14"/>
  <c r="I29" i="14"/>
  <c r="I28" i="14" s="1"/>
  <c r="O26" i="14"/>
  <c r="P26" i="14" s="1"/>
  <c r="Q26" i="14" s="1"/>
  <c r="R26" i="14" s="1"/>
  <c r="M22" i="14"/>
  <c r="J22" i="14"/>
  <c r="I22" i="14"/>
  <c r="H22" i="14"/>
  <c r="G22" i="14"/>
  <c r="F22" i="14"/>
  <c r="J21" i="14"/>
  <c r="I21" i="14"/>
  <c r="H21" i="14"/>
  <c r="G21" i="14"/>
  <c r="F21" i="14"/>
  <c r="M20" i="14"/>
  <c r="G20" i="14"/>
  <c r="F20" i="14"/>
  <c r="D20" i="14"/>
  <c r="M19" i="14"/>
  <c r="M18" i="14"/>
  <c r="M17" i="14"/>
  <c r="J17" i="14"/>
  <c r="I17" i="14"/>
  <c r="H17" i="14"/>
  <c r="G17" i="14"/>
  <c r="F17" i="14"/>
  <c r="J16" i="14"/>
  <c r="I16" i="14"/>
  <c r="H16" i="14"/>
  <c r="G16" i="14"/>
  <c r="F16" i="14"/>
  <c r="M15" i="14"/>
  <c r="J15" i="14"/>
  <c r="H15" i="14"/>
  <c r="D15" i="14"/>
  <c r="M14" i="14"/>
  <c r="M13" i="14"/>
  <c r="M12" i="14"/>
  <c r="J12" i="14"/>
  <c r="I12" i="14"/>
  <c r="H12" i="14"/>
  <c r="G12" i="14"/>
  <c r="F12" i="14"/>
  <c r="D17" i="14"/>
  <c r="B12" i="14"/>
  <c r="J11" i="14"/>
  <c r="I11" i="14"/>
  <c r="H11" i="14"/>
  <c r="G11" i="14"/>
  <c r="F11" i="14"/>
  <c r="D11" i="14"/>
  <c r="F196" i="14" s="1"/>
  <c r="D10" i="14"/>
  <c r="D7" i="14"/>
  <c r="W4" i="14"/>
  <c r="C2" i="14"/>
  <c r="C1" i="14"/>
  <c r="G49" i="13"/>
  <c r="G24" i="13" s="1"/>
  <c r="C49" i="13"/>
  <c r="E47" i="13"/>
  <c r="C43" i="13"/>
  <c r="F37" i="13"/>
  <c r="E37" i="13"/>
  <c r="D37" i="13"/>
  <c r="F36" i="13"/>
  <c r="E36" i="13"/>
  <c r="D36" i="13"/>
  <c r="F35" i="13"/>
  <c r="E35" i="13"/>
  <c r="D35" i="13"/>
  <c r="F34" i="13"/>
  <c r="E34" i="13"/>
  <c r="D34" i="13"/>
  <c r="N33" i="13"/>
  <c r="M33" i="13"/>
  <c r="F33" i="13"/>
  <c r="E33" i="13"/>
  <c r="D33" i="13"/>
  <c r="C28" i="13"/>
  <c r="K27" i="13"/>
  <c r="K28" i="13" s="1"/>
  <c r="K25" i="13"/>
  <c r="K24" i="13" s="1"/>
  <c r="O23" i="13"/>
  <c r="P23" i="13" s="1"/>
  <c r="M23" i="13"/>
  <c r="L23" i="13" s="1"/>
  <c r="G23" i="13"/>
  <c r="C23" i="13"/>
  <c r="G22" i="13"/>
  <c r="C22" i="13"/>
  <c r="G15" i="13"/>
  <c r="O8" i="13"/>
  <c r="C2" i="13"/>
  <c r="C1" i="13"/>
  <c r="E29" i="12"/>
  <c r="E27" i="12"/>
  <c r="E26" i="12"/>
  <c r="F24" i="12"/>
  <c r="F23" i="12"/>
  <c r="E23" i="12"/>
  <c r="E22" i="12"/>
  <c r="E21" i="12"/>
  <c r="E19" i="12"/>
  <c r="E17" i="12"/>
  <c r="E15" i="12"/>
  <c r="F14" i="12"/>
  <c r="E14" i="12"/>
  <c r="F13" i="12"/>
  <c r="E13" i="12"/>
  <c r="Q12" i="12"/>
  <c r="F28" i="12" s="1"/>
  <c r="L12" i="12"/>
  <c r="M12" i="12" s="1"/>
  <c r="N12" i="12" s="1"/>
  <c r="O12" i="12" s="1"/>
  <c r="K12" i="12"/>
  <c r="E28" i="12" s="1"/>
  <c r="L3" i="12"/>
  <c r="L4" i="12" s="1"/>
  <c r="L5" i="12" s="1"/>
  <c r="L6" i="12" s="1"/>
  <c r="N88" i="11"/>
  <c r="AT69" i="11" s="1"/>
  <c r="I88" i="11"/>
  <c r="X69" i="11" s="1"/>
  <c r="N87" i="11"/>
  <c r="I87" i="11"/>
  <c r="E87" i="11"/>
  <c r="F51" i="11" s="1"/>
  <c r="F69" i="11" s="1"/>
  <c r="N86" i="11"/>
  <c r="I86" i="11"/>
  <c r="E86" i="11"/>
  <c r="L6" i="15" s="1"/>
  <c r="L84" i="11"/>
  <c r="AV4" i="11" s="1"/>
  <c r="AV46" i="11" s="1"/>
  <c r="G84" i="11"/>
  <c r="Z4" i="11" s="1"/>
  <c r="Z46" i="11" s="1"/>
  <c r="D84" i="11"/>
  <c r="AU74" i="11"/>
  <c r="AT74" i="11"/>
  <c r="AB74" i="11"/>
  <c r="AB56" i="11" s="1"/>
  <c r="X74" i="11"/>
  <c r="X56" i="11" s="1"/>
  <c r="F74" i="11"/>
  <c r="F56" i="11" s="1"/>
  <c r="B74" i="11"/>
  <c r="AU73" i="11"/>
  <c r="AT73" i="11"/>
  <c r="AT55" i="11" s="1"/>
  <c r="AB73" i="11"/>
  <c r="AB55" i="11" s="1"/>
  <c r="X73" i="11"/>
  <c r="F73" i="11"/>
  <c r="F55" i="11" s="1"/>
  <c r="B73" i="11"/>
  <c r="AU72" i="11"/>
  <c r="AT72" i="11"/>
  <c r="AB72" i="11"/>
  <c r="AB54" i="11" s="1"/>
  <c r="X72" i="11"/>
  <c r="F72" i="11"/>
  <c r="F54" i="11" s="1"/>
  <c r="B72" i="11"/>
  <c r="AU71" i="11"/>
  <c r="AT71" i="11"/>
  <c r="AT53" i="11" s="1"/>
  <c r="AB71" i="11"/>
  <c r="AB53" i="11" s="1"/>
  <c r="X71" i="11"/>
  <c r="X53" i="11" s="1"/>
  <c r="F71" i="11"/>
  <c r="F53" i="11" s="1"/>
  <c r="B71" i="11"/>
  <c r="AU69" i="11"/>
  <c r="B69" i="11"/>
  <c r="BN67" i="11"/>
  <c r="BM67" i="11"/>
  <c r="BL67" i="11"/>
  <c r="BK67" i="11"/>
  <c r="BJ67" i="11"/>
  <c r="BI67" i="11"/>
  <c r="BH67" i="11"/>
  <c r="BG67" i="11"/>
  <c r="BF67" i="11"/>
  <c r="BE67" i="11"/>
  <c r="BD67" i="11"/>
  <c r="BC67" i="11"/>
  <c r="BB67" i="11"/>
  <c r="BA67" i="11"/>
  <c r="AZ67" i="11"/>
  <c r="AY67" i="11"/>
  <c r="AX67" i="11"/>
  <c r="AR67" i="11"/>
  <c r="AQ67" i="11"/>
  <c r="AP67" i="11"/>
  <c r="AO67" i="11"/>
  <c r="AN67" i="11"/>
  <c r="AM67" i="11"/>
  <c r="AL67" i="11"/>
  <c r="AK67" i="11"/>
  <c r="AJ67" i="11"/>
  <c r="AI67" i="11"/>
  <c r="AH67" i="11"/>
  <c r="AG67" i="11"/>
  <c r="AF67" i="11"/>
  <c r="AE67" i="11"/>
  <c r="AD67" i="11"/>
  <c r="AC67" i="11"/>
  <c r="AB67" i="11"/>
  <c r="T67" i="11"/>
  <c r="S67" i="11"/>
  <c r="R67" i="11"/>
  <c r="Q67" i="11"/>
  <c r="P67" i="11"/>
  <c r="O67" i="11"/>
  <c r="N67" i="11"/>
  <c r="M67" i="11"/>
  <c r="L67" i="11"/>
  <c r="K67" i="11"/>
  <c r="J67" i="11"/>
  <c r="I67" i="11"/>
  <c r="H67" i="11"/>
  <c r="G67" i="11"/>
  <c r="F67" i="11"/>
  <c r="BL66" i="11"/>
  <c r="BK66" i="11"/>
  <c r="BJ66" i="11"/>
  <c r="BI66" i="11"/>
  <c r="BH66" i="11"/>
  <c r="BA66" i="11"/>
  <c r="AP66" i="11"/>
  <c r="AO66" i="11"/>
  <c r="AN66" i="11"/>
  <c r="AM66" i="11"/>
  <c r="AL66" i="11"/>
  <c r="AE66" i="11"/>
  <c r="T66" i="11"/>
  <c r="S66" i="11"/>
  <c r="R66" i="11"/>
  <c r="Q66" i="11"/>
  <c r="P66" i="11"/>
  <c r="I66" i="11"/>
  <c r="BE65" i="11"/>
  <c r="AI65" i="11"/>
  <c r="M65" i="11"/>
  <c r="BM64" i="11"/>
  <c r="BK64" i="11"/>
  <c r="BB64" i="11"/>
  <c r="AY64" i="11"/>
  <c r="AV64" i="11"/>
  <c r="AQ64" i="11"/>
  <c r="AO64" i="11"/>
  <c r="AF64" i="11"/>
  <c r="AC64" i="11"/>
  <c r="Z64" i="11"/>
  <c r="U64" i="11"/>
  <c r="S64" i="11"/>
  <c r="J64" i="11"/>
  <c r="G64" i="11"/>
  <c r="D64" i="11"/>
  <c r="AV61" i="11"/>
  <c r="Z61" i="11"/>
  <c r="D61" i="11"/>
  <c r="AV60" i="11"/>
  <c r="Z60" i="11"/>
  <c r="D60" i="11"/>
  <c r="AV59" i="11"/>
  <c r="Z59" i="11"/>
  <c r="D59" i="11"/>
  <c r="AV58" i="11"/>
  <c r="Z58" i="11"/>
  <c r="D58" i="11"/>
  <c r="AX56" i="11"/>
  <c r="AX74" i="11" s="1"/>
  <c r="AX55" i="11"/>
  <c r="AX73" i="11" s="1"/>
  <c r="AX54" i="11"/>
  <c r="AX72" i="11" s="1"/>
  <c r="AT54" i="11"/>
  <c r="X54" i="11"/>
  <c r="AX53" i="11"/>
  <c r="AX71" i="11" s="1"/>
  <c r="B53" i="11"/>
  <c r="AX51" i="11"/>
  <c r="AX69" i="11" s="1"/>
  <c r="AV51" i="11"/>
  <c r="AV69" i="11" s="1"/>
  <c r="Z51" i="11"/>
  <c r="Z69" i="11" s="1"/>
  <c r="BA49" i="11"/>
  <c r="AZ49" i="11"/>
  <c r="AY49" i="11"/>
  <c r="AX49" i="11"/>
  <c r="AE49" i="11"/>
  <c r="AD49" i="11"/>
  <c r="AC49" i="11"/>
  <c r="AB49" i="11"/>
  <c r="U49" i="11"/>
  <c r="S49" i="11"/>
  <c r="Q49" i="11"/>
  <c r="O49" i="11"/>
  <c r="M49" i="11"/>
  <c r="K49" i="11"/>
  <c r="I49" i="11"/>
  <c r="H49" i="11"/>
  <c r="G49" i="11"/>
  <c r="F49" i="11"/>
  <c r="BM48" i="11"/>
  <c r="BK48" i="11"/>
  <c r="BI48" i="11"/>
  <c r="BG48" i="11"/>
  <c r="BE48" i="11"/>
  <c r="BC48" i="11"/>
  <c r="BA48" i="11"/>
  <c r="AZ48" i="11"/>
  <c r="AY48" i="11"/>
  <c r="AQ48" i="11"/>
  <c r="AO48" i="11"/>
  <c r="AM48" i="11"/>
  <c r="AK48" i="11"/>
  <c r="AI48" i="11"/>
  <c r="AG48" i="11"/>
  <c r="AE48" i="11"/>
  <c r="AD48" i="11"/>
  <c r="AC48" i="11"/>
  <c r="U48" i="11"/>
  <c r="S48" i="11"/>
  <c r="Q48" i="11"/>
  <c r="O48" i="11"/>
  <c r="M48" i="11"/>
  <c r="K48" i="11"/>
  <c r="I48" i="11"/>
  <c r="H48" i="11"/>
  <c r="G48" i="11"/>
  <c r="BL47" i="11"/>
  <c r="BI47" i="11"/>
  <c r="AP47" i="11"/>
  <c r="AM47" i="11"/>
  <c r="T47" i="11"/>
  <c r="Q47" i="11"/>
  <c r="BL39" i="11"/>
  <c r="BK39" i="11"/>
  <c r="BJ39" i="11"/>
  <c r="BI39" i="11"/>
  <c r="BH39" i="11"/>
  <c r="BG39" i="11"/>
  <c r="BF39" i="11"/>
  <c r="BE39" i="11"/>
  <c r="BD39" i="11"/>
  <c r="BC39" i="11"/>
  <c r="BB39" i="11"/>
  <c r="BA39" i="11"/>
  <c r="AZ39" i="11"/>
  <c r="AY39" i="11"/>
  <c r="AV39" i="11"/>
  <c r="AV79" i="11" s="1"/>
  <c r="AP39" i="11"/>
  <c r="AO39" i="11"/>
  <c r="AN39" i="11"/>
  <c r="AM39" i="11"/>
  <c r="AL39" i="11"/>
  <c r="AK39" i="11"/>
  <c r="AJ39" i="11"/>
  <c r="AI39" i="11"/>
  <c r="AH39" i="11"/>
  <c r="AG39" i="11"/>
  <c r="AF39" i="11"/>
  <c r="AE39" i="11"/>
  <c r="AD39" i="11"/>
  <c r="AC39" i="11"/>
  <c r="Z39" i="11"/>
  <c r="Z79" i="11" s="1"/>
  <c r="D79" i="11"/>
  <c r="BL38" i="11"/>
  <c r="BK38" i="11"/>
  <c r="BJ38" i="11"/>
  <c r="BI38" i="11"/>
  <c r="BH38" i="11"/>
  <c r="BG38" i="11"/>
  <c r="BF38" i="11"/>
  <c r="BE38" i="11"/>
  <c r="BD38" i="11"/>
  <c r="BC38" i="11"/>
  <c r="BB38" i="11"/>
  <c r="BA38" i="11"/>
  <c r="AZ38" i="11"/>
  <c r="AY38" i="11"/>
  <c r="AV38" i="11"/>
  <c r="AV78" i="11" s="1"/>
  <c r="AP38" i="11"/>
  <c r="AO38" i="11"/>
  <c r="AN38" i="11"/>
  <c r="AM38" i="11"/>
  <c r="AL38" i="11"/>
  <c r="AK38" i="11"/>
  <c r="AJ38" i="11"/>
  <c r="AI38" i="11"/>
  <c r="AH38" i="11"/>
  <c r="AG38" i="11"/>
  <c r="AF38" i="11"/>
  <c r="AE38" i="11"/>
  <c r="AD38" i="11"/>
  <c r="AC38" i="11"/>
  <c r="Z38" i="11"/>
  <c r="Z78" i="11" s="1"/>
  <c r="D78" i="11"/>
  <c r="BL37" i="11"/>
  <c r="BK37" i="11"/>
  <c r="BJ37" i="11"/>
  <c r="BI37" i="11"/>
  <c r="BH37" i="11"/>
  <c r="BG37" i="11"/>
  <c r="BF37" i="11"/>
  <c r="BE37" i="11"/>
  <c r="BD37" i="11"/>
  <c r="BC37" i="11"/>
  <c r="BB37" i="11"/>
  <c r="BA37" i="11"/>
  <c r="AZ37" i="11"/>
  <c r="AY37" i="11"/>
  <c r="AV37" i="11"/>
  <c r="AV77" i="11" s="1"/>
  <c r="AP37" i="11"/>
  <c r="AO37" i="11"/>
  <c r="AN37" i="11"/>
  <c r="AM37" i="11"/>
  <c r="AL37" i="11"/>
  <c r="AK37" i="11"/>
  <c r="AJ37" i="11"/>
  <c r="AI37" i="11"/>
  <c r="AH37" i="11"/>
  <c r="AG37" i="11"/>
  <c r="AF37" i="11"/>
  <c r="AE37" i="11"/>
  <c r="AD37" i="11"/>
  <c r="AC37" i="11"/>
  <c r="Z37" i="11"/>
  <c r="Z77" i="11" s="1"/>
  <c r="D77" i="11"/>
  <c r="BL36" i="11"/>
  <c r="BK36" i="11"/>
  <c r="BJ36" i="11"/>
  <c r="BI36" i="11"/>
  <c r="BH36" i="11"/>
  <c r="BG36" i="11"/>
  <c r="BF36" i="11"/>
  <c r="BE36" i="11"/>
  <c r="BD36" i="11"/>
  <c r="BC36" i="11"/>
  <c r="BB36" i="11"/>
  <c r="BA36" i="11"/>
  <c r="AZ36" i="11"/>
  <c r="AY36" i="11"/>
  <c r="AV36" i="11"/>
  <c r="AV76" i="11" s="1"/>
  <c r="AP36" i="11"/>
  <c r="AO36" i="11"/>
  <c r="AN36" i="11"/>
  <c r="AM36" i="11"/>
  <c r="AL36" i="11"/>
  <c r="AK36" i="11"/>
  <c r="AJ36" i="11"/>
  <c r="AI36" i="11"/>
  <c r="AH36" i="11"/>
  <c r="AG36" i="11"/>
  <c r="AF36" i="11"/>
  <c r="AE36" i="11"/>
  <c r="AD36" i="11"/>
  <c r="AC36" i="11"/>
  <c r="Z36" i="11"/>
  <c r="Z76" i="11" s="1"/>
  <c r="D76" i="11"/>
  <c r="AV28" i="11"/>
  <c r="Z28" i="11"/>
  <c r="BH23" i="11"/>
  <c r="BH64" i="11" s="1"/>
  <c r="BE23" i="11"/>
  <c r="BE64" i="11" s="1"/>
  <c r="AL23" i="11"/>
  <c r="AL64" i="11" s="1"/>
  <c r="AI23" i="11"/>
  <c r="AI64" i="11" s="1"/>
  <c r="P23" i="11"/>
  <c r="P64" i="11" s="1"/>
  <c r="M23" i="11"/>
  <c r="M64" i="11" s="1"/>
  <c r="BN21" i="11"/>
  <c r="BM21" i="11"/>
  <c r="BL21" i="11"/>
  <c r="BK21" i="11"/>
  <c r="BJ21" i="11"/>
  <c r="BI21" i="11"/>
  <c r="BH21" i="11"/>
  <c r="BG21" i="11"/>
  <c r="BF21" i="11"/>
  <c r="BE21" i="11"/>
  <c r="BD21" i="11"/>
  <c r="BC21" i="11"/>
  <c r="BB21" i="11"/>
  <c r="BA21" i="11"/>
  <c r="AZ21" i="11"/>
  <c r="AY21" i="11"/>
  <c r="AR21" i="11"/>
  <c r="AQ21" i="11"/>
  <c r="AP21" i="11"/>
  <c r="AO21" i="11"/>
  <c r="AN21" i="11"/>
  <c r="AM21" i="11"/>
  <c r="AL21" i="11"/>
  <c r="AK21" i="11"/>
  <c r="AJ21" i="11"/>
  <c r="AI21" i="11"/>
  <c r="AH21" i="11"/>
  <c r="AG21" i="11"/>
  <c r="AF21" i="11"/>
  <c r="AE21" i="11"/>
  <c r="AD21" i="11"/>
  <c r="AC21" i="11"/>
  <c r="BN20" i="11"/>
  <c r="BM20" i="11"/>
  <c r="BL20" i="11"/>
  <c r="BK20" i="11"/>
  <c r="BJ20" i="11"/>
  <c r="BI20" i="11"/>
  <c r="BH20" i="11"/>
  <c r="BG20" i="11"/>
  <c r="BF20" i="11"/>
  <c r="BE20" i="11"/>
  <c r="BD20" i="11"/>
  <c r="BC20" i="11"/>
  <c r="BB20" i="11"/>
  <c r="BA20" i="11"/>
  <c r="AZ20" i="11"/>
  <c r="AY20" i="11"/>
  <c r="AR20" i="11"/>
  <c r="AQ20" i="11"/>
  <c r="AP20" i="11"/>
  <c r="AO20" i="11"/>
  <c r="AN20" i="11"/>
  <c r="AM20" i="11"/>
  <c r="AL20" i="11"/>
  <c r="AK20" i="11"/>
  <c r="AJ20" i="11"/>
  <c r="AI20" i="11"/>
  <c r="AH20" i="11"/>
  <c r="AG20" i="11"/>
  <c r="AF20" i="11"/>
  <c r="AE20" i="11"/>
  <c r="AD20" i="11"/>
  <c r="AC20" i="11"/>
  <c r="BN19" i="11"/>
  <c r="BM19" i="11"/>
  <c r="BL19" i="11"/>
  <c r="BK19" i="11"/>
  <c r="BJ19" i="11"/>
  <c r="BI19" i="11"/>
  <c r="BH19" i="11"/>
  <c r="BG19" i="11"/>
  <c r="BF19" i="11"/>
  <c r="BE19" i="11"/>
  <c r="BD19" i="11"/>
  <c r="BC19" i="11"/>
  <c r="BB19" i="11"/>
  <c r="BA19" i="11"/>
  <c r="AZ19" i="11"/>
  <c r="AY19" i="11"/>
  <c r="AR19" i="11"/>
  <c r="AQ19" i="11"/>
  <c r="AP19" i="11"/>
  <c r="AO19" i="11"/>
  <c r="AN19" i="11"/>
  <c r="AM19" i="11"/>
  <c r="AL19" i="11"/>
  <c r="AK19" i="11"/>
  <c r="AJ19" i="11"/>
  <c r="AI19" i="11"/>
  <c r="AH19" i="11"/>
  <c r="AG19" i="11"/>
  <c r="AF19" i="11"/>
  <c r="AE19" i="11"/>
  <c r="AD19" i="11"/>
  <c r="AC19" i="11"/>
  <c r="BN18" i="11"/>
  <c r="BM18" i="11"/>
  <c r="BL18" i="11"/>
  <c r="BK18" i="11"/>
  <c r="BJ18" i="11"/>
  <c r="BI18" i="11"/>
  <c r="BH18" i="11"/>
  <c r="BG18" i="11"/>
  <c r="BF18" i="11"/>
  <c r="BE18" i="11"/>
  <c r="BD18" i="11"/>
  <c r="BC18" i="11"/>
  <c r="BB18" i="11"/>
  <c r="BA18" i="11"/>
  <c r="AZ18" i="11"/>
  <c r="AY18" i="11"/>
  <c r="AR18" i="11"/>
  <c r="AQ18" i="11"/>
  <c r="AP18" i="11"/>
  <c r="AO18" i="11"/>
  <c r="AN18" i="11"/>
  <c r="AM18" i="11"/>
  <c r="AL18" i="11"/>
  <c r="AK18" i="11"/>
  <c r="AJ18" i="11"/>
  <c r="AI18" i="11"/>
  <c r="AH18" i="11"/>
  <c r="AG18" i="11"/>
  <c r="AF18" i="11"/>
  <c r="AE18" i="11"/>
  <c r="AD18" i="11"/>
  <c r="AC18" i="11"/>
  <c r="AV10" i="11"/>
  <c r="BM8" i="11"/>
  <c r="BM49" i="11" s="1"/>
  <c r="BK8" i="11"/>
  <c r="BK49" i="11" s="1"/>
  <c r="BI8" i="11"/>
  <c r="BI49" i="11" s="1"/>
  <c r="BG8" i="11"/>
  <c r="BG49" i="11" s="1"/>
  <c r="BE8" i="11"/>
  <c r="BE49" i="11" s="1"/>
  <c r="BC8" i="11"/>
  <c r="BC49" i="11" s="1"/>
  <c r="AQ8" i="11"/>
  <c r="AQ49" i="11" s="1"/>
  <c r="AO8" i="11"/>
  <c r="AO49" i="11" s="1"/>
  <c r="AM8" i="11"/>
  <c r="AM49" i="11" s="1"/>
  <c r="AK8" i="11"/>
  <c r="AK49" i="11" s="1"/>
  <c r="AI8" i="11"/>
  <c r="AI49" i="11" s="1"/>
  <c r="AG8" i="11"/>
  <c r="AG49" i="11" s="1"/>
  <c r="D4" i="11"/>
  <c r="D46" i="11" s="1"/>
  <c r="D2" i="11"/>
  <c r="D1" i="11"/>
  <c r="AG187" i="10"/>
  <c r="AF187" i="10"/>
  <c r="AE187" i="10"/>
  <c r="AC187" i="10"/>
  <c r="AB187" i="10"/>
  <c r="AA187" i="10"/>
  <c r="Z187" i="10"/>
  <c r="X187" i="10"/>
  <c r="C187" i="10"/>
  <c r="AG179" i="10"/>
  <c r="AF179" i="10"/>
  <c r="AF297" i="8" s="1"/>
  <c r="AF310" i="8" s="1"/>
  <c r="AF93" i="8" s="1"/>
  <c r="AE179" i="10"/>
  <c r="AC179" i="10"/>
  <c r="AB179" i="10"/>
  <c r="AA179" i="10"/>
  <c r="Z179" i="10"/>
  <c r="X179" i="10"/>
  <c r="C179" i="10"/>
  <c r="AG174" i="10"/>
  <c r="AF174" i="10"/>
  <c r="AE174" i="10"/>
  <c r="AC174" i="10"/>
  <c r="AB174" i="10"/>
  <c r="AB296" i="8" s="1"/>
  <c r="AB309" i="8" s="1"/>
  <c r="AB92" i="8" s="1"/>
  <c r="AA174" i="10"/>
  <c r="Z174" i="10"/>
  <c r="X296" i="8"/>
  <c r="C174" i="10"/>
  <c r="AG167" i="10"/>
  <c r="AF167" i="10"/>
  <c r="AE167" i="10"/>
  <c r="AC167" i="10"/>
  <c r="AB167" i="10"/>
  <c r="AA167" i="10"/>
  <c r="Z167" i="10"/>
  <c r="X167" i="10"/>
  <c r="C167" i="10"/>
  <c r="AG162" i="10"/>
  <c r="AF162" i="10"/>
  <c r="AE162" i="10"/>
  <c r="AC162" i="10"/>
  <c r="AB162" i="10"/>
  <c r="AA162" i="10"/>
  <c r="Z162" i="10"/>
  <c r="X162" i="10"/>
  <c r="X188" i="8" s="1"/>
  <c r="C162" i="10"/>
  <c r="AG157" i="10"/>
  <c r="AF157" i="10"/>
  <c r="AF185" i="8" s="1"/>
  <c r="AE157" i="10"/>
  <c r="AC157" i="10"/>
  <c r="AB157" i="10"/>
  <c r="AB185" i="8" s="1"/>
  <c r="AA157" i="10"/>
  <c r="AA185" i="8" s="1"/>
  <c r="Z157" i="10"/>
  <c r="Z185" i="8" s="1"/>
  <c r="X157" i="10"/>
  <c r="X185" i="8" s="1"/>
  <c r="C157" i="10"/>
  <c r="AG144" i="10"/>
  <c r="AF144" i="10"/>
  <c r="AE144" i="10"/>
  <c r="AC144" i="10"/>
  <c r="AB144" i="10"/>
  <c r="AB231" i="8" s="1"/>
  <c r="AA144" i="10"/>
  <c r="Z144" i="10"/>
  <c r="X144" i="10"/>
  <c r="C144" i="10"/>
  <c r="X134" i="10"/>
  <c r="AC134" i="10"/>
  <c r="AB134" i="10"/>
  <c r="AA134" i="10"/>
  <c r="Z134" i="10"/>
  <c r="C134" i="10"/>
  <c r="AG129" i="10"/>
  <c r="AF129" i="10"/>
  <c r="AE129" i="10"/>
  <c r="AC129" i="10"/>
  <c r="AB129" i="10"/>
  <c r="AA129" i="10"/>
  <c r="Z129" i="10"/>
  <c r="X129" i="10"/>
  <c r="C129" i="10"/>
  <c r="AG124" i="10"/>
  <c r="AF124" i="10"/>
  <c r="AE124" i="10"/>
  <c r="AE183" i="8" s="1"/>
  <c r="AC124" i="10"/>
  <c r="AB124" i="10"/>
  <c r="AA124" i="10"/>
  <c r="Z124" i="10"/>
  <c r="X124" i="10"/>
  <c r="C124" i="10"/>
  <c r="U119" i="10"/>
  <c r="T119" i="10"/>
  <c r="S119" i="10"/>
  <c r="R119" i="10"/>
  <c r="Q119" i="10"/>
  <c r="P119" i="10"/>
  <c r="O119" i="10"/>
  <c r="N119" i="10"/>
  <c r="M119" i="10"/>
  <c r="L119" i="10"/>
  <c r="K119" i="10"/>
  <c r="J119" i="10"/>
  <c r="I119" i="10"/>
  <c r="H119" i="10"/>
  <c r="G119" i="10"/>
  <c r="F119" i="10"/>
  <c r="C119" i="10"/>
  <c r="AG109" i="10"/>
  <c r="AF109" i="10"/>
  <c r="AE109" i="10"/>
  <c r="AC109" i="10"/>
  <c r="AB109" i="10"/>
  <c r="AA109" i="10"/>
  <c r="Z109" i="10"/>
  <c r="X109" i="10"/>
  <c r="C109" i="10"/>
  <c r="U105" i="10"/>
  <c r="T105" i="10"/>
  <c r="S105" i="10"/>
  <c r="R105" i="10"/>
  <c r="Q105" i="10"/>
  <c r="P105" i="10"/>
  <c r="O105" i="10"/>
  <c r="N105" i="10"/>
  <c r="M105" i="10"/>
  <c r="L105" i="10"/>
  <c r="K105" i="10"/>
  <c r="J105" i="10"/>
  <c r="I105" i="10"/>
  <c r="H105" i="10"/>
  <c r="G105" i="10"/>
  <c r="F105" i="10"/>
  <c r="C105" i="10"/>
  <c r="AG100" i="10"/>
  <c r="AF100" i="10"/>
  <c r="AE100" i="10"/>
  <c r="AC100" i="10"/>
  <c r="AB100" i="10"/>
  <c r="AA100" i="10"/>
  <c r="Z100" i="10"/>
  <c r="X100" i="10"/>
  <c r="C100" i="10"/>
  <c r="AG93" i="10"/>
  <c r="AF93" i="10"/>
  <c r="AE93" i="10"/>
  <c r="AC93" i="10"/>
  <c r="AB93" i="10"/>
  <c r="AA93" i="10"/>
  <c r="Z93" i="10"/>
  <c r="X93" i="10"/>
  <c r="C93" i="10"/>
  <c r="C85" i="10"/>
  <c r="AG75" i="10"/>
  <c r="AF75" i="10"/>
  <c r="AE75" i="10"/>
  <c r="AC75" i="10"/>
  <c r="AB75" i="10"/>
  <c r="AA75" i="10"/>
  <c r="Z75" i="10"/>
  <c r="X75" i="10"/>
  <c r="C75" i="10"/>
  <c r="AG62" i="10"/>
  <c r="AF62" i="10"/>
  <c r="AF71" i="8" s="1"/>
  <c r="AE62" i="10"/>
  <c r="AC62" i="10"/>
  <c r="AB62" i="10"/>
  <c r="AA62" i="10"/>
  <c r="Z62" i="10"/>
  <c r="X62" i="10"/>
  <c r="X71" i="8" s="1"/>
  <c r="C62" i="10"/>
  <c r="C41" i="14"/>
  <c r="AG57" i="10"/>
  <c r="AF57" i="10"/>
  <c r="AE57" i="10"/>
  <c r="AE70" i="8" s="1"/>
  <c r="AC57" i="10"/>
  <c r="AB57" i="10"/>
  <c r="AA57" i="10"/>
  <c r="Z57" i="10"/>
  <c r="X57" i="10"/>
  <c r="AG50" i="10"/>
  <c r="AG69" i="8" s="1"/>
  <c r="AF50" i="10"/>
  <c r="AE50" i="10"/>
  <c r="AC50" i="10"/>
  <c r="AB50" i="10"/>
  <c r="AA50" i="10"/>
  <c r="Z50" i="10"/>
  <c r="Z69" i="8" s="1"/>
  <c r="X50" i="10"/>
  <c r="C50" i="10"/>
  <c r="AG45" i="10"/>
  <c r="AF45" i="10"/>
  <c r="AE45" i="10"/>
  <c r="AC45" i="10"/>
  <c r="AB45" i="10"/>
  <c r="AA45" i="10"/>
  <c r="Z45" i="10"/>
  <c r="X45" i="10"/>
  <c r="C45" i="10"/>
  <c r="AG40" i="10"/>
  <c r="AG67" i="8" s="1"/>
  <c r="AF40" i="10"/>
  <c r="AE40" i="10"/>
  <c r="AC40" i="10"/>
  <c r="AB40" i="10"/>
  <c r="AA40" i="10"/>
  <c r="Z40" i="10"/>
  <c r="X40" i="10"/>
  <c r="C40" i="10"/>
  <c r="AG32" i="10"/>
  <c r="AF32" i="10"/>
  <c r="AE32" i="10"/>
  <c r="AC32" i="10"/>
  <c r="AB32" i="10"/>
  <c r="AA32" i="10"/>
  <c r="Z32" i="10"/>
  <c r="X32" i="10"/>
  <c r="AG27" i="10"/>
  <c r="AF27" i="10"/>
  <c r="AE27" i="10"/>
  <c r="AC27" i="10"/>
  <c r="AB27" i="10"/>
  <c r="AA27" i="10"/>
  <c r="Z27" i="10"/>
  <c r="X27" i="10"/>
  <c r="AG22" i="10"/>
  <c r="AF22" i="10"/>
  <c r="AE22" i="10"/>
  <c r="AC22" i="10"/>
  <c r="AB22" i="10"/>
  <c r="AA22" i="10"/>
  <c r="Z22" i="10"/>
  <c r="X22" i="10"/>
  <c r="AG17" i="10"/>
  <c r="AF17" i="10"/>
  <c r="AE17" i="10"/>
  <c r="AC17" i="10"/>
  <c r="AB17" i="10"/>
  <c r="AA17" i="10"/>
  <c r="Z17" i="10"/>
  <c r="X17" i="10"/>
  <c r="AG12" i="10"/>
  <c r="AF12" i="10"/>
  <c r="AE12" i="10"/>
  <c r="AC12" i="10"/>
  <c r="AB12" i="10"/>
  <c r="AA12" i="10"/>
  <c r="Z12" i="10"/>
  <c r="X12" i="10"/>
  <c r="AG7" i="10"/>
  <c r="AF7" i="10"/>
  <c r="AE7" i="10"/>
  <c r="AC7" i="10"/>
  <c r="AB7" i="10"/>
  <c r="AA7" i="10"/>
  <c r="Z7" i="10"/>
  <c r="X7" i="10"/>
  <c r="C5" i="10"/>
  <c r="C32" i="10" s="1"/>
  <c r="C2" i="10"/>
  <c r="C1" i="10"/>
  <c r="AG194" i="9"/>
  <c r="AF194" i="9"/>
  <c r="AC194" i="9"/>
  <c r="AB194" i="9"/>
  <c r="AA194" i="9"/>
  <c r="Z194" i="9"/>
  <c r="X194" i="9"/>
  <c r="U194" i="9"/>
  <c r="S194" i="9"/>
  <c r="R194" i="9"/>
  <c r="Q194" i="9"/>
  <c r="P194" i="9"/>
  <c r="N194" i="9"/>
  <c r="M194" i="9"/>
  <c r="L194" i="9"/>
  <c r="K194" i="9"/>
  <c r="I194" i="9"/>
  <c r="H194" i="9"/>
  <c r="G194" i="9"/>
  <c r="C194" i="9"/>
  <c r="AG193" i="9"/>
  <c r="AF193" i="9"/>
  <c r="AC193" i="9"/>
  <c r="AB193" i="9"/>
  <c r="AA193" i="9"/>
  <c r="Z193" i="9"/>
  <c r="X193" i="9"/>
  <c r="U193" i="9"/>
  <c r="S193" i="9"/>
  <c r="R193" i="9"/>
  <c r="Q193" i="9"/>
  <c r="P193" i="9"/>
  <c r="N193" i="9"/>
  <c r="M193" i="9"/>
  <c r="L193" i="9"/>
  <c r="K193" i="9"/>
  <c r="I193" i="9"/>
  <c r="H193" i="9"/>
  <c r="G193" i="9"/>
  <c r="C193" i="9"/>
  <c r="AG192" i="9"/>
  <c r="AF192" i="9"/>
  <c r="AC192" i="9"/>
  <c r="AB192" i="9"/>
  <c r="AA192" i="9"/>
  <c r="Z192" i="9"/>
  <c r="X192" i="9"/>
  <c r="U192" i="9"/>
  <c r="S192" i="9"/>
  <c r="R192" i="9"/>
  <c r="Q192" i="9"/>
  <c r="P192" i="9"/>
  <c r="N192" i="9"/>
  <c r="M192" i="9"/>
  <c r="L192" i="9"/>
  <c r="K192" i="9"/>
  <c r="I192" i="9"/>
  <c r="H192" i="9"/>
  <c r="G192" i="9"/>
  <c r="C192" i="9"/>
  <c r="AG191" i="9"/>
  <c r="AF191" i="9"/>
  <c r="AC191" i="9"/>
  <c r="AB191" i="9"/>
  <c r="AA191" i="9"/>
  <c r="Z191" i="9"/>
  <c r="X191" i="9"/>
  <c r="U191" i="9"/>
  <c r="S191" i="9"/>
  <c r="R191" i="9"/>
  <c r="Q191" i="9"/>
  <c r="P191" i="9"/>
  <c r="N191" i="9"/>
  <c r="M191" i="9"/>
  <c r="L191" i="9"/>
  <c r="K191" i="9"/>
  <c r="I191" i="9"/>
  <c r="H191" i="9"/>
  <c r="G191" i="9"/>
  <c r="C191" i="9"/>
  <c r="C190" i="9"/>
  <c r="U188" i="9"/>
  <c r="U48" i="7" s="1"/>
  <c r="U84" i="7" s="1"/>
  <c r="S188" i="9"/>
  <c r="S48" i="7" s="1"/>
  <c r="S84" i="7" s="1"/>
  <c r="R188" i="9"/>
  <c r="R48" i="7" s="1"/>
  <c r="R84" i="7" s="1"/>
  <c r="Q188" i="9"/>
  <c r="Q48" i="7" s="1"/>
  <c r="Q84" i="7" s="1"/>
  <c r="P188" i="9"/>
  <c r="P48" i="7" s="1"/>
  <c r="P84" i="7" s="1"/>
  <c r="N188" i="9"/>
  <c r="N48" i="7" s="1"/>
  <c r="N84" i="7" s="1"/>
  <c r="M188" i="9"/>
  <c r="M48" i="7" s="1"/>
  <c r="M84" i="7" s="1"/>
  <c r="L188" i="9"/>
  <c r="L48" i="7" s="1"/>
  <c r="L84" i="7" s="1"/>
  <c r="K188" i="9"/>
  <c r="K48" i="7" s="1"/>
  <c r="K84" i="7" s="1"/>
  <c r="I188" i="9"/>
  <c r="I48" i="7" s="1"/>
  <c r="I84" i="7" s="1"/>
  <c r="H188" i="9"/>
  <c r="H48" i="7" s="1"/>
  <c r="H84" i="7" s="1"/>
  <c r="G188" i="9"/>
  <c r="G48" i="7" s="1"/>
  <c r="G84" i="7" s="1"/>
  <c r="C188" i="9"/>
  <c r="U187" i="9"/>
  <c r="U45" i="7" s="1"/>
  <c r="U78" i="7" s="1"/>
  <c r="S187" i="9"/>
  <c r="S45" i="7" s="1"/>
  <c r="S78" i="7" s="1"/>
  <c r="R187" i="9"/>
  <c r="R45" i="7" s="1"/>
  <c r="R78" i="7" s="1"/>
  <c r="Q187" i="9"/>
  <c r="Q45" i="7" s="1"/>
  <c r="Q78" i="7" s="1"/>
  <c r="P187" i="9"/>
  <c r="P45" i="7" s="1"/>
  <c r="P78" i="7" s="1"/>
  <c r="N187" i="9"/>
  <c r="N45" i="7" s="1"/>
  <c r="N78" i="7" s="1"/>
  <c r="M187" i="9"/>
  <c r="M45" i="7" s="1"/>
  <c r="M78" i="7" s="1"/>
  <c r="L187" i="9"/>
  <c r="L45" i="7" s="1"/>
  <c r="L78" i="7" s="1"/>
  <c r="K187" i="9"/>
  <c r="K45" i="7" s="1"/>
  <c r="K78" i="7" s="1"/>
  <c r="I187" i="9"/>
  <c r="I45" i="7" s="1"/>
  <c r="I78" i="7" s="1"/>
  <c r="H187" i="9"/>
  <c r="H45" i="7" s="1"/>
  <c r="H78" i="7" s="1"/>
  <c r="G187" i="9"/>
  <c r="G45" i="7" s="1"/>
  <c r="G78" i="7" s="1"/>
  <c r="C187" i="9"/>
  <c r="U186" i="9"/>
  <c r="U42" i="7" s="1"/>
  <c r="U72" i="7" s="1"/>
  <c r="S186" i="9"/>
  <c r="S42" i="7" s="1"/>
  <c r="S72" i="7" s="1"/>
  <c r="R186" i="9"/>
  <c r="R42" i="7" s="1"/>
  <c r="R72" i="7" s="1"/>
  <c r="Q186" i="9"/>
  <c r="Q42" i="7" s="1"/>
  <c r="Q72" i="7" s="1"/>
  <c r="P186" i="9"/>
  <c r="P42" i="7" s="1"/>
  <c r="P72" i="7" s="1"/>
  <c r="N186" i="9"/>
  <c r="N42" i="7" s="1"/>
  <c r="N72" i="7" s="1"/>
  <c r="M186" i="9"/>
  <c r="M42" i="7" s="1"/>
  <c r="M72" i="7" s="1"/>
  <c r="L186" i="9"/>
  <c r="L42" i="7" s="1"/>
  <c r="L72" i="7" s="1"/>
  <c r="K186" i="9"/>
  <c r="K42" i="7" s="1"/>
  <c r="K72" i="7" s="1"/>
  <c r="I186" i="9"/>
  <c r="I42" i="7" s="1"/>
  <c r="I72" i="7" s="1"/>
  <c r="H186" i="9"/>
  <c r="H42" i="7" s="1"/>
  <c r="H72" i="7" s="1"/>
  <c r="G186" i="9"/>
  <c r="G42" i="7" s="1"/>
  <c r="G72" i="7" s="1"/>
  <c r="C186" i="9"/>
  <c r="U185" i="9"/>
  <c r="U39" i="7" s="1"/>
  <c r="U66" i="7" s="1"/>
  <c r="S185" i="9"/>
  <c r="S39" i="7" s="1"/>
  <c r="S66" i="7" s="1"/>
  <c r="R185" i="9"/>
  <c r="R39" i="7" s="1"/>
  <c r="R66" i="7" s="1"/>
  <c r="Q185" i="9"/>
  <c r="Q39" i="7" s="1"/>
  <c r="Q66" i="7" s="1"/>
  <c r="P185" i="9"/>
  <c r="P39" i="7" s="1"/>
  <c r="P66" i="7" s="1"/>
  <c r="N185" i="9"/>
  <c r="N39" i="7" s="1"/>
  <c r="N66" i="7" s="1"/>
  <c r="M185" i="9"/>
  <c r="M39" i="7" s="1"/>
  <c r="M66" i="7" s="1"/>
  <c r="L185" i="9"/>
  <c r="L39" i="7" s="1"/>
  <c r="L66" i="7" s="1"/>
  <c r="K185" i="9"/>
  <c r="K39" i="7" s="1"/>
  <c r="K66" i="7" s="1"/>
  <c r="I185" i="9"/>
  <c r="I39" i="7" s="1"/>
  <c r="I66" i="7" s="1"/>
  <c r="H185" i="9"/>
  <c r="H39" i="7" s="1"/>
  <c r="H66" i="7" s="1"/>
  <c r="G185" i="9"/>
  <c r="G39" i="7" s="1"/>
  <c r="G66" i="7" s="1"/>
  <c r="C185" i="9"/>
  <c r="U184" i="9"/>
  <c r="U36" i="7" s="1"/>
  <c r="U60" i="7" s="1"/>
  <c r="S184" i="9"/>
  <c r="S36" i="7" s="1"/>
  <c r="S60" i="7" s="1"/>
  <c r="R184" i="9"/>
  <c r="R36" i="7" s="1"/>
  <c r="R60" i="7" s="1"/>
  <c r="Q184" i="9"/>
  <c r="Q36" i="7" s="1"/>
  <c r="Q60" i="7" s="1"/>
  <c r="P184" i="9"/>
  <c r="P36" i="7" s="1"/>
  <c r="P60" i="7" s="1"/>
  <c r="N184" i="9"/>
  <c r="N36" i="7" s="1"/>
  <c r="N60" i="7" s="1"/>
  <c r="M184" i="9"/>
  <c r="M36" i="7" s="1"/>
  <c r="M60" i="7" s="1"/>
  <c r="L184" i="9"/>
  <c r="L36" i="7" s="1"/>
  <c r="L60" i="7" s="1"/>
  <c r="K184" i="9"/>
  <c r="K36" i="7" s="1"/>
  <c r="K60" i="7" s="1"/>
  <c r="I184" i="9"/>
  <c r="I36" i="7" s="1"/>
  <c r="I60" i="7" s="1"/>
  <c r="H184" i="9"/>
  <c r="H36" i="7" s="1"/>
  <c r="H60" i="7" s="1"/>
  <c r="G184" i="9"/>
  <c r="G36" i="7" s="1"/>
  <c r="G60" i="7" s="1"/>
  <c r="U183" i="9"/>
  <c r="U33" i="7" s="1"/>
  <c r="U54" i="7" s="1"/>
  <c r="S183" i="9"/>
  <c r="S33" i="7" s="1"/>
  <c r="S54" i="7" s="1"/>
  <c r="R183" i="9"/>
  <c r="R33" i="7" s="1"/>
  <c r="R54" i="7" s="1"/>
  <c r="Q183" i="9"/>
  <c r="Q33" i="7" s="1"/>
  <c r="Q54" i="7" s="1"/>
  <c r="P183" i="9"/>
  <c r="P33" i="7" s="1"/>
  <c r="P54" i="7" s="1"/>
  <c r="N183" i="9"/>
  <c r="N33" i="7" s="1"/>
  <c r="N54" i="7" s="1"/>
  <c r="M183" i="9"/>
  <c r="M33" i="7" s="1"/>
  <c r="M54" i="7" s="1"/>
  <c r="L183" i="9"/>
  <c r="L33" i="7" s="1"/>
  <c r="L54" i="7" s="1"/>
  <c r="H183" i="9"/>
  <c r="H33" i="7" s="1"/>
  <c r="H54" i="7" s="1"/>
  <c r="G183" i="9"/>
  <c r="G33" i="7" s="1"/>
  <c r="G54" i="7" s="1"/>
  <c r="AG174" i="9"/>
  <c r="AF174" i="9"/>
  <c r="AE174" i="9"/>
  <c r="AC174" i="9"/>
  <c r="AB174" i="9"/>
  <c r="AA174" i="9"/>
  <c r="Z174" i="9"/>
  <c r="X174" i="9"/>
  <c r="U174" i="9"/>
  <c r="S174" i="9"/>
  <c r="R174" i="9"/>
  <c r="Q174" i="9"/>
  <c r="P174" i="9"/>
  <c r="N174" i="9"/>
  <c r="M174" i="9"/>
  <c r="L174" i="9"/>
  <c r="K174" i="9"/>
  <c r="C174" i="9"/>
  <c r="AG173" i="9"/>
  <c r="AF173" i="9"/>
  <c r="AE173" i="9"/>
  <c r="AC173" i="9"/>
  <c r="AB173" i="9"/>
  <c r="AA173" i="9"/>
  <c r="Z173" i="9"/>
  <c r="X173" i="9"/>
  <c r="U173" i="9"/>
  <c r="S173" i="9"/>
  <c r="R173" i="9"/>
  <c r="Q173" i="9"/>
  <c r="P173" i="9"/>
  <c r="N173" i="9"/>
  <c r="M173" i="9"/>
  <c r="L173" i="9"/>
  <c r="K173" i="9"/>
  <c r="C173" i="9"/>
  <c r="AG172" i="9"/>
  <c r="AF172" i="9"/>
  <c r="AE172" i="9"/>
  <c r="AC172" i="9"/>
  <c r="AB172" i="9"/>
  <c r="AA172" i="9"/>
  <c r="Z172" i="9"/>
  <c r="X172" i="9"/>
  <c r="U172" i="9"/>
  <c r="S172" i="9"/>
  <c r="R172" i="9"/>
  <c r="Q172" i="9"/>
  <c r="P172" i="9"/>
  <c r="N172" i="9"/>
  <c r="M172" i="9"/>
  <c r="L172" i="9"/>
  <c r="K172" i="9"/>
  <c r="C172" i="9"/>
  <c r="AG171" i="9"/>
  <c r="AF171" i="9"/>
  <c r="AE171" i="9"/>
  <c r="AC171" i="9"/>
  <c r="AB171" i="9"/>
  <c r="AA171" i="9"/>
  <c r="Z171" i="9"/>
  <c r="X171" i="9"/>
  <c r="U171" i="9"/>
  <c r="S171" i="9"/>
  <c r="R171" i="9"/>
  <c r="Q171" i="9"/>
  <c r="P171" i="9"/>
  <c r="N171" i="9"/>
  <c r="M171" i="9"/>
  <c r="L171" i="9"/>
  <c r="K171" i="9"/>
  <c r="C171" i="9"/>
  <c r="AG170" i="9"/>
  <c r="AF170" i="9"/>
  <c r="AE170" i="9"/>
  <c r="AC170" i="9"/>
  <c r="AB170" i="9"/>
  <c r="AA170" i="9"/>
  <c r="Z170" i="9"/>
  <c r="X170" i="9"/>
  <c r="U170" i="9"/>
  <c r="S170" i="9"/>
  <c r="R170" i="9"/>
  <c r="Q170" i="9"/>
  <c r="P170" i="9"/>
  <c r="N170" i="9"/>
  <c r="M170" i="9"/>
  <c r="L170" i="9"/>
  <c r="K170" i="9"/>
  <c r="C170" i="9"/>
  <c r="U168" i="9"/>
  <c r="S168" i="9"/>
  <c r="R168" i="9"/>
  <c r="Q168" i="9"/>
  <c r="P168" i="9"/>
  <c r="N168" i="9"/>
  <c r="M168" i="9"/>
  <c r="L168" i="9"/>
  <c r="K168" i="9"/>
  <c r="C168" i="9"/>
  <c r="U167" i="9"/>
  <c r="S167" i="9"/>
  <c r="R167" i="9"/>
  <c r="Q167" i="9"/>
  <c r="P167" i="9"/>
  <c r="N167" i="9"/>
  <c r="M167" i="9"/>
  <c r="L167" i="9"/>
  <c r="K167" i="9"/>
  <c r="C167" i="9"/>
  <c r="U166" i="9"/>
  <c r="S166" i="9"/>
  <c r="R166" i="9"/>
  <c r="Q166" i="9"/>
  <c r="P166" i="9"/>
  <c r="N166" i="9"/>
  <c r="M166" i="9"/>
  <c r="L166" i="9"/>
  <c r="K166" i="9"/>
  <c r="C166" i="9"/>
  <c r="U165" i="9"/>
  <c r="S165" i="9"/>
  <c r="R165" i="9"/>
  <c r="Q165" i="9"/>
  <c r="P165" i="9"/>
  <c r="N165" i="9"/>
  <c r="M165" i="9"/>
  <c r="L165" i="9"/>
  <c r="K165" i="9"/>
  <c r="C165" i="9"/>
  <c r="U164" i="9"/>
  <c r="S164" i="9"/>
  <c r="R164" i="9"/>
  <c r="Q164" i="9"/>
  <c r="P164" i="9"/>
  <c r="N164" i="9"/>
  <c r="M164" i="9"/>
  <c r="L164" i="9"/>
  <c r="K164" i="9"/>
  <c r="U163" i="9"/>
  <c r="S163" i="9"/>
  <c r="R163" i="9"/>
  <c r="Q163" i="9"/>
  <c r="P163" i="9"/>
  <c r="M163" i="9"/>
  <c r="L163" i="9"/>
  <c r="K163" i="9"/>
  <c r="C158" i="9"/>
  <c r="C157" i="9"/>
  <c r="C156" i="9"/>
  <c r="C155" i="9"/>
  <c r="U150" i="9"/>
  <c r="U32" i="10" s="1"/>
  <c r="S150" i="9"/>
  <c r="S32" i="10" s="1"/>
  <c r="R150" i="9"/>
  <c r="R32" i="10" s="1"/>
  <c r="Q150" i="9"/>
  <c r="Q32" i="10" s="1"/>
  <c r="P150" i="9"/>
  <c r="P32" i="10" s="1"/>
  <c r="N150" i="9"/>
  <c r="N32" i="10" s="1"/>
  <c r="M150" i="9"/>
  <c r="M32" i="10" s="1"/>
  <c r="L150" i="9"/>
  <c r="L32" i="10" s="1"/>
  <c r="K150" i="9"/>
  <c r="K32" i="10" s="1"/>
  <c r="I150" i="9"/>
  <c r="I32" i="10" s="1"/>
  <c r="H150" i="9"/>
  <c r="H32" i="10" s="1"/>
  <c r="G150" i="9"/>
  <c r="G32" i="10" s="1"/>
  <c r="F150" i="9"/>
  <c r="F32" i="10" s="1"/>
  <c r="C150" i="9"/>
  <c r="U149" i="9"/>
  <c r="U27" i="10" s="1"/>
  <c r="S149" i="9"/>
  <c r="S27" i="10" s="1"/>
  <c r="R149" i="9"/>
  <c r="R27" i="10" s="1"/>
  <c r="Q149" i="9"/>
  <c r="Q27" i="10" s="1"/>
  <c r="P149" i="9"/>
  <c r="P27" i="10" s="1"/>
  <c r="N149" i="9"/>
  <c r="N27" i="10" s="1"/>
  <c r="M149" i="9"/>
  <c r="M27" i="10" s="1"/>
  <c r="L149" i="9"/>
  <c r="L27" i="10" s="1"/>
  <c r="K149" i="9"/>
  <c r="K27" i="10" s="1"/>
  <c r="I149" i="9"/>
  <c r="I27" i="10" s="1"/>
  <c r="H149" i="9"/>
  <c r="H27" i="10" s="1"/>
  <c r="G149" i="9"/>
  <c r="G27" i="10" s="1"/>
  <c r="F149" i="9"/>
  <c r="F27" i="10" s="1"/>
  <c r="C149" i="9"/>
  <c r="U148" i="9"/>
  <c r="U22" i="10" s="1"/>
  <c r="S148" i="9"/>
  <c r="S22" i="10" s="1"/>
  <c r="R148" i="9"/>
  <c r="R22" i="10" s="1"/>
  <c r="Q148" i="9"/>
  <c r="Q22" i="10" s="1"/>
  <c r="P148" i="9"/>
  <c r="P22" i="10" s="1"/>
  <c r="N148" i="9"/>
  <c r="N22" i="10" s="1"/>
  <c r="M148" i="9"/>
  <c r="M22" i="10" s="1"/>
  <c r="L148" i="9"/>
  <c r="L22" i="10" s="1"/>
  <c r="K148" i="9"/>
  <c r="K22" i="10" s="1"/>
  <c r="I148" i="9"/>
  <c r="I22" i="10" s="1"/>
  <c r="H148" i="9"/>
  <c r="H22" i="10" s="1"/>
  <c r="G148" i="9"/>
  <c r="G22" i="10" s="1"/>
  <c r="F148" i="9"/>
  <c r="F22" i="10" s="1"/>
  <c r="C148" i="9"/>
  <c r="U147" i="9"/>
  <c r="U17" i="10" s="1"/>
  <c r="S147" i="9"/>
  <c r="S17" i="10" s="1"/>
  <c r="R147" i="9"/>
  <c r="R17" i="10" s="1"/>
  <c r="Q147" i="9"/>
  <c r="Q17" i="10" s="1"/>
  <c r="P147" i="9"/>
  <c r="P17" i="10" s="1"/>
  <c r="N147" i="9"/>
  <c r="N17" i="10" s="1"/>
  <c r="M147" i="9"/>
  <c r="M17" i="10" s="1"/>
  <c r="L147" i="9"/>
  <c r="L17" i="10" s="1"/>
  <c r="K147" i="9"/>
  <c r="K17" i="10" s="1"/>
  <c r="I147" i="9"/>
  <c r="I17" i="10" s="1"/>
  <c r="H147" i="9"/>
  <c r="H17" i="10" s="1"/>
  <c r="G147" i="9"/>
  <c r="G17" i="10" s="1"/>
  <c r="F147" i="9"/>
  <c r="F17" i="10" s="1"/>
  <c r="C147" i="9"/>
  <c r="U146" i="9"/>
  <c r="U12" i="10" s="1"/>
  <c r="S146" i="9"/>
  <c r="S12" i="10" s="1"/>
  <c r="R146" i="9"/>
  <c r="R12" i="10" s="1"/>
  <c r="Q146" i="9"/>
  <c r="Q12" i="10" s="1"/>
  <c r="P146" i="9"/>
  <c r="P12" i="10" s="1"/>
  <c r="N146" i="9"/>
  <c r="N12" i="10" s="1"/>
  <c r="M146" i="9"/>
  <c r="M12" i="10" s="1"/>
  <c r="L146" i="9"/>
  <c r="L12" i="10" s="1"/>
  <c r="K146" i="9"/>
  <c r="K12" i="10" s="1"/>
  <c r="I146" i="9"/>
  <c r="I12" i="10" s="1"/>
  <c r="H146" i="9"/>
  <c r="H12" i="10" s="1"/>
  <c r="G146" i="9"/>
  <c r="G12" i="10" s="1"/>
  <c r="F146" i="9"/>
  <c r="F12" i="10" s="1"/>
  <c r="C146" i="9"/>
  <c r="U145" i="9"/>
  <c r="S145" i="9"/>
  <c r="R145" i="9"/>
  <c r="Q145" i="9"/>
  <c r="P145" i="9"/>
  <c r="N145" i="9"/>
  <c r="M145" i="9"/>
  <c r="L145" i="9"/>
  <c r="K145" i="9"/>
  <c r="H145" i="9"/>
  <c r="G145" i="9"/>
  <c r="F145" i="9"/>
  <c r="C142" i="9"/>
  <c r="C141" i="9"/>
  <c r="C140" i="9"/>
  <c r="C139" i="9"/>
  <c r="AD132" i="9"/>
  <c r="Y132" i="9"/>
  <c r="T132" i="9"/>
  <c r="O132" i="9"/>
  <c r="J132" i="9"/>
  <c r="C132" i="9"/>
  <c r="AD131" i="9"/>
  <c r="Y131" i="9"/>
  <c r="T131" i="9"/>
  <c r="O131" i="9"/>
  <c r="J131" i="9"/>
  <c r="C131" i="9"/>
  <c r="AD130" i="9"/>
  <c r="Y130" i="9"/>
  <c r="T130" i="9"/>
  <c r="O130" i="9"/>
  <c r="J130" i="9"/>
  <c r="C130" i="9"/>
  <c r="AD129" i="9"/>
  <c r="Y129" i="9"/>
  <c r="T129" i="9"/>
  <c r="O129" i="9"/>
  <c r="J129" i="9"/>
  <c r="C129" i="9"/>
  <c r="AD128" i="9"/>
  <c r="Y128" i="9"/>
  <c r="T128" i="9"/>
  <c r="O128" i="9"/>
  <c r="J128" i="9"/>
  <c r="C128" i="9"/>
  <c r="AD125" i="9"/>
  <c r="Y125" i="9"/>
  <c r="T125" i="9"/>
  <c r="O125" i="9"/>
  <c r="J125" i="9"/>
  <c r="C125" i="9"/>
  <c r="AD124" i="9"/>
  <c r="Y124" i="9"/>
  <c r="T124" i="9"/>
  <c r="O124" i="9"/>
  <c r="J124" i="9"/>
  <c r="C124" i="9"/>
  <c r="AD123" i="9"/>
  <c r="Y123" i="9"/>
  <c r="T123" i="9"/>
  <c r="O123" i="9"/>
  <c r="J123" i="9"/>
  <c r="C123" i="9"/>
  <c r="AD122" i="9"/>
  <c r="Y122" i="9"/>
  <c r="T122" i="9"/>
  <c r="O122" i="9"/>
  <c r="J122" i="9"/>
  <c r="C122" i="9"/>
  <c r="AD121" i="9"/>
  <c r="Y121" i="9"/>
  <c r="T121" i="9"/>
  <c r="O121" i="9"/>
  <c r="J121" i="9"/>
  <c r="C121" i="9"/>
  <c r="AD118" i="9"/>
  <c r="Y118" i="9"/>
  <c r="T118" i="9"/>
  <c r="O118" i="9"/>
  <c r="J118" i="9"/>
  <c r="C118" i="9"/>
  <c r="AD117" i="9"/>
  <c r="Y117" i="9"/>
  <c r="T117" i="9"/>
  <c r="O117" i="9"/>
  <c r="J117" i="9"/>
  <c r="C117" i="9"/>
  <c r="AD116" i="9"/>
  <c r="Y116" i="9"/>
  <c r="T116" i="9"/>
  <c r="O116" i="9"/>
  <c r="J116" i="9"/>
  <c r="C116" i="9"/>
  <c r="AD115" i="9"/>
  <c r="Y115" i="9"/>
  <c r="T115" i="9"/>
  <c r="O115" i="9"/>
  <c r="J115" i="9"/>
  <c r="C115" i="9"/>
  <c r="AD114" i="9"/>
  <c r="Y114" i="9"/>
  <c r="T114" i="9"/>
  <c r="O114" i="9"/>
  <c r="J114" i="9"/>
  <c r="C114" i="9"/>
  <c r="AD111" i="9"/>
  <c r="Y111" i="9"/>
  <c r="T111" i="9"/>
  <c r="O111" i="9"/>
  <c r="J111" i="9"/>
  <c r="C111" i="9"/>
  <c r="AD110" i="9"/>
  <c r="Y110" i="9"/>
  <c r="T110" i="9"/>
  <c r="O110" i="9"/>
  <c r="J110" i="9"/>
  <c r="C110" i="9"/>
  <c r="AD109" i="9"/>
  <c r="Y109" i="9"/>
  <c r="T109" i="9"/>
  <c r="O109" i="9"/>
  <c r="J109" i="9"/>
  <c r="C109" i="9"/>
  <c r="AD108" i="9"/>
  <c r="Y108" i="9"/>
  <c r="T108" i="9"/>
  <c r="O108" i="9"/>
  <c r="J108" i="9"/>
  <c r="C108" i="9"/>
  <c r="AD107" i="9"/>
  <c r="Y107" i="9"/>
  <c r="T107" i="9"/>
  <c r="O107" i="9"/>
  <c r="J107" i="9"/>
  <c r="C107" i="9"/>
  <c r="AD104" i="9"/>
  <c r="Y104" i="9"/>
  <c r="T104" i="9"/>
  <c r="O104" i="9"/>
  <c r="J104" i="9"/>
  <c r="C104" i="9"/>
  <c r="AD103" i="9"/>
  <c r="Y103" i="9"/>
  <c r="T103" i="9"/>
  <c r="O103" i="9"/>
  <c r="J103" i="9"/>
  <c r="C103" i="9"/>
  <c r="AD102" i="9"/>
  <c r="Y102" i="9"/>
  <c r="T102" i="9"/>
  <c r="O102" i="9"/>
  <c r="J102" i="9"/>
  <c r="C102" i="9"/>
  <c r="AD101" i="9"/>
  <c r="Y101" i="9"/>
  <c r="T101" i="9"/>
  <c r="O101" i="9"/>
  <c r="J101" i="9"/>
  <c r="C101" i="9"/>
  <c r="AD100" i="9"/>
  <c r="Y100" i="9"/>
  <c r="T100" i="9"/>
  <c r="O100" i="9"/>
  <c r="J100" i="9"/>
  <c r="C100" i="9"/>
  <c r="AD97" i="9"/>
  <c r="Y97" i="9"/>
  <c r="T97" i="9"/>
  <c r="O97" i="9"/>
  <c r="J97" i="9"/>
  <c r="C97" i="9"/>
  <c r="AD96" i="9"/>
  <c r="Y96" i="9"/>
  <c r="T96" i="9"/>
  <c r="O96" i="9"/>
  <c r="J96" i="9"/>
  <c r="C96" i="9"/>
  <c r="AD95" i="9"/>
  <c r="Y95" i="9"/>
  <c r="T95" i="9"/>
  <c r="O95" i="9"/>
  <c r="J95" i="9"/>
  <c r="C95" i="9"/>
  <c r="AD94" i="9"/>
  <c r="Y94" i="9"/>
  <c r="T94" i="9"/>
  <c r="O94" i="9"/>
  <c r="J94" i="9"/>
  <c r="C94" i="9"/>
  <c r="AD93" i="9"/>
  <c r="Y93" i="9"/>
  <c r="T93" i="9"/>
  <c r="O93" i="9"/>
  <c r="J93" i="9"/>
  <c r="C93" i="9"/>
  <c r="C90" i="9"/>
  <c r="C89" i="9"/>
  <c r="C88" i="9"/>
  <c r="C87" i="9"/>
  <c r="C86" i="9"/>
  <c r="AD83" i="9"/>
  <c r="Y83" i="9"/>
  <c r="T83" i="9"/>
  <c r="O83" i="9"/>
  <c r="J83" i="9"/>
  <c r="AD82" i="9"/>
  <c r="Y82" i="9"/>
  <c r="T82" i="9"/>
  <c r="O82" i="9"/>
  <c r="J82" i="9"/>
  <c r="AD81" i="9"/>
  <c r="AE193" i="9" s="1"/>
  <c r="Y81" i="9"/>
  <c r="T81" i="9"/>
  <c r="O81" i="9"/>
  <c r="J81" i="9"/>
  <c r="AD80" i="9"/>
  <c r="Y80" i="9"/>
  <c r="T80" i="9"/>
  <c r="O80" i="9"/>
  <c r="J80" i="9"/>
  <c r="AD79" i="9"/>
  <c r="AE191" i="9" s="1"/>
  <c r="Y79" i="9"/>
  <c r="T79" i="9"/>
  <c r="O79" i="9"/>
  <c r="J79" i="9"/>
  <c r="AG78" i="9"/>
  <c r="AG90" i="9" s="1"/>
  <c r="AF78" i="9"/>
  <c r="AF90" i="9" s="1"/>
  <c r="AE78" i="9"/>
  <c r="AE89" i="9" s="1"/>
  <c r="AC78" i="9"/>
  <c r="AC90" i="9" s="1"/>
  <c r="AB78" i="9"/>
  <c r="AA78" i="9"/>
  <c r="AA89" i="9" s="1"/>
  <c r="Z78" i="9"/>
  <c r="X78" i="9"/>
  <c r="X88" i="9" s="1"/>
  <c r="U78" i="9"/>
  <c r="U90" i="9" s="1"/>
  <c r="S78" i="9"/>
  <c r="S86" i="9" s="1"/>
  <c r="R78" i="9"/>
  <c r="R87" i="9" s="1"/>
  <c r="Q78" i="9"/>
  <c r="Q89" i="9" s="1"/>
  <c r="P78" i="9"/>
  <c r="P87" i="9" s="1"/>
  <c r="N78" i="9"/>
  <c r="N86" i="9" s="1"/>
  <c r="M78" i="9"/>
  <c r="M87" i="9" s="1"/>
  <c r="L78" i="9"/>
  <c r="L86" i="9" s="1"/>
  <c r="K78" i="9"/>
  <c r="K87" i="9" s="1"/>
  <c r="I78" i="9"/>
  <c r="I88" i="9" s="1"/>
  <c r="H78" i="9"/>
  <c r="H90" i="9" s="1"/>
  <c r="G78" i="9"/>
  <c r="G87" i="9" s="1"/>
  <c r="F78" i="9"/>
  <c r="F88" i="9" s="1"/>
  <c r="C73" i="9"/>
  <c r="C72" i="9"/>
  <c r="C71" i="9"/>
  <c r="C70" i="9"/>
  <c r="U65" i="9"/>
  <c r="S65" i="9"/>
  <c r="R65" i="9"/>
  <c r="Q65" i="9"/>
  <c r="P65" i="9"/>
  <c r="N65" i="9"/>
  <c r="M65" i="9"/>
  <c r="L65" i="9"/>
  <c r="K65" i="9"/>
  <c r="I65" i="9"/>
  <c r="H65" i="9"/>
  <c r="G65" i="9"/>
  <c r="F65" i="9"/>
  <c r="C65" i="9"/>
  <c r="U64" i="9"/>
  <c r="S64" i="9"/>
  <c r="R64" i="9"/>
  <c r="Q64" i="9"/>
  <c r="P64" i="9"/>
  <c r="N64" i="9"/>
  <c r="M64" i="9"/>
  <c r="L64" i="9"/>
  <c r="K64" i="9"/>
  <c r="I64" i="9"/>
  <c r="H64" i="9"/>
  <c r="G64" i="9"/>
  <c r="F64" i="9"/>
  <c r="C64" i="9"/>
  <c r="U63" i="9"/>
  <c r="S63" i="9"/>
  <c r="R63" i="9"/>
  <c r="Q63" i="9"/>
  <c r="P63" i="9"/>
  <c r="N63" i="9"/>
  <c r="M63" i="9"/>
  <c r="L63" i="9"/>
  <c r="K63" i="9"/>
  <c r="I63" i="9"/>
  <c r="H63" i="9"/>
  <c r="G63" i="9"/>
  <c r="F63" i="9"/>
  <c r="C63" i="9"/>
  <c r="U62" i="9"/>
  <c r="S62" i="9"/>
  <c r="R62" i="9"/>
  <c r="Q62" i="9"/>
  <c r="P62" i="9"/>
  <c r="N62" i="9"/>
  <c r="M62" i="9"/>
  <c r="L62" i="9"/>
  <c r="K62" i="9"/>
  <c r="I62" i="9"/>
  <c r="H62" i="9"/>
  <c r="G62" i="9"/>
  <c r="F62" i="9"/>
  <c r="C62" i="9"/>
  <c r="U61" i="9"/>
  <c r="S61" i="9"/>
  <c r="R61" i="9"/>
  <c r="Q61" i="9"/>
  <c r="P61" i="9"/>
  <c r="N61" i="9"/>
  <c r="M61" i="9"/>
  <c r="L61" i="9"/>
  <c r="K61" i="9"/>
  <c r="I61" i="9"/>
  <c r="H61" i="9"/>
  <c r="G61" i="9"/>
  <c r="F61" i="9"/>
  <c r="U60" i="9"/>
  <c r="S60" i="9"/>
  <c r="R60" i="9"/>
  <c r="Q60" i="9"/>
  <c r="P60" i="9"/>
  <c r="N60" i="9"/>
  <c r="M60" i="9"/>
  <c r="L60" i="9"/>
  <c r="K60" i="9"/>
  <c r="H60" i="9"/>
  <c r="G60" i="9"/>
  <c r="F60" i="9"/>
  <c r="AG57" i="9"/>
  <c r="AF57" i="9"/>
  <c r="AE57" i="9"/>
  <c r="AC57" i="9"/>
  <c r="AB57" i="9"/>
  <c r="AA57" i="9"/>
  <c r="Z57" i="9"/>
  <c r="X57" i="9"/>
  <c r="C57" i="9"/>
  <c r="C91" i="10" s="1"/>
  <c r="AG56" i="9"/>
  <c r="AF56" i="9"/>
  <c r="AE56" i="9"/>
  <c r="AC56" i="9"/>
  <c r="AB56" i="9"/>
  <c r="AA56" i="9"/>
  <c r="Z56" i="9"/>
  <c r="X56" i="9"/>
  <c r="C56" i="9"/>
  <c r="C90" i="10" s="1"/>
  <c r="AG55" i="9"/>
  <c r="AF55" i="9"/>
  <c r="AE55" i="9"/>
  <c r="AC55" i="9"/>
  <c r="AB55" i="9"/>
  <c r="AA55" i="9"/>
  <c r="Z55" i="9"/>
  <c r="X55" i="9"/>
  <c r="C55" i="9"/>
  <c r="C89" i="10" s="1"/>
  <c r="AG54" i="9"/>
  <c r="AF54" i="9"/>
  <c r="AE54" i="9"/>
  <c r="AC54" i="9"/>
  <c r="AB54" i="9"/>
  <c r="AA54" i="9"/>
  <c r="Z54" i="9"/>
  <c r="X54" i="9"/>
  <c r="C54" i="9"/>
  <c r="C88" i="10" s="1"/>
  <c r="AG53" i="9"/>
  <c r="AF53" i="9"/>
  <c r="AE53" i="9"/>
  <c r="AC53" i="9"/>
  <c r="AB53" i="9"/>
  <c r="AA53" i="9"/>
  <c r="Z53" i="9"/>
  <c r="X53" i="9"/>
  <c r="AG52" i="9"/>
  <c r="AF52" i="9"/>
  <c r="AE52" i="9"/>
  <c r="AC52" i="9"/>
  <c r="AB52" i="9"/>
  <c r="AA52" i="9"/>
  <c r="Z52" i="9"/>
  <c r="X52" i="9"/>
  <c r="T47" i="9"/>
  <c r="O47" i="9"/>
  <c r="J47" i="9"/>
  <c r="C47" i="9"/>
  <c r="T46" i="9"/>
  <c r="O46" i="9"/>
  <c r="J46" i="9"/>
  <c r="C46" i="9"/>
  <c r="T45" i="9"/>
  <c r="O45" i="9"/>
  <c r="J45" i="9"/>
  <c r="C45" i="9"/>
  <c r="T44" i="9"/>
  <c r="O44" i="9"/>
  <c r="J44" i="9"/>
  <c r="C44" i="9"/>
  <c r="T43" i="9"/>
  <c r="O43" i="9"/>
  <c r="J43" i="9"/>
  <c r="T42" i="9"/>
  <c r="O42" i="9"/>
  <c r="J42" i="9"/>
  <c r="U41" i="9"/>
  <c r="S41" i="9"/>
  <c r="S56" i="9" s="1"/>
  <c r="S90" i="10" s="1"/>
  <c r="R41" i="9"/>
  <c r="R57" i="9" s="1"/>
  <c r="R91" i="10" s="1"/>
  <c r="Q41" i="9"/>
  <c r="Q57" i="9" s="1"/>
  <c r="Q91" i="10" s="1"/>
  <c r="P41" i="9"/>
  <c r="P53" i="9" s="1"/>
  <c r="P87" i="10" s="1"/>
  <c r="N41" i="9"/>
  <c r="N54" i="9" s="1"/>
  <c r="N88" i="10" s="1"/>
  <c r="M41" i="9"/>
  <c r="M52" i="9" s="1"/>
  <c r="M86" i="10" s="1"/>
  <c r="L41" i="9"/>
  <c r="L55" i="9" s="1"/>
  <c r="L89" i="10" s="1"/>
  <c r="K41" i="9"/>
  <c r="I41" i="9"/>
  <c r="I55" i="9" s="1"/>
  <c r="I89" i="10" s="1"/>
  <c r="H41" i="9"/>
  <c r="H55" i="9" s="1"/>
  <c r="H89" i="10" s="1"/>
  <c r="G41" i="9"/>
  <c r="G56" i="9" s="1"/>
  <c r="G90" i="10" s="1"/>
  <c r="F41" i="9"/>
  <c r="F55" i="9" s="1"/>
  <c r="F89" i="10" s="1"/>
  <c r="C39" i="9"/>
  <c r="C38" i="9"/>
  <c r="C37" i="9"/>
  <c r="C36" i="9"/>
  <c r="T29" i="9"/>
  <c r="O29" i="9"/>
  <c r="J29" i="9"/>
  <c r="T28" i="9"/>
  <c r="O28" i="9"/>
  <c r="J28" i="9"/>
  <c r="T27" i="9"/>
  <c r="O27" i="9"/>
  <c r="J27" i="9"/>
  <c r="T26" i="9"/>
  <c r="O26" i="9"/>
  <c r="J26" i="9"/>
  <c r="T25" i="9"/>
  <c r="O25" i="9"/>
  <c r="J25" i="9"/>
  <c r="T24" i="9"/>
  <c r="O24" i="9"/>
  <c r="I60" i="9"/>
  <c r="U23" i="9"/>
  <c r="U35" i="9" s="1"/>
  <c r="S23" i="9"/>
  <c r="S35" i="9" s="1"/>
  <c r="R23" i="9"/>
  <c r="R36" i="9" s="1"/>
  <c r="Q23" i="9"/>
  <c r="P23" i="9"/>
  <c r="N23" i="9"/>
  <c r="N36" i="9" s="1"/>
  <c r="M23" i="9"/>
  <c r="M35" i="9" s="1"/>
  <c r="L23" i="9"/>
  <c r="L34" i="9" s="1"/>
  <c r="K23" i="9"/>
  <c r="K34" i="9" s="1"/>
  <c r="H23" i="9"/>
  <c r="H34" i="9" s="1"/>
  <c r="G23" i="9"/>
  <c r="F23" i="9"/>
  <c r="F39" i="9" s="1"/>
  <c r="T13" i="9"/>
  <c r="T47" i="7" s="1"/>
  <c r="T225" i="7" s="1"/>
  <c r="O13" i="9"/>
  <c r="O47" i="7" s="1"/>
  <c r="O225" i="7" s="1"/>
  <c r="J13" i="9"/>
  <c r="C13" i="9"/>
  <c r="C47" i="7" s="1"/>
  <c r="C151" i="7" s="1"/>
  <c r="T12" i="9"/>
  <c r="O12" i="9"/>
  <c r="O44" i="7" s="1"/>
  <c r="O139" i="7" s="1"/>
  <c r="J12" i="9"/>
  <c r="J44" i="7" s="1"/>
  <c r="C12" i="9"/>
  <c r="C44" i="7" s="1"/>
  <c r="C139" i="7" s="1"/>
  <c r="T11" i="9"/>
  <c r="O11" i="9"/>
  <c r="O41" i="7" s="1"/>
  <c r="J11" i="9"/>
  <c r="J41" i="7" s="1"/>
  <c r="C11" i="9"/>
  <c r="C41" i="7" s="1"/>
  <c r="C71" i="7" s="1"/>
  <c r="T10" i="9"/>
  <c r="T38" i="7" s="1"/>
  <c r="T65" i="7" s="1"/>
  <c r="O10" i="9"/>
  <c r="O38" i="7" s="1"/>
  <c r="J10" i="9"/>
  <c r="C10" i="9"/>
  <c r="C106" i="9" s="1"/>
  <c r="T9" i="9"/>
  <c r="O9" i="9"/>
  <c r="O35" i="7" s="1"/>
  <c r="O59" i="7" s="1"/>
  <c r="J9" i="9"/>
  <c r="J35" i="7" s="1"/>
  <c r="T8" i="9"/>
  <c r="T32" i="7" s="1"/>
  <c r="T53" i="7" s="1"/>
  <c r="O8" i="9"/>
  <c r="O32" i="7" s="1"/>
  <c r="U7" i="9"/>
  <c r="U28" i="8" s="1"/>
  <c r="S7" i="9"/>
  <c r="S28" i="8" s="1"/>
  <c r="S139" i="10" s="1"/>
  <c r="R7" i="9"/>
  <c r="R28" i="8" s="1"/>
  <c r="Q7" i="9"/>
  <c r="Q28" i="8" s="1"/>
  <c r="Q139" i="10" s="1"/>
  <c r="P7" i="9"/>
  <c r="P28" i="8" s="1"/>
  <c r="N7" i="9"/>
  <c r="N19" i="9" s="1"/>
  <c r="N43" i="7" s="1"/>
  <c r="M7" i="9"/>
  <c r="M19" i="9" s="1"/>
  <c r="M43" i="7" s="1"/>
  <c r="L7" i="9"/>
  <c r="L19" i="9" s="1"/>
  <c r="L43" i="7" s="1"/>
  <c r="K7" i="9"/>
  <c r="K28" i="8" s="1"/>
  <c r="K139" i="10" s="1"/>
  <c r="H7" i="9"/>
  <c r="H30" i="7" s="1"/>
  <c r="G7" i="9"/>
  <c r="G30" i="7" s="1"/>
  <c r="C2" i="9"/>
  <c r="C1" i="9"/>
  <c r="X320" i="8"/>
  <c r="AG315" i="8"/>
  <c r="AF315" i="8"/>
  <c r="AE315" i="8"/>
  <c r="AC315" i="8"/>
  <c r="AB315" i="8"/>
  <c r="AA315" i="8"/>
  <c r="Z315" i="8"/>
  <c r="X315" i="8"/>
  <c r="S311" i="8"/>
  <c r="R311" i="8"/>
  <c r="Q311" i="8"/>
  <c r="R308" i="8" s="1"/>
  <c r="P311" i="8"/>
  <c r="Q308" i="8" s="1"/>
  <c r="I311" i="8"/>
  <c r="H311" i="8"/>
  <c r="J308" i="8"/>
  <c r="U305" i="8"/>
  <c r="V303" i="8" s="1"/>
  <c r="S305" i="8"/>
  <c r="R305" i="8"/>
  <c r="S303" i="8" s="1"/>
  <c r="Q305" i="8"/>
  <c r="R303" i="8" s="1"/>
  <c r="P305" i="8"/>
  <c r="N305" i="8"/>
  <c r="M305" i="8"/>
  <c r="L305" i="8"/>
  <c r="K305" i="8"/>
  <c r="L303" i="8" s="1"/>
  <c r="I305" i="8"/>
  <c r="H305" i="8"/>
  <c r="I303" i="8" s="1"/>
  <c r="G305" i="8"/>
  <c r="H303" i="8" s="1"/>
  <c r="F305" i="8"/>
  <c r="F303" i="8"/>
  <c r="J303" i="8" s="1"/>
  <c r="J304" i="8" s="1"/>
  <c r="T285" i="8"/>
  <c r="O285" i="8"/>
  <c r="J285" i="8"/>
  <c r="AG279" i="8"/>
  <c r="AF279" i="8"/>
  <c r="AE279" i="8"/>
  <c r="AC279" i="8"/>
  <c r="AB279" i="8"/>
  <c r="AA279" i="8"/>
  <c r="Z279" i="8"/>
  <c r="X279" i="8"/>
  <c r="U273" i="8"/>
  <c r="R273" i="8"/>
  <c r="R187" i="10" s="1"/>
  <c r="Q273" i="8"/>
  <c r="Q187" i="10" s="1"/>
  <c r="P273" i="8"/>
  <c r="P187" i="10" s="1"/>
  <c r="N273" i="8"/>
  <c r="N187" i="10" s="1"/>
  <c r="M273" i="8"/>
  <c r="M187" i="10" s="1"/>
  <c r="L273" i="8"/>
  <c r="L187" i="10" s="1"/>
  <c r="K273" i="8"/>
  <c r="K187" i="10" s="1"/>
  <c r="I273" i="8"/>
  <c r="I187" i="10" s="1"/>
  <c r="H273" i="8"/>
  <c r="H187" i="10" s="1"/>
  <c r="G273" i="8"/>
  <c r="G187" i="10" s="1"/>
  <c r="F273" i="8"/>
  <c r="F187" i="10" s="1"/>
  <c r="AD272" i="8"/>
  <c r="Y272" i="8"/>
  <c r="T272" i="8"/>
  <c r="O272" i="8"/>
  <c r="J272" i="8"/>
  <c r="U268" i="8"/>
  <c r="K268" i="8"/>
  <c r="U262" i="8"/>
  <c r="V260" i="8" s="1"/>
  <c r="S262" i="8"/>
  <c r="R262" i="8"/>
  <c r="Q262" i="8"/>
  <c r="R260" i="8" s="1"/>
  <c r="P262" i="8"/>
  <c r="Q260" i="8" s="1"/>
  <c r="N262" i="8"/>
  <c r="M262" i="8"/>
  <c r="N260" i="8" s="1"/>
  <c r="L262" i="8"/>
  <c r="K262" i="8"/>
  <c r="L260" i="8" s="1"/>
  <c r="I262" i="8"/>
  <c r="H262" i="8"/>
  <c r="G262" i="8"/>
  <c r="F262" i="8"/>
  <c r="AG261" i="8"/>
  <c r="AF261" i="8"/>
  <c r="AE261" i="8"/>
  <c r="AC261" i="8"/>
  <c r="AB261" i="8"/>
  <c r="AA261" i="8"/>
  <c r="Z261" i="8"/>
  <c r="X261" i="8"/>
  <c r="F260" i="8"/>
  <c r="J260" i="8" s="1"/>
  <c r="U257" i="8"/>
  <c r="V253" i="8" s="1"/>
  <c r="S257" i="8"/>
  <c r="R257" i="8"/>
  <c r="S253" i="8" s="1"/>
  <c r="Q257" i="8"/>
  <c r="R253" i="8" s="1"/>
  <c r="P257" i="8"/>
  <c r="Q253" i="8" s="1"/>
  <c r="N257" i="8"/>
  <c r="M257" i="8"/>
  <c r="N253" i="8" s="1"/>
  <c r="L257" i="8"/>
  <c r="M253" i="8" s="1"/>
  <c r="K257" i="8"/>
  <c r="L253" i="8" s="1"/>
  <c r="I257" i="8"/>
  <c r="H257" i="8"/>
  <c r="I253" i="8" s="1"/>
  <c r="G257" i="8"/>
  <c r="H253" i="8" s="1"/>
  <c r="F257" i="8"/>
  <c r="AD256" i="8"/>
  <c r="F253" i="8"/>
  <c r="J253" i="8" s="1"/>
  <c r="U248" i="8"/>
  <c r="V245" i="8" s="1"/>
  <c r="S248" i="8"/>
  <c r="R248" i="8"/>
  <c r="S245" i="8" s="1"/>
  <c r="Q248" i="8"/>
  <c r="R245" i="8" s="1"/>
  <c r="P248" i="8"/>
  <c r="Q245" i="8" s="1"/>
  <c r="N248" i="8"/>
  <c r="M248" i="8"/>
  <c r="N245" i="8" s="1"/>
  <c r="L248" i="8"/>
  <c r="M245" i="8" s="1"/>
  <c r="K248" i="8"/>
  <c r="L245" i="8" s="1"/>
  <c r="I248" i="8"/>
  <c r="H248" i="8"/>
  <c r="G248" i="8"/>
  <c r="F248" i="8"/>
  <c r="G245" i="8" s="1"/>
  <c r="S273" i="8"/>
  <c r="S187" i="10" s="1"/>
  <c r="O242" i="8"/>
  <c r="O273" i="8" s="1"/>
  <c r="O187" i="10" s="1"/>
  <c r="J242" i="8"/>
  <c r="J273" i="8" s="1"/>
  <c r="J187" i="10" s="1"/>
  <c r="U241" i="8"/>
  <c r="R241" i="8"/>
  <c r="Q241" i="8"/>
  <c r="P241" i="8"/>
  <c r="N241" i="8"/>
  <c r="M241" i="8"/>
  <c r="L241" i="8"/>
  <c r="K241" i="8"/>
  <c r="I241" i="8"/>
  <c r="H241" i="8"/>
  <c r="G241" i="8"/>
  <c r="F241" i="8"/>
  <c r="X240" i="8"/>
  <c r="U223" i="8"/>
  <c r="S223" i="8"/>
  <c r="R223" i="8"/>
  <c r="Q223" i="8"/>
  <c r="P223" i="8"/>
  <c r="M223" i="8"/>
  <c r="L223" i="8"/>
  <c r="K223" i="8"/>
  <c r="F223" i="8"/>
  <c r="U219" i="8"/>
  <c r="S219" i="8"/>
  <c r="R219" i="8"/>
  <c r="Q219" i="8"/>
  <c r="P219" i="8"/>
  <c r="N219" i="8"/>
  <c r="M219" i="8"/>
  <c r="L219" i="8"/>
  <c r="K219" i="8"/>
  <c r="I219" i="8"/>
  <c r="H219" i="8"/>
  <c r="G219" i="8"/>
  <c r="F219" i="8"/>
  <c r="T210" i="8"/>
  <c r="O210" i="8"/>
  <c r="J210" i="8"/>
  <c r="U209" i="8"/>
  <c r="S209" i="8"/>
  <c r="S111" i="8" s="1"/>
  <c r="N209" i="8"/>
  <c r="N111" i="8" s="1"/>
  <c r="M209" i="8"/>
  <c r="M111" i="8" s="1"/>
  <c r="L209" i="8"/>
  <c r="L111" i="8" s="1"/>
  <c r="K209" i="8"/>
  <c r="H209" i="8"/>
  <c r="H111" i="8" s="1"/>
  <c r="G209" i="8"/>
  <c r="G111" i="8" s="1"/>
  <c r="F209" i="8"/>
  <c r="F111" i="8" s="1"/>
  <c r="J208" i="8"/>
  <c r="U197" i="8"/>
  <c r="S197" i="8"/>
  <c r="R197" i="8"/>
  <c r="Q197" i="8"/>
  <c r="P197" i="8"/>
  <c r="N197" i="8"/>
  <c r="M197" i="8"/>
  <c r="L197" i="8"/>
  <c r="K197" i="8"/>
  <c r="I197" i="8"/>
  <c r="H197" i="8"/>
  <c r="G197" i="8"/>
  <c r="F197" i="8"/>
  <c r="S170" i="8"/>
  <c r="R170" i="8"/>
  <c r="Q170" i="8"/>
  <c r="Q189" i="8" s="1"/>
  <c r="P170" i="8"/>
  <c r="P189" i="8" s="1"/>
  <c r="M170" i="8"/>
  <c r="I170" i="8"/>
  <c r="H170" i="8"/>
  <c r="G170" i="8"/>
  <c r="C170" i="8"/>
  <c r="U162" i="10"/>
  <c r="S169" i="8"/>
  <c r="R169" i="8"/>
  <c r="R188" i="8" s="1"/>
  <c r="Q169" i="8"/>
  <c r="P169" i="8"/>
  <c r="P188" i="8" s="1"/>
  <c r="N169" i="8"/>
  <c r="M169" i="8"/>
  <c r="K169" i="8"/>
  <c r="I169" i="8"/>
  <c r="H169" i="8"/>
  <c r="G169" i="8"/>
  <c r="F169" i="8"/>
  <c r="C169" i="8"/>
  <c r="U168" i="8"/>
  <c r="S168" i="8"/>
  <c r="R168" i="8"/>
  <c r="Q168" i="8"/>
  <c r="P168" i="8"/>
  <c r="N168" i="8"/>
  <c r="M168" i="8"/>
  <c r="L168" i="8"/>
  <c r="K168" i="8"/>
  <c r="I168" i="8"/>
  <c r="H168" i="8"/>
  <c r="G168" i="8"/>
  <c r="F168" i="8"/>
  <c r="C168" i="8"/>
  <c r="U165" i="8"/>
  <c r="S165" i="8"/>
  <c r="R165" i="8"/>
  <c r="Q165" i="8"/>
  <c r="P165" i="8"/>
  <c r="N165" i="8"/>
  <c r="M165" i="8"/>
  <c r="L165" i="8"/>
  <c r="K165" i="8"/>
  <c r="I165" i="8"/>
  <c r="H165" i="8"/>
  <c r="G165" i="8"/>
  <c r="F165" i="8"/>
  <c r="C165" i="8"/>
  <c r="U164" i="8"/>
  <c r="S164" i="8"/>
  <c r="R164" i="8"/>
  <c r="Q164" i="8"/>
  <c r="P164" i="8"/>
  <c r="N164" i="8"/>
  <c r="M164" i="8"/>
  <c r="L164" i="8"/>
  <c r="K164" i="8"/>
  <c r="I164" i="8"/>
  <c r="H164" i="8"/>
  <c r="G164" i="8"/>
  <c r="F164" i="8"/>
  <c r="C164" i="8"/>
  <c r="U163" i="8"/>
  <c r="S163" i="8"/>
  <c r="R163" i="8"/>
  <c r="Q163" i="8"/>
  <c r="P163" i="8"/>
  <c r="N163" i="8"/>
  <c r="M163" i="8"/>
  <c r="L163" i="8"/>
  <c r="K163" i="8"/>
  <c r="I163" i="8"/>
  <c r="H163" i="8"/>
  <c r="G163" i="8"/>
  <c r="F163" i="8"/>
  <c r="C163" i="8"/>
  <c r="U152" i="8"/>
  <c r="S152" i="8"/>
  <c r="R152" i="8"/>
  <c r="Q152" i="8"/>
  <c r="P152" i="8"/>
  <c r="N152" i="8"/>
  <c r="O152" i="8" s="1"/>
  <c r="M152" i="8"/>
  <c r="L152" i="8"/>
  <c r="K152" i="8"/>
  <c r="I152" i="8"/>
  <c r="H152" i="8"/>
  <c r="G152" i="8"/>
  <c r="F152" i="8"/>
  <c r="T151" i="8"/>
  <c r="V64" i="3" s="1"/>
  <c r="O151" i="8"/>
  <c r="U64" i="3" s="1"/>
  <c r="J151" i="8"/>
  <c r="T64" i="3" s="1"/>
  <c r="T150" i="8"/>
  <c r="V63" i="3" s="1"/>
  <c r="O150" i="8"/>
  <c r="U63" i="3" s="1"/>
  <c r="J150" i="8"/>
  <c r="T63" i="3" s="1"/>
  <c r="T149" i="8"/>
  <c r="T257" i="8" s="1"/>
  <c r="O149" i="8"/>
  <c r="O257" i="8" s="1"/>
  <c r="P253" i="8" s="1"/>
  <c r="J149" i="8"/>
  <c r="J257" i="8" s="1"/>
  <c r="K253" i="8" s="1"/>
  <c r="O253" i="8" s="1"/>
  <c r="T148" i="8"/>
  <c r="T248" i="8" s="1"/>
  <c r="U245" i="8" s="1"/>
  <c r="O148" i="8"/>
  <c r="O248" i="8" s="1"/>
  <c r="P245" i="8" s="1"/>
  <c r="J148" i="8"/>
  <c r="J248" i="8" s="1"/>
  <c r="K245" i="8" s="1"/>
  <c r="O245" i="8" s="1"/>
  <c r="T144" i="8"/>
  <c r="J144" i="8"/>
  <c r="T143" i="8"/>
  <c r="T223" i="8" s="1"/>
  <c r="J143" i="8"/>
  <c r="J223" i="8" s="1"/>
  <c r="I223" i="8"/>
  <c r="H223" i="8"/>
  <c r="T142" i="8"/>
  <c r="T311" i="8" s="1"/>
  <c r="U308" i="8" s="1"/>
  <c r="M311" i="8"/>
  <c r="J142" i="8"/>
  <c r="T54" i="3" s="1"/>
  <c r="G311" i="8"/>
  <c r="H308" i="8" s="1"/>
  <c r="F311" i="8"/>
  <c r="F309" i="8" s="1"/>
  <c r="F174" i="10" s="1"/>
  <c r="J174" i="10" s="1"/>
  <c r="T141" i="8"/>
  <c r="T305" i="8" s="1"/>
  <c r="U303" i="8" s="1"/>
  <c r="O141" i="8"/>
  <c r="O305" i="8" s="1"/>
  <c r="P303" i="8" s="1"/>
  <c r="T303" i="8" s="1"/>
  <c r="T304" i="8" s="1"/>
  <c r="J141" i="8"/>
  <c r="T53" i="3" s="1"/>
  <c r="S138" i="8"/>
  <c r="T138" i="8" s="1"/>
  <c r="R138" i="8"/>
  <c r="Q138" i="8"/>
  <c r="P138" i="8"/>
  <c r="M138" i="8"/>
  <c r="K138" i="8"/>
  <c r="I138" i="8"/>
  <c r="H138" i="8"/>
  <c r="G138" i="8"/>
  <c r="T137" i="8"/>
  <c r="T170" i="8" s="1"/>
  <c r="O137" i="8"/>
  <c r="O170" i="8" s="1"/>
  <c r="L170" i="8"/>
  <c r="K170" i="8"/>
  <c r="J137" i="8"/>
  <c r="T50" i="3" s="1"/>
  <c r="T136" i="8"/>
  <c r="T169" i="8" s="1"/>
  <c r="O136" i="8"/>
  <c r="O169" i="8" s="1"/>
  <c r="J136" i="8"/>
  <c r="J169" i="8" s="1"/>
  <c r="T135" i="8"/>
  <c r="T168" i="8" s="1"/>
  <c r="O135" i="8"/>
  <c r="O168" i="8" s="1"/>
  <c r="J135" i="8"/>
  <c r="J168" i="8" s="1"/>
  <c r="S131" i="8"/>
  <c r="T131" i="8" s="1"/>
  <c r="R131" i="8"/>
  <c r="Q131" i="8"/>
  <c r="P131" i="8"/>
  <c r="N131" i="8"/>
  <c r="O131" i="8" s="1"/>
  <c r="L131" i="8"/>
  <c r="K131" i="8"/>
  <c r="U43" i="3"/>
  <c r="M131" i="8"/>
  <c r="T130" i="8"/>
  <c r="V42" i="3" s="1"/>
  <c r="O130" i="8"/>
  <c r="O219" i="8" s="1"/>
  <c r="J130" i="8"/>
  <c r="J219" i="8" s="1"/>
  <c r="T129" i="8"/>
  <c r="T211" i="8" s="1"/>
  <c r="U208" i="8" s="1"/>
  <c r="O129" i="8"/>
  <c r="O211" i="8" s="1"/>
  <c r="P208" i="8" s="1"/>
  <c r="T208" i="8" s="1"/>
  <c r="J129" i="8"/>
  <c r="J211" i="8" s="1"/>
  <c r="T128" i="8"/>
  <c r="T197" i="8" s="1"/>
  <c r="O128" i="8"/>
  <c r="O197" i="8" s="1"/>
  <c r="J128" i="8"/>
  <c r="J197" i="8" s="1"/>
  <c r="S126" i="8"/>
  <c r="T126" i="8" s="1"/>
  <c r="R126" i="8"/>
  <c r="Q126" i="8"/>
  <c r="P126" i="8"/>
  <c r="K126" i="8"/>
  <c r="I126" i="8"/>
  <c r="J126" i="8" s="1"/>
  <c r="H126" i="8"/>
  <c r="T125" i="8"/>
  <c r="V37" i="3" s="1"/>
  <c r="O125" i="8"/>
  <c r="O165" i="8" s="1"/>
  <c r="J125" i="8"/>
  <c r="J165" i="8" s="1"/>
  <c r="T124" i="8"/>
  <c r="V36" i="3" s="1"/>
  <c r="O124" i="8"/>
  <c r="U36" i="3" s="1"/>
  <c r="J124" i="8"/>
  <c r="J164" i="8" s="1"/>
  <c r="T123" i="8"/>
  <c r="T163" i="8" s="1"/>
  <c r="O123" i="8"/>
  <c r="O163" i="8" s="1"/>
  <c r="J123" i="8"/>
  <c r="J163" i="8" s="1"/>
  <c r="U126" i="8"/>
  <c r="T122" i="8"/>
  <c r="V34" i="3" s="1"/>
  <c r="N126" i="8"/>
  <c r="O126" i="8" s="1"/>
  <c r="M126" i="8"/>
  <c r="L126" i="8"/>
  <c r="J122" i="8"/>
  <c r="T34" i="3" s="1"/>
  <c r="G126" i="8"/>
  <c r="F126" i="8"/>
  <c r="F113" i="8"/>
  <c r="F112" i="8"/>
  <c r="AD102" i="8"/>
  <c r="Y102" i="8"/>
  <c r="AD101" i="8"/>
  <c r="Y101" i="8"/>
  <c r="AG100" i="8"/>
  <c r="AF100" i="8"/>
  <c r="AE100" i="8"/>
  <c r="AC100" i="8"/>
  <c r="AB100" i="8"/>
  <c r="AA100" i="8"/>
  <c r="Z100" i="8"/>
  <c r="X100" i="8"/>
  <c r="AG86" i="8"/>
  <c r="AF86" i="8"/>
  <c r="AE86" i="8"/>
  <c r="AC86" i="8"/>
  <c r="AB86" i="8"/>
  <c r="AA86" i="8"/>
  <c r="Z86" i="8"/>
  <c r="X86" i="8"/>
  <c r="U60" i="8"/>
  <c r="S60" i="8"/>
  <c r="N60" i="8"/>
  <c r="M60" i="8"/>
  <c r="L60" i="8"/>
  <c r="K60" i="8"/>
  <c r="H60" i="8"/>
  <c r="G60" i="8"/>
  <c r="F60" i="8"/>
  <c r="T50" i="8"/>
  <c r="O50" i="8"/>
  <c r="J50" i="8"/>
  <c r="AD49" i="8"/>
  <c r="Y49" i="8"/>
  <c r="T49" i="8"/>
  <c r="O49" i="8"/>
  <c r="J49" i="8"/>
  <c r="AD48" i="8"/>
  <c r="Y48" i="8"/>
  <c r="T48" i="8"/>
  <c r="O48" i="8"/>
  <c r="J48" i="8"/>
  <c r="AD47" i="8"/>
  <c r="Y47" i="8"/>
  <c r="T47" i="8"/>
  <c r="O47" i="8"/>
  <c r="J47" i="8"/>
  <c r="T44" i="8"/>
  <c r="I34" i="14" s="1"/>
  <c r="O44" i="8"/>
  <c r="H34" i="14" s="1"/>
  <c r="T41" i="8"/>
  <c r="O41" i="8"/>
  <c r="J41" i="8"/>
  <c r="R41" i="14"/>
  <c r="Q41" i="14"/>
  <c r="P41" i="14"/>
  <c r="M41" i="14"/>
  <c r="T40" i="8"/>
  <c r="O40" i="8"/>
  <c r="J40" i="8"/>
  <c r="T39" i="8"/>
  <c r="V85" i="3" s="1"/>
  <c r="F60" i="4" s="1"/>
  <c r="O39" i="8"/>
  <c r="U85" i="3" s="1"/>
  <c r="E60" i="4" s="1"/>
  <c r="J39" i="8"/>
  <c r="T85" i="3" s="1"/>
  <c r="D60" i="4" s="1"/>
  <c r="T38" i="8"/>
  <c r="O38" i="8"/>
  <c r="J38" i="8"/>
  <c r="T35" i="8"/>
  <c r="O35" i="8"/>
  <c r="J35" i="8"/>
  <c r="P209" i="8"/>
  <c r="O34" i="8"/>
  <c r="T33" i="8"/>
  <c r="O33" i="8"/>
  <c r="J33" i="8"/>
  <c r="O32" i="8"/>
  <c r="O29" i="8"/>
  <c r="AD26" i="8"/>
  <c r="Y26" i="8"/>
  <c r="T26" i="8"/>
  <c r="O26" i="8"/>
  <c r="J26" i="8"/>
  <c r="T24" i="8"/>
  <c r="O24" i="8" s="1"/>
  <c r="N24" i="8" s="1"/>
  <c r="N25" i="8" s="1"/>
  <c r="N28" i="7" s="1"/>
  <c r="C20" i="8"/>
  <c r="C19" i="8"/>
  <c r="C18" i="8"/>
  <c r="C17" i="8"/>
  <c r="C16" i="8"/>
  <c r="C15" i="8"/>
  <c r="C14" i="8"/>
  <c r="C13" i="8"/>
  <c r="C12" i="8"/>
  <c r="C11" i="8"/>
  <c r="C2" i="8"/>
  <c r="C1" i="8"/>
  <c r="AG232" i="7"/>
  <c r="AF232" i="7"/>
  <c r="AE232" i="7"/>
  <c r="AC232" i="7"/>
  <c r="AB232" i="7"/>
  <c r="AA232" i="7"/>
  <c r="Z232" i="7"/>
  <c r="X232" i="7"/>
  <c r="AG228" i="7"/>
  <c r="AF228" i="7"/>
  <c r="AE228" i="7"/>
  <c r="AC228" i="7"/>
  <c r="AB228" i="7"/>
  <c r="AA228" i="7"/>
  <c r="Z228" i="7"/>
  <c r="X228" i="7"/>
  <c r="AG220" i="7"/>
  <c r="AF220" i="7"/>
  <c r="AE220" i="7"/>
  <c r="AC220" i="7"/>
  <c r="AB220" i="7"/>
  <c r="AA220" i="7"/>
  <c r="Z220" i="7"/>
  <c r="X220" i="7"/>
  <c r="AG216" i="7"/>
  <c r="AF216" i="7"/>
  <c r="AE216" i="7"/>
  <c r="AC216" i="7"/>
  <c r="AB216" i="7"/>
  <c r="AA216" i="7"/>
  <c r="Z216" i="7"/>
  <c r="X216" i="7"/>
  <c r="AG208" i="7"/>
  <c r="AF208" i="7"/>
  <c r="AE208" i="7"/>
  <c r="AC208" i="7"/>
  <c r="AB208" i="7"/>
  <c r="AA208" i="7"/>
  <c r="Z208" i="7"/>
  <c r="X208" i="7"/>
  <c r="AG204" i="7"/>
  <c r="AF204" i="7"/>
  <c r="AE204" i="7"/>
  <c r="AC204" i="7"/>
  <c r="AB204" i="7"/>
  <c r="AA204" i="7"/>
  <c r="Z204" i="7"/>
  <c r="X204" i="7"/>
  <c r="U201" i="7"/>
  <c r="T201" i="7"/>
  <c r="S201" i="7"/>
  <c r="S203" i="7" s="1"/>
  <c r="S208" i="7" s="1"/>
  <c r="R201" i="7"/>
  <c r="R203" i="7" s="1"/>
  <c r="R208" i="7" s="1"/>
  <c r="Q201" i="7"/>
  <c r="Q203" i="7" s="1"/>
  <c r="P201" i="7"/>
  <c r="P203" i="7" s="1"/>
  <c r="O201" i="7"/>
  <c r="N201" i="7"/>
  <c r="N203" i="7" s="1"/>
  <c r="M201" i="7"/>
  <c r="M203" i="7" s="1"/>
  <c r="M208" i="7" s="1"/>
  <c r="L201" i="7"/>
  <c r="L203" i="7" s="1"/>
  <c r="L208" i="7" s="1"/>
  <c r="K201" i="7"/>
  <c r="K203" i="7" s="1"/>
  <c r="J201" i="7"/>
  <c r="I201" i="7"/>
  <c r="I203" i="7" s="1"/>
  <c r="I208" i="7" s="1"/>
  <c r="H201" i="7"/>
  <c r="H203" i="7" s="1"/>
  <c r="G201" i="7"/>
  <c r="G203" i="7" s="1"/>
  <c r="F201" i="7"/>
  <c r="F203" i="7" s="1"/>
  <c r="F208" i="7" s="1"/>
  <c r="AG196" i="7"/>
  <c r="AF196" i="7"/>
  <c r="AE196" i="7"/>
  <c r="AC196" i="7"/>
  <c r="AB196" i="7"/>
  <c r="AA196" i="7"/>
  <c r="Z196" i="7"/>
  <c r="X196" i="7"/>
  <c r="AG192" i="7"/>
  <c r="AF192" i="7"/>
  <c r="AE192" i="7"/>
  <c r="AC192" i="7"/>
  <c r="AB192" i="7"/>
  <c r="AA192" i="7"/>
  <c r="Z192" i="7"/>
  <c r="X192" i="7"/>
  <c r="U189" i="7"/>
  <c r="T189" i="7"/>
  <c r="S189" i="7"/>
  <c r="S191" i="7" s="1"/>
  <c r="S196" i="7" s="1"/>
  <c r="R189" i="7"/>
  <c r="R191" i="7" s="1"/>
  <c r="R196" i="7" s="1"/>
  <c r="Q189" i="7"/>
  <c r="Q191" i="7" s="1"/>
  <c r="Q196" i="7" s="1"/>
  <c r="P189" i="7"/>
  <c r="P191" i="7" s="1"/>
  <c r="O189" i="7"/>
  <c r="N189" i="7"/>
  <c r="N191" i="7" s="1"/>
  <c r="M189" i="7"/>
  <c r="M191" i="7" s="1"/>
  <c r="L189" i="7"/>
  <c r="L191" i="7" s="1"/>
  <c r="L196" i="7" s="1"/>
  <c r="K189" i="7"/>
  <c r="K191" i="7" s="1"/>
  <c r="K196" i="7" s="1"/>
  <c r="J189" i="7"/>
  <c r="I189" i="7"/>
  <c r="I191" i="7" s="1"/>
  <c r="H189" i="7"/>
  <c r="H191" i="7" s="1"/>
  <c r="H196" i="7" s="1"/>
  <c r="G189" i="7"/>
  <c r="G191" i="7" s="1"/>
  <c r="F189" i="7"/>
  <c r="F191" i="7" s="1"/>
  <c r="AG184" i="7"/>
  <c r="AF184" i="7"/>
  <c r="AE184" i="7"/>
  <c r="AC184" i="7"/>
  <c r="AB184" i="7"/>
  <c r="AA184" i="7"/>
  <c r="Z184" i="7"/>
  <c r="X184" i="7"/>
  <c r="AG180" i="7"/>
  <c r="AF180" i="7"/>
  <c r="AE180" i="7"/>
  <c r="AC180" i="7"/>
  <c r="AB180" i="7"/>
  <c r="AA180" i="7"/>
  <c r="Z180" i="7"/>
  <c r="X180" i="7"/>
  <c r="L178" i="7"/>
  <c r="K178" i="7"/>
  <c r="I178" i="7"/>
  <c r="H178" i="7"/>
  <c r="G178" i="7"/>
  <c r="F178" i="7"/>
  <c r="AG172" i="7"/>
  <c r="AF172" i="7"/>
  <c r="AE172" i="7"/>
  <c r="AC172" i="7"/>
  <c r="AB172" i="7"/>
  <c r="AA172" i="7"/>
  <c r="Z172" i="7"/>
  <c r="X172" i="7"/>
  <c r="AG168" i="7"/>
  <c r="AF168" i="7"/>
  <c r="AE168" i="7"/>
  <c r="AC168" i="7"/>
  <c r="AB168" i="7"/>
  <c r="AA168" i="7"/>
  <c r="Z168" i="7"/>
  <c r="X168" i="7"/>
  <c r="L166" i="7"/>
  <c r="K166" i="7"/>
  <c r="I166" i="7"/>
  <c r="H166" i="7"/>
  <c r="G166" i="7"/>
  <c r="F166" i="7"/>
  <c r="AG158" i="7"/>
  <c r="AF158" i="7"/>
  <c r="AE158" i="7"/>
  <c r="AE157" i="7" s="1"/>
  <c r="AC158" i="7"/>
  <c r="AB158" i="7"/>
  <c r="AA158" i="7"/>
  <c r="Z158" i="7"/>
  <c r="X158" i="7"/>
  <c r="U158" i="7"/>
  <c r="T158" i="7"/>
  <c r="S158" i="7"/>
  <c r="R158" i="7"/>
  <c r="Q158" i="7"/>
  <c r="P158" i="7"/>
  <c r="O158" i="7"/>
  <c r="N158" i="7"/>
  <c r="M158" i="7"/>
  <c r="L158" i="7"/>
  <c r="K158" i="7"/>
  <c r="I158" i="7"/>
  <c r="H158" i="7"/>
  <c r="G158" i="7"/>
  <c r="AG153" i="7"/>
  <c r="AF153" i="7"/>
  <c r="AE153" i="7"/>
  <c r="AC153" i="7"/>
  <c r="AB153" i="7"/>
  <c r="AA153" i="7"/>
  <c r="Z153" i="7"/>
  <c r="X153" i="7"/>
  <c r="U153" i="7"/>
  <c r="T153" i="7"/>
  <c r="S153" i="7"/>
  <c r="R153" i="7"/>
  <c r="Q153" i="7"/>
  <c r="P153" i="7"/>
  <c r="O153" i="7"/>
  <c r="N153" i="7"/>
  <c r="M153" i="7"/>
  <c r="L153" i="7"/>
  <c r="K153" i="7"/>
  <c r="I153" i="7"/>
  <c r="H153" i="7"/>
  <c r="G153" i="7"/>
  <c r="AG146" i="7"/>
  <c r="AF146" i="7"/>
  <c r="AE146" i="7"/>
  <c r="AC146" i="7"/>
  <c r="AB146" i="7"/>
  <c r="AA146" i="7"/>
  <c r="Z146" i="7"/>
  <c r="X146" i="7"/>
  <c r="AG141" i="7"/>
  <c r="AF141" i="7"/>
  <c r="AE141" i="7"/>
  <c r="AC141" i="7"/>
  <c r="AB141" i="7"/>
  <c r="AA141" i="7"/>
  <c r="Z141" i="7"/>
  <c r="X141" i="7"/>
  <c r="U141" i="7"/>
  <c r="S141" i="7"/>
  <c r="R141" i="7"/>
  <c r="Q141" i="7"/>
  <c r="P141" i="7"/>
  <c r="N141" i="7"/>
  <c r="M141" i="7"/>
  <c r="L141" i="7"/>
  <c r="K141" i="7"/>
  <c r="I141" i="7"/>
  <c r="H141" i="7"/>
  <c r="G141" i="7"/>
  <c r="T140" i="7"/>
  <c r="O140" i="7"/>
  <c r="J140" i="7"/>
  <c r="AG134" i="7"/>
  <c r="AF134" i="7"/>
  <c r="AE134" i="7"/>
  <c r="AC134" i="7"/>
  <c r="AB134" i="7"/>
  <c r="AA134" i="7"/>
  <c r="Z134" i="7"/>
  <c r="X134" i="7"/>
  <c r="AG129" i="7"/>
  <c r="AF129" i="7"/>
  <c r="AE129" i="7"/>
  <c r="AC129" i="7"/>
  <c r="AB129" i="7"/>
  <c r="AA129" i="7"/>
  <c r="Z129" i="7"/>
  <c r="X129" i="7"/>
  <c r="U129" i="7"/>
  <c r="S129" i="7"/>
  <c r="R129" i="7"/>
  <c r="Q129" i="7"/>
  <c r="P129" i="7"/>
  <c r="N129" i="7"/>
  <c r="M129" i="7"/>
  <c r="L129" i="7"/>
  <c r="K129" i="7"/>
  <c r="I129" i="7"/>
  <c r="H129" i="7"/>
  <c r="G129" i="7"/>
  <c r="T128" i="7"/>
  <c r="O128" i="7"/>
  <c r="J128" i="7"/>
  <c r="AG122" i="7"/>
  <c r="AF122" i="7"/>
  <c r="AE122" i="7"/>
  <c r="AC122" i="7"/>
  <c r="AB122" i="7"/>
  <c r="AA122" i="7"/>
  <c r="Z122" i="7"/>
  <c r="X122" i="7"/>
  <c r="AG117" i="7"/>
  <c r="AF117" i="7"/>
  <c r="AE117" i="7"/>
  <c r="AC117" i="7"/>
  <c r="AB117" i="7"/>
  <c r="AA117" i="7"/>
  <c r="Z117" i="7"/>
  <c r="X117" i="7"/>
  <c r="U117" i="7"/>
  <c r="S117" i="7"/>
  <c r="R117" i="7"/>
  <c r="Q117" i="7"/>
  <c r="P117" i="7"/>
  <c r="N117" i="7"/>
  <c r="M117" i="7"/>
  <c r="L117" i="7"/>
  <c r="K117" i="7"/>
  <c r="I117" i="7"/>
  <c r="H117" i="7"/>
  <c r="G117" i="7"/>
  <c r="T116" i="7"/>
  <c r="O116" i="7"/>
  <c r="J116" i="7"/>
  <c r="AG110" i="7"/>
  <c r="AF110" i="7"/>
  <c r="AE110" i="7"/>
  <c r="AC110" i="7"/>
  <c r="AB110" i="7"/>
  <c r="AA110" i="7"/>
  <c r="Z110" i="7"/>
  <c r="X110" i="7"/>
  <c r="AG105" i="7"/>
  <c r="AF105" i="7"/>
  <c r="AE105" i="7"/>
  <c r="AC105" i="7"/>
  <c r="AB105" i="7"/>
  <c r="AA105" i="7"/>
  <c r="Z105" i="7"/>
  <c r="X105" i="7"/>
  <c r="U105" i="7"/>
  <c r="S105" i="7"/>
  <c r="R105" i="7"/>
  <c r="Q105" i="7"/>
  <c r="P105" i="7"/>
  <c r="N105" i="7"/>
  <c r="M105" i="7"/>
  <c r="L105" i="7"/>
  <c r="K105" i="7"/>
  <c r="I105" i="7"/>
  <c r="H105" i="7"/>
  <c r="G105" i="7"/>
  <c r="T104" i="7"/>
  <c r="O104" i="7"/>
  <c r="J104" i="7"/>
  <c r="AG98" i="7"/>
  <c r="AF98" i="7"/>
  <c r="AE98" i="7"/>
  <c r="AC98" i="7"/>
  <c r="AB98" i="7"/>
  <c r="AA98" i="7"/>
  <c r="Z98" i="7"/>
  <c r="X98" i="7"/>
  <c r="AG93" i="7"/>
  <c r="AF93" i="7"/>
  <c r="AE93" i="7"/>
  <c r="AC93" i="7"/>
  <c r="AB93" i="7"/>
  <c r="AA93" i="7"/>
  <c r="Z93" i="7"/>
  <c r="X93" i="7"/>
  <c r="U93" i="7"/>
  <c r="S93" i="7"/>
  <c r="R93" i="7"/>
  <c r="Q93" i="7"/>
  <c r="P93" i="7"/>
  <c r="N93" i="7"/>
  <c r="M93" i="7"/>
  <c r="L93" i="7"/>
  <c r="K93" i="7"/>
  <c r="I93" i="7"/>
  <c r="H93" i="7"/>
  <c r="G93" i="7"/>
  <c r="T92" i="7"/>
  <c r="O92" i="7"/>
  <c r="J92" i="7"/>
  <c r="J84" i="7"/>
  <c r="C84" i="7"/>
  <c r="AG78" i="7"/>
  <c r="AF78" i="7"/>
  <c r="AE78" i="7"/>
  <c r="AC78" i="7"/>
  <c r="AB78" i="7"/>
  <c r="AA78" i="7"/>
  <c r="Z78" i="7"/>
  <c r="X78" i="7"/>
  <c r="J78" i="7"/>
  <c r="C78" i="7"/>
  <c r="AG72" i="7"/>
  <c r="AF72" i="7"/>
  <c r="AE72" i="7"/>
  <c r="AC72" i="7"/>
  <c r="AB72" i="7"/>
  <c r="AA72" i="7"/>
  <c r="Z72" i="7"/>
  <c r="X72" i="7"/>
  <c r="J72" i="7"/>
  <c r="C72" i="7"/>
  <c r="AG66" i="7"/>
  <c r="AF66" i="7"/>
  <c r="AE66" i="7"/>
  <c r="AC66" i="7"/>
  <c r="AB66" i="7"/>
  <c r="AA66" i="7"/>
  <c r="Z66" i="7"/>
  <c r="X66" i="7"/>
  <c r="J66" i="7"/>
  <c r="C66" i="7"/>
  <c r="AG60" i="7"/>
  <c r="AF60" i="7"/>
  <c r="AE60" i="7"/>
  <c r="AC60" i="7"/>
  <c r="AB60" i="7"/>
  <c r="AA60" i="7"/>
  <c r="Z60" i="7"/>
  <c r="X60" i="7"/>
  <c r="J60" i="7"/>
  <c r="C60" i="7"/>
  <c r="AG54" i="7"/>
  <c r="AF54" i="7"/>
  <c r="AE54" i="7"/>
  <c r="AC54" i="7"/>
  <c r="AB54" i="7"/>
  <c r="AA54" i="7"/>
  <c r="Z54" i="7"/>
  <c r="X54" i="7"/>
  <c r="J54" i="7"/>
  <c r="C54" i="7"/>
  <c r="T48" i="7"/>
  <c r="T84" i="7" s="1"/>
  <c r="O48" i="7"/>
  <c r="O84" i="7" s="1"/>
  <c r="U47" i="7"/>
  <c r="U83" i="7" s="1"/>
  <c r="S47" i="7"/>
  <c r="S225" i="7" s="1"/>
  <c r="S227" i="7" s="1"/>
  <c r="R47" i="7"/>
  <c r="Q47" i="7"/>
  <c r="P47" i="7"/>
  <c r="N47" i="7"/>
  <c r="N83" i="7" s="1"/>
  <c r="M47" i="7"/>
  <c r="M83" i="7" s="1"/>
  <c r="L47" i="7"/>
  <c r="L83" i="7" s="1"/>
  <c r="K47" i="7"/>
  <c r="K151" i="7" s="1"/>
  <c r="I47" i="7"/>
  <c r="H47" i="7"/>
  <c r="G47" i="7"/>
  <c r="G83" i="7" s="1"/>
  <c r="F47" i="7"/>
  <c r="T45" i="7"/>
  <c r="T78" i="7" s="1"/>
  <c r="O45" i="7"/>
  <c r="O78" i="7" s="1"/>
  <c r="U44" i="7"/>
  <c r="U77" i="7" s="1"/>
  <c r="S44" i="7"/>
  <c r="S213" i="7" s="1"/>
  <c r="S215" i="7" s="1"/>
  <c r="R44" i="7"/>
  <c r="R213" i="7" s="1"/>
  <c r="R215" i="7" s="1"/>
  <c r="R220" i="7" s="1"/>
  <c r="Q44" i="7"/>
  <c r="Q139" i="7" s="1"/>
  <c r="Q145" i="7" s="1"/>
  <c r="P44" i="7"/>
  <c r="P139" i="7" s="1"/>
  <c r="P145" i="7" s="1"/>
  <c r="N44" i="7"/>
  <c r="N139" i="7" s="1"/>
  <c r="N145" i="7" s="1"/>
  <c r="M44" i="7"/>
  <c r="M139" i="7" s="1"/>
  <c r="M145" i="7" s="1"/>
  <c r="L44" i="7"/>
  <c r="L139" i="7" s="1"/>
  <c r="L145" i="7" s="1"/>
  <c r="K44" i="7"/>
  <c r="K77" i="7" s="1"/>
  <c r="I44" i="7"/>
  <c r="H44" i="7"/>
  <c r="G44" i="7"/>
  <c r="G139" i="7" s="1"/>
  <c r="G145" i="7" s="1"/>
  <c r="F44" i="7"/>
  <c r="F213" i="7" s="1"/>
  <c r="F215" i="7" s="1"/>
  <c r="F220" i="7" s="1"/>
  <c r="T42" i="7"/>
  <c r="T72" i="7" s="1"/>
  <c r="O42" i="7"/>
  <c r="O72" i="7" s="1"/>
  <c r="U41" i="7"/>
  <c r="U71" i="7" s="1"/>
  <c r="S41" i="7"/>
  <c r="R41" i="7"/>
  <c r="R71" i="7" s="1"/>
  <c r="Q41" i="7"/>
  <c r="Q71" i="7" s="1"/>
  <c r="P41" i="7"/>
  <c r="P71" i="7" s="1"/>
  <c r="N41" i="7"/>
  <c r="M41" i="7"/>
  <c r="M127" i="7" s="1"/>
  <c r="M133" i="7" s="1"/>
  <c r="L41" i="7"/>
  <c r="L127" i="7" s="1"/>
  <c r="L133" i="7" s="1"/>
  <c r="K41" i="7"/>
  <c r="I41" i="7"/>
  <c r="H41" i="7"/>
  <c r="G41" i="7"/>
  <c r="F41" i="7"/>
  <c r="F127" i="7" s="1"/>
  <c r="F133" i="7" s="1"/>
  <c r="T39" i="7"/>
  <c r="T66" i="7" s="1"/>
  <c r="O39" i="7"/>
  <c r="O66" i="7" s="1"/>
  <c r="U38" i="7"/>
  <c r="U65" i="7" s="1"/>
  <c r="S38" i="7"/>
  <c r="R38" i="7"/>
  <c r="R65" i="7" s="1"/>
  <c r="Q38" i="7"/>
  <c r="Q65" i="7" s="1"/>
  <c r="P38" i="7"/>
  <c r="P65" i="7" s="1"/>
  <c r="N38" i="7"/>
  <c r="M38" i="7"/>
  <c r="L38" i="7"/>
  <c r="K38" i="7"/>
  <c r="I38" i="7"/>
  <c r="I115" i="7" s="1"/>
  <c r="I121" i="7" s="1"/>
  <c r="H38" i="7"/>
  <c r="H115" i="7" s="1"/>
  <c r="H121" i="7" s="1"/>
  <c r="G115" i="7"/>
  <c r="G121" i="7" s="1"/>
  <c r="F38" i="7"/>
  <c r="F115" i="7" s="1"/>
  <c r="F121" i="7" s="1"/>
  <c r="U35" i="7"/>
  <c r="U59" i="7" s="1"/>
  <c r="S35" i="7"/>
  <c r="S177" i="7" s="1"/>
  <c r="S179" i="7" s="1"/>
  <c r="R35" i="7"/>
  <c r="R177" i="7" s="1"/>
  <c r="R179" i="7" s="1"/>
  <c r="Q35" i="7"/>
  <c r="Q59" i="7" s="1"/>
  <c r="P35" i="7"/>
  <c r="P59" i="7" s="1"/>
  <c r="N35" i="7"/>
  <c r="N103" i="7" s="1"/>
  <c r="N109" i="7" s="1"/>
  <c r="M35" i="7"/>
  <c r="M59" i="7" s="1"/>
  <c r="L35" i="7"/>
  <c r="L59" i="7" s="1"/>
  <c r="K35" i="7"/>
  <c r="K103" i="7" s="1"/>
  <c r="K109" i="7" s="1"/>
  <c r="I35" i="7"/>
  <c r="H35" i="7"/>
  <c r="G35" i="7"/>
  <c r="F35" i="7"/>
  <c r="F103" i="7" s="1"/>
  <c r="F109" i="7" s="1"/>
  <c r="C35" i="7"/>
  <c r="C33" i="7"/>
  <c r="U32" i="7"/>
  <c r="U53" i="7" s="1"/>
  <c r="S32" i="7"/>
  <c r="S53" i="7" s="1"/>
  <c r="R32" i="7"/>
  <c r="R53" i="7" s="1"/>
  <c r="Q32" i="7"/>
  <c r="Q91" i="7" s="1"/>
  <c r="Q97" i="7" s="1"/>
  <c r="P32" i="7"/>
  <c r="P165" i="7" s="1"/>
  <c r="N32" i="7"/>
  <c r="M32" i="7"/>
  <c r="L32" i="7"/>
  <c r="L91" i="7" s="1"/>
  <c r="L97" i="7" s="1"/>
  <c r="K32" i="7"/>
  <c r="K91" i="7" s="1"/>
  <c r="K97" i="7" s="1"/>
  <c r="H32" i="7"/>
  <c r="H91" i="7" s="1"/>
  <c r="H97" i="7" s="1"/>
  <c r="G32" i="7"/>
  <c r="G91" i="7" s="1"/>
  <c r="G97" i="7" s="1"/>
  <c r="F32" i="7"/>
  <c r="F91" i="7" s="1"/>
  <c r="F97" i="7" s="1"/>
  <c r="C31" i="7"/>
  <c r="C19" i="7"/>
  <c r="C17" i="7"/>
  <c r="C15" i="7"/>
  <c r="C13" i="7"/>
  <c r="C11" i="7"/>
  <c r="C9" i="7"/>
  <c r="C6" i="7"/>
  <c r="C2" i="7"/>
  <c r="C1" i="7"/>
  <c r="D21" i="6"/>
  <c r="D20" i="6"/>
  <c r="D19" i="6"/>
  <c r="D18" i="6"/>
  <c r="D17" i="6"/>
  <c r="D9" i="6"/>
  <c r="D8" i="6"/>
  <c r="C1" i="6"/>
  <c r="V18" i="5"/>
  <c r="T18" i="5"/>
  <c r="V16" i="5"/>
  <c r="T16" i="5"/>
  <c r="V15" i="5"/>
  <c r="U15" i="5" s="1"/>
  <c r="T15" i="5"/>
  <c r="V14" i="5"/>
  <c r="T14" i="5"/>
  <c r="V13" i="5"/>
  <c r="T13" i="5"/>
  <c r="V11" i="5"/>
  <c r="T11" i="5"/>
  <c r="V10" i="5"/>
  <c r="T10" i="5"/>
  <c r="V9" i="5"/>
  <c r="T9" i="5"/>
  <c r="V8" i="5"/>
  <c r="T8" i="5"/>
  <c r="V6" i="5"/>
  <c r="U6" i="5" s="1"/>
  <c r="T6" i="5"/>
  <c r="V5" i="5"/>
  <c r="T5" i="5"/>
  <c r="C2" i="5"/>
  <c r="C1" i="5"/>
  <c r="B71" i="4"/>
  <c r="B67" i="4"/>
  <c r="B66" i="4"/>
  <c r="B59" i="4"/>
  <c r="B56" i="4"/>
  <c r="B55" i="4"/>
  <c r="B54" i="4"/>
  <c r="B52" i="4"/>
  <c r="B51" i="4"/>
  <c r="B50" i="4"/>
  <c r="B49" i="4"/>
  <c r="B47" i="4"/>
  <c r="B46" i="4"/>
  <c r="B45" i="4"/>
  <c r="B44" i="4"/>
  <c r="B37" i="4"/>
  <c r="B34" i="4"/>
  <c r="B33" i="4"/>
  <c r="B30" i="4"/>
  <c r="B29" i="4"/>
  <c r="B26" i="4"/>
  <c r="B25" i="4"/>
  <c r="S24" i="4"/>
  <c r="B22" i="4"/>
  <c r="I16" i="4"/>
  <c r="I15" i="4"/>
  <c r="I14" i="4"/>
  <c r="I13" i="4"/>
  <c r="I12" i="4"/>
  <c r="I10" i="4"/>
  <c r="I9" i="4"/>
  <c r="I8" i="4"/>
  <c r="I7" i="4"/>
  <c r="B4" i="4"/>
  <c r="O3" i="4"/>
  <c r="O2" i="4"/>
  <c r="B2" i="4"/>
  <c r="S30" i="4" s="1"/>
  <c r="N1" i="4"/>
  <c r="S1" i="4" s="1"/>
  <c r="B1" i="4"/>
  <c r="C100" i="3"/>
  <c r="B70" i="4" s="1"/>
  <c r="C99" i="3"/>
  <c r="B69" i="4" s="1"/>
  <c r="C98" i="3"/>
  <c r="B68" i="4" s="1"/>
  <c r="K85" i="3"/>
  <c r="J85" i="3"/>
  <c r="I85" i="3"/>
  <c r="H85" i="3"/>
  <c r="G85" i="3"/>
  <c r="S82" i="3"/>
  <c r="G72" i="3"/>
  <c r="C70" i="3"/>
  <c r="C68" i="3"/>
  <c r="C67" i="3"/>
  <c r="C65" i="3"/>
  <c r="K64" i="3"/>
  <c r="J64" i="3"/>
  <c r="I64" i="3"/>
  <c r="H64" i="3"/>
  <c r="G64" i="3"/>
  <c r="C64" i="3"/>
  <c r="K63" i="3"/>
  <c r="J63" i="3"/>
  <c r="I63" i="3"/>
  <c r="H63" i="3"/>
  <c r="G63" i="3"/>
  <c r="C63" i="3"/>
  <c r="K62" i="3"/>
  <c r="J62" i="3"/>
  <c r="I62" i="3"/>
  <c r="H62" i="3"/>
  <c r="G62" i="3"/>
  <c r="C62" i="3"/>
  <c r="K61" i="3"/>
  <c r="J61" i="3"/>
  <c r="I61" i="3"/>
  <c r="H61" i="3"/>
  <c r="G61" i="3"/>
  <c r="C61" i="3"/>
  <c r="C59" i="3"/>
  <c r="C57" i="3"/>
  <c r="K56" i="3"/>
  <c r="J56" i="3"/>
  <c r="I56" i="3"/>
  <c r="H56" i="3"/>
  <c r="G56" i="3"/>
  <c r="C56" i="3"/>
  <c r="K55" i="3"/>
  <c r="J55" i="3"/>
  <c r="I55" i="3"/>
  <c r="H55" i="3"/>
  <c r="G55" i="3"/>
  <c r="C55" i="3"/>
  <c r="K54" i="3"/>
  <c r="J54" i="3"/>
  <c r="I54" i="3"/>
  <c r="H54" i="3"/>
  <c r="G54" i="3"/>
  <c r="C54" i="3"/>
  <c r="K53" i="3"/>
  <c r="J53" i="3"/>
  <c r="I53" i="3"/>
  <c r="H53" i="3"/>
  <c r="G53" i="3"/>
  <c r="C53" i="3"/>
  <c r="C51" i="3"/>
  <c r="K50" i="3"/>
  <c r="J50" i="3"/>
  <c r="I50" i="3"/>
  <c r="H50" i="3"/>
  <c r="G50" i="3"/>
  <c r="C50" i="3"/>
  <c r="K49" i="3"/>
  <c r="J49" i="3"/>
  <c r="I49" i="3"/>
  <c r="H49" i="3"/>
  <c r="G49" i="3"/>
  <c r="C49" i="3"/>
  <c r="K48" i="3"/>
  <c r="J48" i="3"/>
  <c r="I48" i="3"/>
  <c r="H48" i="3"/>
  <c r="G48" i="3"/>
  <c r="C48" i="3"/>
  <c r="C46" i="3"/>
  <c r="C44" i="3"/>
  <c r="K43" i="3"/>
  <c r="J43" i="3"/>
  <c r="I43" i="3"/>
  <c r="H43" i="3"/>
  <c r="G43" i="3"/>
  <c r="C43" i="3"/>
  <c r="K42" i="3"/>
  <c r="J42" i="3"/>
  <c r="I42" i="3"/>
  <c r="H42" i="3"/>
  <c r="G42" i="3"/>
  <c r="C42" i="3"/>
  <c r="K41" i="3"/>
  <c r="J41" i="3"/>
  <c r="I41" i="3"/>
  <c r="H41" i="3"/>
  <c r="G41" i="3"/>
  <c r="C41" i="3"/>
  <c r="K40" i="3"/>
  <c r="J40" i="3"/>
  <c r="I40" i="3"/>
  <c r="H40" i="3"/>
  <c r="G40" i="3"/>
  <c r="C40" i="3"/>
  <c r="C38" i="3"/>
  <c r="K37" i="3"/>
  <c r="J37" i="3"/>
  <c r="I37" i="3"/>
  <c r="H37" i="3"/>
  <c r="G37" i="3"/>
  <c r="C37" i="3"/>
  <c r="K36" i="3"/>
  <c r="J36" i="3"/>
  <c r="I36" i="3"/>
  <c r="H36" i="3"/>
  <c r="G36" i="3"/>
  <c r="C36" i="3"/>
  <c r="K35" i="3"/>
  <c r="J35" i="3"/>
  <c r="I35" i="3"/>
  <c r="H35" i="3"/>
  <c r="G35" i="3"/>
  <c r="C35" i="3"/>
  <c r="K34" i="3"/>
  <c r="J34" i="3"/>
  <c r="I34" i="3"/>
  <c r="H34" i="3"/>
  <c r="G34" i="3"/>
  <c r="C34" i="3"/>
  <c r="C32" i="3"/>
  <c r="T31" i="3"/>
  <c r="T72" i="3" s="1"/>
  <c r="G31" i="3"/>
  <c r="C27" i="3"/>
  <c r="B28" i="4" s="1"/>
  <c r="C23" i="3"/>
  <c r="B36" i="4" s="1"/>
  <c r="C19" i="3"/>
  <c r="B32" i="4" s="1"/>
  <c r="C15" i="3"/>
  <c r="C11" i="3"/>
  <c r="B24" i="4" s="1"/>
  <c r="C8" i="3"/>
  <c r="B21" i="4" s="1"/>
  <c r="C6" i="3"/>
  <c r="C2" i="3"/>
  <c r="C1" i="3"/>
  <c r="F25" i="2"/>
  <c r="C1" i="2"/>
  <c r="J71" i="11"/>
  <c r="J74" i="11"/>
  <c r="AD53" i="11"/>
  <c r="AC53" i="11"/>
  <c r="Z53" i="11"/>
  <c r="AM53" i="11"/>
  <c r="AJ53" i="11"/>
  <c r="AE53" i="11"/>
  <c r="AO53" i="11"/>
  <c r="AI53" i="11"/>
  <c r="AQ53" i="11"/>
  <c r="AK53" i="11"/>
  <c r="AR53" i="11"/>
  <c r="AF53" i="11"/>
  <c r="AH53" i="11"/>
  <c r="AG53" i="11"/>
  <c r="AL53" i="11"/>
  <c r="AN53" i="11"/>
  <c r="AP53" i="11"/>
  <c r="I74" i="11"/>
  <c r="H74" i="11"/>
  <c r="L74" i="11"/>
  <c r="Q74" i="11"/>
  <c r="N74" i="11"/>
  <c r="R74" i="11"/>
  <c r="O74" i="11"/>
  <c r="P74" i="11"/>
  <c r="M74" i="11"/>
  <c r="S74" i="11"/>
  <c r="T74" i="11"/>
  <c r="K74" i="11"/>
  <c r="AZ72" i="11"/>
  <c r="BM72" i="11"/>
  <c r="BA72" i="11"/>
  <c r="BN72" i="11"/>
  <c r="BI72" i="11"/>
  <c r="BG72" i="11"/>
  <c r="BJ72" i="11"/>
  <c r="BF72" i="11"/>
  <c r="BL72" i="11"/>
  <c r="BC72" i="11"/>
  <c r="BK72" i="11"/>
  <c r="BH72" i="11"/>
  <c r="AY72" i="11"/>
  <c r="BB72" i="11" s="1"/>
  <c r="BD72" i="11"/>
  <c r="BE72" i="11"/>
  <c r="AE71" i="11"/>
  <c r="AD71" i="11"/>
  <c r="AQ71" i="11"/>
  <c r="AR71" i="11"/>
  <c r="AJ71" i="11"/>
  <c r="AG71" i="11"/>
  <c r="AN71" i="11"/>
  <c r="AM71" i="11"/>
  <c r="AO71" i="11"/>
  <c r="AH71" i="11"/>
  <c r="AC71" i="11"/>
  <c r="AF71" i="11" s="1"/>
  <c r="AP71" i="11"/>
  <c r="AI71" i="11"/>
  <c r="AK71" i="11"/>
  <c r="AL71" i="11"/>
  <c r="G53" i="11"/>
  <c r="R53" i="11"/>
  <c r="H53" i="11"/>
  <c r="D53" i="11"/>
  <c r="M53" i="11"/>
  <c r="N53" i="11"/>
  <c r="U53" i="11"/>
  <c r="P53" i="11"/>
  <c r="S53" i="11"/>
  <c r="I53" i="11"/>
  <c r="Q53" i="11"/>
  <c r="O53" i="11"/>
  <c r="T53" i="11"/>
  <c r="J53" i="11"/>
  <c r="V53" i="11"/>
  <c r="L53" i="11"/>
  <c r="AZ54" i="11"/>
  <c r="AY54" i="11"/>
  <c r="AV54" i="11"/>
  <c r="BD54" i="11"/>
  <c r="BN54" i="11"/>
  <c r="BH54" i="11"/>
  <c r="BL54" i="11"/>
  <c r="BF54" i="11"/>
  <c r="BB54" i="11"/>
  <c r="BA54" i="11"/>
  <c r="BG54" i="11"/>
  <c r="BM54" i="11"/>
  <c r="BE54" i="11"/>
  <c r="BK54" i="11"/>
  <c r="BJ54" i="11"/>
  <c r="BC54" i="11"/>
  <c r="BI54" i="11"/>
  <c r="AZ73" i="11"/>
  <c r="BA73" i="11"/>
  <c r="BM73" i="11"/>
  <c r="BN73" i="11"/>
  <c r="BC73" i="11"/>
  <c r="BD73" i="11"/>
  <c r="BG73" i="11"/>
  <c r="BL73" i="11"/>
  <c r="BH73" i="11"/>
  <c r="BK73" i="11"/>
  <c r="BE73" i="11"/>
  <c r="AY73" i="11"/>
  <c r="BB73" i="11" s="1"/>
  <c r="BF73" i="11"/>
  <c r="BJ73" i="11"/>
  <c r="BI73" i="11"/>
  <c r="AQ72" i="11"/>
  <c r="AR72" i="11"/>
  <c r="AE72" i="11"/>
  <c r="AD72" i="11"/>
  <c r="AL72" i="11"/>
  <c r="AN72" i="11"/>
  <c r="AJ72" i="11"/>
  <c r="AG72" i="11"/>
  <c r="AO72" i="11"/>
  <c r="AH72" i="11"/>
  <c r="AP72" i="11"/>
  <c r="AC72" i="11"/>
  <c r="AF72" i="11" s="1"/>
  <c r="AK72" i="11"/>
  <c r="AI72" i="11"/>
  <c r="AM72" i="11"/>
  <c r="I71" i="11"/>
  <c r="U71" i="11"/>
  <c r="V71" i="11"/>
  <c r="H71" i="11"/>
  <c r="T71" i="11"/>
  <c r="Q71" i="11"/>
  <c r="R71" i="11"/>
  <c r="P71" i="11"/>
  <c r="K71" i="11"/>
  <c r="M71" i="11"/>
  <c r="L71" i="11"/>
  <c r="O71" i="11"/>
  <c r="N71" i="11"/>
  <c r="S71" i="11"/>
  <c r="AD56" i="11"/>
  <c r="AC56" i="11"/>
  <c r="Z56" i="11"/>
  <c r="AF56" i="11"/>
  <c r="AQ56" i="11"/>
  <c r="AE56" i="11"/>
  <c r="AM56" i="11"/>
  <c r="AK56" i="11"/>
  <c r="AR56" i="11"/>
  <c r="AP56" i="11"/>
  <c r="AJ56" i="11"/>
  <c r="AN56" i="11"/>
  <c r="AI56" i="11"/>
  <c r="AL56" i="11"/>
  <c r="AO56" i="11"/>
  <c r="AH56" i="11"/>
  <c r="AG56" i="11"/>
  <c r="AC54" i="11"/>
  <c r="Z54" i="11"/>
  <c r="AD54" i="11"/>
  <c r="AP54" i="11"/>
  <c r="AF54" i="11"/>
  <c r="AJ54" i="11"/>
  <c r="AE54" i="11"/>
  <c r="AG54" i="11"/>
  <c r="AM54" i="11"/>
  <c r="AQ54" i="11"/>
  <c r="AH54" i="11"/>
  <c r="AO54" i="11"/>
  <c r="AN54" i="11"/>
  <c r="AI54" i="11"/>
  <c r="AL54" i="11"/>
  <c r="AK54" i="11"/>
  <c r="AR54" i="11"/>
  <c r="BN69" i="11"/>
  <c r="BM69" i="11"/>
  <c r="BH69" i="11"/>
  <c r="BC69" i="11"/>
  <c r="AZ69" i="11"/>
  <c r="BA69" i="11"/>
  <c r="AY69" i="11"/>
  <c r="BB69" i="11" s="1"/>
  <c r="BE69" i="11"/>
  <c r="BJ69" i="11"/>
  <c r="BG69" i="11"/>
  <c r="BK69" i="11"/>
  <c r="BI69" i="11"/>
  <c r="BL69" i="11"/>
  <c r="BF69" i="11"/>
  <c r="BD69" i="11"/>
  <c r="AZ74" i="11"/>
  <c r="BN74" i="11"/>
  <c r="BM74" i="11"/>
  <c r="BA74" i="11"/>
  <c r="BK74" i="11"/>
  <c r="BJ74" i="11"/>
  <c r="BH74" i="11"/>
  <c r="BD74" i="11"/>
  <c r="BL74" i="11"/>
  <c r="BE74" i="11"/>
  <c r="AY74" i="11"/>
  <c r="BB74" i="11" s="1"/>
  <c r="BG74" i="11"/>
  <c r="BC74" i="11"/>
  <c r="BI74" i="11"/>
  <c r="BF74" i="11"/>
  <c r="AR73" i="11"/>
  <c r="AQ73" i="11"/>
  <c r="AD73" i="11"/>
  <c r="AE73" i="11"/>
  <c r="AI73" i="11"/>
  <c r="AC73" i="11"/>
  <c r="AF73" i="11" s="1"/>
  <c r="AK73" i="11"/>
  <c r="AG73" i="11"/>
  <c r="AO73" i="11"/>
  <c r="AL73" i="11"/>
  <c r="AM73" i="11"/>
  <c r="AN73" i="11"/>
  <c r="AH73" i="11"/>
  <c r="AJ73" i="11"/>
  <c r="AP73" i="11"/>
  <c r="I72" i="11"/>
  <c r="V72" i="11"/>
  <c r="U72" i="11"/>
  <c r="H72" i="11"/>
  <c r="R72" i="11"/>
  <c r="Q72" i="11"/>
  <c r="M72" i="11"/>
  <c r="S72" i="11"/>
  <c r="G72" i="11"/>
  <c r="J72" i="11" s="1"/>
  <c r="K72" i="11"/>
  <c r="P72" i="11"/>
  <c r="N72" i="11"/>
  <c r="T72" i="11"/>
  <c r="O72" i="11"/>
  <c r="L72" i="11"/>
  <c r="V69" i="11"/>
  <c r="U69" i="11"/>
  <c r="I69" i="11"/>
  <c r="R69" i="11"/>
  <c r="O69" i="11"/>
  <c r="T69" i="11"/>
  <c r="H69" i="11"/>
  <c r="G69" i="11"/>
  <c r="J69" i="11" s="1"/>
  <c r="S69" i="11"/>
  <c r="Q69" i="11"/>
  <c r="L69" i="11"/>
  <c r="N69" i="11"/>
  <c r="K69" i="11"/>
  <c r="P69" i="11"/>
  <c r="M69" i="11"/>
  <c r="AE69" i="11"/>
  <c r="AD69" i="11"/>
  <c r="AR69" i="11"/>
  <c r="AQ69" i="11"/>
  <c r="AO69" i="11"/>
  <c r="AG69" i="11"/>
  <c r="AJ69" i="11"/>
  <c r="AP69" i="11"/>
  <c r="AL69" i="11"/>
  <c r="AI69" i="11"/>
  <c r="AM69" i="11"/>
  <c r="AN69" i="11"/>
  <c r="AC69" i="11"/>
  <c r="AF69" i="11" s="1"/>
  <c r="AK69" i="11"/>
  <c r="AH69" i="11"/>
  <c r="AZ55" i="11"/>
  <c r="AV55" i="11"/>
  <c r="AY55" i="11"/>
  <c r="BM55" i="11"/>
  <c r="BN55" i="11"/>
  <c r="BE55" i="11"/>
  <c r="BH55" i="11"/>
  <c r="BF55" i="11"/>
  <c r="BG55" i="11"/>
  <c r="BK55" i="11"/>
  <c r="BI55" i="11"/>
  <c r="BC55" i="11"/>
  <c r="BB55" i="11"/>
  <c r="BJ55" i="11"/>
  <c r="BD55" i="11"/>
  <c r="BA55" i="11"/>
  <c r="BL55" i="11"/>
  <c r="AE74" i="11"/>
  <c r="AD74" i="11"/>
  <c r="AR74" i="11"/>
  <c r="AQ74" i="11"/>
  <c r="AK74" i="11"/>
  <c r="AC74" i="11"/>
  <c r="AF74" i="11" s="1"/>
  <c r="AI74" i="11"/>
  <c r="AG74" i="11"/>
  <c r="AN74" i="11"/>
  <c r="AL74" i="11"/>
  <c r="AP74" i="11"/>
  <c r="AO74" i="11"/>
  <c r="AJ74" i="11"/>
  <c r="AM74" i="11"/>
  <c r="AH74" i="11"/>
  <c r="I73" i="11"/>
  <c r="V73" i="11"/>
  <c r="U73" i="11"/>
  <c r="H73" i="11"/>
  <c r="Q73" i="11"/>
  <c r="R73" i="11"/>
  <c r="O73" i="11"/>
  <c r="M73" i="11"/>
  <c r="G73" i="11"/>
  <c r="J73" i="11" s="1"/>
  <c r="P73" i="11"/>
  <c r="L73" i="11"/>
  <c r="T73" i="11"/>
  <c r="N73" i="11"/>
  <c r="S73" i="11"/>
  <c r="K73" i="11"/>
  <c r="BA71" i="11"/>
  <c r="BN71" i="11"/>
  <c r="BM71" i="11"/>
  <c r="AZ71" i="11"/>
  <c r="BE71" i="11"/>
  <c r="BK71" i="11"/>
  <c r="BC71" i="11"/>
  <c r="AY71" i="11"/>
  <c r="BB71" i="11" s="1"/>
  <c r="BD71" i="11"/>
  <c r="BJ71" i="11"/>
  <c r="BF71" i="11"/>
  <c r="BG71" i="11"/>
  <c r="BI71" i="11"/>
  <c r="BH71" i="11"/>
  <c r="BL71" i="11"/>
  <c r="AZ53" i="11"/>
  <c r="AV53" i="11"/>
  <c r="AY53" i="11"/>
  <c r="BA53" i="11"/>
  <c r="BH53" i="11"/>
  <c r="BI53" i="11"/>
  <c r="BC53" i="11"/>
  <c r="BB53" i="11"/>
  <c r="BK53" i="11"/>
  <c r="BL53" i="11"/>
  <c r="BG53" i="11"/>
  <c r="BM53" i="11"/>
  <c r="BJ53" i="11"/>
  <c r="BN53" i="11"/>
  <c r="BD53" i="11"/>
  <c r="BF53" i="11"/>
  <c r="BE53" i="11"/>
  <c r="G24" i="12"/>
  <c r="G23" i="12"/>
  <c r="G28" i="12"/>
  <c r="U9" i="5" l="1"/>
  <c r="U13" i="5"/>
  <c r="U8" i="5"/>
  <c r="F15" i="14"/>
  <c r="H38" i="15"/>
  <c r="E11" i="14"/>
  <c r="E29" i="17"/>
  <c r="K215" i="8"/>
  <c r="K208" i="8"/>
  <c r="O208" i="8" s="1"/>
  <c r="E13" i="17"/>
  <c r="P13" i="17"/>
  <c r="O13" i="17" s="1"/>
  <c r="P16" i="17"/>
  <c r="O16" i="17" s="1"/>
  <c r="P15" i="17"/>
  <c r="O15" i="17" s="1"/>
  <c r="P17" i="17"/>
  <c r="O17" i="17" s="1"/>
  <c r="P14" i="17"/>
  <c r="O14" i="17" s="1"/>
  <c r="U14" i="5"/>
  <c r="O245" i="14"/>
  <c r="U16" i="5"/>
  <c r="U11" i="5"/>
  <c r="E151" i="14"/>
  <c r="F151" i="14" s="1"/>
  <c r="E12" i="14"/>
  <c r="G273" i="14" s="1"/>
  <c r="K273" i="14" s="1"/>
  <c r="E22" i="14"/>
  <c r="E16" i="14"/>
  <c r="G39" i="9"/>
  <c r="G38" i="9"/>
  <c r="P192" i="7"/>
  <c r="G38" i="3"/>
  <c r="L246" i="8"/>
  <c r="G44" i="3"/>
  <c r="J57" i="3"/>
  <c r="I57" i="3"/>
  <c r="I44" i="3"/>
  <c r="H57" i="3"/>
  <c r="H44" i="3"/>
  <c r="K57" i="3"/>
  <c r="J44" i="3"/>
  <c r="K44" i="3"/>
  <c r="G57" i="3"/>
  <c r="I204" i="7"/>
  <c r="O93" i="7"/>
  <c r="O117" i="7"/>
  <c r="O105" i="7"/>
  <c r="L54" i="9"/>
  <c r="L88" i="10" s="1"/>
  <c r="L56" i="9"/>
  <c r="L90" i="10" s="1"/>
  <c r="S34" i="9"/>
  <c r="L53" i="9"/>
  <c r="L87" i="10" s="1"/>
  <c r="M151" i="7"/>
  <c r="K49" i="9"/>
  <c r="L49" i="9"/>
  <c r="V88" i="9"/>
  <c r="S49" i="9"/>
  <c r="J10" i="14"/>
  <c r="G36" i="13"/>
  <c r="G34" i="13"/>
  <c r="BV6" i="15"/>
  <c r="CB6" i="15" s="1"/>
  <c r="CH6" i="15" s="1"/>
  <c r="AC6" i="15"/>
  <c r="F39" i="13"/>
  <c r="AI6" i="15"/>
  <c r="P126" i="17"/>
  <c r="C12" i="17" a="1"/>
  <c r="C13" i="17" s="1"/>
  <c r="C29" i="17" s="1"/>
  <c r="D39" i="13"/>
  <c r="AT56" i="11"/>
  <c r="AC7" i="15"/>
  <c r="X55" i="11"/>
  <c r="AI7" i="15"/>
  <c r="B56" i="11"/>
  <c r="AH6" i="15"/>
  <c r="I10" i="14"/>
  <c r="B55" i="11"/>
  <c r="H10" i="14"/>
  <c r="B54" i="11"/>
  <c r="S7" i="15"/>
  <c r="X51" i="11"/>
  <c r="AT51" i="11"/>
  <c r="B51" i="11"/>
  <c r="Q161" i="14"/>
  <c r="U185" i="8"/>
  <c r="K100" i="3" s="1"/>
  <c r="R184" i="8"/>
  <c r="U139" i="10"/>
  <c r="U72" i="8"/>
  <c r="U67" i="10" s="1"/>
  <c r="F72" i="8"/>
  <c r="F67" i="10" s="1"/>
  <c r="AF157" i="7"/>
  <c r="AG157" i="7" s="1"/>
  <c r="Q98" i="14"/>
  <c r="U4" i="3"/>
  <c r="Q233" i="8"/>
  <c r="Q149" i="10" s="1"/>
  <c r="O14" i="5"/>
  <c r="O8" i="5"/>
  <c r="O185" i="14"/>
  <c r="G38" i="15"/>
  <c r="H40" i="15"/>
  <c r="F39" i="15"/>
  <c r="F38" i="15"/>
  <c r="F40" i="15"/>
  <c r="O13" i="5"/>
  <c r="O253" i="14"/>
  <c r="Q253" i="14"/>
  <c r="J185" i="14"/>
  <c r="R185" i="14" s="1"/>
  <c r="O161" i="14"/>
  <c r="H18" i="15"/>
  <c r="T24" i="4"/>
  <c r="U24" i="4" s="1"/>
  <c r="E39" i="15"/>
  <c r="D16" i="14"/>
  <c r="D21" i="14"/>
  <c r="G8" i="3"/>
  <c r="P139" i="10"/>
  <c r="N185" i="8"/>
  <c r="R30" i="8"/>
  <c r="R139" i="10"/>
  <c r="K114" i="10"/>
  <c r="R114" i="10"/>
  <c r="Q246" i="8"/>
  <c r="Q267" i="8"/>
  <c r="Q265" i="8" s="1"/>
  <c r="Q266" i="8" s="1"/>
  <c r="E4" i="17"/>
  <c r="C88" i="17" s="1"/>
  <c r="G25" i="13"/>
  <c r="O7" i="13" s="1"/>
  <c r="S184" i="8"/>
  <c r="I189" i="8"/>
  <c r="I167" i="10" s="1"/>
  <c r="I67" i="3"/>
  <c r="S231" i="8"/>
  <c r="S144" i="10" s="1"/>
  <c r="U246" i="8"/>
  <c r="H185" i="8"/>
  <c r="U231" i="8"/>
  <c r="I188" i="8"/>
  <c r="I162" i="10" s="1"/>
  <c r="M246" i="8"/>
  <c r="P114" i="10"/>
  <c r="Q114" i="10"/>
  <c r="H245" i="8"/>
  <c r="H246" i="8" s="1"/>
  <c r="G246" i="8"/>
  <c r="P246" i="8"/>
  <c r="T245" i="8"/>
  <c r="S114" i="10"/>
  <c r="K231" i="8"/>
  <c r="K144" i="10" s="1"/>
  <c r="R246" i="8"/>
  <c r="U114" i="10"/>
  <c r="K233" i="8"/>
  <c r="K149" i="10" s="1"/>
  <c r="P233" i="8"/>
  <c r="P149" i="10" s="1"/>
  <c r="I245" i="8"/>
  <c r="I246" i="8" s="1"/>
  <c r="P231" i="8"/>
  <c r="P144" i="10" s="1"/>
  <c r="R233" i="8"/>
  <c r="R149" i="10" s="1"/>
  <c r="Q231" i="8"/>
  <c r="Q144" i="10" s="1"/>
  <c r="S233" i="8"/>
  <c r="S149" i="10" s="1"/>
  <c r="M184" i="8"/>
  <c r="M129" i="10" s="1"/>
  <c r="R185" i="8"/>
  <c r="R231" i="8"/>
  <c r="R144" i="10" s="1"/>
  <c r="U233" i="8"/>
  <c r="U149" i="10" s="1"/>
  <c r="L194" i="8"/>
  <c r="L113" i="8" s="1"/>
  <c r="M193" i="8"/>
  <c r="M194" i="8"/>
  <c r="M113" i="8" s="1"/>
  <c r="N193" i="8"/>
  <c r="R155" i="8"/>
  <c r="S194" i="8"/>
  <c r="P185" i="8"/>
  <c r="I193" i="8"/>
  <c r="H194" i="8"/>
  <c r="H113" i="8" s="1"/>
  <c r="K194" i="8"/>
  <c r="K201" i="8" s="1"/>
  <c r="K100" i="10" s="1"/>
  <c r="L193" i="8"/>
  <c r="G67" i="3"/>
  <c r="S193" i="8"/>
  <c r="R194" i="8"/>
  <c r="R201" i="8" s="1"/>
  <c r="R100" i="10" s="1"/>
  <c r="G267" i="8"/>
  <c r="G265" i="8" s="1"/>
  <c r="G266" i="8" s="1"/>
  <c r="K284" i="8"/>
  <c r="L284" i="8"/>
  <c r="P193" i="8"/>
  <c r="T193" i="8" s="1"/>
  <c r="O154" i="8"/>
  <c r="O72" i="8" s="1"/>
  <c r="O67" i="10" s="1"/>
  <c r="U193" i="8"/>
  <c r="Y193" i="8" s="1"/>
  <c r="H184" i="8"/>
  <c r="H129" i="10" s="1"/>
  <c r="M185" i="8"/>
  <c r="M157" i="10" s="1"/>
  <c r="R284" i="8"/>
  <c r="I194" i="8"/>
  <c r="I113" i="8" s="1"/>
  <c r="N194" i="8"/>
  <c r="N113" i="8" s="1"/>
  <c r="Q193" i="8"/>
  <c r="P194" i="8"/>
  <c r="P201" i="8" s="1"/>
  <c r="P100" i="10" s="1"/>
  <c r="R193" i="8"/>
  <c r="Q194" i="8"/>
  <c r="Q201" i="8" s="1"/>
  <c r="Q100" i="10" s="1"/>
  <c r="U194" i="8"/>
  <c r="V193" i="8"/>
  <c r="K193" i="8"/>
  <c r="O193" i="8" s="1"/>
  <c r="U155" i="8"/>
  <c r="I184" i="8"/>
  <c r="I129" i="10" s="1"/>
  <c r="G193" i="8"/>
  <c r="J193" i="8" s="1"/>
  <c r="H193" i="8"/>
  <c r="G194" i="8"/>
  <c r="T224" i="8"/>
  <c r="T55" i="3"/>
  <c r="E6" i="17"/>
  <c r="N284" i="8"/>
  <c r="U284" i="8"/>
  <c r="U55" i="3"/>
  <c r="O188" i="8"/>
  <c r="O162" i="10" s="1"/>
  <c r="K184" i="8"/>
  <c r="K129" i="10" s="1"/>
  <c r="P268" i="8"/>
  <c r="P274" i="8" s="1"/>
  <c r="P109" i="10" s="1"/>
  <c r="H155" i="8"/>
  <c r="V48" i="3"/>
  <c r="M155" i="8"/>
  <c r="J283" i="8"/>
  <c r="J267" i="8" s="1"/>
  <c r="G155" i="8"/>
  <c r="K155" i="8"/>
  <c r="T154" i="8"/>
  <c r="T72" i="8" s="1"/>
  <c r="T67" i="10" s="1"/>
  <c r="O283" i="8"/>
  <c r="O267" i="8" s="1"/>
  <c r="J154" i="8"/>
  <c r="J72" i="8" s="1"/>
  <c r="J67" i="10" s="1"/>
  <c r="F155" i="8"/>
  <c r="H67" i="3"/>
  <c r="P155" i="8"/>
  <c r="I284" i="8"/>
  <c r="T42" i="3"/>
  <c r="Z100" i="3"/>
  <c r="J70" i="4" s="1"/>
  <c r="Y98" i="3"/>
  <c r="I68" i="4" s="1"/>
  <c r="M188" i="8"/>
  <c r="M162" i="10" s="1"/>
  <c r="G84" i="15"/>
  <c r="O16" i="5"/>
  <c r="T141" i="7"/>
  <c r="K189" i="8"/>
  <c r="K167" i="10" s="1"/>
  <c r="F188" i="8"/>
  <c r="F162" i="10" s="1"/>
  <c r="Q188" i="8"/>
  <c r="Q162" i="10" s="1"/>
  <c r="M189" i="8"/>
  <c r="M167" i="10" s="1"/>
  <c r="T148" i="9"/>
  <c r="T22" i="10" s="1"/>
  <c r="I56" i="9"/>
  <c r="I90" i="10" s="1"/>
  <c r="G35" i="13"/>
  <c r="G37" i="13"/>
  <c r="E21" i="14"/>
  <c r="N119" i="14"/>
  <c r="N123" i="14" s="1"/>
  <c r="K151" i="14" s="1"/>
  <c r="L151" i="14" s="1"/>
  <c r="Q169" i="14"/>
  <c r="J196" i="14" a="1"/>
  <c r="J196" i="14" s="1"/>
  <c r="J253" i="14"/>
  <c r="R253" i="14" s="1"/>
  <c r="BU6" i="15"/>
  <c r="CA6" i="15" s="1"/>
  <c r="CG6" i="15" s="1"/>
  <c r="H39" i="15"/>
  <c r="G40" i="15"/>
  <c r="E61" i="15"/>
  <c r="W116" i="7"/>
  <c r="X116" i="7" s="1"/>
  <c r="Z116" i="7" s="1"/>
  <c r="T117" i="7"/>
  <c r="L189" i="8"/>
  <c r="L167" i="10" s="1"/>
  <c r="G188" i="8"/>
  <c r="G162" i="10" s="1"/>
  <c r="E40" i="13"/>
  <c r="J261" i="14"/>
  <c r="R261" i="14" s="1"/>
  <c r="F61" i="15"/>
  <c r="V53" i="7"/>
  <c r="W53" i="7" s="1"/>
  <c r="W32" i="7" s="1"/>
  <c r="V77" i="7"/>
  <c r="W77" i="7" s="1"/>
  <c r="W44" i="7" s="1"/>
  <c r="G189" i="8"/>
  <c r="G167" i="10" s="1"/>
  <c r="X7" i="15"/>
  <c r="U10" i="5"/>
  <c r="K185" i="8"/>
  <c r="K157" i="10" s="1"/>
  <c r="Q106" i="14"/>
  <c r="O11" i="5"/>
  <c r="G204" i="7"/>
  <c r="O189" i="8"/>
  <c r="O167" i="10" s="1"/>
  <c r="L184" i="8"/>
  <c r="L129" i="10" s="1"/>
  <c r="G185" i="8"/>
  <c r="Q185" i="8"/>
  <c r="H188" i="8"/>
  <c r="H162" i="10" s="1"/>
  <c r="S188" i="8"/>
  <c r="S162" i="10" s="1"/>
  <c r="O165" i="9"/>
  <c r="G54" i="9"/>
  <c r="G88" i="10" s="1"/>
  <c r="E16" i="12"/>
  <c r="E24" i="12"/>
  <c r="F40" i="13"/>
  <c r="G15" i="14"/>
  <c r="N210" i="14"/>
  <c r="R210" i="14" s="1"/>
  <c r="BW6" i="15"/>
  <c r="CC6" i="15" s="1"/>
  <c r="CI6" i="15" s="1"/>
  <c r="G61" i="15"/>
  <c r="B143" i="17"/>
  <c r="V89" i="9"/>
  <c r="V59" i="7"/>
  <c r="W59" i="7" s="1"/>
  <c r="W35" i="7" s="1"/>
  <c r="O10" i="5"/>
  <c r="O6" i="5"/>
  <c r="O9" i="5"/>
  <c r="R189" i="8"/>
  <c r="R167" i="10" s="1"/>
  <c r="U183" i="8"/>
  <c r="H54" i="9"/>
  <c r="H88" i="10" s="1"/>
  <c r="Q245" i="14"/>
  <c r="O15" i="5"/>
  <c r="O185" i="8"/>
  <c r="O184" i="8"/>
  <c r="N184" i="8"/>
  <c r="N129" i="10" s="1"/>
  <c r="I185" i="8"/>
  <c r="S185" i="8"/>
  <c r="S157" i="10" s="1"/>
  <c r="K188" i="8"/>
  <c r="K162" i="10" s="1"/>
  <c r="S189" i="8"/>
  <c r="S167" i="10" s="1"/>
  <c r="U39" i="9"/>
  <c r="I54" i="9"/>
  <c r="I88" i="10" s="1"/>
  <c r="E18" i="12"/>
  <c r="E25" i="12"/>
  <c r="G10" i="14"/>
  <c r="I15" i="14"/>
  <c r="E99" i="14"/>
  <c r="E107" i="14" s="1"/>
  <c r="M107" i="14" s="1"/>
  <c r="F118" i="14"/>
  <c r="F120" i="14" s="1"/>
  <c r="Z6" i="15"/>
  <c r="V7" i="15"/>
  <c r="F16" i="15"/>
  <c r="V90" i="9"/>
  <c r="V83" i="7"/>
  <c r="V47" i="7" s="1"/>
  <c r="E125" i="17"/>
  <c r="E126" i="17" s="1"/>
  <c r="Q126" i="17" s="1"/>
  <c r="L40" i="18"/>
  <c r="V65" i="7"/>
  <c r="W65" i="7" s="1"/>
  <c r="W38" i="7" s="1"/>
  <c r="W86" i="7"/>
  <c r="G184" i="8"/>
  <c r="G129" i="10" s="1"/>
  <c r="Q184" i="8"/>
  <c r="L185" i="8"/>
  <c r="L157" i="10" s="1"/>
  <c r="N188" i="8"/>
  <c r="N162" i="10" s="1"/>
  <c r="H189" i="8"/>
  <c r="H167" i="10" s="1"/>
  <c r="E17" i="14"/>
  <c r="F261" i="14"/>
  <c r="N261" i="14" s="1"/>
  <c r="Y7" i="15"/>
  <c r="F84" i="15"/>
  <c r="V71" i="7"/>
  <c r="W71" i="7" s="1"/>
  <c r="W41" i="7" s="1"/>
  <c r="X309" i="8"/>
  <c r="X92" i="8" s="1"/>
  <c r="AV14" i="11"/>
  <c r="AM78" i="11"/>
  <c r="C25" i="12"/>
  <c r="AN76" i="11"/>
  <c r="BE79" i="11"/>
  <c r="AL76" i="11"/>
  <c r="C16" i="12"/>
  <c r="AG58" i="11"/>
  <c r="M76" i="11"/>
  <c r="AC76" i="11"/>
  <c r="BG79" i="11"/>
  <c r="C14" i="12"/>
  <c r="C17" i="12"/>
  <c r="C23" i="12"/>
  <c r="C29" i="12"/>
  <c r="BC79" i="11"/>
  <c r="C19" i="12"/>
  <c r="C28" i="12"/>
  <c r="AV71" i="11"/>
  <c r="N78" i="11"/>
  <c r="AD76" i="11"/>
  <c r="BH79" i="11"/>
  <c r="C26" i="12"/>
  <c r="Z31" i="11"/>
  <c r="O77" i="11"/>
  <c r="AE79" i="11"/>
  <c r="BI79" i="11"/>
  <c r="H79" i="11"/>
  <c r="P76" i="11"/>
  <c r="AG78" i="11"/>
  <c r="BJ79" i="11"/>
  <c r="C21" i="12"/>
  <c r="C30" i="12"/>
  <c r="L78" i="11"/>
  <c r="BF79" i="11"/>
  <c r="C20" i="12"/>
  <c r="BK79" i="11"/>
  <c r="C15" i="12"/>
  <c r="C18" i="12"/>
  <c r="BA77" i="11"/>
  <c r="C13" i="12"/>
  <c r="C22" i="12"/>
  <c r="R76" i="11"/>
  <c r="AI78" i="11"/>
  <c r="AY77" i="11"/>
  <c r="BL78" i="11"/>
  <c r="C24" i="12"/>
  <c r="C27" i="12"/>
  <c r="AO78" i="11"/>
  <c r="Z71" i="11"/>
  <c r="Z12" i="11" s="1"/>
  <c r="AV33" i="11"/>
  <c r="S78" i="11"/>
  <c r="AJ79" i="11"/>
  <c r="AZ79" i="11"/>
  <c r="P215" i="8"/>
  <c r="P93" i="10" s="1"/>
  <c r="O215" i="8"/>
  <c r="T215" i="8"/>
  <c r="U215" i="8"/>
  <c r="U93" i="10" s="1"/>
  <c r="X201" i="8"/>
  <c r="AF184" i="8"/>
  <c r="Z99" i="3" s="1"/>
  <c r="J69" i="4" s="1"/>
  <c r="AC297" i="8"/>
  <c r="AC310" i="8" s="1"/>
  <c r="AC93" i="8" s="1"/>
  <c r="U18" i="5"/>
  <c r="AA68" i="8"/>
  <c r="AE69" i="8"/>
  <c r="AA202" i="8"/>
  <c r="AC215" i="8"/>
  <c r="AG201" i="8"/>
  <c r="AE274" i="8"/>
  <c r="Z184" i="8"/>
  <c r="O99" i="3" s="1"/>
  <c r="X187" i="8"/>
  <c r="AA188" i="8"/>
  <c r="AE189" i="8"/>
  <c r="AA273" i="8"/>
  <c r="AA242" i="8" s="1"/>
  <c r="AA95" i="8" s="1"/>
  <c r="X67" i="8"/>
  <c r="AF69" i="8"/>
  <c r="AB202" i="8"/>
  <c r="AF274" i="8"/>
  <c r="AB273" i="8"/>
  <c r="AB242" i="8" s="1"/>
  <c r="AD196" i="7"/>
  <c r="Z67" i="8"/>
  <c r="AC68" i="8"/>
  <c r="Z71" i="8"/>
  <c r="AC202" i="8"/>
  <c r="AF215" i="8"/>
  <c r="AG274" i="8"/>
  <c r="X183" i="8"/>
  <c r="N98" i="3" s="1"/>
  <c r="AB184" i="8"/>
  <c r="Q99" i="3" s="1"/>
  <c r="O100" i="3"/>
  <c r="AC188" i="8"/>
  <c r="AG189" i="8"/>
  <c r="Z297" i="8"/>
  <c r="Z310" i="8" s="1"/>
  <c r="Z93" i="8" s="1"/>
  <c r="AC273" i="8"/>
  <c r="AC242" i="8" s="1"/>
  <c r="AC290" i="8" s="1"/>
  <c r="R7" i="15"/>
  <c r="M10" i="18"/>
  <c r="M24" i="18" s="1"/>
  <c r="AB68" i="8"/>
  <c r="AA184" i="8"/>
  <c r="P99" i="3" s="1"/>
  <c r="AD184" i="7"/>
  <c r="AA67" i="8"/>
  <c r="AE68" i="8"/>
  <c r="X70" i="8"/>
  <c r="AA71" i="8"/>
  <c r="AE202" i="8"/>
  <c r="AG215" i="8"/>
  <c r="Z183" i="8"/>
  <c r="O98" i="3" s="1"/>
  <c r="AC184" i="8"/>
  <c r="R99" i="3" s="1"/>
  <c r="P100" i="3"/>
  <c r="AE188" i="8"/>
  <c r="AA297" i="8"/>
  <c r="AA310" i="8" s="1"/>
  <c r="AA93" i="8" s="1"/>
  <c r="AE273" i="8"/>
  <c r="AE242" i="8" s="1"/>
  <c r="AE95" i="8" s="1"/>
  <c r="N100" i="3"/>
  <c r="AB188" i="8"/>
  <c r="X297" i="8"/>
  <c r="AB67" i="8"/>
  <c r="AF68" i="8"/>
  <c r="Z70" i="8"/>
  <c r="AB71" i="8"/>
  <c r="AF202" i="8"/>
  <c r="AA183" i="8"/>
  <c r="P98" i="3" s="1"/>
  <c r="AE184" i="8"/>
  <c r="Y99" i="3" s="1"/>
  <c r="I69" i="4" s="1"/>
  <c r="X231" i="8"/>
  <c r="Q100" i="3"/>
  <c r="AF188" i="8"/>
  <c r="AB297" i="8"/>
  <c r="AB310" i="8" s="1"/>
  <c r="AB93" i="8" s="1"/>
  <c r="AF273" i="8"/>
  <c r="AF242" i="8" s="1"/>
  <c r="AF95" i="8" s="1"/>
  <c r="W152" i="7"/>
  <c r="X152" i="7" s="1"/>
  <c r="AC67" i="8"/>
  <c r="AE67" i="8"/>
  <c r="AB70" i="8"/>
  <c r="AE71" i="8"/>
  <c r="Z201" i="8"/>
  <c r="AC183" i="8"/>
  <c r="R98" i="3" s="1"/>
  <c r="AG184" i="8"/>
  <c r="AA99" i="3" s="1"/>
  <c r="K69" i="4" s="1"/>
  <c r="AA231" i="8"/>
  <c r="AE185" i="8"/>
  <c r="Y100" i="3" s="1"/>
  <c r="I70" i="4" s="1"/>
  <c r="AA296" i="8"/>
  <c r="AA309" i="8" s="1"/>
  <c r="AA92" i="8" s="1"/>
  <c r="AE297" i="8"/>
  <c r="AE310" i="8" s="1"/>
  <c r="AE93" i="8" s="1"/>
  <c r="AE215" i="8"/>
  <c r="AF67" i="8"/>
  <c r="X69" i="8"/>
  <c r="AC70" i="8"/>
  <c r="AA201" i="8"/>
  <c r="X274" i="8"/>
  <c r="X189" i="8"/>
  <c r="W157" i="7"/>
  <c r="X157" i="7" s="1"/>
  <c r="Z157" i="7" s="1"/>
  <c r="AA157" i="7" s="1"/>
  <c r="AB157" i="7" s="1"/>
  <c r="AC157" i="7" s="1"/>
  <c r="AC71" i="8"/>
  <c r="AG188" i="8"/>
  <c r="AF189" i="8"/>
  <c r="AG71" i="8"/>
  <c r="X215" i="8"/>
  <c r="AB201" i="8"/>
  <c r="Z274" i="8"/>
  <c r="Z268" i="8" s="1"/>
  <c r="Z96" i="8" s="1"/>
  <c r="AF183" i="8"/>
  <c r="Z98" i="3" s="1"/>
  <c r="J68" i="4" s="1"/>
  <c r="Z187" i="8"/>
  <c r="AC231" i="8"/>
  <c r="AG185" i="8"/>
  <c r="Z189" i="8"/>
  <c r="AC296" i="8"/>
  <c r="AC309" i="8" s="1"/>
  <c r="AC92" i="8" s="1"/>
  <c r="AG297" i="8"/>
  <c r="AG310" i="8" s="1"/>
  <c r="AG93" i="8" s="1"/>
  <c r="AG202" i="8"/>
  <c r="Z231" i="8"/>
  <c r="AA69" i="8"/>
  <c r="AF70" i="8"/>
  <c r="Z215" i="8"/>
  <c r="AC201" i="8"/>
  <c r="AA274" i="8"/>
  <c r="AG183" i="8"/>
  <c r="AA98" i="3" s="1"/>
  <c r="K68" i="4" s="1"/>
  <c r="AA187" i="8"/>
  <c r="AE231" i="8"/>
  <c r="AA189" i="8"/>
  <c r="AE296" i="8"/>
  <c r="AE309" i="8" s="1"/>
  <c r="AE92" i="8" s="1"/>
  <c r="AA70" i="8"/>
  <c r="AC185" i="8"/>
  <c r="X68" i="8"/>
  <c r="AB69" i="8"/>
  <c r="AG70" i="8"/>
  <c r="X202" i="8"/>
  <c r="AA215" i="8"/>
  <c r="AE201" i="8"/>
  <c r="AB274" i="8"/>
  <c r="AB187" i="8"/>
  <c r="AF231" i="8"/>
  <c r="AB189" i="8"/>
  <c r="AF296" i="8"/>
  <c r="AF309" i="8" s="1"/>
  <c r="AF92" i="8" s="1"/>
  <c r="X273" i="8"/>
  <c r="X242" i="8" s="1"/>
  <c r="X95" i="8" s="1"/>
  <c r="J40" i="18"/>
  <c r="AG68" i="8"/>
  <c r="AB183" i="8"/>
  <c r="Q98" i="3" s="1"/>
  <c r="AG273" i="8"/>
  <c r="AG242" i="8" s="1"/>
  <c r="AG290" i="8" s="1"/>
  <c r="AD232" i="7"/>
  <c r="Z68" i="8"/>
  <c r="AC69" i="8"/>
  <c r="Z202" i="8"/>
  <c r="AB215" i="8"/>
  <c r="AF201" i="8"/>
  <c r="AC274" i="8"/>
  <c r="X184" i="8"/>
  <c r="N99" i="3" s="1"/>
  <c r="AC187" i="8"/>
  <c r="AG231" i="8"/>
  <c r="Z188" i="8"/>
  <c r="AC189" i="8"/>
  <c r="AG296" i="8"/>
  <c r="AG309" i="8" s="1"/>
  <c r="AG92" i="8" s="1"/>
  <c r="Z273" i="8"/>
  <c r="Z242" i="8" s="1"/>
  <c r="Z95" i="8" s="1"/>
  <c r="O62" i="9"/>
  <c r="S39" i="9"/>
  <c r="C24" i="17"/>
  <c r="J24" i="8"/>
  <c r="J25" i="8" s="1"/>
  <c r="T6" i="3" s="1"/>
  <c r="T73" i="3" s="1"/>
  <c r="F284" i="8"/>
  <c r="V4" i="3"/>
  <c r="T37" i="3"/>
  <c r="T35" i="3"/>
  <c r="T25" i="8"/>
  <c r="V6" i="3" s="1"/>
  <c r="F6" i="16" s="1"/>
  <c r="F30" i="16" s="1"/>
  <c r="F50" i="16" s="1"/>
  <c r="F70" i="16" s="1"/>
  <c r="I155" i="8"/>
  <c r="J155" i="8" s="1"/>
  <c r="Q155" i="8"/>
  <c r="L220" i="8"/>
  <c r="C22" i="10"/>
  <c r="C25" i="10" s="1"/>
  <c r="U42" i="3"/>
  <c r="G166" i="8"/>
  <c r="I202" i="8"/>
  <c r="I75" i="10" s="1"/>
  <c r="J32" i="8"/>
  <c r="J188" i="8" s="1"/>
  <c r="H255" i="8"/>
  <c r="I255" i="8" s="1"/>
  <c r="T164" i="8"/>
  <c r="U184" i="8" s="1"/>
  <c r="U129" i="10" s="1"/>
  <c r="J67" i="3"/>
  <c r="M24" i="8"/>
  <c r="M25" i="8" s="1"/>
  <c r="M63" i="8" s="1"/>
  <c r="M120" i="8" s="1"/>
  <c r="AD279" i="8"/>
  <c r="R304" i="8"/>
  <c r="N247" i="8"/>
  <c r="O247" i="8" s="1"/>
  <c r="H268" i="8"/>
  <c r="F304" i="8"/>
  <c r="Y24" i="8"/>
  <c r="Y25" i="8" s="1"/>
  <c r="R25" i="4" s="1"/>
  <c r="M267" i="8"/>
  <c r="S247" i="8"/>
  <c r="T247" i="8" s="1"/>
  <c r="L224" i="8"/>
  <c r="J240" i="8"/>
  <c r="P267" i="8"/>
  <c r="R255" i="8"/>
  <c r="R268" i="8" s="1"/>
  <c r="R265" i="8" s="1"/>
  <c r="R266" i="8" s="1"/>
  <c r="V40" i="3"/>
  <c r="H267" i="8"/>
  <c r="H304" i="8"/>
  <c r="J311" i="8"/>
  <c r="K308" i="8" s="1"/>
  <c r="O308" i="8" s="1"/>
  <c r="M255" i="8"/>
  <c r="I51" i="3"/>
  <c r="I106" i="3" s="1"/>
  <c r="V56" i="3"/>
  <c r="I65" i="3"/>
  <c r="L155" i="8"/>
  <c r="S155" i="8"/>
  <c r="T155" i="8" s="1"/>
  <c r="U224" i="8"/>
  <c r="R310" i="8"/>
  <c r="R179" i="10" s="1"/>
  <c r="S304" i="8"/>
  <c r="AD86" i="8"/>
  <c r="AD105" i="10" s="1"/>
  <c r="AD174" i="10"/>
  <c r="C17" i="10"/>
  <c r="C19" i="10" s="1"/>
  <c r="C7" i="10"/>
  <c r="C9" i="10" s="1"/>
  <c r="C27" i="10"/>
  <c r="C30" i="10" s="1"/>
  <c r="AD100" i="8"/>
  <c r="AD119" i="10" s="1"/>
  <c r="Z296" i="8"/>
  <c r="Z309" i="8" s="1"/>
  <c r="Z92" i="8" s="1"/>
  <c r="W104" i="7"/>
  <c r="W140" i="7"/>
  <c r="W92" i="7"/>
  <c r="W128" i="7"/>
  <c r="V151" i="7"/>
  <c r="S267" i="8"/>
  <c r="T283" i="8"/>
  <c r="X246" i="8"/>
  <c r="X292" i="8" s="1"/>
  <c r="Z240" i="8"/>
  <c r="AA240" i="8" s="1"/>
  <c r="AB240" i="8" s="1"/>
  <c r="U265" i="8"/>
  <c r="U266" i="8" s="1"/>
  <c r="R67" i="14"/>
  <c r="N128" i="14"/>
  <c r="S241" i="8"/>
  <c r="T240" i="8" s="1"/>
  <c r="J241" i="8"/>
  <c r="M224" i="8"/>
  <c r="P304" i="8"/>
  <c r="I146" i="8"/>
  <c r="H51" i="3"/>
  <c r="H105" i="3" s="1"/>
  <c r="S171" i="8"/>
  <c r="J51" i="3"/>
  <c r="J106" i="3" s="1"/>
  <c r="T49" i="3"/>
  <c r="U48" i="3"/>
  <c r="O220" i="8"/>
  <c r="P133" i="8"/>
  <c r="U41" i="3"/>
  <c r="V41" i="3"/>
  <c r="P220" i="8"/>
  <c r="R202" i="8"/>
  <c r="R75" i="10" s="1"/>
  <c r="T40" i="3"/>
  <c r="V55" i="3"/>
  <c r="G65" i="3"/>
  <c r="L261" i="8"/>
  <c r="M260" i="8"/>
  <c r="M261" i="8" s="1"/>
  <c r="N261" i="8"/>
  <c r="U61" i="3"/>
  <c r="T146" i="8"/>
  <c r="T56" i="3"/>
  <c r="T57" i="3" s="1"/>
  <c r="H310" i="8"/>
  <c r="H179" i="10" s="1"/>
  <c r="K51" i="3"/>
  <c r="K106" i="3" s="1"/>
  <c r="V49" i="3"/>
  <c r="Q146" i="8"/>
  <c r="R171" i="8"/>
  <c r="P146" i="8"/>
  <c r="U49" i="3"/>
  <c r="K171" i="8"/>
  <c r="I171" i="8"/>
  <c r="T48" i="3"/>
  <c r="S202" i="8"/>
  <c r="S75" i="10" s="1"/>
  <c r="Q202" i="8"/>
  <c r="Q75" i="10" s="1"/>
  <c r="P202" i="8"/>
  <c r="P75" i="10" s="1"/>
  <c r="K133" i="8"/>
  <c r="N93" i="10"/>
  <c r="U40" i="3"/>
  <c r="L133" i="8"/>
  <c r="I177" i="8"/>
  <c r="H177" i="8"/>
  <c r="N166" i="8"/>
  <c r="V35" i="3"/>
  <c r="V38" i="3" s="1"/>
  <c r="P166" i="8"/>
  <c r="Q133" i="8"/>
  <c r="H38" i="3"/>
  <c r="R133" i="8"/>
  <c r="Q166" i="8"/>
  <c r="S166" i="8"/>
  <c r="U37" i="3"/>
  <c r="O164" i="8"/>
  <c r="N133" i="8"/>
  <c r="M133" i="8"/>
  <c r="V246" i="8"/>
  <c r="W240" i="8"/>
  <c r="C273" i="14"/>
  <c r="C290" i="14" s="1"/>
  <c r="C184" i="9"/>
  <c r="S190" i="9"/>
  <c r="V190" i="9"/>
  <c r="K83" i="7"/>
  <c r="T165" i="9"/>
  <c r="W190" i="9"/>
  <c r="S216" i="7"/>
  <c r="C53" i="9"/>
  <c r="C87" i="10" s="1"/>
  <c r="C164" i="9"/>
  <c r="K165" i="7"/>
  <c r="K31" i="9"/>
  <c r="D116" i="16"/>
  <c r="W88" i="9"/>
  <c r="E116" i="16"/>
  <c r="W89" i="9"/>
  <c r="K59" i="9"/>
  <c r="K68" i="9" s="1"/>
  <c r="C69" i="9"/>
  <c r="M225" i="7"/>
  <c r="M227" i="7" s="1"/>
  <c r="M232" i="7" s="1"/>
  <c r="C153" i="9"/>
  <c r="C154" i="9"/>
  <c r="C35" i="9"/>
  <c r="Y170" i="9"/>
  <c r="W90" i="9"/>
  <c r="C145" i="9"/>
  <c r="C61" i="9"/>
  <c r="T149" i="9"/>
  <c r="T27" i="10" s="1"/>
  <c r="C138" i="9"/>
  <c r="C137" i="9"/>
  <c r="R34" i="9"/>
  <c r="O64" i="9"/>
  <c r="F49" i="9"/>
  <c r="O61" i="9"/>
  <c r="O168" i="9"/>
  <c r="T65" i="9"/>
  <c r="C183" i="9"/>
  <c r="C86" i="10"/>
  <c r="F54" i="9"/>
  <c r="F88" i="10" s="1"/>
  <c r="U87" i="9"/>
  <c r="C163" i="9"/>
  <c r="U59" i="9"/>
  <c r="U68" i="9" s="1"/>
  <c r="N31" i="9"/>
  <c r="K37" i="9"/>
  <c r="L37" i="9"/>
  <c r="N37" i="9"/>
  <c r="N34" i="9"/>
  <c r="G16" i="9"/>
  <c r="G34" i="7" s="1"/>
  <c r="G31" i="9"/>
  <c r="M60" i="4"/>
  <c r="O209" i="8"/>
  <c r="K111" i="8"/>
  <c r="O111" i="8" s="1"/>
  <c r="O133" i="8"/>
  <c r="I304" i="8"/>
  <c r="H65" i="3"/>
  <c r="S177" i="8"/>
  <c r="J305" i="8"/>
  <c r="K303" i="8" s="1"/>
  <c r="O303" i="8" s="1"/>
  <c r="O304" i="8" s="1"/>
  <c r="T62" i="3"/>
  <c r="T165" i="8"/>
  <c r="Q177" i="8"/>
  <c r="U62" i="3"/>
  <c r="F224" i="8"/>
  <c r="U35" i="3"/>
  <c r="V62" i="3"/>
  <c r="S133" i="8"/>
  <c r="K224" i="8"/>
  <c r="Q220" i="8"/>
  <c r="T242" i="8"/>
  <c r="T273" i="8" s="1"/>
  <c r="T187" i="10" s="1"/>
  <c r="T202" i="8"/>
  <c r="T75" i="10" s="1"/>
  <c r="G303" i="8"/>
  <c r="G304" i="8" s="1"/>
  <c r="R220" i="8"/>
  <c r="I38" i="3"/>
  <c r="U50" i="3"/>
  <c r="J65" i="3"/>
  <c r="Q303" i="8"/>
  <c r="Q304" i="8" s="1"/>
  <c r="T41" i="3"/>
  <c r="G51" i="3"/>
  <c r="G106" i="3" s="1"/>
  <c r="V50" i="3"/>
  <c r="K65" i="3"/>
  <c r="K68" i="3" s="1"/>
  <c r="K93" i="3" s="1"/>
  <c r="J138" i="8"/>
  <c r="J146" i="8" s="1"/>
  <c r="N202" i="8"/>
  <c r="N75" i="10" s="1"/>
  <c r="L265" i="8"/>
  <c r="L266" i="8" s="1"/>
  <c r="J170" i="8"/>
  <c r="S220" i="8"/>
  <c r="T219" i="8"/>
  <c r="U53" i="3"/>
  <c r="V61" i="3"/>
  <c r="T152" i="8"/>
  <c r="F166" i="8"/>
  <c r="U202" i="8"/>
  <c r="U75" i="10" s="1"/>
  <c r="Q261" i="8"/>
  <c r="N155" i="8"/>
  <c r="O155" i="8" s="1"/>
  <c r="T36" i="3"/>
  <c r="S224" i="8"/>
  <c r="G308" i="8"/>
  <c r="G310" i="8" s="1"/>
  <c r="G179" i="10" s="1"/>
  <c r="V53" i="3"/>
  <c r="G93" i="10"/>
  <c r="H93" i="10"/>
  <c r="T61" i="3"/>
  <c r="P224" i="8"/>
  <c r="K220" i="8"/>
  <c r="Q224" i="8"/>
  <c r="V43" i="3"/>
  <c r="V54" i="3"/>
  <c r="R146" i="8"/>
  <c r="H166" i="8"/>
  <c r="Q171" i="8"/>
  <c r="L93" i="10"/>
  <c r="M55" i="9"/>
  <c r="M89" i="10" s="1"/>
  <c r="M53" i="9"/>
  <c r="M87" i="10" s="1"/>
  <c r="K54" i="9"/>
  <c r="K88" i="10" s="1"/>
  <c r="K56" i="9"/>
  <c r="K90" i="10" s="1"/>
  <c r="H49" i="9"/>
  <c r="V86" i="9"/>
  <c r="W86" i="9"/>
  <c r="AD174" i="9"/>
  <c r="P30" i="7"/>
  <c r="Q30" i="7"/>
  <c r="K30" i="7"/>
  <c r="M16" i="9"/>
  <c r="M34" i="7" s="1"/>
  <c r="M30" i="7"/>
  <c r="M28" i="8"/>
  <c r="N16" i="9"/>
  <c r="N34" i="7" s="1"/>
  <c r="N30" i="7"/>
  <c r="N28" i="8"/>
  <c r="N18" i="9"/>
  <c r="N40" i="7" s="1"/>
  <c r="F28" i="8"/>
  <c r="F114" i="10" s="1"/>
  <c r="F21" i="9"/>
  <c r="F49" i="7" s="1"/>
  <c r="F20" i="9"/>
  <c r="F46" i="7" s="1"/>
  <c r="F16" i="9"/>
  <c r="F34" i="7" s="1"/>
  <c r="F18" i="9"/>
  <c r="F40" i="7" s="1"/>
  <c r="F30" i="7"/>
  <c r="F17" i="9"/>
  <c r="F37" i="7" s="1"/>
  <c r="F19" i="9"/>
  <c r="F43" i="7" s="1"/>
  <c r="R89" i="9"/>
  <c r="N90" i="9"/>
  <c r="S89" i="9"/>
  <c r="O170" i="9"/>
  <c r="H88" i="9"/>
  <c r="S54" i="9"/>
  <c r="S88" i="10" s="1"/>
  <c r="I89" i="9"/>
  <c r="M89" i="9"/>
  <c r="R53" i="9"/>
  <c r="R87" i="10" s="1"/>
  <c r="C14" i="7"/>
  <c r="N59" i="7"/>
  <c r="T41" i="9"/>
  <c r="T56" i="9" s="1"/>
  <c r="T90" i="10" s="1"/>
  <c r="S53" i="9"/>
  <c r="S87" i="10" s="1"/>
  <c r="O171" i="9"/>
  <c r="I86" i="9"/>
  <c r="C127" i="9"/>
  <c r="Q146" i="7"/>
  <c r="T151" i="7"/>
  <c r="C201" i="7"/>
  <c r="M213" i="7"/>
  <c r="M215" i="7" s="1"/>
  <c r="O147" i="9"/>
  <c r="O17" i="10" s="1"/>
  <c r="J64" i="9"/>
  <c r="T171" i="9"/>
  <c r="K86" i="9"/>
  <c r="U89" i="9"/>
  <c r="R139" i="7"/>
  <c r="R145" i="7" s="1"/>
  <c r="R146" i="7" s="1"/>
  <c r="U151" i="7"/>
  <c r="N213" i="7"/>
  <c r="N215" i="7" s="1"/>
  <c r="N220" i="7" s="1"/>
  <c r="N35" i="9"/>
  <c r="J61" i="9"/>
  <c r="M49" i="9"/>
  <c r="I190" i="9"/>
  <c r="L38" i="9"/>
  <c r="F77" i="7"/>
  <c r="K177" i="7"/>
  <c r="G35" i="9"/>
  <c r="U54" i="9"/>
  <c r="U88" i="10" s="1"/>
  <c r="N77" i="7"/>
  <c r="N151" i="7"/>
  <c r="S151" i="7"/>
  <c r="L35" i="9"/>
  <c r="M86" i="9"/>
  <c r="T44" i="7"/>
  <c r="AI44" i="7" s="1"/>
  <c r="R127" i="7"/>
  <c r="R133" i="7" s="1"/>
  <c r="S52" i="9"/>
  <c r="S86" i="10" s="1"/>
  <c r="AC89" i="9"/>
  <c r="G53" i="7"/>
  <c r="T166" i="9"/>
  <c r="M20" i="9"/>
  <c r="M46" i="7" s="1"/>
  <c r="M56" i="9"/>
  <c r="M90" i="10" s="1"/>
  <c r="H87" i="9"/>
  <c r="G122" i="7"/>
  <c r="N55" i="9"/>
  <c r="N89" i="10" s="1"/>
  <c r="F65" i="7"/>
  <c r="Q55" i="9"/>
  <c r="Q89" i="10" s="1"/>
  <c r="S165" i="7"/>
  <c r="S167" i="7" s="1"/>
  <c r="S172" i="7" s="1"/>
  <c r="S55" i="9"/>
  <c r="S89" i="10" s="1"/>
  <c r="T165" i="7"/>
  <c r="N38" i="9"/>
  <c r="S57" i="9"/>
  <c r="S91" i="10" s="1"/>
  <c r="L177" i="7"/>
  <c r="L179" i="7" s="1"/>
  <c r="L184" i="7" s="1"/>
  <c r="H39" i="9"/>
  <c r="M177" i="7"/>
  <c r="M179" i="7" s="1"/>
  <c r="K35" i="9"/>
  <c r="U190" i="9"/>
  <c r="U127" i="7"/>
  <c r="U133" i="7" s="1"/>
  <c r="V133" i="7" s="1"/>
  <c r="W133" i="7" s="1"/>
  <c r="L20" i="9"/>
  <c r="L46" i="7" s="1"/>
  <c r="H53" i="7"/>
  <c r="N20" i="9"/>
  <c r="N46" i="7" s="1"/>
  <c r="T150" i="9"/>
  <c r="T32" i="10" s="1"/>
  <c r="F37" i="9"/>
  <c r="L59" i="9"/>
  <c r="L72" i="9" s="1"/>
  <c r="I87" i="9"/>
  <c r="I65" i="7"/>
  <c r="R55" i="9"/>
  <c r="R89" i="10" s="1"/>
  <c r="AC87" i="9"/>
  <c r="K38" i="9"/>
  <c r="C77" i="7"/>
  <c r="L77" i="7"/>
  <c r="T146" i="9"/>
  <c r="T12" i="10" s="1"/>
  <c r="H35" i="9"/>
  <c r="Q53" i="9"/>
  <c r="Q87" i="10" s="1"/>
  <c r="Q127" i="7"/>
  <c r="Q133" i="7" s="1"/>
  <c r="S139" i="7"/>
  <c r="S145" i="7" s="1"/>
  <c r="H36" i="9"/>
  <c r="K36" i="9"/>
  <c r="U52" i="9"/>
  <c r="U86" i="10" s="1"/>
  <c r="L30" i="7"/>
  <c r="K53" i="7"/>
  <c r="N49" i="9"/>
  <c r="F31" i="9"/>
  <c r="G37" i="9"/>
  <c r="Q87" i="9"/>
  <c r="I90" i="9"/>
  <c r="K187" i="8"/>
  <c r="K134" i="10" s="1"/>
  <c r="K203" i="8"/>
  <c r="K30" i="8"/>
  <c r="K66" i="8" s="1"/>
  <c r="K7" i="10" s="1"/>
  <c r="T28" i="8"/>
  <c r="H8" i="3"/>
  <c r="Q30" i="8"/>
  <c r="H11" i="3" s="1"/>
  <c r="Q250" i="8"/>
  <c r="Q183" i="8"/>
  <c r="Q70" i="8"/>
  <c r="Q57" i="10" s="1"/>
  <c r="Q68" i="8"/>
  <c r="Q45" i="10" s="1"/>
  <c r="R70" i="8"/>
  <c r="R57" i="10" s="1"/>
  <c r="I8" i="3"/>
  <c r="S70" i="8"/>
  <c r="S57" i="10" s="1"/>
  <c r="J8" i="3"/>
  <c r="F53" i="9"/>
  <c r="F87" i="10" s="1"/>
  <c r="K17" i="9"/>
  <c r="K37" i="7" s="1"/>
  <c r="T35" i="7"/>
  <c r="T59" i="7" s="1"/>
  <c r="L17" i="9"/>
  <c r="L37" i="7" s="1"/>
  <c r="K21" i="9"/>
  <c r="K49" i="7" s="1"/>
  <c r="H53" i="9"/>
  <c r="H87" i="10" s="1"/>
  <c r="R30" i="7"/>
  <c r="T41" i="7"/>
  <c r="T127" i="7" s="1"/>
  <c r="T133" i="7" s="1"/>
  <c r="P77" i="7"/>
  <c r="H98" i="7"/>
  <c r="G28" i="8"/>
  <c r="M17" i="9"/>
  <c r="M37" i="7" s="1"/>
  <c r="M21" i="9"/>
  <c r="M49" i="7" s="1"/>
  <c r="R37" i="9"/>
  <c r="F52" i="9"/>
  <c r="F86" i="10" s="1"/>
  <c r="O172" i="9"/>
  <c r="P86" i="9"/>
  <c r="J146" i="9"/>
  <c r="J12" i="10" s="1"/>
  <c r="U55" i="9"/>
  <c r="U89" i="10" s="1"/>
  <c r="U30" i="7"/>
  <c r="F53" i="7"/>
  <c r="H65" i="7"/>
  <c r="L71" i="7"/>
  <c r="R77" i="7"/>
  <c r="J24" i="9"/>
  <c r="U37" i="9"/>
  <c r="H52" i="9"/>
  <c r="H86" i="10" s="1"/>
  <c r="N53" i="9"/>
  <c r="N87" i="10" s="1"/>
  <c r="Q54" i="9"/>
  <c r="Q88" i="10" s="1"/>
  <c r="Y172" i="9"/>
  <c r="R86" i="9"/>
  <c r="G90" i="9"/>
  <c r="S30" i="7"/>
  <c r="G65" i="7"/>
  <c r="F71" i="7"/>
  <c r="Q77" i="7"/>
  <c r="H28" i="8"/>
  <c r="N17" i="9"/>
  <c r="N37" i="7" s="1"/>
  <c r="N21" i="9"/>
  <c r="N49" i="7" s="1"/>
  <c r="S37" i="9"/>
  <c r="G52" i="9"/>
  <c r="G86" i="10" s="1"/>
  <c r="Q86" i="9"/>
  <c r="K59" i="7"/>
  <c r="S77" i="7"/>
  <c r="L28" i="8"/>
  <c r="R35" i="9"/>
  <c r="G59" i="9"/>
  <c r="G72" i="9" s="1"/>
  <c r="T60" i="9"/>
  <c r="R88" i="9"/>
  <c r="C38" i="7"/>
  <c r="U88" i="9"/>
  <c r="M18" i="9"/>
  <c r="M40" i="7" s="1"/>
  <c r="AC86" i="9"/>
  <c r="P90" i="9"/>
  <c r="F36" i="9"/>
  <c r="S59" i="9"/>
  <c r="S70" i="9" s="1"/>
  <c r="R90" i="9"/>
  <c r="L18" i="9"/>
  <c r="L40" i="7" s="1"/>
  <c r="N52" i="9"/>
  <c r="N86" i="10" s="1"/>
  <c r="U86" i="9"/>
  <c r="Q53" i="7"/>
  <c r="O213" i="7"/>
  <c r="N59" i="9"/>
  <c r="N73" i="9" s="1"/>
  <c r="T173" i="9"/>
  <c r="H122" i="7"/>
  <c r="R59" i="7"/>
  <c r="P213" i="7"/>
  <c r="J47" i="7"/>
  <c r="J151" i="7" s="1"/>
  <c r="G165" i="7"/>
  <c r="G167" i="7" s="1"/>
  <c r="Q213" i="7"/>
  <c r="Q215" i="7" s="1"/>
  <c r="Q220" i="7" s="1"/>
  <c r="N225" i="7"/>
  <c r="N227" i="7" s="1"/>
  <c r="N232" i="7" s="1"/>
  <c r="L31" i="9"/>
  <c r="G36" i="9"/>
  <c r="F57" i="9"/>
  <c r="F91" i="10" s="1"/>
  <c r="AC88" i="9"/>
  <c r="Y171" i="9"/>
  <c r="J38" i="7"/>
  <c r="AI38" i="7" s="1"/>
  <c r="H165" i="7"/>
  <c r="H167" i="7" s="1"/>
  <c r="G19" i="9"/>
  <c r="G43" i="7" s="1"/>
  <c r="G57" i="9"/>
  <c r="G91" i="10" s="1"/>
  <c r="G53" i="9"/>
  <c r="G87" i="10" s="1"/>
  <c r="C16" i="7"/>
  <c r="J147" i="9"/>
  <c r="J17" i="10" s="1"/>
  <c r="H57" i="9"/>
  <c r="H91" i="10" s="1"/>
  <c r="J62" i="9"/>
  <c r="S91" i="7"/>
  <c r="S97" i="7" s="1"/>
  <c r="T115" i="7"/>
  <c r="T121" i="7" s="1"/>
  <c r="C127" i="7"/>
  <c r="U225" i="7"/>
  <c r="U227" i="7" s="1"/>
  <c r="V227" i="7" s="1"/>
  <c r="R67" i="8"/>
  <c r="R40" i="10" s="1"/>
  <c r="G34" i="9"/>
  <c r="L36" i="9"/>
  <c r="K39" i="9"/>
  <c r="F56" i="9"/>
  <c r="F90" i="10" s="1"/>
  <c r="N57" i="9"/>
  <c r="N91" i="10" s="1"/>
  <c r="T170" i="9"/>
  <c r="T174" i="9"/>
  <c r="P190" i="9"/>
  <c r="O164" i="9"/>
  <c r="O36" i="7" s="1"/>
  <c r="O60" i="7" s="1"/>
  <c r="R91" i="7"/>
  <c r="R97" i="7" s="1"/>
  <c r="R98" i="7" s="1"/>
  <c r="T91" i="7"/>
  <c r="T97" i="7" s="1"/>
  <c r="L103" i="7"/>
  <c r="L109" i="7" s="1"/>
  <c r="L110" i="7" s="1"/>
  <c r="Q165" i="7"/>
  <c r="Q167" i="7" s="1"/>
  <c r="Q172" i="7" s="1"/>
  <c r="T163" i="9"/>
  <c r="T33" i="7" s="1"/>
  <c r="T54" i="7" s="1"/>
  <c r="T168" i="9"/>
  <c r="N39" i="9"/>
  <c r="P89" i="9"/>
  <c r="Q190" i="9"/>
  <c r="Q67" i="8"/>
  <c r="Q40" i="10" s="1"/>
  <c r="U91" i="7"/>
  <c r="U97" i="7" s="1"/>
  <c r="V97" i="7" s="1"/>
  <c r="R103" i="7"/>
  <c r="R109" i="7" s="1"/>
  <c r="P127" i="7"/>
  <c r="P133" i="7" s="1"/>
  <c r="F139" i="7"/>
  <c r="F145" i="7" s="1"/>
  <c r="G146" i="7" s="1"/>
  <c r="L151" i="7"/>
  <c r="R165" i="7"/>
  <c r="R167" i="7" s="1"/>
  <c r="R39" i="9"/>
  <c r="H56" i="9"/>
  <c r="H90" i="10" s="1"/>
  <c r="R190" i="9"/>
  <c r="P45" i="17"/>
  <c r="AJ76" i="11"/>
  <c r="BH77" i="11"/>
  <c r="H29" i="14"/>
  <c r="H28" i="14" s="1"/>
  <c r="J203" i="7"/>
  <c r="J208" i="7" s="1"/>
  <c r="G196" i="7"/>
  <c r="G192" i="7"/>
  <c r="O129" i="7"/>
  <c r="AD220" i="7"/>
  <c r="T129" i="7"/>
  <c r="O141" i="7"/>
  <c r="AD172" i="7"/>
  <c r="Q192" i="7"/>
  <c r="AD208" i="7"/>
  <c r="E61" i="17"/>
  <c r="E67" i="17" s="1"/>
  <c r="Q67" i="17" s="1"/>
  <c r="O145" i="7"/>
  <c r="T93" i="7"/>
  <c r="Z72" i="11"/>
  <c r="Z14" i="11" s="1"/>
  <c r="L98" i="7"/>
  <c r="P196" i="7"/>
  <c r="S220" i="7"/>
  <c r="M134" i="7"/>
  <c r="AV31" i="11"/>
  <c r="BK76" i="11"/>
  <c r="H77" i="11"/>
  <c r="L77" i="11"/>
  <c r="BC76" i="11"/>
  <c r="BE77" i="11"/>
  <c r="E45" i="17"/>
  <c r="E51" i="17" s="1"/>
  <c r="Q51" i="17" s="1"/>
  <c r="P46" i="17"/>
  <c r="AB51" i="11"/>
  <c r="AB69" i="11" s="1"/>
  <c r="AC78" i="11"/>
  <c r="AD78" i="11"/>
  <c r="AV72" i="11"/>
  <c r="BC78" i="11"/>
  <c r="BJ77" i="11"/>
  <c r="BK77" i="11"/>
  <c r="E93" i="17"/>
  <c r="Q93" i="17" s="1"/>
  <c r="E109" i="17"/>
  <c r="E110" i="17" s="1"/>
  <c r="P30" i="17"/>
  <c r="AG76" i="11"/>
  <c r="BE78" i="11"/>
  <c r="N77" i="11"/>
  <c r="Z10" i="11"/>
  <c r="C37" i="13"/>
  <c r="AI76" i="11"/>
  <c r="BK78" i="11"/>
  <c r="Z30" i="11"/>
  <c r="AM79" i="11"/>
  <c r="P110" i="17"/>
  <c r="M78" i="11"/>
  <c r="BE76" i="11"/>
  <c r="AY79" i="11"/>
  <c r="BI76" i="11"/>
  <c r="BA79" i="11"/>
  <c r="P79" i="17"/>
  <c r="P31" i="17"/>
  <c r="P62" i="17"/>
  <c r="BC77" i="11"/>
  <c r="AI79" i="11"/>
  <c r="P111" i="17"/>
  <c r="AG60" i="11"/>
  <c r="AY78" i="11"/>
  <c r="P77" i="11"/>
  <c r="E77" i="17"/>
  <c r="E83" i="17" s="1"/>
  <c r="Q83" i="17" s="1"/>
  <c r="AO76" i="11"/>
  <c r="P93" i="17"/>
  <c r="O93" i="17" s="1"/>
  <c r="P94" i="17"/>
  <c r="O94" i="17" s="1"/>
  <c r="R77" i="11"/>
  <c r="AC77" i="11"/>
  <c r="L79" i="11"/>
  <c r="L76" i="11"/>
  <c r="AE77" i="11"/>
  <c r="N79" i="11"/>
  <c r="P29" i="17"/>
  <c r="AG77" i="11"/>
  <c r="P79" i="11"/>
  <c r="AO79" i="11"/>
  <c r="N76" i="11"/>
  <c r="AI77" i="11"/>
  <c r="R79" i="11"/>
  <c r="AO77" i="11"/>
  <c r="AG79" i="11"/>
  <c r="T19" i="5"/>
  <c r="T20" i="5" s="1"/>
  <c r="U5" i="5"/>
  <c r="U26" i="5"/>
  <c r="S180" i="7"/>
  <c r="S184" i="7"/>
  <c r="S65" i="7"/>
  <c r="S115" i="7"/>
  <c r="S121" i="7" s="1"/>
  <c r="S71" i="7"/>
  <c r="S127" i="7"/>
  <c r="S133" i="7" s="1"/>
  <c r="G225" i="7"/>
  <c r="G227" i="7" s="1"/>
  <c r="G151" i="7"/>
  <c r="J166" i="7"/>
  <c r="M220" i="14"/>
  <c r="B10" i="14"/>
  <c r="H103" i="7"/>
  <c r="H109" i="7" s="1"/>
  <c r="H177" i="7"/>
  <c r="H179" i="7" s="1"/>
  <c r="H59" i="7"/>
  <c r="I103" i="7"/>
  <c r="I109" i="7" s="1"/>
  <c r="I59" i="7"/>
  <c r="I177" i="7"/>
  <c r="I179" i="7" s="1"/>
  <c r="G177" i="7"/>
  <c r="G179" i="7" s="1"/>
  <c r="G103" i="7"/>
  <c r="G109" i="7" s="1"/>
  <c r="G110" i="7" s="1"/>
  <c r="G59" i="7"/>
  <c r="J31" i="14"/>
  <c r="U250" i="8"/>
  <c r="U67" i="8"/>
  <c r="U40" i="10" s="1"/>
  <c r="U203" i="8"/>
  <c r="U70" i="8"/>
  <c r="U57" i="10" s="1"/>
  <c r="U68" i="8"/>
  <c r="U45" i="10" s="1"/>
  <c r="U30" i="8"/>
  <c r="U69" i="8"/>
  <c r="U50" i="10" s="1"/>
  <c r="J103" i="7"/>
  <c r="J109" i="7" s="1"/>
  <c r="J59" i="7"/>
  <c r="N127" i="7"/>
  <c r="N133" i="7" s="1"/>
  <c r="N134" i="7" s="1"/>
  <c r="N71" i="7"/>
  <c r="J38" i="3"/>
  <c r="O127" i="7"/>
  <c r="O133" i="7" s="1"/>
  <c r="O71" i="7"/>
  <c r="H213" i="7"/>
  <c r="H215" i="7" s="1"/>
  <c r="H77" i="7"/>
  <c r="H139" i="7"/>
  <c r="H145" i="7" s="1"/>
  <c r="H146" i="7" s="1"/>
  <c r="F170" i="8"/>
  <c r="F138" i="8"/>
  <c r="F146" i="8" s="1"/>
  <c r="AE134" i="10"/>
  <c r="I213" i="7"/>
  <c r="I215" i="7" s="1"/>
  <c r="I77" i="7"/>
  <c r="I139" i="7"/>
  <c r="I145" i="7" s="1"/>
  <c r="G98" i="7"/>
  <c r="U203" i="7"/>
  <c r="V203" i="7" s="1"/>
  <c r="J77" i="7"/>
  <c r="J139" i="7"/>
  <c r="J145" i="7" s="1"/>
  <c r="J213" i="7"/>
  <c r="U177" i="7"/>
  <c r="U103" i="7"/>
  <c r="L115" i="7"/>
  <c r="L121" i="7" s="1"/>
  <c r="L65" i="7"/>
  <c r="I196" i="7"/>
  <c r="I192" i="7"/>
  <c r="O191" i="7"/>
  <c r="K192" i="7"/>
  <c r="C26" i="19"/>
  <c r="C26" i="18"/>
  <c r="C99" i="9"/>
  <c r="C32" i="7"/>
  <c r="H225" i="7"/>
  <c r="H227" i="7" s="1"/>
  <c r="H151" i="7"/>
  <c r="H83" i="7"/>
  <c r="I151" i="7"/>
  <c r="I225" i="7"/>
  <c r="I227" i="7" s="1"/>
  <c r="I83" i="7"/>
  <c r="M115" i="7"/>
  <c r="M121" i="7" s="1"/>
  <c r="M65" i="7"/>
  <c r="K8" i="3"/>
  <c r="M165" i="7"/>
  <c r="M167" i="7" s="1"/>
  <c r="M91" i="7"/>
  <c r="M97" i="7" s="1"/>
  <c r="M98" i="7" s="1"/>
  <c r="M53" i="7"/>
  <c r="K183" i="9"/>
  <c r="K33" i="7" s="1"/>
  <c r="K54" i="7" s="1"/>
  <c r="I183" i="9"/>
  <c r="I33" i="7" s="1"/>
  <c r="I54" i="7" s="1"/>
  <c r="J8" i="9"/>
  <c r="N163" i="9"/>
  <c r="I7" i="9"/>
  <c r="I16" i="9" s="1"/>
  <c r="I34" i="7" s="1"/>
  <c r="I32" i="7"/>
  <c r="K38" i="3"/>
  <c r="P111" i="8"/>
  <c r="S103" i="7"/>
  <c r="S109" i="7" s="1"/>
  <c r="S59" i="7"/>
  <c r="F265" i="8"/>
  <c r="F266" i="8" s="1"/>
  <c r="C33" i="13"/>
  <c r="D71" i="11"/>
  <c r="K115" i="7"/>
  <c r="K121" i="7" s="1"/>
  <c r="K122" i="7" s="1"/>
  <c r="K65" i="7"/>
  <c r="N165" i="7"/>
  <c r="N167" i="7" s="1"/>
  <c r="N91" i="7"/>
  <c r="N97" i="7" s="1"/>
  <c r="N53" i="7"/>
  <c r="AD6" i="15"/>
  <c r="AL6" i="15" s="1"/>
  <c r="AR6" i="15" s="1"/>
  <c r="X6" i="15"/>
  <c r="R6" i="15"/>
  <c r="O165" i="7"/>
  <c r="O91" i="7"/>
  <c r="O97" i="7" s="1"/>
  <c r="O53" i="7"/>
  <c r="J177" i="7"/>
  <c r="K208" i="7"/>
  <c r="O203" i="7"/>
  <c r="K204" i="7"/>
  <c r="P91" i="7"/>
  <c r="P97" i="7" s="1"/>
  <c r="P53" i="7"/>
  <c r="U213" i="7"/>
  <c r="U139" i="7"/>
  <c r="P151" i="7"/>
  <c r="P225" i="7"/>
  <c r="P227" i="7" s="1"/>
  <c r="P83" i="7"/>
  <c r="F225" i="7"/>
  <c r="F227" i="7" s="1"/>
  <c r="F151" i="7"/>
  <c r="F83" i="7"/>
  <c r="G202" i="8"/>
  <c r="G75" i="10" s="1"/>
  <c r="H202" i="8"/>
  <c r="H75" i="10" s="1"/>
  <c r="N208" i="7"/>
  <c r="N204" i="7"/>
  <c r="Q209" i="8"/>
  <c r="Q60" i="8"/>
  <c r="Q49" i="9" s="1"/>
  <c r="T34" i="8"/>
  <c r="H5" i="18"/>
  <c r="H5" i="19"/>
  <c r="N50" i="14"/>
  <c r="R8" i="11"/>
  <c r="R49" i="11" s="1"/>
  <c r="P8" i="11"/>
  <c r="P49" i="11" s="1"/>
  <c r="N8" i="11"/>
  <c r="N49" i="11" s="1"/>
  <c r="L8" i="11"/>
  <c r="L49" i="11" s="1"/>
  <c r="J8" i="11"/>
  <c r="T8" i="11"/>
  <c r="T49" i="11" s="1"/>
  <c r="BB8" i="11"/>
  <c r="BB49" i="11" s="1"/>
  <c r="AF8" i="11"/>
  <c r="AF49" i="11" s="1"/>
  <c r="V8" i="11"/>
  <c r="V49" i="11" s="1"/>
  <c r="K48" i="16"/>
  <c r="K51" i="16" s="1"/>
  <c r="C213" i="7"/>
  <c r="P69" i="8"/>
  <c r="P50" i="10" s="1"/>
  <c r="P183" i="8"/>
  <c r="P203" i="8"/>
  <c r="P250" i="8"/>
  <c r="P68" i="8"/>
  <c r="P45" i="10" s="1"/>
  <c r="P70" i="8"/>
  <c r="P57" i="10" s="1"/>
  <c r="P30" i="8"/>
  <c r="L165" i="7"/>
  <c r="L167" i="7" s="1"/>
  <c r="L53" i="7"/>
  <c r="K139" i="7"/>
  <c r="K145" i="7" s="1"/>
  <c r="L146" i="7" s="1"/>
  <c r="K213" i="7"/>
  <c r="S232" i="7"/>
  <c r="F177" i="8"/>
  <c r="U170" i="8"/>
  <c r="U138" i="8"/>
  <c r="P115" i="7"/>
  <c r="P121" i="7" s="1"/>
  <c r="T32" i="8"/>
  <c r="T188" i="8" s="1"/>
  <c r="M177" i="8"/>
  <c r="M166" i="8"/>
  <c r="N89" i="7"/>
  <c r="N163" i="7"/>
  <c r="N51" i="7"/>
  <c r="Q115" i="7"/>
  <c r="Q121" i="7" s="1"/>
  <c r="C225" i="7"/>
  <c r="C18" i="7"/>
  <c r="C83" i="7"/>
  <c r="R115" i="7"/>
  <c r="R121" i="7" s="1"/>
  <c r="I122" i="7"/>
  <c r="R184" i="7"/>
  <c r="N192" i="7"/>
  <c r="N196" i="7"/>
  <c r="L213" i="7"/>
  <c r="L215" i="7" s="1"/>
  <c r="C48" i="16"/>
  <c r="C51" i="16" s="1"/>
  <c r="C177" i="7"/>
  <c r="C59" i="7"/>
  <c r="N115" i="7"/>
  <c r="N121" i="7" s="1"/>
  <c r="N65" i="7"/>
  <c r="U115" i="7"/>
  <c r="F165" i="7"/>
  <c r="F167" i="7" s="1"/>
  <c r="U191" i="7"/>
  <c r="V191" i="7" s="1"/>
  <c r="W191" i="7" s="1"/>
  <c r="W189" i="7" s="1"/>
  <c r="R203" i="8"/>
  <c r="R69" i="8"/>
  <c r="R50" i="10" s="1"/>
  <c r="R250" i="8"/>
  <c r="R68" i="8"/>
  <c r="R45" i="10" s="1"/>
  <c r="R183" i="8"/>
  <c r="Q310" i="8"/>
  <c r="Q179" i="10" s="1"/>
  <c r="Q309" i="8"/>
  <c r="Q174" i="10" s="1"/>
  <c r="F177" i="7"/>
  <c r="F179" i="7" s="1"/>
  <c r="F59" i="7"/>
  <c r="O115" i="7"/>
  <c r="O121" i="7" s="1"/>
  <c r="O65" i="7"/>
  <c r="G213" i="7"/>
  <c r="G215" i="7" s="1"/>
  <c r="G77" i="7"/>
  <c r="S203" i="8"/>
  <c r="S183" i="8"/>
  <c r="S67" i="8"/>
  <c r="S40" i="10" s="1"/>
  <c r="S68" i="8"/>
  <c r="S45" i="10" s="1"/>
  <c r="S30" i="8"/>
  <c r="AD40" i="8"/>
  <c r="Q151" i="7"/>
  <c r="Q225" i="7"/>
  <c r="Q227" i="7" s="1"/>
  <c r="M77" i="7"/>
  <c r="L274" i="8"/>
  <c r="L109" i="10" s="1"/>
  <c r="AD171" i="9"/>
  <c r="AE192" i="9"/>
  <c r="G127" i="7"/>
  <c r="G133" i="7" s="1"/>
  <c r="G134" i="7" s="1"/>
  <c r="G71" i="7"/>
  <c r="M146" i="7"/>
  <c r="R151" i="7"/>
  <c r="R225" i="7"/>
  <c r="R227" i="7" s="1"/>
  <c r="M71" i="7"/>
  <c r="L204" i="7"/>
  <c r="T253" i="8"/>
  <c r="R177" i="8"/>
  <c r="R166" i="8"/>
  <c r="H127" i="7"/>
  <c r="H133" i="7" s="1"/>
  <c r="H71" i="7"/>
  <c r="N146" i="7"/>
  <c r="O77" i="7"/>
  <c r="Q83" i="7"/>
  <c r="H192" i="7"/>
  <c r="M204" i="7"/>
  <c r="L169" i="8"/>
  <c r="L188" i="8" s="1"/>
  <c r="L138" i="8"/>
  <c r="U253" i="8"/>
  <c r="Y253" i="8"/>
  <c r="C10" i="7"/>
  <c r="I127" i="7"/>
  <c r="I133" i="7" s="1"/>
  <c r="I71" i="7"/>
  <c r="R83" i="7"/>
  <c r="S69" i="8"/>
  <c r="S50" i="10" s="1"/>
  <c r="J127" i="7"/>
  <c r="J133" i="7" s="1"/>
  <c r="J71" i="7"/>
  <c r="P146" i="7"/>
  <c r="S83" i="7"/>
  <c r="T105" i="7"/>
  <c r="H208" i="7"/>
  <c r="H204" i="7"/>
  <c r="M171" i="8"/>
  <c r="M202" i="8"/>
  <c r="M75" i="10" s="1"/>
  <c r="P103" i="7"/>
  <c r="P109" i="7" s="1"/>
  <c r="P110" i="7" s="1"/>
  <c r="P177" i="7"/>
  <c r="K127" i="7"/>
  <c r="K133" i="7" s="1"/>
  <c r="K71" i="7"/>
  <c r="T83" i="7"/>
  <c r="L192" i="7"/>
  <c r="F196" i="7"/>
  <c r="J191" i="7"/>
  <c r="J196" i="7" s="1"/>
  <c r="Q103" i="7"/>
  <c r="Q109" i="7" s="1"/>
  <c r="Q177" i="7"/>
  <c r="Q179" i="7" s="1"/>
  <c r="C103" i="7"/>
  <c r="M192" i="7"/>
  <c r="M196" i="7"/>
  <c r="P208" i="7"/>
  <c r="P204" i="7"/>
  <c r="T203" i="7"/>
  <c r="U133" i="8"/>
  <c r="U187" i="8"/>
  <c r="U134" i="10" s="1"/>
  <c r="L177" i="8"/>
  <c r="G208" i="7"/>
  <c r="P67" i="8"/>
  <c r="P40" i="10" s="1"/>
  <c r="U177" i="8"/>
  <c r="U166" i="8"/>
  <c r="G171" i="8"/>
  <c r="G253" i="8"/>
  <c r="I209" i="8"/>
  <c r="J34" i="8"/>
  <c r="H171" i="8"/>
  <c r="G177" i="8"/>
  <c r="L202" i="8"/>
  <c r="L75" i="10" s="1"/>
  <c r="F220" i="8"/>
  <c r="F133" i="8"/>
  <c r="K146" i="8"/>
  <c r="K311" i="8"/>
  <c r="R261" i="8"/>
  <c r="S260" i="8"/>
  <c r="S261" i="8" s="1"/>
  <c r="I79" i="11"/>
  <c r="I78" i="11"/>
  <c r="I77" i="11"/>
  <c r="I76" i="11"/>
  <c r="AH79" i="11"/>
  <c r="AH78" i="11"/>
  <c r="AH77" i="11"/>
  <c r="AH76" i="11"/>
  <c r="BF76" i="11"/>
  <c r="BF77" i="11"/>
  <c r="BF78" i="11"/>
  <c r="G133" i="8"/>
  <c r="L311" i="8"/>
  <c r="O171" i="8"/>
  <c r="R224" i="8"/>
  <c r="M103" i="7"/>
  <c r="M109" i="7" s="1"/>
  <c r="U165" i="7"/>
  <c r="N177" i="7"/>
  <c r="N179" i="7" s="1"/>
  <c r="P167" i="10"/>
  <c r="N308" i="8"/>
  <c r="H146" i="8"/>
  <c r="S146" i="8"/>
  <c r="P171" i="8"/>
  <c r="P177" i="8"/>
  <c r="O177" i="7"/>
  <c r="Q208" i="7"/>
  <c r="Q204" i="7"/>
  <c r="K250" i="8"/>
  <c r="K70" i="8"/>
  <c r="K57" i="10" s="1"/>
  <c r="K67" i="8"/>
  <c r="K40" i="10" s="1"/>
  <c r="K69" i="8"/>
  <c r="K50" i="10" s="1"/>
  <c r="K183" i="8"/>
  <c r="K68" i="8"/>
  <c r="K45" i="10" s="1"/>
  <c r="O144" i="8"/>
  <c r="N311" i="8"/>
  <c r="G223" i="8"/>
  <c r="G146" i="8"/>
  <c r="L166" i="8"/>
  <c r="Q167" i="10"/>
  <c r="O103" i="7"/>
  <c r="O109" i="7" s="1"/>
  <c r="R192" i="7"/>
  <c r="R204" i="7"/>
  <c r="O142" i="8"/>
  <c r="I166" i="8"/>
  <c r="T191" i="7"/>
  <c r="S192" i="7"/>
  <c r="S204" i="7"/>
  <c r="K225" i="7"/>
  <c r="K227" i="7" s="1"/>
  <c r="N72" i="10"/>
  <c r="N4" i="10"/>
  <c r="N184" i="10"/>
  <c r="N121" i="10"/>
  <c r="N63" i="8"/>
  <c r="T29" i="8"/>
  <c r="J166" i="8"/>
  <c r="J177" i="8"/>
  <c r="O83" i="7"/>
  <c r="O151" i="7"/>
  <c r="L225" i="7"/>
  <c r="L227" i="7" s="1"/>
  <c r="I60" i="8"/>
  <c r="I49" i="9" s="1"/>
  <c r="N170" i="8"/>
  <c r="N138" i="8"/>
  <c r="K166" i="8"/>
  <c r="K177" i="8"/>
  <c r="U111" i="8"/>
  <c r="I224" i="8"/>
  <c r="O241" i="8"/>
  <c r="O240" i="8"/>
  <c r="P18" i="9"/>
  <c r="P40" i="7" s="1"/>
  <c r="P182" i="9"/>
  <c r="P31" i="7" s="1"/>
  <c r="P21" i="9"/>
  <c r="P49" i="7" s="1"/>
  <c r="P162" i="9"/>
  <c r="P20" i="9"/>
  <c r="P46" i="7" s="1"/>
  <c r="P19" i="9"/>
  <c r="P43" i="7" s="1"/>
  <c r="T7" i="9"/>
  <c r="T16" i="9" s="1"/>
  <c r="P16" i="9"/>
  <c r="P34" i="7" s="1"/>
  <c r="P17" i="9"/>
  <c r="P37" i="7" s="1"/>
  <c r="O60" i="8"/>
  <c r="T133" i="8"/>
  <c r="N220" i="8"/>
  <c r="Q203" i="8"/>
  <c r="Q69" i="8"/>
  <c r="Q50" i="10" s="1"/>
  <c r="U311" i="8"/>
  <c r="V308" i="8" s="1"/>
  <c r="V311" i="8" s="1"/>
  <c r="V319" i="8" s="1"/>
  <c r="V321" i="8" s="1"/>
  <c r="K202" i="8"/>
  <c r="K75" i="10" s="1"/>
  <c r="O202" i="8"/>
  <c r="O75" i="10" s="1"/>
  <c r="AD261" i="8"/>
  <c r="J63" i="9"/>
  <c r="J41" i="9"/>
  <c r="J55" i="9" s="1"/>
  <c r="J89" i="10" s="1"/>
  <c r="H133" i="8"/>
  <c r="P162" i="10"/>
  <c r="G182" i="9"/>
  <c r="G31" i="7" s="1"/>
  <c r="G17" i="9"/>
  <c r="G37" i="7" s="1"/>
  <c r="G21" i="9"/>
  <c r="G49" i="7" s="1"/>
  <c r="G18" i="9"/>
  <c r="G40" i="7" s="1"/>
  <c r="G20" i="9"/>
  <c r="G46" i="7" s="1"/>
  <c r="C30" i="18"/>
  <c r="C30" i="19"/>
  <c r="C120" i="9"/>
  <c r="O122" i="8"/>
  <c r="U34" i="3" s="1"/>
  <c r="M146" i="8"/>
  <c r="K93" i="10"/>
  <c r="F261" i="8"/>
  <c r="G260" i="8"/>
  <c r="G261" i="8" s="1"/>
  <c r="K274" i="8"/>
  <c r="K109" i="10" s="1"/>
  <c r="L304" i="8"/>
  <c r="M303" i="8"/>
  <c r="M304" i="8" s="1"/>
  <c r="H19" i="9"/>
  <c r="H43" i="7" s="1"/>
  <c r="H20" i="9"/>
  <c r="H46" i="7" s="1"/>
  <c r="H17" i="9"/>
  <c r="H37" i="7" s="1"/>
  <c r="H182" i="9"/>
  <c r="H31" i="7" s="1"/>
  <c r="M162" i="9"/>
  <c r="H18" i="9"/>
  <c r="H40" i="7" s="1"/>
  <c r="H16" i="9"/>
  <c r="H34" i="7" s="1"/>
  <c r="H21" i="9"/>
  <c r="H49" i="7" s="1"/>
  <c r="J149" i="9"/>
  <c r="J27" i="10" s="1"/>
  <c r="S24" i="8"/>
  <c r="R209" i="8"/>
  <c r="R60" i="8"/>
  <c r="R49" i="9" s="1"/>
  <c r="T171" i="8"/>
  <c r="N223" i="8"/>
  <c r="O143" i="8"/>
  <c r="P187" i="8"/>
  <c r="P134" i="10" s="1"/>
  <c r="H260" i="8"/>
  <c r="H261" i="8" s="1"/>
  <c r="K265" i="8"/>
  <c r="K266" i="8" s="1"/>
  <c r="Y279" i="8"/>
  <c r="R309" i="8"/>
  <c r="R174" i="10" s="1"/>
  <c r="S308" i="8"/>
  <c r="S310" i="8" s="1"/>
  <c r="S179" i="10" s="1"/>
  <c r="K16" i="9"/>
  <c r="K34" i="7" s="1"/>
  <c r="K19" i="9"/>
  <c r="K43" i="7" s="1"/>
  <c r="O7" i="9"/>
  <c r="O16" i="9" s="1"/>
  <c r="O34" i="7" s="1"/>
  <c r="K162" i="9"/>
  <c r="K18" i="9"/>
  <c r="K40" i="7" s="1"/>
  <c r="K20" i="9"/>
  <c r="K46" i="7" s="1"/>
  <c r="C27" i="19"/>
  <c r="C27" i="18"/>
  <c r="C92" i="9"/>
  <c r="O25" i="8"/>
  <c r="J131" i="8"/>
  <c r="J133" i="8" s="1"/>
  <c r="Q187" i="8"/>
  <c r="Q134" i="10" s="1"/>
  <c r="I260" i="8"/>
  <c r="I261" i="8" s="1"/>
  <c r="U69" i="9"/>
  <c r="U72" i="9"/>
  <c r="S93" i="10"/>
  <c r="M93" i="10"/>
  <c r="S187" i="8"/>
  <c r="S134" i="10" s="1"/>
  <c r="U187" i="10"/>
  <c r="I308" i="8"/>
  <c r="I310" i="8" s="1"/>
  <c r="I179" i="10" s="1"/>
  <c r="H309" i="8"/>
  <c r="H174" i="10" s="1"/>
  <c r="Q36" i="9"/>
  <c r="Q31" i="9"/>
  <c r="Q38" i="9"/>
  <c r="Q39" i="9"/>
  <c r="Q37" i="9"/>
  <c r="Q35" i="9"/>
  <c r="C29" i="19"/>
  <c r="C29" i="18"/>
  <c r="C113" i="9"/>
  <c r="R187" i="8"/>
  <c r="R134" i="10" s="1"/>
  <c r="H224" i="8"/>
  <c r="Q19" i="9"/>
  <c r="Q43" i="7" s="1"/>
  <c r="Q16" i="9"/>
  <c r="Q34" i="7" s="1"/>
  <c r="Q162" i="9"/>
  <c r="Q20" i="9"/>
  <c r="Q46" i="7" s="1"/>
  <c r="Q182" i="9"/>
  <c r="Q31" i="7" s="1"/>
  <c r="Q21" i="9"/>
  <c r="Q49" i="7" s="1"/>
  <c r="Q17" i="9"/>
  <c r="Q37" i="7" s="1"/>
  <c r="O167" i="9"/>
  <c r="T145" i="9"/>
  <c r="U304" i="8"/>
  <c r="R162" i="9"/>
  <c r="R20" i="9"/>
  <c r="R46" i="7" s="1"/>
  <c r="R21" i="9"/>
  <c r="R49" i="7" s="1"/>
  <c r="R19" i="9"/>
  <c r="R43" i="7" s="1"/>
  <c r="R18" i="9"/>
  <c r="R40" i="7" s="1"/>
  <c r="R17" i="9"/>
  <c r="R37" i="7" s="1"/>
  <c r="R182" i="9"/>
  <c r="R31" i="7" s="1"/>
  <c r="T61" i="9"/>
  <c r="X87" i="9"/>
  <c r="X190" i="9"/>
  <c r="X90" i="9"/>
  <c r="X89" i="9"/>
  <c r="X86" i="9"/>
  <c r="R162" i="10"/>
  <c r="S20" i="9"/>
  <c r="S46" i="7" s="1"/>
  <c r="S162" i="9"/>
  <c r="S21" i="9"/>
  <c r="S49" i="7" s="1"/>
  <c r="S19" i="9"/>
  <c r="S43" i="7" s="1"/>
  <c r="S18" i="9"/>
  <c r="S40" i="7" s="1"/>
  <c r="S17" i="9"/>
  <c r="S37" i="7" s="1"/>
  <c r="S182" i="9"/>
  <c r="S31" i="7" s="1"/>
  <c r="R16" i="9"/>
  <c r="R34" i="7" s="1"/>
  <c r="M34" i="9"/>
  <c r="M39" i="9"/>
  <c r="M37" i="9"/>
  <c r="M38" i="9"/>
  <c r="M36" i="9"/>
  <c r="M31" i="9"/>
  <c r="M59" i="9"/>
  <c r="M69" i="9" s="1"/>
  <c r="J65" i="9"/>
  <c r="Y78" i="9"/>
  <c r="T172" i="9"/>
  <c r="P60" i="8"/>
  <c r="N303" i="8"/>
  <c r="N304" i="8" s="1"/>
  <c r="S16" i="9"/>
  <c r="S34" i="7" s="1"/>
  <c r="Q34" i="9"/>
  <c r="Q56" i="9"/>
  <c r="Q90" i="10" s="1"/>
  <c r="Q52" i="9"/>
  <c r="Q86" i="10" s="1"/>
  <c r="Q59" i="9"/>
  <c r="Q72" i="9" s="1"/>
  <c r="O65" i="9"/>
  <c r="O41" i="9"/>
  <c r="O57" i="9" s="1"/>
  <c r="O91" i="10" s="1"/>
  <c r="Z87" i="9"/>
  <c r="Z89" i="9"/>
  <c r="Z190" i="9"/>
  <c r="Z90" i="9"/>
  <c r="Z86" i="9"/>
  <c r="AD78" i="9"/>
  <c r="AD88" i="9" s="1"/>
  <c r="Z88" i="9"/>
  <c r="J29" i="8"/>
  <c r="Q18" i="9"/>
  <c r="Q40" i="7" s="1"/>
  <c r="O23" i="9"/>
  <c r="O39" i="9" s="1"/>
  <c r="J148" i="9"/>
  <c r="J22" i="10" s="1"/>
  <c r="R52" i="9"/>
  <c r="R86" i="10" s="1"/>
  <c r="R56" i="9"/>
  <c r="R90" i="10" s="1"/>
  <c r="R59" i="9"/>
  <c r="R72" i="9" s="1"/>
  <c r="R54" i="9"/>
  <c r="R88" i="10" s="1"/>
  <c r="N177" i="8"/>
  <c r="J202" i="8"/>
  <c r="J75" i="10" s="1"/>
  <c r="P38" i="9"/>
  <c r="P39" i="9"/>
  <c r="P34" i="9"/>
  <c r="P36" i="9"/>
  <c r="P37" i="9"/>
  <c r="P35" i="9"/>
  <c r="P31" i="9"/>
  <c r="T23" i="9"/>
  <c r="T39" i="9" s="1"/>
  <c r="P54" i="9"/>
  <c r="P88" i="10" s="1"/>
  <c r="P57" i="9"/>
  <c r="P91" i="10" s="1"/>
  <c r="P56" i="9"/>
  <c r="P90" i="10" s="1"/>
  <c r="P52" i="9"/>
  <c r="P86" i="10" s="1"/>
  <c r="P59" i="9"/>
  <c r="P72" i="9" s="1"/>
  <c r="P55" i="9"/>
  <c r="P89" i="10" s="1"/>
  <c r="L89" i="9"/>
  <c r="L88" i="9"/>
  <c r="L190" i="9"/>
  <c r="L90" i="9"/>
  <c r="O148" i="9"/>
  <c r="O22" i="10" s="1"/>
  <c r="L87" i="9"/>
  <c r="C34" i="10"/>
  <c r="C35" i="10"/>
  <c r="C33" i="10"/>
  <c r="T62" i="9"/>
  <c r="O63" i="9"/>
  <c r="AB87" i="9"/>
  <c r="AB89" i="9"/>
  <c r="AB90" i="9"/>
  <c r="AB86" i="9"/>
  <c r="AC190" i="9"/>
  <c r="AB88" i="9"/>
  <c r="AB190" i="9"/>
  <c r="AD172" i="9"/>
  <c r="K77" i="11"/>
  <c r="K79" i="11"/>
  <c r="K78" i="11"/>
  <c r="K76" i="11"/>
  <c r="U162" i="9"/>
  <c r="U21" i="9"/>
  <c r="U49" i="7" s="1"/>
  <c r="U19" i="9"/>
  <c r="U43" i="7" s="1"/>
  <c r="U18" i="9"/>
  <c r="U40" i="7" s="1"/>
  <c r="U20" i="9"/>
  <c r="U46" i="7" s="1"/>
  <c r="U17" i="9"/>
  <c r="U37" i="7" s="1"/>
  <c r="U16" i="9"/>
  <c r="U34" i="7" s="1"/>
  <c r="U182" i="9"/>
  <c r="U31" i="7" s="1"/>
  <c r="F35" i="9"/>
  <c r="F59" i="9"/>
  <c r="F72" i="9" s="1"/>
  <c r="F34" i="9"/>
  <c r="O149" i="9"/>
  <c r="O27" i="10" s="1"/>
  <c r="F38" i="9"/>
  <c r="G86" i="9"/>
  <c r="G89" i="9"/>
  <c r="G190" i="9"/>
  <c r="O166" i="9"/>
  <c r="N56" i="9"/>
  <c r="N90" i="10" s="1"/>
  <c r="O173" i="9"/>
  <c r="M57" i="9"/>
  <c r="M91" i="10" s="1"/>
  <c r="M54" i="9"/>
  <c r="M88" i="10" s="1"/>
  <c r="AE86" i="9"/>
  <c r="AE87" i="9"/>
  <c r="AE88" i="9"/>
  <c r="AE90" i="9"/>
  <c r="Q274" i="8"/>
  <c r="Q109" i="10" s="1"/>
  <c r="J78" i="9"/>
  <c r="J88" i="9" s="1"/>
  <c r="AF89" i="9"/>
  <c r="AF190" i="9"/>
  <c r="AF86" i="9"/>
  <c r="AF87" i="9"/>
  <c r="AF88" i="9"/>
  <c r="Y173" i="9"/>
  <c r="G88" i="9"/>
  <c r="M220" i="8"/>
  <c r="F310" i="8"/>
  <c r="F179" i="10" s="1"/>
  <c r="O145" i="9"/>
  <c r="T147" i="9"/>
  <c r="T17" i="10" s="1"/>
  <c r="K190" i="9"/>
  <c r="K89" i="9"/>
  <c r="K88" i="9"/>
  <c r="K90" i="9"/>
  <c r="O78" i="9"/>
  <c r="O89" i="9" s="1"/>
  <c r="AG190" i="9"/>
  <c r="AG89" i="9"/>
  <c r="AG87" i="9"/>
  <c r="AG86" i="9"/>
  <c r="AG88" i="9"/>
  <c r="AD173" i="9"/>
  <c r="AE194" i="9"/>
  <c r="AD187" i="10"/>
  <c r="T164" i="9"/>
  <c r="T36" i="7" s="1"/>
  <c r="T60" i="7" s="1"/>
  <c r="U31" i="9"/>
  <c r="U38" i="9"/>
  <c r="U49" i="9"/>
  <c r="U53" i="9"/>
  <c r="U87" i="10" s="1"/>
  <c r="F87" i="9"/>
  <c r="F89" i="9"/>
  <c r="F90" i="9"/>
  <c r="F86" i="9"/>
  <c r="AA190" i="9"/>
  <c r="AA90" i="9"/>
  <c r="AA86" i="9"/>
  <c r="AA88" i="9"/>
  <c r="M88" i="9"/>
  <c r="M190" i="9"/>
  <c r="AA87" i="9"/>
  <c r="L182" i="9"/>
  <c r="L31" i="7" s="1"/>
  <c r="L21" i="9"/>
  <c r="L49" i="7" s="1"/>
  <c r="L16" i="9"/>
  <c r="L34" i="7" s="1"/>
  <c r="L162" i="9"/>
  <c r="L39" i="9"/>
  <c r="U56" i="9"/>
  <c r="U90" i="10" s="1"/>
  <c r="U57" i="9"/>
  <c r="U91" i="10" s="1"/>
  <c r="N88" i="9"/>
  <c r="N87" i="9"/>
  <c r="N89" i="9"/>
  <c r="O174" i="9"/>
  <c r="H37" i="9"/>
  <c r="H59" i="9"/>
  <c r="H68" i="9" s="1"/>
  <c r="H38" i="9"/>
  <c r="H31" i="9"/>
  <c r="T63" i="9"/>
  <c r="J152" i="8"/>
  <c r="N182" i="9"/>
  <c r="N31" i="7" s="1"/>
  <c r="C28" i="19"/>
  <c r="C28" i="18"/>
  <c r="I23" i="9"/>
  <c r="J23" i="9" s="1"/>
  <c r="I145" i="9"/>
  <c r="U34" i="9"/>
  <c r="K55" i="9"/>
  <c r="K89" i="10" s="1"/>
  <c r="K57" i="9"/>
  <c r="K91" i="10" s="1"/>
  <c r="K52" i="9"/>
  <c r="K86" i="10" s="1"/>
  <c r="K53" i="9"/>
  <c r="K87" i="10" s="1"/>
  <c r="O60" i="9"/>
  <c r="P88" i="9"/>
  <c r="T78" i="9"/>
  <c r="T89" i="9" s="1"/>
  <c r="Y174" i="9"/>
  <c r="M90" i="9"/>
  <c r="I220" i="8"/>
  <c r="U36" i="9"/>
  <c r="L57" i="9"/>
  <c r="L91" i="10" s="1"/>
  <c r="L52" i="9"/>
  <c r="L86" i="10" s="1"/>
  <c r="N190" i="9"/>
  <c r="T79" i="11"/>
  <c r="T78" i="11"/>
  <c r="T77" i="11"/>
  <c r="T76" i="11"/>
  <c r="T64" i="9"/>
  <c r="H190" i="9"/>
  <c r="H89" i="9"/>
  <c r="H86" i="9"/>
  <c r="Z74" i="11"/>
  <c r="Z16" i="11" s="1"/>
  <c r="Z34" i="11"/>
  <c r="AV73" i="11"/>
  <c r="AV15" i="11"/>
  <c r="M182" i="9"/>
  <c r="M31" i="7" s="1"/>
  <c r="J150" i="9"/>
  <c r="J32" i="10" s="1"/>
  <c r="R38" i="9"/>
  <c r="Q88" i="9"/>
  <c r="Q90" i="9"/>
  <c r="AD170" i="9"/>
  <c r="T167" i="9"/>
  <c r="S36" i="9"/>
  <c r="S31" i="9"/>
  <c r="O150" i="9"/>
  <c r="O32" i="10" s="1"/>
  <c r="R31" i="9"/>
  <c r="S38" i="9"/>
  <c r="I53" i="9"/>
  <c r="I87" i="10" s="1"/>
  <c r="I57" i="9"/>
  <c r="I91" i="10" s="1"/>
  <c r="I52" i="9"/>
  <c r="I86" i="10" s="1"/>
  <c r="S77" i="11"/>
  <c r="S76" i="11"/>
  <c r="S79" i="11"/>
  <c r="S88" i="9"/>
  <c r="S90" i="9"/>
  <c r="S87" i="9"/>
  <c r="G49" i="9"/>
  <c r="G55" i="9"/>
  <c r="G89" i="10" s="1"/>
  <c r="AD179" i="10"/>
  <c r="O146" i="9"/>
  <c r="O12" i="10" s="1"/>
  <c r="C12" i="10"/>
  <c r="AE76" i="11"/>
  <c r="AE78" i="11"/>
  <c r="G79" i="11"/>
  <c r="G78" i="11"/>
  <c r="G77" i="11"/>
  <c r="G76" i="11"/>
  <c r="AP76" i="11"/>
  <c r="AP79" i="11"/>
  <c r="AP78" i="11"/>
  <c r="BA78" i="11"/>
  <c r="AZ76" i="11"/>
  <c r="AZ78" i="11"/>
  <c r="AD79" i="11"/>
  <c r="AD77" i="11"/>
  <c r="H78" i="11"/>
  <c r="H76" i="11"/>
  <c r="BD76" i="11"/>
  <c r="BD79" i="11"/>
  <c r="BD78" i="11"/>
  <c r="BD77" i="11"/>
  <c r="O220" i="14"/>
  <c r="B11" i="14"/>
  <c r="BG78" i="11"/>
  <c r="BG77" i="11"/>
  <c r="BG76" i="11"/>
  <c r="AV30" i="11"/>
  <c r="M77" i="11"/>
  <c r="M79" i="11"/>
  <c r="AK77" i="11"/>
  <c r="AK76" i="11"/>
  <c r="AK79" i="11"/>
  <c r="BH78" i="11"/>
  <c r="BH76" i="11"/>
  <c r="AJ77" i="11"/>
  <c r="AJ78" i="11"/>
  <c r="E111" i="14"/>
  <c r="M111" i="14" s="1"/>
  <c r="M103" i="14"/>
  <c r="AL77" i="11"/>
  <c r="AL79" i="11"/>
  <c r="AK78" i="11"/>
  <c r="E227" i="14"/>
  <c r="F227" i="14" s="1"/>
  <c r="B81" i="17"/>
  <c r="P81" i="17" s="1"/>
  <c r="P80" i="17"/>
  <c r="C31" i="18"/>
  <c r="C31" i="19"/>
  <c r="O76" i="11"/>
  <c r="O79" i="11"/>
  <c r="O78" i="11"/>
  <c r="BJ78" i="11"/>
  <c r="BJ76" i="11"/>
  <c r="BA76" i="11"/>
  <c r="AP77" i="11"/>
  <c r="AL78" i="11"/>
  <c r="AG61" i="11"/>
  <c r="AG59" i="11"/>
  <c r="AN77" i="11"/>
  <c r="AN79" i="11"/>
  <c r="AN78" i="11"/>
  <c r="K227" i="14"/>
  <c r="L227" i="14" s="1"/>
  <c r="AV12" i="11"/>
  <c r="Q77" i="11"/>
  <c r="Q76" i="11"/>
  <c r="Q79" i="11"/>
  <c r="Q78" i="11"/>
  <c r="BL77" i="11"/>
  <c r="BL76" i="11"/>
  <c r="BL79" i="11"/>
  <c r="AZ77" i="11"/>
  <c r="E39" i="13"/>
  <c r="AG6" i="15"/>
  <c r="P125" i="17"/>
  <c r="P78" i="11"/>
  <c r="G276" i="14"/>
  <c r="K276" i="14" s="1"/>
  <c r="F15" i="12"/>
  <c r="F25" i="12"/>
  <c r="J177" i="14"/>
  <c r="R177" i="14" s="1"/>
  <c r="F198" i="14"/>
  <c r="R78" i="11"/>
  <c r="R12" i="12"/>
  <c r="S12" i="12" s="1"/>
  <c r="T12" i="12" s="1"/>
  <c r="U12" i="12" s="1"/>
  <c r="F22" i="12"/>
  <c r="D40" i="13"/>
  <c r="K147" i="14"/>
  <c r="J147" i="14"/>
  <c r="K146" i="14"/>
  <c r="R119" i="14" s="1"/>
  <c r="R120" i="14" s="1"/>
  <c r="K220" i="14"/>
  <c r="J197" i="14" s="1"/>
  <c r="J146" i="14"/>
  <c r="J119" i="14" s="1"/>
  <c r="J120" i="14" s="1"/>
  <c r="G29" i="14"/>
  <c r="G28" i="14" s="1"/>
  <c r="I12" i="15"/>
  <c r="I9" i="15"/>
  <c r="B159" i="17"/>
  <c r="P158" i="17"/>
  <c r="N118" i="14"/>
  <c r="F19" i="12"/>
  <c r="F29" i="12"/>
  <c r="M102" i="14"/>
  <c r="N196" i="14"/>
  <c r="N198" i="14" s="1"/>
  <c r="P157" i="17"/>
  <c r="J29" i="14"/>
  <c r="J144" i="14"/>
  <c r="G277" i="14"/>
  <c r="K277" i="14" s="1"/>
  <c r="T7" i="15"/>
  <c r="AF7" i="15"/>
  <c r="P95" i="17"/>
  <c r="O95" i="17" s="1"/>
  <c r="B96" i="17"/>
  <c r="AM76" i="11"/>
  <c r="BI77" i="11"/>
  <c r="F16" i="12"/>
  <c r="F26" i="12"/>
  <c r="K144" i="14"/>
  <c r="R196" i="14" a="1"/>
  <c r="R196" i="14" s="1"/>
  <c r="B113" i="17"/>
  <c r="P113" i="17" s="1"/>
  <c r="P112" i="17"/>
  <c r="F10" i="14"/>
  <c r="E110" i="14"/>
  <c r="J145" i="14"/>
  <c r="B64" i="17"/>
  <c r="P63" i="17"/>
  <c r="P109" i="17"/>
  <c r="K145" i="14"/>
  <c r="F237" i="14"/>
  <c r="N237" i="14" s="1"/>
  <c r="E20" i="12"/>
  <c r="E30" i="12"/>
  <c r="D22" i="14"/>
  <c r="F20" i="12"/>
  <c r="F30" i="12"/>
  <c r="AY76" i="11"/>
  <c r="AM77" i="11"/>
  <c r="BI78" i="11"/>
  <c r="AC79" i="11"/>
  <c r="M100" i="14"/>
  <c r="F169" i="14"/>
  <c r="N169" i="14" s="1"/>
  <c r="N208" i="14"/>
  <c r="R208" i="14" s="1"/>
  <c r="J237" i="14"/>
  <c r="R237" i="14" s="1"/>
  <c r="G274" i="14"/>
  <c r="K274" i="14" s="1"/>
  <c r="Y6" i="15"/>
  <c r="U7" i="15"/>
  <c r="F60" i="15"/>
  <c r="F17" i="12"/>
  <c r="F27" i="12"/>
  <c r="G60" i="15"/>
  <c r="G33" i="13"/>
  <c r="AA6" i="15"/>
  <c r="F98" i="14"/>
  <c r="N98" i="14" s="1"/>
  <c r="AB6" i="15"/>
  <c r="G18" i="15"/>
  <c r="F21" i="12"/>
  <c r="Z7" i="15"/>
  <c r="K8" i="15"/>
  <c r="B32" i="17"/>
  <c r="G275" i="14"/>
  <c r="K275" i="14" s="1"/>
  <c r="AE6" i="15"/>
  <c r="AA7" i="15"/>
  <c r="F18" i="12"/>
  <c r="F177" i="14"/>
  <c r="N177" i="14" s="1"/>
  <c r="AF6" i="15"/>
  <c r="AB7" i="15"/>
  <c r="G39" i="15"/>
  <c r="P78" i="17"/>
  <c r="O10" i="19"/>
  <c r="K40" i="19"/>
  <c r="B48" i="17"/>
  <c r="P47" i="17"/>
  <c r="H83" i="15"/>
  <c r="B128" i="17"/>
  <c r="P127" i="17"/>
  <c r="P77" i="17"/>
  <c r="B16" i="17"/>
  <c r="P61" i="17"/>
  <c r="K24" i="19"/>
  <c r="E82" i="15"/>
  <c r="M24" i="19"/>
  <c r="H84" i="15"/>
  <c r="E40" i="15"/>
  <c r="E83" i="15"/>
  <c r="G51" i="11"/>
  <c r="H51" i="11"/>
  <c r="D51" i="11"/>
  <c r="O51" i="11"/>
  <c r="R51" i="11"/>
  <c r="V51" i="11"/>
  <c r="U51" i="11"/>
  <c r="J51" i="11"/>
  <c r="M51" i="11"/>
  <c r="Q51" i="11"/>
  <c r="T51" i="11"/>
  <c r="K51" i="11"/>
  <c r="N51" i="11"/>
  <c r="L51" i="11"/>
  <c r="S51" i="11"/>
  <c r="P51" i="11"/>
  <c r="I51" i="11"/>
  <c r="AY56" i="11"/>
  <c r="AV56" i="11"/>
  <c r="AZ56" i="11"/>
  <c r="BK56" i="11"/>
  <c r="BD56" i="11"/>
  <c r="BC56" i="11"/>
  <c r="BF56" i="11"/>
  <c r="BL56" i="11"/>
  <c r="BE56" i="11"/>
  <c r="BJ56" i="11"/>
  <c r="BG56" i="11"/>
  <c r="BB56" i="11"/>
  <c r="BH56" i="11"/>
  <c r="BI56" i="11"/>
  <c r="BA56" i="11"/>
  <c r="BN56" i="11"/>
  <c r="BM56" i="11"/>
  <c r="N55" i="11"/>
  <c r="D55" i="11"/>
  <c r="G55" i="11"/>
  <c r="K55" i="11"/>
  <c r="R55" i="11"/>
  <c r="L55" i="11"/>
  <c r="T55" i="11"/>
  <c r="U55" i="11"/>
  <c r="Q55" i="11"/>
  <c r="I55" i="11"/>
  <c r="V55" i="11"/>
  <c r="J55" i="11"/>
  <c r="S55" i="11"/>
  <c r="P55" i="11"/>
  <c r="O55" i="11"/>
  <c r="AC55" i="11"/>
  <c r="Z55" i="11"/>
  <c r="AD55" i="11"/>
  <c r="AG55" i="11"/>
  <c r="AH55" i="11"/>
  <c r="AR55" i="11"/>
  <c r="AK55" i="11"/>
  <c r="AM55" i="11"/>
  <c r="AQ55" i="11"/>
  <c r="AE55" i="11"/>
  <c r="AN55" i="11"/>
  <c r="AO55" i="11"/>
  <c r="AP55" i="11"/>
  <c r="AF55" i="11"/>
  <c r="AI55" i="11"/>
  <c r="AL55" i="11"/>
  <c r="AJ55" i="11"/>
  <c r="G54" i="11"/>
  <c r="N54" i="11"/>
  <c r="H54" i="11"/>
  <c r="D54" i="11"/>
  <c r="Q54" i="11"/>
  <c r="U54" i="11"/>
  <c r="T54" i="11"/>
  <c r="L54" i="11"/>
  <c r="V54" i="11"/>
  <c r="R54" i="11"/>
  <c r="P54" i="11"/>
  <c r="K54" i="11"/>
  <c r="O54" i="11"/>
  <c r="S54" i="11"/>
  <c r="I54" i="11"/>
  <c r="M54" i="11"/>
  <c r="J54" i="11"/>
  <c r="AD51" i="11"/>
  <c r="AF51" i="11"/>
  <c r="AE51" i="11"/>
  <c r="AC51" i="11"/>
  <c r="AR51" i="11"/>
  <c r="AN51" i="11"/>
  <c r="AP51" i="11"/>
  <c r="AQ51" i="11"/>
  <c r="AO51" i="11"/>
  <c r="AM51" i="11"/>
  <c r="AJ51" i="11"/>
  <c r="AK51" i="11"/>
  <c r="AH51" i="11"/>
  <c r="AL51" i="11"/>
  <c r="AI51" i="11"/>
  <c r="AG51" i="11"/>
  <c r="D56" i="11"/>
  <c r="S56" i="11"/>
  <c r="G56" i="11"/>
  <c r="H56" i="11"/>
  <c r="I56" i="11"/>
  <c r="O56" i="11"/>
  <c r="J56" i="11"/>
  <c r="Q56" i="11"/>
  <c r="L56" i="11"/>
  <c r="R56" i="11"/>
  <c r="P56" i="11"/>
  <c r="U56" i="11"/>
  <c r="T56" i="11"/>
  <c r="N56" i="11"/>
  <c r="M56" i="11"/>
  <c r="V56" i="11"/>
  <c r="AZ51" i="11"/>
  <c r="AY51" i="11"/>
  <c r="BC51" i="11"/>
  <c r="BI51" i="11"/>
  <c r="BE51" i="11"/>
  <c r="BL51" i="11"/>
  <c r="BK51" i="11"/>
  <c r="BF51" i="11"/>
  <c r="BM51" i="11"/>
  <c r="BB51" i="11"/>
  <c r="BG51" i="11"/>
  <c r="BA51" i="11"/>
  <c r="BJ51" i="11"/>
  <c r="BN51" i="11"/>
  <c r="BH51" i="11"/>
  <c r="BD51" i="11"/>
  <c r="G29" i="12"/>
  <c r="G26" i="12"/>
  <c r="G20" i="12"/>
  <c r="G21" i="12"/>
  <c r="G19" i="12"/>
  <c r="G22" i="12"/>
  <c r="G27" i="12"/>
  <c r="G30" i="12"/>
  <c r="G25" i="12"/>
  <c r="E131" i="17" l="1"/>
  <c r="Q131" i="17" s="1"/>
  <c r="E127" i="17"/>
  <c r="C14" i="17"/>
  <c r="C30" i="17" s="1"/>
  <c r="C46" i="17" s="1"/>
  <c r="C62" i="17" s="1"/>
  <c r="C78" i="17" s="1"/>
  <c r="C94" i="17" s="1"/>
  <c r="C110" i="17" s="1"/>
  <c r="C126" i="17" s="1"/>
  <c r="C142" i="17" s="1"/>
  <c r="C15" i="17"/>
  <c r="C31" i="17" s="1"/>
  <c r="C47" i="17" s="1"/>
  <c r="C63" i="17" s="1"/>
  <c r="C79" i="17" s="1"/>
  <c r="C95" i="17" s="1"/>
  <c r="C111" i="17" s="1"/>
  <c r="C127" i="17" s="1"/>
  <c r="C143" i="17" s="1"/>
  <c r="C159" i="17" s="1"/>
  <c r="C17" i="17"/>
  <c r="C33" i="17" s="1"/>
  <c r="C49" i="17" s="1"/>
  <c r="C65" i="17" s="1"/>
  <c r="C81" i="17" s="1"/>
  <c r="C97" i="17" s="1"/>
  <c r="C113" i="17" s="1"/>
  <c r="C129" i="17" s="1"/>
  <c r="C145" i="17" s="1"/>
  <c r="C161" i="17" s="1"/>
  <c r="C12" i="17"/>
  <c r="C16" i="17"/>
  <c r="C32" i="17" s="1"/>
  <c r="C48" i="17" s="1"/>
  <c r="C64" i="17" s="1"/>
  <c r="C80" i="17" s="1"/>
  <c r="C96" i="17" s="1"/>
  <c r="C112" i="17" s="1"/>
  <c r="C128" i="17" s="1"/>
  <c r="C144" i="17" s="1"/>
  <c r="C160" i="17" s="1"/>
  <c r="N120" i="14"/>
  <c r="U73" i="9"/>
  <c r="U71" i="9"/>
  <c r="U70" i="9"/>
  <c r="J52" i="9"/>
  <c r="J86" i="10" s="1"/>
  <c r="S68" i="9"/>
  <c r="U157" i="10"/>
  <c r="U44" i="3"/>
  <c r="V44" i="3"/>
  <c r="V46" i="3" s="1"/>
  <c r="V94" i="3" s="1"/>
  <c r="F47" i="4" s="1"/>
  <c r="T44" i="3"/>
  <c r="V57" i="3"/>
  <c r="U19" i="5"/>
  <c r="V38" i="7"/>
  <c r="V39" i="7" s="1"/>
  <c r="K167" i="7"/>
  <c r="L168" i="7" s="1"/>
  <c r="U134" i="7"/>
  <c r="N91" i="16"/>
  <c r="O91" i="16"/>
  <c r="Q125" i="17"/>
  <c r="K61" i="11"/>
  <c r="K59" i="11"/>
  <c r="K60" i="11"/>
  <c r="K58" i="11"/>
  <c r="AJ60" i="11"/>
  <c r="AJ59" i="11"/>
  <c r="AJ58" i="11"/>
  <c r="AJ61" i="11"/>
  <c r="AL60" i="11"/>
  <c r="AL58" i="11"/>
  <c r="AL59" i="11"/>
  <c r="AL61" i="11"/>
  <c r="AI58" i="11"/>
  <c r="AI60" i="11"/>
  <c r="AI59" i="11"/>
  <c r="AI61" i="11"/>
  <c r="AF59" i="11"/>
  <c r="AF61" i="11"/>
  <c r="AF60" i="11"/>
  <c r="AF58" i="11"/>
  <c r="AP61" i="11"/>
  <c r="AP58" i="11"/>
  <c r="AP60" i="11"/>
  <c r="AP59" i="11"/>
  <c r="AO60" i="11"/>
  <c r="AO61" i="11"/>
  <c r="AO58" i="11"/>
  <c r="AO59" i="11"/>
  <c r="AN60" i="11"/>
  <c r="AN58" i="11"/>
  <c r="AN59" i="11"/>
  <c r="AN61" i="11"/>
  <c r="AE60" i="11"/>
  <c r="AE61" i="11"/>
  <c r="AE59" i="11"/>
  <c r="AE58" i="11"/>
  <c r="AQ61" i="11"/>
  <c r="AQ58" i="11"/>
  <c r="AQ60" i="11"/>
  <c r="AQ59" i="11"/>
  <c r="AM58" i="11"/>
  <c r="AM60" i="11"/>
  <c r="AM61" i="11"/>
  <c r="AM59" i="11"/>
  <c r="AK60" i="11"/>
  <c r="AK59" i="11"/>
  <c r="AK61" i="11"/>
  <c r="AK58" i="11"/>
  <c r="AR59" i="11"/>
  <c r="AR61" i="11"/>
  <c r="AR60" i="11"/>
  <c r="AR58" i="11"/>
  <c r="AH60" i="11"/>
  <c r="AH61" i="11"/>
  <c r="AH58" i="11"/>
  <c r="AH59" i="11"/>
  <c r="AD60" i="11"/>
  <c r="AD58" i="11"/>
  <c r="AD61" i="11"/>
  <c r="AD59" i="11"/>
  <c r="Z33" i="11"/>
  <c r="Z73" i="11"/>
  <c r="Z15" i="11" s="1"/>
  <c r="AC58" i="11"/>
  <c r="AC59" i="11"/>
  <c r="AC60" i="11"/>
  <c r="AC61" i="11"/>
  <c r="BM61" i="11"/>
  <c r="BM59" i="11"/>
  <c r="BM60" i="11"/>
  <c r="BM58" i="11"/>
  <c r="BN58" i="11"/>
  <c r="BN59" i="11"/>
  <c r="BN61" i="11"/>
  <c r="BN60" i="11"/>
  <c r="BA58" i="11"/>
  <c r="BA61" i="11"/>
  <c r="BA60" i="11"/>
  <c r="BA59" i="11"/>
  <c r="BI61" i="11"/>
  <c r="BI59" i="11"/>
  <c r="BI58" i="11"/>
  <c r="BI60" i="11"/>
  <c r="BH61" i="11"/>
  <c r="BH60" i="11"/>
  <c r="BH58" i="11"/>
  <c r="BH59" i="11"/>
  <c r="BB58" i="11"/>
  <c r="BB60" i="11"/>
  <c r="BB59" i="11"/>
  <c r="BB61" i="11"/>
  <c r="BG59" i="11"/>
  <c r="BG61" i="11"/>
  <c r="BG58" i="11"/>
  <c r="BG60" i="11"/>
  <c r="BJ61" i="11"/>
  <c r="BJ59" i="11"/>
  <c r="BJ58" i="11"/>
  <c r="BJ60" i="11"/>
  <c r="BE58" i="11"/>
  <c r="BE59" i="11"/>
  <c r="BE61" i="11"/>
  <c r="BE60" i="11"/>
  <c r="BL61" i="11"/>
  <c r="BL59" i="11"/>
  <c r="BL58" i="11"/>
  <c r="BL60" i="11"/>
  <c r="BF61" i="11"/>
  <c r="BF59" i="11"/>
  <c r="BF60" i="11"/>
  <c r="BF58" i="11"/>
  <c r="BC61" i="11"/>
  <c r="BC60" i="11"/>
  <c r="BC58" i="11"/>
  <c r="BC59" i="11"/>
  <c r="BD61" i="11"/>
  <c r="BD59" i="11"/>
  <c r="BD60" i="11"/>
  <c r="BD58" i="11"/>
  <c r="BK61" i="11"/>
  <c r="BK58" i="11"/>
  <c r="BK59" i="11"/>
  <c r="BK60" i="11"/>
  <c r="AZ61" i="11"/>
  <c r="AZ58" i="11"/>
  <c r="AZ59" i="11"/>
  <c r="AZ60" i="11"/>
  <c r="AV74" i="11"/>
  <c r="AV16" i="11"/>
  <c r="AV34" i="11"/>
  <c r="AY59" i="11"/>
  <c r="AY58" i="11"/>
  <c r="AY60" i="11"/>
  <c r="AY61" i="11"/>
  <c r="J121" i="14"/>
  <c r="J123" i="14" s="1"/>
  <c r="O80" i="17"/>
  <c r="O79" i="17"/>
  <c r="C36" i="13"/>
  <c r="D74" i="11"/>
  <c r="D73" i="11"/>
  <c r="C35" i="13"/>
  <c r="I58" i="11"/>
  <c r="I59" i="11"/>
  <c r="I61" i="11"/>
  <c r="I60" i="11"/>
  <c r="M59" i="11"/>
  <c r="M60" i="11"/>
  <c r="M61" i="11"/>
  <c r="M58" i="11"/>
  <c r="J60" i="11"/>
  <c r="J61" i="11"/>
  <c r="J59" i="11"/>
  <c r="J58" i="11"/>
  <c r="O60" i="11"/>
  <c r="O59" i="11"/>
  <c r="O61" i="11"/>
  <c r="O58" i="11"/>
  <c r="S60" i="11"/>
  <c r="S58" i="11"/>
  <c r="S61" i="11"/>
  <c r="S59" i="11"/>
  <c r="R58" i="11"/>
  <c r="R60" i="11"/>
  <c r="R61" i="11"/>
  <c r="R59" i="11"/>
  <c r="P59" i="11"/>
  <c r="P60" i="11"/>
  <c r="P58" i="11"/>
  <c r="P61" i="11"/>
  <c r="L61" i="11"/>
  <c r="L59" i="11"/>
  <c r="L60" i="11"/>
  <c r="L58" i="11"/>
  <c r="V61" i="11"/>
  <c r="V58" i="11"/>
  <c r="V60" i="11"/>
  <c r="V59" i="11"/>
  <c r="Q59" i="11"/>
  <c r="Q60" i="11"/>
  <c r="Q61" i="11"/>
  <c r="Q58" i="11"/>
  <c r="U60" i="11"/>
  <c r="U58" i="11"/>
  <c r="U61" i="11"/>
  <c r="U59" i="11"/>
  <c r="T61" i="11"/>
  <c r="T60" i="11"/>
  <c r="T59" i="11"/>
  <c r="T58" i="11"/>
  <c r="N61" i="11"/>
  <c r="N59" i="11"/>
  <c r="N60" i="11"/>
  <c r="N58" i="11"/>
  <c r="H61" i="11"/>
  <c r="H59" i="11"/>
  <c r="H58" i="11"/>
  <c r="H60" i="11"/>
  <c r="D72" i="11"/>
  <c r="C34" i="13"/>
  <c r="G60" i="11"/>
  <c r="G61" i="11"/>
  <c r="G58" i="11"/>
  <c r="G59" i="11"/>
  <c r="D69" i="11"/>
  <c r="I68" i="3"/>
  <c r="I93" i="3" s="1"/>
  <c r="V35" i="7"/>
  <c r="V36" i="7" s="1"/>
  <c r="V41" i="7"/>
  <c r="V42" i="7" s="1"/>
  <c r="W127" i="7"/>
  <c r="V32" i="7"/>
  <c r="W33" i="7" s="1"/>
  <c r="L139" i="10"/>
  <c r="V284" i="8"/>
  <c r="W284" i="8" s="1"/>
  <c r="X284" i="8" s="1"/>
  <c r="Z284" i="8" s="1"/>
  <c r="AA284" i="8" s="1"/>
  <c r="AB284" i="8" s="1"/>
  <c r="AC284" i="8" s="1"/>
  <c r="AE284" i="8" s="1"/>
  <c r="AF284" i="8" s="1"/>
  <c r="AG284" i="8" s="1"/>
  <c r="H187" i="8"/>
  <c r="H134" i="10" s="1"/>
  <c r="H139" i="10"/>
  <c r="T68" i="8"/>
  <c r="T45" i="10" s="1"/>
  <c r="T139" i="10"/>
  <c r="N187" i="8"/>
  <c r="N134" i="10" s="1"/>
  <c r="N139" i="10"/>
  <c r="F139" i="10"/>
  <c r="G139" i="10"/>
  <c r="M203" i="8"/>
  <c r="M139" i="10"/>
  <c r="M99" i="14"/>
  <c r="L55" i="3"/>
  <c r="T185" i="8"/>
  <c r="H231" i="8"/>
  <c r="H144" i="10" s="1"/>
  <c r="S157" i="8"/>
  <c r="S159" i="8" s="1"/>
  <c r="O281" i="8"/>
  <c r="G68" i="3"/>
  <c r="G93" i="3" s="1"/>
  <c r="L114" i="10"/>
  <c r="J105" i="3"/>
  <c r="L231" i="8"/>
  <c r="L144" i="10" s="1"/>
  <c r="G114" i="10"/>
  <c r="M231" i="8"/>
  <c r="M144" i="10" s="1"/>
  <c r="S246" i="8"/>
  <c r="T246" i="8" s="1"/>
  <c r="D6" i="16"/>
  <c r="D30" i="16" s="1"/>
  <c r="L30" i="16" s="1"/>
  <c r="T114" i="10"/>
  <c r="H114" i="10"/>
  <c r="M233" i="8"/>
  <c r="M149" i="10" s="1"/>
  <c r="I24" i="8"/>
  <c r="H24" i="8" s="1"/>
  <c r="H233" i="8"/>
  <c r="H149" i="10" s="1"/>
  <c r="T32" i="3"/>
  <c r="T4" i="3"/>
  <c r="T231" i="8"/>
  <c r="T144" i="10" s="1"/>
  <c r="H68" i="3"/>
  <c r="H93" i="3" s="1"/>
  <c r="T233" i="8"/>
  <c r="T149" i="10" s="1"/>
  <c r="R157" i="8"/>
  <c r="R159" i="8" s="1"/>
  <c r="N231" i="8"/>
  <c r="N144" i="10" s="1"/>
  <c r="N246" i="8"/>
  <c r="U67" i="3"/>
  <c r="H157" i="8"/>
  <c r="H159" i="8" s="1"/>
  <c r="G224" i="8"/>
  <c r="H225" i="8" s="1"/>
  <c r="G233" i="8"/>
  <c r="G149" i="10" s="1"/>
  <c r="T220" i="8"/>
  <c r="T221" i="8" s="1"/>
  <c r="F233" i="8"/>
  <c r="F149" i="10" s="1"/>
  <c r="M114" i="10"/>
  <c r="J185" i="8"/>
  <c r="F231" i="8"/>
  <c r="F144" i="10" s="1"/>
  <c r="O93" i="10"/>
  <c r="G231" i="8"/>
  <c r="G144" i="10" s="1"/>
  <c r="N224" i="8"/>
  <c r="N225" i="8" s="1"/>
  <c r="N233" i="8"/>
  <c r="N149" i="10" s="1"/>
  <c r="U274" i="8"/>
  <c r="U109" i="10" s="1"/>
  <c r="L233" i="8"/>
  <c r="L149" i="10" s="1"/>
  <c r="N114" i="10"/>
  <c r="K86" i="3"/>
  <c r="J40" i="14"/>
  <c r="U113" i="8"/>
  <c r="R225" i="8"/>
  <c r="J28" i="7"/>
  <c r="J89" i="7" s="1"/>
  <c r="J72" i="10"/>
  <c r="U201" i="8"/>
  <c r="U100" i="10" s="1"/>
  <c r="J184" i="10"/>
  <c r="J121" i="10"/>
  <c r="O284" i="8"/>
  <c r="I86" i="3"/>
  <c r="R113" i="8"/>
  <c r="AA246" i="8"/>
  <c r="AA292" i="8" s="1"/>
  <c r="H265" i="8"/>
  <c r="H266" i="8" s="1"/>
  <c r="T194" i="8"/>
  <c r="V86" i="3" s="1"/>
  <c r="F61" i="4" s="1"/>
  <c r="P113" i="8"/>
  <c r="G86" i="3"/>
  <c r="J63" i="8"/>
  <c r="J235" i="8" s="1"/>
  <c r="F70" i="8"/>
  <c r="F57" i="10" s="1"/>
  <c r="F203" i="8"/>
  <c r="P265" i="8"/>
  <c r="P266" i="8" s="1"/>
  <c r="J4" i="10"/>
  <c r="T157" i="8"/>
  <c r="T159" i="8" s="1"/>
  <c r="O194" i="8"/>
  <c r="U86" i="3" s="1"/>
  <c r="E61" i="4" s="1"/>
  <c r="K113" i="8"/>
  <c r="O113" i="8" s="1"/>
  <c r="H104" i="3"/>
  <c r="Q113" i="8"/>
  <c r="H86" i="3"/>
  <c r="J194" i="8"/>
  <c r="T86" i="3" s="1"/>
  <c r="D61" i="4" s="1"/>
  <c r="G113" i="8"/>
  <c r="J113" i="8" s="1"/>
  <c r="S201" i="8"/>
  <c r="S100" i="10" s="1"/>
  <c r="J86" i="3"/>
  <c r="S113" i="8"/>
  <c r="J284" i="8"/>
  <c r="Z246" i="8"/>
  <c r="Z94" i="8" s="1"/>
  <c r="J224" i="8"/>
  <c r="K225" i="8" s="1"/>
  <c r="P157" i="8"/>
  <c r="P159" i="8" s="1"/>
  <c r="C24" i="10"/>
  <c r="AG186" i="8"/>
  <c r="V250" i="8"/>
  <c r="W250" i="8" s="1"/>
  <c r="J157" i="8"/>
  <c r="J159" i="8" s="1"/>
  <c r="J184" i="8"/>
  <c r="J68" i="3"/>
  <c r="J93" i="3" s="1"/>
  <c r="I157" i="8"/>
  <c r="T72" i="10"/>
  <c r="G157" i="8"/>
  <c r="G159" i="8" s="1"/>
  <c r="X94" i="8"/>
  <c r="K173" i="8"/>
  <c r="I173" i="8"/>
  <c r="F157" i="8"/>
  <c r="F159" i="8" s="1"/>
  <c r="U225" i="8"/>
  <c r="Q157" i="8"/>
  <c r="Q159" i="8" s="1"/>
  <c r="J310" i="8"/>
  <c r="J179" i="10" s="1"/>
  <c r="M157" i="8"/>
  <c r="M159" i="8" s="1"/>
  <c r="T67" i="3"/>
  <c r="M67" i="8"/>
  <c r="M40" i="10" s="1"/>
  <c r="K99" i="3"/>
  <c r="V67" i="3"/>
  <c r="J281" i="8"/>
  <c r="M184" i="10"/>
  <c r="K157" i="8"/>
  <c r="K159" i="8" s="1"/>
  <c r="T177" i="8"/>
  <c r="U179" i="8" s="1"/>
  <c r="U300" i="8" s="1"/>
  <c r="AC95" i="8"/>
  <c r="Z186" i="8"/>
  <c r="M232" i="8"/>
  <c r="R232" i="8"/>
  <c r="S232" i="8"/>
  <c r="AA241" i="8"/>
  <c r="AA280" i="8" s="1"/>
  <c r="AA290" i="8"/>
  <c r="X290" i="8"/>
  <c r="AA100" i="3"/>
  <c r="K70" i="4" s="1"/>
  <c r="AF186" i="8"/>
  <c r="Y152" i="7"/>
  <c r="Z152" i="7"/>
  <c r="AA152" i="7" s="1"/>
  <c r="W97" i="7"/>
  <c r="W91" i="7" s="1"/>
  <c r="V91" i="7"/>
  <c r="Y101" i="3"/>
  <c r="I71" i="4" s="1"/>
  <c r="Q232" i="8"/>
  <c r="T189" i="8"/>
  <c r="T167" i="10" s="1"/>
  <c r="T184" i="8"/>
  <c r="G30" i="8"/>
  <c r="G36" i="8" s="1"/>
  <c r="G183" i="8"/>
  <c r="G124" i="10" s="1"/>
  <c r="O81" i="17"/>
  <c r="M72" i="9"/>
  <c r="N232" i="8"/>
  <c r="N189" i="8"/>
  <c r="N167" i="10" s="1"/>
  <c r="U189" i="8"/>
  <c r="U167" i="10" s="1"/>
  <c r="V127" i="7"/>
  <c r="P143" i="17"/>
  <c r="B144" i="17"/>
  <c r="L221" i="8"/>
  <c r="K232" i="8"/>
  <c r="F189" i="8"/>
  <c r="F167" i="10" s="1"/>
  <c r="V292" i="8"/>
  <c r="V94" i="8"/>
  <c r="P232" i="8"/>
  <c r="J100" i="3"/>
  <c r="W84" i="7"/>
  <c r="W83" i="7" s="1"/>
  <c r="W47" i="7" s="1"/>
  <c r="W48" i="7" s="1"/>
  <c r="X86" i="7"/>
  <c r="G272" i="14"/>
  <c r="K272" i="14" s="1"/>
  <c r="G309" i="8"/>
  <c r="G174" i="10" s="1"/>
  <c r="L68" i="9"/>
  <c r="X186" i="8"/>
  <c r="V73" i="3"/>
  <c r="J171" i="8"/>
  <c r="J173" i="8" s="1"/>
  <c r="J189" i="8"/>
  <c r="J167" i="10" s="1"/>
  <c r="AD89" i="9"/>
  <c r="M40" i="18"/>
  <c r="T51" i="3"/>
  <c r="T106" i="3" s="1"/>
  <c r="D52" i="4" s="1"/>
  <c r="V44" i="7"/>
  <c r="X241" i="8"/>
  <c r="X280" i="8" s="1"/>
  <c r="L232" i="8"/>
  <c r="O62" i="17"/>
  <c r="J309" i="8"/>
  <c r="O166" i="8"/>
  <c r="O173" i="8" s="1"/>
  <c r="P184" i="8"/>
  <c r="P186" i="8" s="1"/>
  <c r="W151" i="7"/>
  <c r="C8" i="10"/>
  <c r="C18" i="10"/>
  <c r="Z101" i="3"/>
  <c r="J71" i="4" s="1"/>
  <c r="AD92" i="8"/>
  <c r="Z241" i="8"/>
  <c r="Z280" i="8" s="1"/>
  <c r="AD242" i="8"/>
  <c r="Z290" i="8"/>
  <c r="Q101" i="3"/>
  <c r="AG95" i="8"/>
  <c r="AC186" i="8"/>
  <c r="P101" i="3"/>
  <c r="C23" i="10"/>
  <c r="AB186" i="8"/>
  <c r="N101" i="3"/>
  <c r="X310" i="8"/>
  <c r="X93" i="8" s="1"/>
  <c r="R100" i="3"/>
  <c r="R101" i="3" s="1"/>
  <c r="O101" i="3"/>
  <c r="AF78" i="11"/>
  <c r="BB79" i="11"/>
  <c r="K105" i="3"/>
  <c r="AD93" i="8"/>
  <c r="AE187" i="8"/>
  <c r="M28" i="7"/>
  <c r="M89" i="7" s="1"/>
  <c r="X128" i="7"/>
  <c r="Y128" i="7" s="1"/>
  <c r="AB95" i="8"/>
  <c r="AB290" i="8"/>
  <c r="T28" i="7"/>
  <c r="AA186" i="8"/>
  <c r="V32" i="3"/>
  <c r="AB241" i="8"/>
  <c r="AB280" i="8" s="1"/>
  <c r="AE290" i="8"/>
  <c r="F19" i="4"/>
  <c r="F43" i="4" s="1"/>
  <c r="T63" i="8"/>
  <c r="T205" i="8" s="1"/>
  <c r="T121" i="10"/>
  <c r="T4" i="10"/>
  <c r="N30" i="16"/>
  <c r="N50" i="16" s="1"/>
  <c r="N70" i="16" s="1"/>
  <c r="X151" i="7"/>
  <c r="AF290" i="8"/>
  <c r="T184" i="10"/>
  <c r="M205" i="8"/>
  <c r="AE186" i="8"/>
  <c r="AD273" i="8"/>
  <c r="M71" i="9"/>
  <c r="G68" i="9"/>
  <c r="S73" i="9"/>
  <c r="M4" i="10"/>
  <c r="M161" i="8"/>
  <c r="M217" i="8"/>
  <c r="M74" i="8"/>
  <c r="M235" i="8"/>
  <c r="T38" i="3"/>
  <c r="M287" i="8"/>
  <c r="M276" i="8"/>
  <c r="M121" i="10"/>
  <c r="M191" i="8"/>
  <c r="M5" i="9"/>
  <c r="M72" i="10"/>
  <c r="T166" i="8"/>
  <c r="T173" i="8" s="1"/>
  <c r="G173" i="8"/>
  <c r="I105" i="3"/>
  <c r="S250" i="8"/>
  <c r="M221" i="8"/>
  <c r="M225" i="8"/>
  <c r="L24" i="8"/>
  <c r="L25" i="8" s="1"/>
  <c r="C28" i="10"/>
  <c r="C20" i="10"/>
  <c r="C10" i="10"/>
  <c r="I268" i="8"/>
  <c r="J255" i="8"/>
  <c r="AD24" i="8"/>
  <c r="W4" i="3"/>
  <c r="Y28" i="7"/>
  <c r="Y51" i="7" s="1"/>
  <c r="Q173" i="8"/>
  <c r="Y72" i="10"/>
  <c r="X24" i="8"/>
  <c r="W24" i="8" s="1"/>
  <c r="L225" i="8"/>
  <c r="T241" i="8"/>
  <c r="Y121" i="10"/>
  <c r="M268" i="8"/>
  <c r="S221" i="8"/>
  <c r="S255" i="8"/>
  <c r="U51" i="3"/>
  <c r="U105" i="3" s="1"/>
  <c r="E51" i="4" s="1"/>
  <c r="N255" i="8"/>
  <c r="N268" i="8" s="1"/>
  <c r="S173" i="8"/>
  <c r="C29" i="10"/>
  <c r="W227" i="7"/>
  <c r="W225" i="7" s="1"/>
  <c r="V225" i="7"/>
  <c r="V226" i="7" s="1"/>
  <c r="V189" i="7"/>
  <c r="V190" i="7" s="1"/>
  <c r="W190" i="7" s="1"/>
  <c r="X140" i="7"/>
  <c r="X191" i="7"/>
  <c r="X189" i="7" s="1"/>
  <c r="V201" i="7"/>
  <c r="V202" i="7" s="1"/>
  <c r="W203" i="7"/>
  <c r="Y116" i="7"/>
  <c r="X104" i="7"/>
  <c r="Z104" i="7" s="1"/>
  <c r="AA104" i="7" s="1"/>
  <c r="X92" i="7"/>
  <c r="V48" i="7"/>
  <c r="T281" i="8"/>
  <c r="T267" i="8"/>
  <c r="T284" i="8"/>
  <c r="N206" i="14"/>
  <c r="R206" i="14" s="1"/>
  <c r="R128" i="14"/>
  <c r="V51" i="3"/>
  <c r="V104" i="3" s="1"/>
  <c r="F50" i="4" s="1"/>
  <c r="U65" i="3"/>
  <c r="Q225" i="8"/>
  <c r="K304" i="8"/>
  <c r="N310" i="8"/>
  <c r="N179" i="10" s="1"/>
  <c r="H106" i="3"/>
  <c r="R173" i="8"/>
  <c r="Q221" i="8"/>
  <c r="G46" i="3"/>
  <c r="G97" i="3" s="1"/>
  <c r="I179" i="8"/>
  <c r="I112" i="8" s="1"/>
  <c r="K179" i="8"/>
  <c r="K300" i="8" s="1"/>
  <c r="V65" i="3"/>
  <c r="T65" i="3"/>
  <c r="L146" i="8"/>
  <c r="L157" i="8" s="1"/>
  <c r="L159" i="8" s="1"/>
  <c r="I309" i="8"/>
  <c r="I174" i="10" s="1"/>
  <c r="P173" i="8"/>
  <c r="G59" i="3"/>
  <c r="G105" i="3"/>
  <c r="M173" i="8"/>
  <c r="I46" i="3"/>
  <c r="I94" i="3" s="1"/>
  <c r="H46" i="3"/>
  <c r="H97" i="3" s="1"/>
  <c r="O177" i="8"/>
  <c r="P179" i="8" s="1"/>
  <c r="P300" i="8" s="1"/>
  <c r="O129" i="10"/>
  <c r="R186" i="8"/>
  <c r="I104" i="3"/>
  <c r="H173" i="8"/>
  <c r="W246" i="8"/>
  <c r="Z255" i="8"/>
  <c r="T134" i="7"/>
  <c r="N122" i="7"/>
  <c r="R134" i="7"/>
  <c r="S146" i="7"/>
  <c r="K69" i="9"/>
  <c r="K72" i="9"/>
  <c r="L70" i="9"/>
  <c r="M216" i="7"/>
  <c r="K71" i="9"/>
  <c r="K70" i="9"/>
  <c r="O86" i="9"/>
  <c r="K73" i="9"/>
  <c r="L71" i="9"/>
  <c r="K134" i="7"/>
  <c r="S110" i="7"/>
  <c r="T34" i="9"/>
  <c r="L73" i="9"/>
  <c r="O34" i="9"/>
  <c r="M180" i="7"/>
  <c r="F69" i="8"/>
  <c r="F50" i="10" s="1"/>
  <c r="F67" i="8"/>
  <c r="F40" i="10" s="1"/>
  <c r="S98" i="7"/>
  <c r="T69" i="8"/>
  <c r="T50" i="10" s="1"/>
  <c r="N203" i="8"/>
  <c r="N68" i="8"/>
  <c r="N45" i="10" s="1"/>
  <c r="M30" i="8"/>
  <c r="M66" i="8" s="1"/>
  <c r="M7" i="10" s="1"/>
  <c r="M201" i="8"/>
  <c r="M100" i="10" s="1"/>
  <c r="N183" i="8"/>
  <c r="N124" i="10" s="1"/>
  <c r="M68" i="8"/>
  <c r="M45" i="10" s="1"/>
  <c r="N67" i="8"/>
  <c r="N40" i="10" s="1"/>
  <c r="N70" i="8"/>
  <c r="N57" i="10" s="1"/>
  <c r="M250" i="8"/>
  <c r="M187" i="8"/>
  <c r="M134" i="10" s="1"/>
  <c r="F300" i="8"/>
  <c r="F201" i="8"/>
  <c r="F100" i="10" s="1"/>
  <c r="F30" i="8"/>
  <c r="F66" i="8" s="1"/>
  <c r="F7" i="10" s="1"/>
  <c r="F250" i="8"/>
  <c r="F68" i="8"/>
  <c r="F45" i="10" s="1"/>
  <c r="F187" i="8"/>
  <c r="F134" i="10" s="1"/>
  <c r="Y63" i="8"/>
  <c r="Y161" i="8" s="1"/>
  <c r="Y184" i="10"/>
  <c r="R157" i="10"/>
  <c r="I100" i="3"/>
  <c r="G104" i="3"/>
  <c r="Y4" i="10"/>
  <c r="Z291" i="8"/>
  <c r="G179" i="8"/>
  <c r="G300" i="8" s="1"/>
  <c r="W6" i="3"/>
  <c r="G19" i="4" s="1"/>
  <c r="G43" i="4" s="1"/>
  <c r="S225" i="8"/>
  <c r="U171" i="8"/>
  <c r="U173" i="8" s="1"/>
  <c r="R221" i="8"/>
  <c r="F171" i="8"/>
  <c r="F173" i="8" s="1"/>
  <c r="T52" i="9"/>
  <c r="T86" i="10" s="1"/>
  <c r="T55" i="9"/>
  <c r="T89" i="10" s="1"/>
  <c r="T57" i="9"/>
  <c r="T91" i="10" s="1"/>
  <c r="T53" i="9"/>
  <c r="T87" i="10" s="1"/>
  <c r="T54" i="9"/>
  <c r="T88" i="10" s="1"/>
  <c r="G71" i="9"/>
  <c r="T187" i="8"/>
  <c r="T134" i="10" s="1"/>
  <c r="T20" i="9"/>
  <c r="F117" i="16" s="1"/>
  <c r="T17" i="9"/>
  <c r="E117" i="16" s="1"/>
  <c r="T67" i="8"/>
  <c r="T40" i="10" s="1"/>
  <c r="T70" i="8"/>
  <c r="T57" i="10" s="1"/>
  <c r="V8" i="3"/>
  <c r="F21" i="4" s="1"/>
  <c r="T250" i="8"/>
  <c r="T183" i="8"/>
  <c r="V98" i="3" s="1"/>
  <c r="I31" i="14"/>
  <c r="T203" i="8"/>
  <c r="M183" i="8"/>
  <c r="M124" i="10" s="1"/>
  <c r="O28" i="8"/>
  <c r="M70" i="8"/>
  <c r="M57" i="10" s="1"/>
  <c r="M69" i="8"/>
  <c r="M50" i="10" s="1"/>
  <c r="M110" i="7"/>
  <c r="K36" i="8"/>
  <c r="K144" i="9" s="1"/>
  <c r="N250" i="8"/>
  <c r="N69" i="8"/>
  <c r="N50" i="10" s="1"/>
  <c r="N201" i="8"/>
  <c r="N100" i="10" s="1"/>
  <c r="N30" i="8"/>
  <c r="L183" i="8"/>
  <c r="L124" i="10" s="1"/>
  <c r="L201" i="8"/>
  <c r="L100" i="10" s="1"/>
  <c r="O19" i="9"/>
  <c r="O43" i="7" s="1"/>
  <c r="G203" i="8"/>
  <c r="H70" i="8"/>
  <c r="H57" i="10" s="1"/>
  <c r="H201" i="8"/>
  <c r="H100" i="10" s="1"/>
  <c r="H203" i="8"/>
  <c r="H30" i="8"/>
  <c r="H66" i="8" s="1"/>
  <c r="H7" i="10" s="1"/>
  <c r="AE190" i="9"/>
  <c r="AI47" i="7"/>
  <c r="Q69" i="9"/>
  <c r="N71" i="9"/>
  <c r="AI35" i="7"/>
  <c r="T213" i="7"/>
  <c r="T139" i="7"/>
  <c r="T145" i="7" s="1"/>
  <c r="T146" i="7" s="1"/>
  <c r="T103" i="7"/>
  <c r="T109" i="7" s="1"/>
  <c r="T110" i="7" s="1"/>
  <c r="O110" i="7"/>
  <c r="O215" i="7"/>
  <c r="O220" i="7" s="1"/>
  <c r="M184" i="7"/>
  <c r="O36" i="9"/>
  <c r="M220" i="7"/>
  <c r="T177" i="7"/>
  <c r="J83" i="7"/>
  <c r="T77" i="7"/>
  <c r="O37" i="9"/>
  <c r="N216" i="7"/>
  <c r="J145" i="9"/>
  <c r="G73" i="9"/>
  <c r="L69" i="9"/>
  <c r="S134" i="7"/>
  <c r="S168" i="7"/>
  <c r="H73" i="9"/>
  <c r="G70" i="9"/>
  <c r="H183" i="8"/>
  <c r="H124" i="10" s="1"/>
  <c r="Q134" i="7"/>
  <c r="O146" i="7"/>
  <c r="J90" i="9"/>
  <c r="G69" i="9"/>
  <c r="G250" i="8"/>
  <c r="H134" i="7"/>
  <c r="H69" i="8"/>
  <c r="H50" i="10" s="1"/>
  <c r="K182" i="9"/>
  <c r="K31" i="7" s="1"/>
  <c r="Q36" i="8"/>
  <c r="Q144" i="9" s="1"/>
  <c r="AD87" i="9"/>
  <c r="J225" i="7"/>
  <c r="Q66" i="8"/>
  <c r="Q7" i="10" s="1"/>
  <c r="R172" i="7"/>
  <c r="J115" i="7"/>
  <c r="J121" i="7" s="1"/>
  <c r="O122" i="7" s="1"/>
  <c r="J65" i="7"/>
  <c r="Q124" i="10"/>
  <c r="H98" i="3"/>
  <c r="H67" i="8"/>
  <c r="H40" i="10" s="1"/>
  <c r="R168" i="7"/>
  <c r="AI41" i="7"/>
  <c r="T71" i="7"/>
  <c r="P98" i="7"/>
  <c r="G70" i="8"/>
  <c r="G57" i="10" s="1"/>
  <c r="G187" i="8"/>
  <c r="G134" i="10" s="1"/>
  <c r="G68" i="8"/>
  <c r="G45" i="10" s="1"/>
  <c r="G69" i="8"/>
  <c r="G50" i="10" s="1"/>
  <c r="G67" i="8"/>
  <c r="G40" i="10" s="1"/>
  <c r="G201" i="8"/>
  <c r="G100" i="10" s="1"/>
  <c r="N228" i="7"/>
  <c r="C189" i="7"/>
  <c r="C65" i="7"/>
  <c r="C115" i="7"/>
  <c r="C12" i="7"/>
  <c r="J60" i="9"/>
  <c r="J7" i="9"/>
  <c r="J21" i="9" s="1"/>
  <c r="J49" i="7" s="1"/>
  <c r="T21" i="9"/>
  <c r="I117" i="16" s="1"/>
  <c r="J57" i="9"/>
  <c r="J91" i="10" s="1"/>
  <c r="O88" i="9"/>
  <c r="H70" i="9"/>
  <c r="N70" i="9"/>
  <c r="S69" i="9"/>
  <c r="O54" i="9"/>
  <c r="O88" i="10" s="1"/>
  <c r="T87" i="9"/>
  <c r="N162" i="9"/>
  <c r="N68" i="9"/>
  <c r="R68" i="9"/>
  <c r="L134" i="7"/>
  <c r="S72" i="9"/>
  <c r="T98" i="7"/>
  <c r="N72" i="9"/>
  <c r="L203" i="8"/>
  <c r="L187" i="8"/>
  <c r="L134" i="10" s="1"/>
  <c r="L67" i="8"/>
  <c r="L40" i="10" s="1"/>
  <c r="L69" i="8"/>
  <c r="L50" i="10" s="1"/>
  <c r="L250" i="8"/>
  <c r="L30" i="8"/>
  <c r="H12" i="3"/>
  <c r="H76" i="3" s="1"/>
  <c r="R216" i="7"/>
  <c r="S71" i="9"/>
  <c r="L68" i="8"/>
  <c r="L45" i="10" s="1"/>
  <c r="T88" i="9"/>
  <c r="L70" i="8"/>
  <c r="L57" i="10" s="1"/>
  <c r="H68" i="8"/>
  <c r="H45" i="10" s="1"/>
  <c r="L122" i="7"/>
  <c r="N69" i="9"/>
  <c r="AF77" i="11"/>
  <c r="E94" i="17"/>
  <c r="Q94" i="17" s="1"/>
  <c r="E99" i="17"/>
  <c r="Q99" i="17" s="1"/>
  <c r="E46" i="17"/>
  <c r="Q46" i="17" s="1"/>
  <c r="Q109" i="17"/>
  <c r="P134" i="7"/>
  <c r="I146" i="7"/>
  <c r="E62" i="17"/>
  <c r="E63" i="17" s="1"/>
  <c r="Q63" i="17" s="1"/>
  <c r="R122" i="7"/>
  <c r="Q61" i="17"/>
  <c r="Q110" i="7"/>
  <c r="I134" i="7"/>
  <c r="N110" i="7"/>
  <c r="E115" i="17"/>
  <c r="Q115" i="17" s="1"/>
  <c r="H110" i="7"/>
  <c r="Q45" i="17"/>
  <c r="AF79" i="11"/>
  <c r="AF76" i="11"/>
  <c r="BB77" i="11"/>
  <c r="BB76" i="11"/>
  <c r="BB78" i="11"/>
  <c r="Q77" i="17"/>
  <c r="E78" i="17"/>
  <c r="E79" i="17" s="1"/>
  <c r="F172" i="7"/>
  <c r="H184" i="7"/>
  <c r="H180" i="7"/>
  <c r="J35" i="9"/>
  <c r="J38" i="9"/>
  <c r="J31" i="9"/>
  <c r="J39" i="9"/>
  <c r="J36" i="9"/>
  <c r="J34" i="9"/>
  <c r="J37" i="9"/>
  <c r="O157" i="10"/>
  <c r="U100" i="3"/>
  <c r="E70" i="4" s="1"/>
  <c r="M110" i="14"/>
  <c r="O5" i="5"/>
  <c r="N309" i="8"/>
  <c r="N174" i="10" s="1"/>
  <c r="P128" i="17"/>
  <c r="O128" i="17" s="1"/>
  <c r="B129" i="17"/>
  <c r="P129" i="17" s="1"/>
  <c r="O129" i="17" s="1"/>
  <c r="J9" i="15"/>
  <c r="K9" i="15" s="1"/>
  <c r="I10" i="15"/>
  <c r="E35" i="17"/>
  <c r="Q35" i="17" s="1"/>
  <c r="Q29" i="17"/>
  <c r="E30" i="17"/>
  <c r="O45" i="17"/>
  <c r="R197" i="14" a="1"/>
  <c r="R197" i="14" s="1"/>
  <c r="R198" i="14" s="1"/>
  <c r="R199" i="14"/>
  <c r="J199" i="14"/>
  <c r="R121" i="14"/>
  <c r="R123" i="14" s="1"/>
  <c r="J198" i="14"/>
  <c r="T36" i="9"/>
  <c r="T60" i="8"/>
  <c r="T49" i="9" s="1"/>
  <c r="U309" i="8"/>
  <c r="U174" i="10" s="1"/>
  <c r="U310" i="8"/>
  <c r="U179" i="10" s="1"/>
  <c r="N217" i="8"/>
  <c r="N5" i="9"/>
  <c r="N120" i="8"/>
  <c r="N74" i="8"/>
  <c r="N191" i="8"/>
  <c r="N205" i="8"/>
  <c r="N287" i="8"/>
  <c r="N161" i="8"/>
  <c r="N235" i="8"/>
  <c r="N276" i="8"/>
  <c r="U98" i="7"/>
  <c r="P66" i="8"/>
  <c r="P7" i="10" s="1"/>
  <c r="P36" i="8"/>
  <c r="T30" i="8"/>
  <c r="G11" i="3"/>
  <c r="G12" i="3" s="1"/>
  <c r="G76" i="3" s="1"/>
  <c r="I110" i="7"/>
  <c r="F69" i="9"/>
  <c r="F70" i="9"/>
  <c r="M172" i="7"/>
  <c r="M168" i="7"/>
  <c r="U124" i="10"/>
  <c r="K98" i="3"/>
  <c r="G228" i="7"/>
  <c r="G232" i="7"/>
  <c r="E14" i="17"/>
  <c r="Q13" i="17"/>
  <c r="E19" i="17"/>
  <c r="Q19" i="17" s="1"/>
  <c r="R93" i="10"/>
  <c r="R111" i="8"/>
  <c r="H232" i="7"/>
  <c r="H228" i="7"/>
  <c r="U109" i="7"/>
  <c r="I220" i="7"/>
  <c r="I216" i="7"/>
  <c r="S122" i="7"/>
  <c r="R70" i="9"/>
  <c r="R71" i="9"/>
  <c r="R24" i="8"/>
  <c r="S25" i="8"/>
  <c r="N146" i="8"/>
  <c r="N157" i="8" s="1"/>
  <c r="N159" i="8" s="1"/>
  <c r="O138" i="8"/>
  <c r="O146" i="8" s="1"/>
  <c r="O157" i="8" s="1"/>
  <c r="O159" i="8" s="1"/>
  <c r="Q184" i="7"/>
  <c r="L172" i="7"/>
  <c r="AP8" i="11"/>
  <c r="AP49" i="11" s="1"/>
  <c r="AN8" i="11"/>
  <c r="AN49" i="11" s="1"/>
  <c r="BH8" i="11"/>
  <c r="BH49" i="11" s="1"/>
  <c r="BF8" i="11"/>
  <c r="BF49" i="11" s="1"/>
  <c r="BD8" i="11"/>
  <c r="BD49" i="11" s="1"/>
  <c r="AL8" i="11"/>
  <c r="AL49" i="11" s="1"/>
  <c r="AR8" i="11"/>
  <c r="AR49" i="11" s="1"/>
  <c r="AJ8" i="11"/>
  <c r="AJ49" i="11" s="1"/>
  <c r="BL8" i="11"/>
  <c r="BL49" i="11" s="1"/>
  <c r="BN8" i="11"/>
  <c r="BN49" i="11" s="1"/>
  <c r="BJ8" i="11"/>
  <c r="BJ49" i="11" s="1"/>
  <c r="AH8" i="11"/>
  <c r="AH49" i="11" s="1"/>
  <c r="J49" i="11"/>
  <c r="P157" i="10"/>
  <c r="G100" i="3"/>
  <c r="Y87" i="9"/>
  <c r="Y88" i="9"/>
  <c r="K232" i="7"/>
  <c r="O227" i="7"/>
  <c r="K228" i="7"/>
  <c r="R232" i="7"/>
  <c r="R228" i="7"/>
  <c r="G216" i="7"/>
  <c r="G220" i="7"/>
  <c r="P124" i="10"/>
  <c r="G98" i="3"/>
  <c r="T209" i="8"/>
  <c r="T93" i="10" s="1"/>
  <c r="K9" i="3"/>
  <c r="O40" i="19"/>
  <c r="O24" i="19"/>
  <c r="U186" i="8"/>
  <c r="H179" i="8"/>
  <c r="U192" i="7"/>
  <c r="U196" i="7"/>
  <c r="Y196" i="7" s="1"/>
  <c r="G157" i="10"/>
  <c r="B160" i="17"/>
  <c r="P159" i="17"/>
  <c r="H172" i="7"/>
  <c r="H168" i="7"/>
  <c r="L179" i="8"/>
  <c r="Q232" i="7"/>
  <c r="Q228" i="7"/>
  <c r="M179" i="8"/>
  <c r="J46" i="3"/>
  <c r="J104" i="3"/>
  <c r="O31" i="17"/>
  <c r="N51" i="14"/>
  <c r="O50" i="14"/>
  <c r="M122" i="7"/>
  <c r="N180" i="7"/>
  <c r="N184" i="7"/>
  <c r="O61" i="17"/>
  <c r="O113" i="17"/>
  <c r="J28" i="14"/>
  <c r="J27" i="14" s="1"/>
  <c r="J48" i="14" s="1"/>
  <c r="K29" i="14"/>
  <c r="Q127" i="17"/>
  <c r="E128" i="17"/>
  <c r="T31" i="9"/>
  <c r="T37" i="9"/>
  <c r="T38" i="9"/>
  <c r="T59" i="9"/>
  <c r="T70" i="9" s="1"/>
  <c r="H250" i="8"/>
  <c r="J247" i="8"/>
  <c r="J53" i="9"/>
  <c r="J87" i="10" s="1"/>
  <c r="J59" i="9"/>
  <c r="J73" i="9" s="1"/>
  <c r="J56" i="9"/>
  <c r="J90" i="10" s="1"/>
  <c r="J54" i="9"/>
  <c r="J88" i="10" s="1"/>
  <c r="L232" i="7"/>
  <c r="M228" i="7"/>
  <c r="L228" i="7"/>
  <c r="T192" i="7"/>
  <c r="T196" i="7"/>
  <c r="R129" i="10"/>
  <c r="I99" i="3"/>
  <c r="O38" i="9"/>
  <c r="O35" i="9"/>
  <c r="O31" i="9"/>
  <c r="Q68" i="9"/>
  <c r="Q71" i="9"/>
  <c r="Q70" i="9"/>
  <c r="M70" i="9"/>
  <c r="M68" i="9"/>
  <c r="M73" i="9"/>
  <c r="O121" i="10"/>
  <c r="O72" i="10"/>
  <c r="O184" i="10"/>
  <c r="O4" i="10"/>
  <c r="U6" i="3"/>
  <c r="O63" i="8"/>
  <c r="O28" i="7"/>
  <c r="J60" i="8"/>
  <c r="J49" i="9" s="1"/>
  <c r="U121" i="7"/>
  <c r="V121" i="7" s="1"/>
  <c r="H10" i="19"/>
  <c r="H6" i="19"/>
  <c r="C24" i="19"/>
  <c r="L10" i="19"/>
  <c r="C10" i="19"/>
  <c r="C40" i="19"/>
  <c r="U204" i="7"/>
  <c r="U208" i="7"/>
  <c r="Y208" i="7" s="1"/>
  <c r="J261" i="8"/>
  <c r="J262" i="8" s="1"/>
  <c r="K260" i="8" s="1"/>
  <c r="I37" i="9"/>
  <c r="I35" i="9"/>
  <c r="I38" i="9"/>
  <c r="I31" i="9"/>
  <c r="I39" i="9"/>
  <c r="I36" i="9"/>
  <c r="I34" i="9"/>
  <c r="U38" i="3"/>
  <c r="I93" i="10"/>
  <c r="I111" i="8"/>
  <c r="J111" i="8" s="1"/>
  <c r="J209" i="8"/>
  <c r="J93" i="10" s="1"/>
  <c r="E111" i="17"/>
  <c r="Q110" i="17"/>
  <c r="B17" i="17"/>
  <c r="N171" i="8"/>
  <c r="N173" i="8" s="1"/>
  <c r="F71" i="9"/>
  <c r="F73" i="9"/>
  <c r="K309" i="8"/>
  <c r="K174" i="10" s="1"/>
  <c r="O174" i="10" s="1"/>
  <c r="L308" i="8"/>
  <c r="L310" i="8" s="1"/>
  <c r="L179" i="10" s="1"/>
  <c r="U144" i="10"/>
  <c r="U220" i="8"/>
  <c r="R179" i="8"/>
  <c r="S179" i="8"/>
  <c r="O41" i="14"/>
  <c r="F184" i="7"/>
  <c r="J179" i="7"/>
  <c r="J215" i="7"/>
  <c r="C24" i="18"/>
  <c r="H6" i="18"/>
  <c r="C40" i="18"/>
  <c r="K10" i="18"/>
  <c r="C10" i="18"/>
  <c r="O204" i="7"/>
  <c r="O208" i="7"/>
  <c r="K46" i="3"/>
  <c r="K94" i="3" s="1"/>
  <c r="K104" i="3"/>
  <c r="I157" i="10"/>
  <c r="G220" i="8"/>
  <c r="T35" i="9"/>
  <c r="Q157" i="10"/>
  <c r="Q186" i="8"/>
  <c r="H100" i="3"/>
  <c r="L162" i="10"/>
  <c r="L171" i="8"/>
  <c r="L173" i="8" s="1"/>
  <c r="S129" i="10"/>
  <c r="J99" i="3"/>
  <c r="I165" i="7"/>
  <c r="I167" i="7" s="1"/>
  <c r="I91" i="7"/>
  <c r="I97" i="7" s="1"/>
  <c r="I53" i="7"/>
  <c r="Q179" i="8"/>
  <c r="O192" i="7"/>
  <c r="O196" i="7"/>
  <c r="H220" i="8"/>
  <c r="C28" i="16"/>
  <c r="C31" i="16" s="1"/>
  <c r="C91" i="7"/>
  <c r="C8" i="7"/>
  <c r="C165" i="7"/>
  <c r="C53" i="7"/>
  <c r="C14" i="10"/>
  <c r="C13" i="10"/>
  <c r="C15" i="10"/>
  <c r="O59" i="9"/>
  <c r="O73" i="9" s="1"/>
  <c r="O52" i="9"/>
  <c r="O86" i="10" s="1"/>
  <c r="O53" i="9"/>
  <c r="O87" i="10" s="1"/>
  <c r="O49" i="9"/>
  <c r="C158" i="17"/>
  <c r="O158" i="17" s="1"/>
  <c r="O143" i="17"/>
  <c r="N221" i="8"/>
  <c r="O29" i="17"/>
  <c r="J77" i="11"/>
  <c r="J76" i="11"/>
  <c r="J79" i="11"/>
  <c r="J78" i="11"/>
  <c r="Q129" i="10"/>
  <c r="H99" i="3"/>
  <c r="Q73" i="9"/>
  <c r="J90" i="16"/>
  <c r="S36" i="8"/>
  <c r="S66" i="8"/>
  <c r="S7" i="10" s="1"/>
  <c r="J11" i="3"/>
  <c r="J12" i="3" s="1"/>
  <c r="J76" i="3" s="1"/>
  <c r="L220" i="7"/>
  <c r="U146" i="8"/>
  <c r="U157" i="8" s="1"/>
  <c r="U159" i="8" s="1"/>
  <c r="S228" i="7"/>
  <c r="AA116" i="7"/>
  <c r="T122" i="7"/>
  <c r="O12" i="17"/>
  <c r="C28" i="17"/>
  <c r="Y90" i="9"/>
  <c r="O87" i="9"/>
  <c r="O90" i="9"/>
  <c r="Y89" i="9"/>
  <c r="Y86" i="9"/>
  <c r="P221" i="8"/>
  <c r="I182" i="9"/>
  <c r="I31" i="7" s="1"/>
  <c r="I20" i="9"/>
  <c r="I46" i="7" s="1"/>
  <c r="I17" i="9"/>
  <c r="I37" i="7" s="1"/>
  <c r="I18" i="9"/>
  <c r="I40" i="7" s="1"/>
  <c r="I19" i="9"/>
  <c r="I43" i="7" s="1"/>
  <c r="I28" i="8"/>
  <c r="I139" i="10" s="1"/>
  <c r="I21" i="9"/>
  <c r="I49" i="7" s="1"/>
  <c r="I30" i="7"/>
  <c r="O127" i="17"/>
  <c r="O30" i="17"/>
  <c r="C45" i="17"/>
  <c r="C61" i="17" s="1"/>
  <c r="C77" i="17" s="1"/>
  <c r="C93" i="17" s="1"/>
  <c r="C109" i="17" s="1"/>
  <c r="C125" i="17" s="1"/>
  <c r="T86" i="9"/>
  <c r="T90" i="9"/>
  <c r="D117" i="16"/>
  <c r="T34" i="7"/>
  <c r="O223" i="8"/>
  <c r="O224" i="8" s="1"/>
  <c r="U56" i="3"/>
  <c r="K124" i="10"/>
  <c r="K186" i="8"/>
  <c r="G168" i="7"/>
  <c r="G172" i="7"/>
  <c r="T204" i="7"/>
  <c r="T208" i="7"/>
  <c r="G184" i="7"/>
  <c r="G180" i="7"/>
  <c r="J162" i="10"/>
  <c r="P122" i="7"/>
  <c r="P232" i="7"/>
  <c r="T227" i="7"/>
  <c r="P228" i="7"/>
  <c r="I228" i="7"/>
  <c r="I232" i="7"/>
  <c r="H220" i="7"/>
  <c r="H216" i="7"/>
  <c r="U66" i="8"/>
  <c r="U7" i="10" s="1"/>
  <c r="U36" i="8"/>
  <c r="K11" i="3"/>
  <c r="I225" i="8"/>
  <c r="S186" i="8"/>
  <c r="K310" i="8"/>
  <c r="K179" i="10" s="1"/>
  <c r="S124" i="10"/>
  <c r="J98" i="3"/>
  <c r="R180" i="7"/>
  <c r="Q122" i="7"/>
  <c r="R110" i="7"/>
  <c r="K146" i="7"/>
  <c r="O163" i="9"/>
  <c r="O33" i="7" s="1"/>
  <c r="O54" i="7" s="1"/>
  <c r="J32" i="7"/>
  <c r="AF134" i="10"/>
  <c r="AG134" i="10"/>
  <c r="O56" i="9"/>
  <c r="O90" i="10" s="1"/>
  <c r="O55" i="9"/>
  <c r="O89" i="10" s="1"/>
  <c r="R73" i="9"/>
  <c r="O142" i="17"/>
  <c r="O109" i="17"/>
  <c r="O111" i="17"/>
  <c r="AD86" i="9"/>
  <c r="AD90" i="9"/>
  <c r="I133" i="8"/>
  <c r="T43" i="3"/>
  <c r="T162" i="9"/>
  <c r="T31" i="7" s="1"/>
  <c r="T19" i="9"/>
  <c r="T18" i="9"/>
  <c r="T30" i="7"/>
  <c r="R124" i="10"/>
  <c r="I98" i="3"/>
  <c r="Q98" i="7"/>
  <c r="Q93" i="10"/>
  <c r="Q111" i="8"/>
  <c r="F232" i="7"/>
  <c r="J227" i="7"/>
  <c r="J232" i="7" s="1"/>
  <c r="U145" i="7"/>
  <c r="N98" i="7"/>
  <c r="O78" i="17"/>
  <c r="S309" i="8"/>
  <c r="S174" i="10" s="1"/>
  <c r="O134" i="7"/>
  <c r="B33" i="17"/>
  <c r="P33" i="17" s="1"/>
  <c r="O33" i="17" s="1"/>
  <c r="P32" i="17"/>
  <c r="O32" i="17" s="1"/>
  <c r="O63" i="17"/>
  <c r="O110" i="17"/>
  <c r="O125" i="17"/>
  <c r="F68" i="9"/>
  <c r="P71" i="9"/>
  <c r="P73" i="9"/>
  <c r="P68" i="9"/>
  <c r="P70" i="9"/>
  <c r="P69" i="9"/>
  <c r="O21" i="9"/>
  <c r="O49" i="7" s="1"/>
  <c r="O18" i="9"/>
  <c r="O40" i="7" s="1"/>
  <c r="O17" i="9"/>
  <c r="O37" i="7" s="1"/>
  <c r="O30" i="7"/>
  <c r="O20" i="9"/>
  <c r="O46" i="7" s="1"/>
  <c r="O311" i="8"/>
  <c r="O310" i="8" s="1"/>
  <c r="U54" i="3"/>
  <c r="M308" i="8"/>
  <c r="AB246" i="8"/>
  <c r="AC240" i="8"/>
  <c r="N157" i="10"/>
  <c r="R66" i="8"/>
  <c r="R7" i="10" s="1"/>
  <c r="R36" i="8"/>
  <c r="I11" i="3"/>
  <c r="I12" i="3" s="1"/>
  <c r="I76" i="3" s="1"/>
  <c r="N172" i="7"/>
  <c r="N168" i="7"/>
  <c r="I184" i="7"/>
  <c r="I180" i="7"/>
  <c r="K110" i="7"/>
  <c r="G40" i="13"/>
  <c r="G39" i="13"/>
  <c r="D47" i="13" s="1"/>
  <c r="R69" i="9"/>
  <c r="I13" i="15"/>
  <c r="I16" i="15"/>
  <c r="I59" i="9"/>
  <c r="P48" i="17"/>
  <c r="O48" i="17" s="1"/>
  <c r="B49" i="17"/>
  <c r="P49" i="17" s="1"/>
  <c r="O49" i="17" s="1"/>
  <c r="AK8" i="15"/>
  <c r="BK8" i="15"/>
  <c r="O46" i="17"/>
  <c r="B65" i="17"/>
  <c r="P65" i="17" s="1"/>
  <c r="O65" i="17" s="1"/>
  <c r="P64" i="17"/>
  <c r="O64" i="17" s="1"/>
  <c r="P96" i="17"/>
  <c r="O96" i="17" s="1"/>
  <c r="B97" i="17"/>
  <c r="P97" i="17" s="1"/>
  <c r="O97" i="17" s="1"/>
  <c r="H69" i="9"/>
  <c r="H71" i="9"/>
  <c r="H72" i="9"/>
  <c r="J89" i="9"/>
  <c r="J86" i="9"/>
  <c r="J87" i="9"/>
  <c r="P49" i="9"/>
  <c r="N179" i="8"/>
  <c r="T162" i="10"/>
  <c r="H157" i="10"/>
  <c r="U228" i="7"/>
  <c r="U232" i="7"/>
  <c r="Y232" i="7" s="1"/>
  <c r="O92" i="16" l="1"/>
  <c r="K168" i="7"/>
  <c r="K172" i="7"/>
  <c r="O167" i="7"/>
  <c r="O172" i="7" s="1"/>
  <c r="W39" i="7"/>
  <c r="U57" i="3"/>
  <c r="G70" i="3"/>
  <c r="O159" i="17"/>
  <c r="W36" i="7"/>
  <c r="Y189" i="7"/>
  <c r="Z151" i="7"/>
  <c r="W42" i="7"/>
  <c r="W30" i="7"/>
  <c r="W49" i="7" s="1"/>
  <c r="V33" i="7"/>
  <c r="V30" i="7"/>
  <c r="V49" i="7" s="1"/>
  <c r="U68" i="3"/>
  <c r="U93" i="3" s="1"/>
  <c r="E46" i="4" s="1"/>
  <c r="O231" i="8"/>
  <c r="O144" i="10" s="1"/>
  <c r="O139" i="10"/>
  <c r="M227" i="8"/>
  <c r="AA94" i="8"/>
  <c r="M55" i="3"/>
  <c r="I25" i="8"/>
  <c r="I4" i="10" s="1"/>
  <c r="D50" i="16"/>
  <c r="D70" i="16" s="1"/>
  <c r="H90" i="16" s="1"/>
  <c r="AD95" i="8"/>
  <c r="L227" i="8"/>
  <c r="V106" i="3"/>
  <c r="F52" i="4" s="1"/>
  <c r="J163" i="7"/>
  <c r="J120" i="8"/>
  <c r="J51" i="7"/>
  <c r="O114" i="10"/>
  <c r="J161" i="8"/>
  <c r="T46" i="3"/>
  <c r="T94" i="3" s="1"/>
  <c r="D47" i="4" s="1"/>
  <c r="Z292" i="8"/>
  <c r="K112" i="8"/>
  <c r="J205" i="8"/>
  <c r="J5" i="9"/>
  <c r="G225" i="8"/>
  <c r="T232" i="8"/>
  <c r="I114" i="10"/>
  <c r="I231" i="8"/>
  <c r="I144" i="10" s="1"/>
  <c r="I233" i="8"/>
  <c r="I149" i="10" s="1"/>
  <c r="M61" i="4"/>
  <c r="O233" i="8"/>
  <c r="O149" i="10" s="1"/>
  <c r="P129" i="10"/>
  <c r="V68" i="3"/>
  <c r="V93" i="3" s="1"/>
  <c r="F46" i="4" s="1"/>
  <c r="J217" i="8"/>
  <c r="R227" i="8"/>
  <c r="J74" i="8"/>
  <c r="T201" i="8"/>
  <c r="T100" i="10" s="1"/>
  <c r="T113" i="8"/>
  <c r="O67" i="8"/>
  <c r="O40" i="10" s="1"/>
  <c r="J276" i="8"/>
  <c r="J191" i="8"/>
  <c r="G66" i="8"/>
  <c r="G7" i="10" s="1"/>
  <c r="J287" i="8"/>
  <c r="I159" i="8"/>
  <c r="H175" i="8"/>
  <c r="T104" i="3"/>
  <c r="D50" i="4" s="1"/>
  <c r="M51" i="7"/>
  <c r="V105" i="3"/>
  <c r="F51" i="4" s="1"/>
  <c r="G175" i="8"/>
  <c r="T68" i="3"/>
  <c r="T93" i="3" s="1"/>
  <c r="D46" i="4" s="1"/>
  <c r="K101" i="3"/>
  <c r="T161" i="8"/>
  <c r="M163" i="7"/>
  <c r="AA101" i="3"/>
  <c r="K71" i="4" s="1"/>
  <c r="B145" i="17"/>
  <c r="P145" i="17" s="1"/>
  <c r="O145" i="17" s="1"/>
  <c r="P144" i="17"/>
  <c r="O144" i="17" s="1"/>
  <c r="T179" i="8"/>
  <c r="T300" i="8" s="1"/>
  <c r="W45" i="7"/>
  <c r="T276" i="8"/>
  <c r="N227" i="8"/>
  <c r="H232" i="8"/>
  <c r="U146" i="7"/>
  <c r="V145" i="7"/>
  <c r="U221" i="8"/>
  <c r="U227" i="8" s="1"/>
  <c r="U232" i="8"/>
  <c r="Y89" i="7"/>
  <c r="T5" i="9"/>
  <c r="Z128" i="7"/>
  <c r="AA128" i="7" s="1"/>
  <c r="AB128" i="7" s="1"/>
  <c r="AC128" i="7" s="1"/>
  <c r="AD128" i="7" s="1"/>
  <c r="AE128" i="7" s="1"/>
  <c r="I232" i="8"/>
  <c r="U110" i="7"/>
  <c r="V109" i="7"/>
  <c r="O77" i="17"/>
  <c r="T74" i="8"/>
  <c r="Y163" i="7"/>
  <c r="T120" i="8"/>
  <c r="G94" i="3"/>
  <c r="S175" i="8"/>
  <c r="X84" i="7"/>
  <c r="Z86" i="7"/>
  <c r="T287" i="8"/>
  <c r="O112" i="17"/>
  <c r="T191" i="8"/>
  <c r="T217" i="8"/>
  <c r="G221" i="8"/>
  <c r="G232" i="8"/>
  <c r="T235" i="8"/>
  <c r="V45" i="7"/>
  <c r="Y235" i="8"/>
  <c r="Y74" i="8"/>
  <c r="W121" i="7"/>
  <c r="W115" i="7" s="1"/>
  <c r="V115" i="7"/>
  <c r="G99" i="3"/>
  <c r="G101" i="3" s="1"/>
  <c r="O179" i="8"/>
  <c r="O300" i="8" s="1"/>
  <c r="T105" i="3"/>
  <c r="D51" i="4" s="1"/>
  <c r="Y191" i="7"/>
  <c r="K24" i="8"/>
  <c r="K25" i="8" s="1"/>
  <c r="K4" i="10" s="1"/>
  <c r="Z191" i="7"/>
  <c r="AA191" i="7" s="1"/>
  <c r="T89" i="7"/>
  <c r="T163" i="7"/>
  <c r="T51" i="7"/>
  <c r="AG187" i="8"/>
  <c r="AF187" i="8"/>
  <c r="U106" i="3"/>
  <c r="E52" i="4" s="1"/>
  <c r="U99" i="3"/>
  <c r="E69" i="4" s="1"/>
  <c r="Q227" i="8"/>
  <c r="Q175" i="8"/>
  <c r="R175" i="8"/>
  <c r="AE24" i="8"/>
  <c r="X4" i="3"/>
  <c r="AC24" i="8"/>
  <c r="AD25" i="8"/>
  <c r="J268" i="8"/>
  <c r="J265" i="8" s="1"/>
  <c r="J266" i="8" s="1"/>
  <c r="I265" i="8"/>
  <c r="I266" i="8" s="1"/>
  <c r="Y205" i="8"/>
  <c r="Y217" i="8"/>
  <c r="S227" i="8"/>
  <c r="L28" i="7"/>
  <c r="L4" i="10"/>
  <c r="L63" i="8"/>
  <c r="L184" i="10"/>
  <c r="L121" i="10"/>
  <c r="L72" i="10"/>
  <c r="M265" i="8"/>
  <c r="M266" i="8" s="1"/>
  <c r="M274" i="8"/>
  <c r="M109" i="10" s="1"/>
  <c r="R274" i="8"/>
  <c r="R109" i="10" s="1"/>
  <c r="O268" i="8"/>
  <c r="Y191" i="8"/>
  <c r="Y5" i="9"/>
  <c r="H94" i="3"/>
  <c r="O255" i="8"/>
  <c r="N274" i="8"/>
  <c r="N109" i="10" s="1"/>
  <c r="N265" i="8"/>
  <c r="N266" i="8" s="1"/>
  <c r="Y120" i="8"/>
  <c r="Y287" i="8"/>
  <c r="Y276" i="8"/>
  <c r="W25" i="8"/>
  <c r="M6" i="3" s="1"/>
  <c r="M73" i="3" s="1"/>
  <c r="V24" i="8"/>
  <c r="S268" i="8"/>
  <c r="T255" i="8"/>
  <c r="Y104" i="7"/>
  <c r="W201" i="7"/>
  <c r="W202" i="7" s="1"/>
  <c r="X203" i="7"/>
  <c r="Y140" i="7"/>
  <c r="Z140" i="7"/>
  <c r="AA140" i="7" s="1"/>
  <c r="AB140" i="7" s="1"/>
  <c r="AC140" i="7" s="1"/>
  <c r="AD140" i="7" s="1"/>
  <c r="AE140" i="7" s="1"/>
  <c r="W226" i="7"/>
  <c r="Y92" i="7"/>
  <c r="Z92" i="7"/>
  <c r="AA92" i="7" s="1"/>
  <c r="AB92" i="7" s="1"/>
  <c r="AC92" i="7" s="1"/>
  <c r="T175" i="8"/>
  <c r="P175" i="8"/>
  <c r="N175" i="8"/>
  <c r="K97" i="3"/>
  <c r="I97" i="3"/>
  <c r="U112" i="8"/>
  <c r="J42" i="14" s="1"/>
  <c r="P112" i="8"/>
  <c r="O175" i="8"/>
  <c r="H221" i="8"/>
  <c r="H227" i="8" s="1"/>
  <c r="G112" i="8"/>
  <c r="I175" i="8"/>
  <c r="W292" i="8"/>
  <c r="W94" i="8"/>
  <c r="Y94" i="8" s="1"/>
  <c r="Y246" i="8"/>
  <c r="M186" i="8"/>
  <c r="O214" i="7"/>
  <c r="P215" i="7" s="1"/>
  <c r="G186" i="8"/>
  <c r="M36" i="8"/>
  <c r="M42" i="8" s="1"/>
  <c r="M71" i="8" s="1"/>
  <c r="M62" i="10" s="1"/>
  <c r="N186" i="8"/>
  <c r="F36" i="8"/>
  <c r="G152" i="9" s="1"/>
  <c r="T37" i="7"/>
  <c r="T46" i="7"/>
  <c r="T111" i="8"/>
  <c r="O203" i="8"/>
  <c r="O70" i="8"/>
  <c r="O57" i="10" s="1"/>
  <c r="O69" i="8"/>
  <c r="O50" i="10" s="1"/>
  <c r="H15" i="3"/>
  <c r="H87" i="3" s="1"/>
  <c r="O187" i="8"/>
  <c r="O134" i="10" s="1"/>
  <c r="O183" i="8"/>
  <c r="O186" i="8" s="1"/>
  <c r="Q42" i="8"/>
  <c r="Q71" i="8" s="1"/>
  <c r="Q62" i="10" s="1"/>
  <c r="O68" i="8"/>
  <c r="O45" i="10" s="1"/>
  <c r="U8" i="3"/>
  <c r="W32" i="3"/>
  <c r="H31" i="14"/>
  <c r="L309" i="8"/>
  <c r="L174" i="10" s="1"/>
  <c r="O201" i="8"/>
  <c r="O100" i="10" s="1"/>
  <c r="O250" i="8"/>
  <c r="G6" i="16"/>
  <c r="G30" i="16" s="1"/>
  <c r="O30" i="16" s="1"/>
  <c r="O50" i="16" s="1"/>
  <c r="O70" i="16" s="1"/>
  <c r="K42" i="8"/>
  <c r="K45" i="8" s="1"/>
  <c r="W73" i="3"/>
  <c r="T124" i="10"/>
  <c r="Q196" i="9"/>
  <c r="L186" i="8"/>
  <c r="N66" i="8"/>
  <c r="N7" i="10" s="1"/>
  <c r="N36" i="8"/>
  <c r="S176" i="9" s="1"/>
  <c r="H36" i="8"/>
  <c r="H152" i="9" s="1"/>
  <c r="H186" i="8"/>
  <c r="J30" i="7"/>
  <c r="AI30" i="7" s="1"/>
  <c r="J19" i="9"/>
  <c r="J43" i="7" s="1"/>
  <c r="Q152" i="9"/>
  <c r="J18" i="9"/>
  <c r="J40" i="7" s="1"/>
  <c r="O216" i="7"/>
  <c r="O162" i="9"/>
  <c r="O31" i="7" s="1"/>
  <c r="J16" i="9"/>
  <c r="J34" i="7" s="1"/>
  <c r="T71" i="9"/>
  <c r="J17" i="9"/>
  <c r="J37" i="7" s="1"/>
  <c r="J20" i="9"/>
  <c r="J46" i="7" s="1"/>
  <c r="T49" i="7"/>
  <c r="L36" i="8"/>
  <c r="O30" i="8"/>
  <c r="L66" i="8"/>
  <c r="L7" i="10" s="1"/>
  <c r="H101" i="3"/>
  <c r="E95" i="17"/>
  <c r="Q95" i="17" s="1"/>
  <c r="Q62" i="17"/>
  <c r="E47" i="17"/>
  <c r="E48" i="17" s="1"/>
  <c r="E64" i="17"/>
  <c r="Q78" i="17"/>
  <c r="L175" i="8"/>
  <c r="M175" i="8"/>
  <c r="BK9" i="15"/>
  <c r="AK9" i="15"/>
  <c r="O90" i="16"/>
  <c r="AB104" i="7"/>
  <c r="T228" i="7"/>
  <c r="T232" i="7"/>
  <c r="I98" i="7"/>
  <c r="K98" i="7"/>
  <c r="R112" i="8"/>
  <c r="R300" i="8"/>
  <c r="J157" i="10"/>
  <c r="T100" i="3"/>
  <c r="D70" i="4" s="1"/>
  <c r="J178" i="7"/>
  <c r="J184" i="7"/>
  <c r="G144" i="9"/>
  <c r="G42" i="8"/>
  <c r="AB94" i="8"/>
  <c r="AB292" i="8"/>
  <c r="V97" i="3"/>
  <c r="F67" i="4" s="1"/>
  <c r="N112" i="8"/>
  <c r="N300" i="8"/>
  <c r="M310" i="8"/>
  <c r="M179" i="10" s="1"/>
  <c r="M309" i="8"/>
  <c r="M174" i="10" s="1"/>
  <c r="I172" i="7"/>
  <c r="I168" i="7"/>
  <c r="F68" i="4"/>
  <c r="U175" i="8"/>
  <c r="I11" i="15"/>
  <c r="J10" i="15"/>
  <c r="K10" i="15" s="1"/>
  <c r="I69" i="9"/>
  <c r="I71" i="9"/>
  <c r="I72" i="9"/>
  <c r="I68" i="9"/>
  <c r="I70" i="9"/>
  <c r="I73" i="9"/>
  <c r="Q112" i="8"/>
  <c r="Q300" i="8"/>
  <c r="O225" i="8"/>
  <c r="T225" i="8"/>
  <c r="T227" i="8" s="1"/>
  <c r="P225" i="8"/>
  <c r="P227" i="8" s="1"/>
  <c r="J94" i="3"/>
  <c r="J97" i="3"/>
  <c r="O232" i="7"/>
  <c r="O228" i="7"/>
  <c r="S196" i="9"/>
  <c r="S152" i="9"/>
  <c r="S144" i="9"/>
  <c r="S42" i="8"/>
  <c r="J15" i="3"/>
  <c r="L300" i="8"/>
  <c r="L112" i="8"/>
  <c r="H300" i="8"/>
  <c r="H112" i="8"/>
  <c r="S112" i="8"/>
  <c r="S300" i="8"/>
  <c r="J129" i="10"/>
  <c r="T99" i="3"/>
  <c r="D69" i="4" s="1"/>
  <c r="L50" i="16"/>
  <c r="E112" i="17"/>
  <c r="Q111" i="17"/>
  <c r="Q30" i="17"/>
  <c r="E31" i="17"/>
  <c r="C141" i="17"/>
  <c r="O126" i="17"/>
  <c r="AE240" i="8"/>
  <c r="AC246" i="8"/>
  <c r="AD240" i="8"/>
  <c r="AC241" i="8"/>
  <c r="T73" i="9"/>
  <c r="T68" i="9"/>
  <c r="I14" i="15"/>
  <c r="O47" i="17"/>
  <c r="J69" i="9"/>
  <c r="J70" i="9"/>
  <c r="J72" i="9"/>
  <c r="J68" i="9"/>
  <c r="K175" i="8"/>
  <c r="O51" i="14"/>
  <c r="P50" i="14"/>
  <c r="I201" i="8"/>
  <c r="I100" i="10" s="1"/>
  <c r="I70" i="8"/>
  <c r="I57" i="10" s="1"/>
  <c r="I69" i="8"/>
  <c r="I50" i="10" s="1"/>
  <c r="I183" i="8"/>
  <c r="I68" i="8"/>
  <c r="I45" i="10" s="1"/>
  <c r="I187" i="8"/>
  <c r="I134" i="10" s="1"/>
  <c r="I250" i="8"/>
  <c r="I30" i="8"/>
  <c r="I203" i="8"/>
  <c r="I300" i="8"/>
  <c r="I67" i="8"/>
  <c r="I40" i="10" s="1"/>
  <c r="J28" i="8"/>
  <c r="J139" i="10" s="1"/>
  <c r="T72" i="9"/>
  <c r="X190" i="7"/>
  <c r="E129" i="17"/>
  <c r="Q129" i="17" s="1"/>
  <c r="Q128" i="17"/>
  <c r="T66" i="8"/>
  <c r="T7" i="10" s="1"/>
  <c r="V11" i="3"/>
  <c r="J220" i="7"/>
  <c r="J214" i="7"/>
  <c r="K215" i="7" s="1"/>
  <c r="I17" i="15"/>
  <c r="I20" i="15"/>
  <c r="P176" i="9"/>
  <c r="P144" i="9"/>
  <c r="P42" i="8"/>
  <c r="T36" i="8"/>
  <c r="U196" i="9" s="1"/>
  <c r="G15" i="3"/>
  <c r="AB152" i="7"/>
  <c r="AA151" i="7"/>
  <c r="G117" i="16"/>
  <c r="T40" i="7"/>
  <c r="H117" i="16"/>
  <c r="T43" i="7"/>
  <c r="O69" i="9"/>
  <c r="O72" i="9"/>
  <c r="O70" i="9"/>
  <c r="K13" i="3"/>
  <c r="K12" i="3"/>
  <c r="K76" i="3" s="1"/>
  <c r="J71" i="9"/>
  <c r="J220" i="8"/>
  <c r="O232" i="8" s="1"/>
  <c r="J101" i="3"/>
  <c r="J33" i="14"/>
  <c r="J35" i="14" s="1"/>
  <c r="U176" i="9"/>
  <c r="U144" i="9"/>
  <c r="U152" i="9"/>
  <c r="U42" i="8"/>
  <c r="K15" i="3"/>
  <c r="K40" i="18"/>
  <c r="K24" i="18"/>
  <c r="N10" i="18"/>
  <c r="O89" i="7"/>
  <c r="O163" i="7"/>
  <c r="O51" i="7"/>
  <c r="K28" i="14"/>
  <c r="K27" i="14" s="1"/>
  <c r="L29" i="14"/>
  <c r="O71" i="9"/>
  <c r="Q79" i="17"/>
  <c r="E80" i="17"/>
  <c r="T69" i="9"/>
  <c r="AB116" i="7"/>
  <c r="R196" i="9"/>
  <c r="R152" i="9"/>
  <c r="R144" i="9"/>
  <c r="R42" i="8"/>
  <c r="I15" i="3"/>
  <c r="O309" i="8"/>
  <c r="P308" i="8"/>
  <c r="T308" i="8" s="1"/>
  <c r="O179" i="10"/>
  <c r="I101" i="3"/>
  <c r="C44" i="17"/>
  <c r="O28" i="17"/>
  <c r="H25" i="8"/>
  <c r="G24" i="8"/>
  <c r="I221" i="8"/>
  <c r="I227" i="8" s="1"/>
  <c r="L24" i="19"/>
  <c r="P10" i="19"/>
  <c r="L40" i="19"/>
  <c r="O217" i="8"/>
  <c r="O191" i="8"/>
  <c r="O5" i="9"/>
  <c r="O120" i="8"/>
  <c r="O74" i="8"/>
  <c r="O205" i="8"/>
  <c r="O276" i="8"/>
  <c r="O161" i="8"/>
  <c r="O287" i="8"/>
  <c r="O235" i="8"/>
  <c r="E154" i="14"/>
  <c r="F154" i="14" s="1"/>
  <c r="T157" i="10"/>
  <c r="T186" i="8"/>
  <c r="V100" i="3"/>
  <c r="F70" i="4" s="1"/>
  <c r="O260" i="8"/>
  <c r="K261" i="8"/>
  <c r="O261" i="8" s="1"/>
  <c r="E6" i="16"/>
  <c r="E30" i="16" s="1"/>
  <c r="U73" i="3"/>
  <c r="E19" i="4"/>
  <c r="E43" i="4" s="1"/>
  <c r="U32" i="3"/>
  <c r="K154" i="14"/>
  <c r="L154" i="14" s="1"/>
  <c r="T129" i="10"/>
  <c r="V99" i="3"/>
  <c r="F69" i="4" s="1"/>
  <c r="P160" i="17"/>
  <c r="O160" i="17" s="1"/>
  <c r="B161" i="17"/>
  <c r="P161" i="17" s="1"/>
  <c r="O161" i="17" s="1"/>
  <c r="U46" i="3"/>
  <c r="U94" i="3" s="1"/>
  <c r="E47" i="4" s="1"/>
  <c r="U104" i="3"/>
  <c r="E50" i="4" s="1"/>
  <c r="M112" i="8"/>
  <c r="M300" i="8"/>
  <c r="S121" i="10"/>
  <c r="S184" i="10"/>
  <c r="S4" i="10"/>
  <c r="S72" i="10"/>
  <c r="S63" i="8"/>
  <c r="S28" i="7"/>
  <c r="J6" i="3"/>
  <c r="J201" i="14"/>
  <c r="U122" i="7"/>
  <c r="O68" i="9"/>
  <c r="J165" i="7"/>
  <c r="J91" i="7"/>
  <c r="J97" i="7" s="1"/>
  <c r="O98" i="7" s="1"/>
  <c r="J53" i="7"/>
  <c r="AI32" i="7"/>
  <c r="H40" i="19"/>
  <c r="H24" i="19"/>
  <c r="Q24" i="8"/>
  <c r="R25" i="8"/>
  <c r="Q14" i="17"/>
  <c r="E15" i="17"/>
  <c r="R201" i="14"/>
  <c r="J167" i="7"/>
  <c r="O166" i="7" l="1"/>
  <c r="O168" i="7"/>
  <c r="Z189" i="7"/>
  <c r="Z190" i="7" s="1"/>
  <c r="I72" i="10"/>
  <c r="I63" i="8"/>
  <c r="I120" i="8" s="1"/>
  <c r="Y190" i="7"/>
  <c r="I28" i="7"/>
  <c r="I89" i="7" s="1"/>
  <c r="I184" i="10"/>
  <c r="I121" i="10"/>
  <c r="W46" i="7"/>
  <c r="W43" i="7"/>
  <c r="W34" i="7"/>
  <c r="W37" i="7"/>
  <c r="W40" i="7"/>
  <c r="P91" i="16"/>
  <c r="P92" i="16" s="1"/>
  <c r="V40" i="7"/>
  <c r="V34" i="7"/>
  <c r="V31" i="7"/>
  <c r="V37" i="7"/>
  <c r="W31" i="7"/>
  <c r="V46" i="7"/>
  <c r="V43" i="7"/>
  <c r="M52" i="4"/>
  <c r="G227" i="8"/>
  <c r="M51" i="4"/>
  <c r="M50" i="4"/>
  <c r="M47" i="4"/>
  <c r="J231" i="8"/>
  <c r="J144" i="10" s="1"/>
  <c r="J233" i="8"/>
  <c r="J149" i="10" s="1"/>
  <c r="J114" i="10"/>
  <c r="K28" i="7"/>
  <c r="K51" i="7" s="1"/>
  <c r="M46" i="4"/>
  <c r="R176" i="9"/>
  <c r="K121" i="10"/>
  <c r="K71" i="8"/>
  <c r="K62" i="10" s="1"/>
  <c r="J112" i="8"/>
  <c r="K63" i="8"/>
  <c r="K235" i="8" s="1"/>
  <c r="K72" i="10"/>
  <c r="K184" i="10"/>
  <c r="Z84" i="7"/>
  <c r="AA86" i="7"/>
  <c r="W109" i="7"/>
  <c r="W103" i="7" s="1"/>
  <c r="V103" i="7"/>
  <c r="V139" i="7"/>
  <c r="W145" i="7"/>
  <c r="W139" i="7" s="1"/>
  <c r="G50" i="16"/>
  <c r="G70" i="16" s="1"/>
  <c r="K90" i="16" s="1"/>
  <c r="AD72" i="10"/>
  <c r="AD184" i="10"/>
  <c r="AD4" i="10"/>
  <c r="AD121" i="10"/>
  <c r="AD63" i="8"/>
  <c r="X6" i="3"/>
  <c r="AD28" i="7"/>
  <c r="AC25" i="8"/>
  <c r="AB24" i="8"/>
  <c r="AF24" i="8"/>
  <c r="AE25" i="8"/>
  <c r="Y4" i="3"/>
  <c r="W63" i="8"/>
  <c r="W5" i="9" s="1"/>
  <c r="W184" i="10"/>
  <c r="W121" i="10"/>
  <c r="W72" i="10"/>
  <c r="W4" i="10"/>
  <c r="W28" i="7"/>
  <c r="V25" i="8"/>
  <c r="U24" i="8"/>
  <c r="L89" i="7"/>
  <c r="L51" i="7"/>
  <c r="L163" i="7"/>
  <c r="M144" i="9"/>
  <c r="L287" i="8"/>
  <c r="L191" i="8"/>
  <c r="L5" i="9"/>
  <c r="L235" i="8"/>
  <c r="L205" i="8"/>
  <c r="L276" i="8"/>
  <c r="L217" i="8"/>
  <c r="L74" i="8"/>
  <c r="L120" i="8"/>
  <c r="L161" i="8"/>
  <c r="X268" i="8"/>
  <c r="T268" i="8"/>
  <c r="S265" i="8"/>
  <c r="S266" i="8" s="1"/>
  <c r="S274" i="8"/>
  <c r="S109" i="10" s="1"/>
  <c r="O274" i="8"/>
  <c r="O265" i="8"/>
  <c r="O266" i="8" s="1"/>
  <c r="X201" i="7"/>
  <c r="Y203" i="7"/>
  <c r="Z203" i="7"/>
  <c r="F42" i="8"/>
  <c r="F45" i="8" s="1"/>
  <c r="G196" i="9"/>
  <c r="K176" i="9"/>
  <c r="F144" i="9"/>
  <c r="U97" i="3"/>
  <c r="E67" i="4" s="1"/>
  <c r="N55" i="3"/>
  <c r="W55" i="3"/>
  <c r="V9" i="3"/>
  <c r="F22" i="4" s="1"/>
  <c r="M45" i="8"/>
  <c r="M51" i="8" s="1"/>
  <c r="H16" i="3"/>
  <c r="H78" i="3" s="1"/>
  <c r="Q45" i="8"/>
  <c r="Q53" i="8" s="1"/>
  <c r="Q238" i="8" s="1"/>
  <c r="P152" i="9"/>
  <c r="T112" i="8"/>
  <c r="E21" i="4"/>
  <c r="U98" i="3"/>
  <c r="E68" i="4" s="1"/>
  <c r="O124" i="10"/>
  <c r="M176" i="9"/>
  <c r="H42" i="8"/>
  <c r="H45" i="8" s="1"/>
  <c r="O262" i="8"/>
  <c r="P260" i="8" s="1"/>
  <c r="P261" i="8" s="1"/>
  <c r="T261" i="8" s="1"/>
  <c r="H196" i="9"/>
  <c r="H144" i="9"/>
  <c r="O112" i="8"/>
  <c r="M32" i="3"/>
  <c r="N152" i="9"/>
  <c r="N196" i="9"/>
  <c r="N144" i="9"/>
  <c r="N42" i="8"/>
  <c r="K117" i="16"/>
  <c r="O66" i="8"/>
  <c r="O7" i="10" s="1"/>
  <c r="U11" i="3"/>
  <c r="V13" i="3" s="1"/>
  <c r="F26" i="4" s="1"/>
  <c r="Q176" i="9"/>
  <c r="L196" i="9"/>
  <c r="L152" i="9"/>
  <c r="L144" i="9"/>
  <c r="O36" i="8"/>
  <c r="T176" i="9" s="1"/>
  <c r="L42" i="8"/>
  <c r="M196" i="9"/>
  <c r="M152" i="9"/>
  <c r="Q47" i="17"/>
  <c r="L176" i="9"/>
  <c r="E96" i="17"/>
  <c r="Q96" i="17" s="1"/>
  <c r="Q64" i="17"/>
  <c r="E65" i="17"/>
  <c r="Q65" i="17" s="1"/>
  <c r="AF128" i="7"/>
  <c r="AK10" i="15"/>
  <c r="BK10" i="15"/>
  <c r="AF140" i="7"/>
  <c r="E49" i="17"/>
  <c r="Q49" i="17" s="1"/>
  <c r="Q48" i="17"/>
  <c r="Q80" i="17"/>
  <c r="E81" i="17"/>
  <c r="Q81" i="17" s="1"/>
  <c r="AC152" i="7"/>
  <c r="AC151" i="7" s="1"/>
  <c r="AB151" i="7"/>
  <c r="P309" i="8"/>
  <c r="P174" i="10" s="1"/>
  <c r="T174" i="10" s="1"/>
  <c r="P310" i="8"/>
  <c r="P179" i="10" s="1"/>
  <c r="K230" i="14"/>
  <c r="L230" i="14" s="1"/>
  <c r="U45" i="8"/>
  <c r="U71" i="8"/>
  <c r="U62" i="10" s="1"/>
  <c r="G31" i="14"/>
  <c r="J203" i="8"/>
  <c r="J300" i="8"/>
  <c r="J183" i="8"/>
  <c r="T8" i="3"/>
  <c r="J68" i="8"/>
  <c r="J45" i="10" s="1"/>
  <c r="J69" i="8"/>
  <c r="J50" i="10" s="1"/>
  <c r="J201" i="8"/>
  <c r="J100" i="10" s="1"/>
  <c r="J67" i="8"/>
  <c r="J40" i="10" s="1"/>
  <c r="J70" i="8"/>
  <c r="J57" i="10" s="1"/>
  <c r="J187" i="8"/>
  <c r="J134" i="10" s="1"/>
  <c r="AC94" i="8"/>
  <c r="AD94" i="8" s="1"/>
  <c r="AC292" i="8"/>
  <c r="G87" i="3"/>
  <c r="G16" i="3"/>
  <c r="G78" i="3" s="1"/>
  <c r="K220" i="7"/>
  <c r="K216" i="7"/>
  <c r="L216" i="7"/>
  <c r="J87" i="3"/>
  <c r="J16" i="3"/>
  <c r="J78" i="3" s="1"/>
  <c r="G71" i="8"/>
  <c r="G62" i="10" s="1"/>
  <c r="G45" i="8"/>
  <c r="E16" i="17"/>
  <c r="Q15" i="17"/>
  <c r="I33" i="14"/>
  <c r="I35" i="14" s="1"/>
  <c r="T144" i="9"/>
  <c r="V15" i="3"/>
  <c r="I124" i="10"/>
  <c r="I186" i="8"/>
  <c r="S45" i="8"/>
  <c r="S71" i="8"/>
  <c r="S62" i="10" s="1"/>
  <c r="AD246" i="8"/>
  <c r="AC104" i="7"/>
  <c r="AD104" i="7" s="1"/>
  <c r="AE104" i="7" s="1"/>
  <c r="I18" i="15"/>
  <c r="E32" i="17"/>
  <c r="Q31" i="17"/>
  <c r="K54" i="8"/>
  <c r="K53" i="8"/>
  <c r="K238" i="8" s="1"/>
  <c r="K51" i="8"/>
  <c r="K110" i="8"/>
  <c r="K114" i="8" s="1"/>
  <c r="K254" i="8"/>
  <c r="AA189" i="7"/>
  <c r="AB191" i="7"/>
  <c r="J11" i="15"/>
  <c r="J12" i="15" s="1"/>
  <c r="J32" i="3"/>
  <c r="J73" i="3"/>
  <c r="L70" i="16"/>
  <c r="I15" i="15"/>
  <c r="P167" i="7"/>
  <c r="R45" i="8"/>
  <c r="R71" i="8"/>
  <c r="R62" i="10" s="1"/>
  <c r="AF240" i="8"/>
  <c r="AE246" i="8"/>
  <c r="AE241" i="8"/>
  <c r="AE280" i="8" s="1"/>
  <c r="E113" i="17"/>
  <c r="Q113" i="17" s="1"/>
  <c r="Q112" i="17"/>
  <c r="K221" i="8"/>
  <c r="K227" i="8" s="1"/>
  <c r="O221" i="8"/>
  <c r="O227" i="8" s="1"/>
  <c r="P24" i="19"/>
  <c r="P40" i="19"/>
  <c r="V12" i="3"/>
  <c r="F24" i="4"/>
  <c r="K179" i="7"/>
  <c r="G25" i="8"/>
  <c r="F24" i="8"/>
  <c r="F25" i="8" s="1"/>
  <c r="G90" i="16"/>
  <c r="F90" i="16" s="1"/>
  <c r="E90" i="16" s="1"/>
  <c r="D90" i="16" s="1"/>
  <c r="N90" i="16"/>
  <c r="V101" i="3"/>
  <c r="F71" i="4" s="1"/>
  <c r="I21" i="15"/>
  <c r="I24" i="15"/>
  <c r="S5" i="9"/>
  <c r="S287" i="8"/>
  <c r="S235" i="8"/>
  <c r="S276" i="8"/>
  <c r="S74" i="8"/>
  <c r="S205" i="8"/>
  <c r="S191" i="8"/>
  <c r="S120" i="8"/>
  <c r="S217" i="8"/>
  <c r="S161" i="8"/>
  <c r="E50" i="16"/>
  <c r="M30" i="16"/>
  <c r="H4" i="10"/>
  <c r="H184" i="10"/>
  <c r="H72" i="10"/>
  <c r="H121" i="10"/>
  <c r="H63" i="8"/>
  <c r="H28" i="7"/>
  <c r="M69" i="4"/>
  <c r="J250" i="8"/>
  <c r="C157" i="17"/>
  <c r="O157" i="17" s="1"/>
  <c r="O141" i="17"/>
  <c r="J45" i="14"/>
  <c r="P220" i="7"/>
  <c r="P216" i="7"/>
  <c r="T215" i="7"/>
  <c r="Q216" i="7"/>
  <c r="P51" i="14"/>
  <c r="Q50" i="14"/>
  <c r="M70" i="4"/>
  <c r="S89" i="7"/>
  <c r="S51" i="7"/>
  <c r="S163" i="7"/>
  <c r="R121" i="10"/>
  <c r="R72" i="10"/>
  <c r="R184" i="10"/>
  <c r="R4" i="10"/>
  <c r="R63" i="8"/>
  <c r="R28" i="7"/>
  <c r="I6" i="3"/>
  <c r="N24" i="18"/>
  <c r="N40" i="18"/>
  <c r="I191" i="8"/>
  <c r="I205" i="8"/>
  <c r="I217" i="8"/>
  <c r="L28" i="14"/>
  <c r="L27" i="14" s="1"/>
  <c r="M29" i="14"/>
  <c r="O44" i="17"/>
  <c r="C60" i="17"/>
  <c r="I66" i="8"/>
  <c r="I7" i="10" s="1"/>
  <c r="I36" i="8"/>
  <c r="J30" i="8"/>
  <c r="P24" i="8"/>
  <c r="P25" i="8" s="1"/>
  <c r="Q25" i="8"/>
  <c r="AD92" i="7"/>
  <c r="AE92" i="7" s="1"/>
  <c r="AC116" i="7"/>
  <c r="AD116" i="7" s="1"/>
  <c r="AE116" i="7" s="1"/>
  <c r="K87" i="3"/>
  <c r="K16" i="3"/>
  <c r="K78" i="3" s="1"/>
  <c r="K17" i="3"/>
  <c r="AC280" i="8"/>
  <c r="AD280" i="8" s="1"/>
  <c r="AD241" i="8"/>
  <c r="I87" i="3"/>
  <c r="I16" i="3"/>
  <c r="I78" i="3" s="1"/>
  <c r="P71" i="8"/>
  <c r="P62" i="10" s="1"/>
  <c r="T42" i="8"/>
  <c r="T71" i="8" s="1"/>
  <c r="T62" i="10" s="1"/>
  <c r="P45" i="8"/>
  <c r="J172" i="7"/>
  <c r="E230" i="14"/>
  <c r="F230" i="14" s="1"/>
  <c r="I235" i="8" l="1"/>
  <c r="I5" i="9"/>
  <c r="I161" i="8"/>
  <c r="I276" i="8"/>
  <c r="I287" i="8"/>
  <c r="I163" i="7"/>
  <c r="I51" i="7"/>
  <c r="I74" i="8"/>
  <c r="K74" i="8"/>
  <c r="K287" i="8"/>
  <c r="K276" i="8"/>
  <c r="K161" i="8"/>
  <c r="K89" i="7"/>
  <c r="K163" i="7"/>
  <c r="K120" i="8"/>
  <c r="K205" i="8"/>
  <c r="F71" i="8"/>
  <c r="F62" i="10" s="1"/>
  <c r="K5" i="9"/>
  <c r="T260" i="8"/>
  <c r="T262" i="8" s="1"/>
  <c r="K217" i="8"/>
  <c r="K191" i="8"/>
  <c r="AB86" i="7"/>
  <c r="AA84" i="7"/>
  <c r="AA190" i="7"/>
  <c r="P90" i="16"/>
  <c r="U59" i="3"/>
  <c r="U70" i="3" s="1"/>
  <c r="AE63" i="8"/>
  <c r="Y6" i="3"/>
  <c r="AE121" i="10"/>
  <c r="AE28" i="7"/>
  <c r="AE72" i="10"/>
  <c r="AE184" i="10"/>
  <c r="AE4" i="10"/>
  <c r="AD235" i="8"/>
  <c r="AD287" i="8"/>
  <c r="AD276" i="8"/>
  <c r="AD161" i="8"/>
  <c r="AD205" i="8"/>
  <c r="AD74" i="8"/>
  <c r="AD217" i="8"/>
  <c r="AD120" i="8"/>
  <c r="AD191" i="8"/>
  <c r="AD5" i="9"/>
  <c r="Z4" i="3"/>
  <c r="AG24" i="8"/>
  <c r="AF25" i="8"/>
  <c r="AB25" i="8"/>
  <c r="AA24" i="8"/>
  <c r="X32" i="3"/>
  <c r="H6" i="16"/>
  <c r="H30" i="16" s="1"/>
  <c r="X73" i="3"/>
  <c r="H19" i="4"/>
  <c r="H43" i="4" s="1"/>
  <c r="AC121" i="10"/>
  <c r="R6" i="3"/>
  <c r="AC4" i="10"/>
  <c r="AC28" i="7"/>
  <c r="AC72" i="10"/>
  <c r="AC184" i="10"/>
  <c r="AC63" i="8"/>
  <c r="AD163" i="7"/>
  <c r="AD89" i="7"/>
  <c r="AD51" i="7"/>
  <c r="W163" i="7"/>
  <c r="W89" i="7"/>
  <c r="W51" i="7"/>
  <c r="T265" i="8"/>
  <c r="T266" i="8" s="1"/>
  <c r="T274" i="8"/>
  <c r="X255" i="8"/>
  <c r="X291" i="8"/>
  <c r="AC268" i="8"/>
  <c r="X96" i="8"/>
  <c r="U25" i="8"/>
  <c r="X25" i="8"/>
  <c r="V63" i="8"/>
  <c r="V184" i="10"/>
  <c r="V121" i="10"/>
  <c r="V72" i="10"/>
  <c r="V4" i="10"/>
  <c r="V28" i="7"/>
  <c r="L6" i="3"/>
  <c r="W287" i="8"/>
  <c r="W205" i="8"/>
  <c r="W74" i="8"/>
  <c r="W217" i="8"/>
  <c r="W276" i="8"/>
  <c r="W191" i="8"/>
  <c r="W161" i="8"/>
  <c r="W235" i="8"/>
  <c r="W120" i="8"/>
  <c r="AD151" i="7"/>
  <c r="AA203" i="7"/>
  <c r="Z201" i="7"/>
  <c r="Y201" i="7"/>
  <c r="Y202" i="7" s="1"/>
  <c r="X202" i="7"/>
  <c r="H19" i="3"/>
  <c r="H20" i="3" s="1"/>
  <c r="H79" i="3" s="1"/>
  <c r="Q51" i="8"/>
  <c r="Q56" i="8" s="1"/>
  <c r="Q254" i="8"/>
  <c r="Q256" i="8" s="1"/>
  <c r="Q54" i="8"/>
  <c r="Q110" i="8"/>
  <c r="Q114" i="8" s="1"/>
  <c r="Q116" i="8" s="1"/>
  <c r="U101" i="3"/>
  <c r="E71" i="4" s="1"/>
  <c r="O55" i="3"/>
  <c r="M254" i="8"/>
  <c r="M256" i="8" s="1"/>
  <c r="M54" i="8"/>
  <c r="M110" i="8"/>
  <c r="M114" i="8" s="1"/>
  <c r="M117" i="8" s="1"/>
  <c r="M118" i="8" s="1"/>
  <c r="M53" i="8"/>
  <c r="M238" i="8" s="1"/>
  <c r="H71" i="8"/>
  <c r="H62" i="10" s="1"/>
  <c r="N71" i="8"/>
  <c r="N62" i="10" s="1"/>
  <c r="N45" i="8"/>
  <c r="L71" i="8"/>
  <c r="L62" i="10" s="1"/>
  <c r="L45" i="8"/>
  <c r="O42" i="8"/>
  <c r="O71" i="8" s="1"/>
  <c r="O62" i="10" s="1"/>
  <c r="P196" i="9"/>
  <c r="H33" i="14"/>
  <c r="H35" i="14" s="1"/>
  <c r="I36" i="14" s="1"/>
  <c r="O144" i="9"/>
  <c r="U15" i="3"/>
  <c r="V17" i="3" s="1"/>
  <c r="F30" i="4" s="1"/>
  <c r="E97" i="17"/>
  <c r="Q97" i="17" s="1"/>
  <c r="E24" i="4"/>
  <c r="U12" i="3"/>
  <c r="AD152" i="7"/>
  <c r="AE152" i="7" s="1"/>
  <c r="AF152" i="7" s="1"/>
  <c r="F110" i="8"/>
  <c r="F114" i="8" s="1"/>
  <c r="F254" i="8"/>
  <c r="F54" i="8"/>
  <c r="F51" i="8"/>
  <c r="F53" i="8"/>
  <c r="F238" i="8" s="1"/>
  <c r="H51" i="7"/>
  <c r="H89" i="7"/>
  <c r="H163" i="7"/>
  <c r="H54" i="8"/>
  <c r="H254" i="8"/>
  <c r="H256" i="8" s="1"/>
  <c r="H51" i="8"/>
  <c r="H110" i="8"/>
  <c r="H114" i="8" s="1"/>
  <c r="H53" i="8"/>
  <c r="H238" i="8" s="1"/>
  <c r="I32" i="3"/>
  <c r="I59" i="3" s="1"/>
  <c r="I70" i="3" s="1"/>
  <c r="I73" i="3"/>
  <c r="I19" i="15"/>
  <c r="R89" i="7"/>
  <c r="R51" i="7"/>
  <c r="R163" i="7"/>
  <c r="I25" i="15"/>
  <c r="I28" i="15"/>
  <c r="K180" i="7"/>
  <c r="O179" i="7"/>
  <c r="K184" i="7"/>
  <c r="L180" i="7"/>
  <c r="E17" i="17"/>
  <c r="Q17" i="17" s="1"/>
  <c r="Q16" i="17"/>
  <c r="P172" i="7"/>
  <c r="T167" i="7"/>
  <c r="P168" i="7"/>
  <c r="Q168" i="7"/>
  <c r="R205" i="8"/>
  <c r="R191" i="8"/>
  <c r="R5" i="9"/>
  <c r="R287" i="8"/>
  <c r="R74" i="8"/>
  <c r="R235" i="8"/>
  <c r="R276" i="8"/>
  <c r="R217" i="8"/>
  <c r="R120" i="8"/>
  <c r="R161" i="8"/>
  <c r="AF104" i="7"/>
  <c r="G254" i="8"/>
  <c r="G256" i="8" s="1"/>
  <c r="G110" i="8"/>
  <c r="G114" i="8" s="1"/>
  <c r="G54" i="8"/>
  <c r="G51" i="8"/>
  <c r="G56" i="8" s="1"/>
  <c r="G53" i="8"/>
  <c r="G238" i="8" s="1"/>
  <c r="AG140" i="7"/>
  <c r="P254" i="8"/>
  <c r="P110" i="8"/>
  <c r="P114" i="8" s="1"/>
  <c r="P53" i="8"/>
  <c r="P238" i="8" s="1"/>
  <c r="P51" i="8"/>
  <c r="T45" i="8"/>
  <c r="P54" i="8"/>
  <c r="G19" i="3"/>
  <c r="T97" i="3"/>
  <c r="D67" i="4" s="1"/>
  <c r="M67" i="4" s="1"/>
  <c r="D21" i="4"/>
  <c r="AC8" i="3"/>
  <c r="M21" i="4" s="1"/>
  <c r="U9" i="3"/>
  <c r="E22" i="4" s="1"/>
  <c r="Q32" i="17"/>
  <c r="E33" i="17"/>
  <c r="Q33" i="17" s="1"/>
  <c r="O60" i="17"/>
  <c r="C76" i="17"/>
  <c r="E70" i="16"/>
  <c r="J124" i="10"/>
  <c r="T98" i="3"/>
  <c r="J186" i="8"/>
  <c r="H276" i="8"/>
  <c r="H235" i="8"/>
  <c r="H191" i="8"/>
  <c r="H287" i="8"/>
  <c r="H5" i="9"/>
  <c r="H217" i="8"/>
  <c r="H161" i="8"/>
  <c r="H120" i="8"/>
  <c r="H74" i="8"/>
  <c r="H205" i="8"/>
  <c r="M50" i="16"/>
  <c r="V76" i="3"/>
  <c r="F25" i="4"/>
  <c r="J59" i="3"/>
  <c r="J70" i="3" s="1"/>
  <c r="T310" i="8"/>
  <c r="T179" i="10" s="1"/>
  <c r="T309" i="8"/>
  <c r="AB189" i="7"/>
  <c r="AC191" i="7"/>
  <c r="AC189" i="7" s="1"/>
  <c r="AE292" i="8"/>
  <c r="AE94" i="8"/>
  <c r="M59" i="8"/>
  <c r="M61" i="8" s="1"/>
  <c r="M56" i="8"/>
  <c r="M57" i="8"/>
  <c r="AF116" i="7"/>
  <c r="Q51" i="14"/>
  <c r="R50" i="14"/>
  <c r="R51" i="14" s="1"/>
  <c r="R110" i="8"/>
  <c r="R114" i="8" s="1"/>
  <c r="R53" i="8"/>
  <c r="R238" i="8" s="1"/>
  <c r="R51" i="8"/>
  <c r="R254" i="8"/>
  <c r="R256" i="8" s="1"/>
  <c r="R54" i="8"/>
  <c r="I19" i="3"/>
  <c r="AG240" i="8"/>
  <c r="AF246" i="8"/>
  <c r="AF241" i="8"/>
  <c r="AF280" i="8" s="1"/>
  <c r="S110" i="8"/>
  <c r="S114" i="8" s="1"/>
  <c r="K44" i="19" s="1" a="1"/>
  <c r="K44" i="19" s="1"/>
  <c r="S254" i="8"/>
  <c r="S256" i="8" s="1"/>
  <c r="S53" i="8"/>
  <c r="S238" i="8" s="1"/>
  <c r="S54" i="8"/>
  <c r="S51" i="8"/>
  <c r="J19" i="3"/>
  <c r="K12" i="15"/>
  <c r="J13" i="15"/>
  <c r="K11" i="15"/>
  <c r="AF92" i="7"/>
  <c r="K256" i="8"/>
  <c r="U254" i="8"/>
  <c r="U51" i="8"/>
  <c r="U54" i="8"/>
  <c r="U110" i="8"/>
  <c r="U114" i="8" s="1"/>
  <c r="U53" i="8"/>
  <c r="U238" i="8" s="1"/>
  <c r="K19" i="3"/>
  <c r="AG128" i="7"/>
  <c r="I22" i="15"/>
  <c r="T216" i="7"/>
  <c r="T220" i="7"/>
  <c r="T214" i="7"/>
  <c r="M28" i="14"/>
  <c r="M27" i="14" s="1"/>
  <c r="N29" i="14"/>
  <c r="P184" i="10"/>
  <c r="P4" i="10"/>
  <c r="P72" i="10"/>
  <c r="P121" i="10"/>
  <c r="P63" i="8"/>
  <c r="P28" i="7"/>
  <c r="G6" i="3"/>
  <c r="J66" i="8"/>
  <c r="J7" i="10" s="1"/>
  <c r="T11" i="3"/>
  <c r="J42" i="18" a="1"/>
  <c r="J42" i="18" s="1"/>
  <c r="J33" i="18" a="1"/>
  <c r="J33" i="18" s="1"/>
  <c r="J13" i="18" a="1"/>
  <c r="J13" i="18" s="1"/>
  <c r="J19" i="18" a="1"/>
  <c r="J19" i="18" s="1"/>
  <c r="K19" i="19" a="1"/>
  <c r="K19" i="19" s="1"/>
  <c r="F184" i="10"/>
  <c r="F72" i="10"/>
  <c r="F4" i="10"/>
  <c r="F161" i="8"/>
  <c r="F276" i="8"/>
  <c r="F235" i="8"/>
  <c r="F191" i="8"/>
  <c r="F121" i="10"/>
  <c r="F217" i="8"/>
  <c r="F120" i="8"/>
  <c r="F28" i="7"/>
  <c r="F74" i="8"/>
  <c r="F287" i="8"/>
  <c r="F205" i="8"/>
  <c r="F63" i="8"/>
  <c r="F5" i="9" s="1"/>
  <c r="K12" i="19" a="1"/>
  <c r="K12" i="19" s="1"/>
  <c r="K13" i="19" a="1"/>
  <c r="K13" i="19" s="1"/>
  <c r="J32" i="18" a="1"/>
  <c r="J32" i="18" s="1"/>
  <c r="J12" i="18" a="1"/>
  <c r="J12" i="18" s="1"/>
  <c r="K36" i="19" a="1"/>
  <c r="K36" i="19" s="1"/>
  <c r="J14" i="18" a="1"/>
  <c r="J14" i="18" s="1"/>
  <c r="K32" i="19" a="1"/>
  <c r="K32" i="19" s="1"/>
  <c r="J35" i="18" a="1"/>
  <c r="J35" i="18" s="1"/>
  <c r="J36" i="18" a="1"/>
  <c r="J36" i="18" s="1"/>
  <c r="J37" i="18" a="1"/>
  <c r="J37" i="18" s="1"/>
  <c r="K33" i="19" a="1"/>
  <c r="K33" i="19" s="1"/>
  <c r="V59" i="3"/>
  <c r="V70" i="3" s="1"/>
  <c r="J17" i="18" a="1"/>
  <c r="J17" i="18" s="1"/>
  <c r="K14" i="19" a="1"/>
  <c r="K14" i="19" s="1"/>
  <c r="J43" i="18" a="1"/>
  <c r="J43" i="18" s="1"/>
  <c r="K17" i="19" a="1"/>
  <c r="K17" i="19" s="1"/>
  <c r="J34" i="18" a="1"/>
  <c r="J34" i="18" s="1"/>
  <c r="K30" i="19" a="1"/>
  <c r="K30" i="19" s="1"/>
  <c r="K29" i="19" a="1"/>
  <c r="K29" i="19" s="1"/>
  <c r="K34" i="19" a="1"/>
  <c r="K34" i="19" s="1"/>
  <c r="J26" i="18" a="1"/>
  <c r="J26" i="18" s="1"/>
  <c r="K42" i="19" a="1"/>
  <c r="K42" i="19" s="1"/>
  <c r="T59" i="3"/>
  <c r="T70" i="3" s="1"/>
  <c r="J30" i="18" a="1"/>
  <c r="J30" i="18" s="1"/>
  <c r="K35" i="19" a="1"/>
  <c r="K35" i="19" s="1"/>
  <c r="K37" i="19" a="1"/>
  <c r="K37" i="19" s="1"/>
  <c r="K26" i="19" a="1"/>
  <c r="K26" i="19" s="1"/>
  <c r="K43" i="19" a="1"/>
  <c r="K43" i="19" s="1"/>
  <c r="K31" i="19" a="1"/>
  <c r="K31" i="19" s="1"/>
  <c r="J31" i="18" a="1"/>
  <c r="J31" i="18" s="1"/>
  <c r="K27" i="19" a="1"/>
  <c r="K27" i="19" s="1"/>
  <c r="K28" i="19" a="1"/>
  <c r="K28" i="19" s="1"/>
  <c r="J29" i="18" a="1"/>
  <c r="J29" i="18" s="1"/>
  <c r="J28" i="18" a="1"/>
  <c r="J28" i="18" s="1"/>
  <c r="J27" i="18" a="1"/>
  <c r="J27" i="18" s="1"/>
  <c r="K116" i="8"/>
  <c r="K117" i="8"/>
  <c r="K118" i="8" s="1"/>
  <c r="V16" i="3"/>
  <c r="V87" i="3"/>
  <c r="F62" i="4" s="1"/>
  <c r="Q121" i="10"/>
  <c r="Q184" i="10"/>
  <c r="Q4" i="10"/>
  <c r="Q72" i="10"/>
  <c r="Q63" i="8"/>
  <c r="Q28" i="7"/>
  <c r="H6" i="3"/>
  <c r="I144" i="9"/>
  <c r="I196" i="9"/>
  <c r="I152" i="9"/>
  <c r="I42" i="8"/>
  <c r="K152" i="9"/>
  <c r="N176" i="9"/>
  <c r="J36" i="8"/>
  <c r="G4" i="10"/>
  <c r="G184" i="10"/>
  <c r="G121" i="10"/>
  <c r="G72" i="10"/>
  <c r="G28" i="7"/>
  <c r="G63" i="8"/>
  <c r="K57" i="8"/>
  <c r="K56" i="8"/>
  <c r="K59" i="8"/>
  <c r="AE151" i="7" l="1"/>
  <c r="I29" i="19" a="1"/>
  <c r="I29" i="19" s="1"/>
  <c r="O29" i="19" s="1"/>
  <c r="I28" i="19" a="1"/>
  <c r="I28" i="19" s="1"/>
  <c r="O28" i="19" s="1"/>
  <c r="H26" i="19" a="1"/>
  <c r="H26" i="19" s="1"/>
  <c r="N26" i="19" s="1"/>
  <c r="H36" i="18" a="1"/>
  <c r="H36" i="18" s="1"/>
  <c r="M36" i="18" s="1"/>
  <c r="Z202" i="7"/>
  <c r="AB84" i="7"/>
  <c r="AC86" i="7"/>
  <c r="H82" i="3"/>
  <c r="H80" i="3"/>
  <c r="I26" i="19" a="1"/>
  <c r="I26" i="19" s="1"/>
  <c r="H33" i="19" a="1"/>
  <c r="H33" i="19" s="1"/>
  <c r="N33" i="19" s="1"/>
  <c r="H29" i="19" a="1"/>
  <c r="H29" i="19" s="1"/>
  <c r="H30" i="18" a="1"/>
  <c r="H30" i="18" s="1"/>
  <c r="M30" i="18" s="1"/>
  <c r="H31" i="18" a="1"/>
  <c r="H31" i="18" s="1"/>
  <c r="H27" i="19" a="1"/>
  <c r="H27" i="19" s="1"/>
  <c r="N27" i="19" s="1"/>
  <c r="J31" i="19" a="1"/>
  <c r="J31" i="19" s="1"/>
  <c r="I36" i="19" a="1"/>
  <c r="I36" i="19" s="1"/>
  <c r="O36" i="19" s="1"/>
  <c r="I35" i="19" a="1"/>
  <c r="I35" i="19" s="1"/>
  <c r="O35" i="19" s="1"/>
  <c r="I34" i="19" a="1"/>
  <c r="I34" i="19" s="1"/>
  <c r="O34" i="19" s="1"/>
  <c r="H32" i="19" a="1"/>
  <c r="H32" i="19" s="1"/>
  <c r="N32" i="19" s="1"/>
  <c r="H26" i="18" a="1"/>
  <c r="H26" i="18" s="1"/>
  <c r="M26" i="18" s="1"/>
  <c r="H30" i="19" a="1"/>
  <c r="H30" i="19" s="1"/>
  <c r="H37" i="19" a="1"/>
  <c r="H37" i="19" s="1"/>
  <c r="N37" i="19" s="1"/>
  <c r="H36" i="19" a="1"/>
  <c r="H36" i="19" s="1"/>
  <c r="N36" i="19" s="1"/>
  <c r="H31" i="19" a="1"/>
  <c r="H31" i="19" s="1"/>
  <c r="H33" i="18" a="1"/>
  <c r="H33" i="18" s="1"/>
  <c r="L33" i="18" s="1"/>
  <c r="H29" i="18" a="1"/>
  <c r="H29" i="18" s="1"/>
  <c r="H28" i="19" a="1"/>
  <c r="H28" i="19" s="1"/>
  <c r="H32" i="18" a="1"/>
  <c r="H32" i="18" s="1"/>
  <c r="M32" i="18" s="1"/>
  <c r="I31" i="18" a="1"/>
  <c r="I31" i="18" s="1"/>
  <c r="H34" i="19" a="1"/>
  <c r="H34" i="19" s="1"/>
  <c r="I33" i="19" a="1"/>
  <c r="I33" i="19" s="1"/>
  <c r="O33" i="19" s="1"/>
  <c r="H35" i="18" a="1"/>
  <c r="H35" i="18" s="1"/>
  <c r="L35" i="18" s="1"/>
  <c r="H27" i="18" a="1"/>
  <c r="H27" i="18" s="1"/>
  <c r="I30" i="19" a="1"/>
  <c r="I30" i="19" s="1"/>
  <c r="O30" i="19" s="1"/>
  <c r="H81" i="3"/>
  <c r="I32" i="19" a="1"/>
  <c r="I32" i="19" s="1"/>
  <c r="I31" i="19" a="1"/>
  <c r="I31" i="19" s="1"/>
  <c r="I37" i="19" a="1"/>
  <c r="I37" i="19" s="1"/>
  <c r="H28" i="18" a="1"/>
  <c r="H28" i="18" s="1"/>
  <c r="M28" i="18" s="1"/>
  <c r="H37" i="18" a="1"/>
  <c r="H37" i="18" s="1"/>
  <c r="L37" i="18" s="1"/>
  <c r="H34" i="18" a="1"/>
  <c r="H34" i="18" s="1"/>
  <c r="M34" i="18" s="1"/>
  <c r="H35" i="19" a="1"/>
  <c r="H35" i="19" s="1"/>
  <c r="I27" i="19" a="1"/>
  <c r="I27" i="19" s="1"/>
  <c r="AC163" i="7"/>
  <c r="AC51" i="7"/>
  <c r="AC89" i="7"/>
  <c r="H50" i="16"/>
  <c r="H70" i="16" s="1"/>
  <c r="P30" i="16"/>
  <c r="P50" i="16" s="1"/>
  <c r="P70" i="16" s="1"/>
  <c r="R32" i="3"/>
  <c r="R73" i="3"/>
  <c r="AA25" i="8"/>
  <c r="Z24" i="8"/>
  <c r="Z25" i="8" s="1"/>
  <c r="AE51" i="7"/>
  <c r="AE89" i="7"/>
  <c r="AE163" i="7"/>
  <c r="AC5" i="9"/>
  <c r="AC161" i="8"/>
  <c r="AC235" i="8"/>
  <c r="AC191" i="8"/>
  <c r="AC205" i="8"/>
  <c r="AC74" i="8"/>
  <c r="AC120" i="8"/>
  <c r="AC287" i="8"/>
  <c r="AC217" i="8"/>
  <c r="AC276" i="8"/>
  <c r="AB63" i="8"/>
  <c r="AB121" i="10"/>
  <c r="AB28" i="7"/>
  <c r="AB4" i="10"/>
  <c r="AB72" i="10"/>
  <c r="Q6" i="3"/>
  <c r="AB184" i="10"/>
  <c r="AF184" i="10"/>
  <c r="Z6" i="3"/>
  <c r="AF63" i="8"/>
  <c r="AF121" i="10"/>
  <c r="AF28" i="7"/>
  <c r="AF4" i="10"/>
  <c r="AF72" i="10"/>
  <c r="I19" i="4"/>
  <c r="I43" i="4" s="1"/>
  <c r="I6" i="16"/>
  <c r="I30" i="16" s="1"/>
  <c r="Y73" i="3"/>
  <c r="Y32" i="3"/>
  <c r="AG25" i="8"/>
  <c r="AA4" i="3"/>
  <c r="AE120" i="8"/>
  <c r="AE161" i="8"/>
  <c r="AE276" i="8"/>
  <c r="AE74" i="8"/>
  <c r="AE205" i="8"/>
  <c r="AE191" i="8"/>
  <c r="AE235" i="8"/>
  <c r="AE5" i="9"/>
  <c r="AE217" i="8"/>
  <c r="AE287" i="8"/>
  <c r="L32" i="3"/>
  <c r="L73" i="3"/>
  <c r="V235" i="8"/>
  <c r="V120" i="8"/>
  <c r="V74" i="8"/>
  <c r="V205" i="8"/>
  <c r="V161" i="8"/>
  <c r="V217" i="8"/>
  <c r="V287" i="8"/>
  <c r="V276" i="8"/>
  <c r="V191" i="8"/>
  <c r="V5" i="9"/>
  <c r="V163" i="7"/>
  <c r="V89" i="7"/>
  <c r="V51" i="7"/>
  <c r="X28" i="7"/>
  <c r="X184" i="10"/>
  <c r="N6" i="3"/>
  <c r="X121" i="10"/>
  <c r="X4" i="10"/>
  <c r="X72" i="10"/>
  <c r="X63" i="8"/>
  <c r="U28" i="7"/>
  <c r="U184" i="10"/>
  <c r="K6" i="3"/>
  <c r="U121" i="10"/>
  <c r="U4" i="10"/>
  <c r="U72" i="10"/>
  <c r="U63" i="8"/>
  <c r="AC291" i="8"/>
  <c r="AC255" i="8"/>
  <c r="AC96" i="8"/>
  <c r="AA201" i="7"/>
  <c r="AB203" i="7"/>
  <c r="Q117" i="8"/>
  <c r="Q118" i="8" s="1"/>
  <c r="Q59" i="8"/>
  <c r="Q61" i="8" s="1"/>
  <c r="Q136" i="9" s="1"/>
  <c r="Q57" i="8"/>
  <c r="H23" i="3" s="1"/>
  <c r="M116" i="8"/>
  <c r="P55" i="3"/>
  <c r="M31" i="16" a="1"/>
  <c r="M31" i="16" s="1"/>
  <c r="N53" i="8"/>
  <c r="N238" i="8" s="1"/>
  <c r="R239" i="8" s="1"/>
  <c r="N51" i="8"/>
  <c r="N54" i="8"/>
  <c r="N254" i="8"/>
  <c r="N256" i="8" s="1"/>
  <c r="N110" i="8"/>
  <c r="N114" i="8" s="1"/>
  <c r="U87" i="3"/>
  <c r="E62" i="4" s="1"/>
  <c r="U16" i="3"/>
  <c r="O45" i="8"/>
  <c r="L254" i="8"/>
  <c r="L53" i="8"/>
  <c r="L238" i="8" s="1"/>
  <c r="L54" i="8"/>
  <c r="L110" i="8"/>
  <c r="L114" i="8" s="1"/>
  <c r="L51" i="8"/>
  <c r="E25" i="4"/>
  <c r="U76" i="3"/>
  <c r="AD189" i="7"/>
  <c r="AG116" i="7"/>
  <c r="T254" i="8"/>
  <c r="P256" i="8"/>
  <c r="T256" i="8" s="1"/>
  <c r="D24" i="4"/>
  <c r="T12" i="3"/>
  <c r="T76" i="3" s="1"/>
  <c r="U13" i="3"/>
  <c r="E26" i="4" s="1"/>
  <c r="AC11" i="3"/>
  <c r="M24" i="4" s="1"/>
  <c r="AF94" i="8"/>
  <c r="AF292" i="8"/>
  <c r="U260" i="8"/>
  <c r="U261" i="8" s="1"/>
  <c r="Y260" i="8"/>
  <c r="U239" i="8"/>
  <c r="AG246" i="8"/>
  <c r="AG241" i="8"/>
  <c r="AG280" i="8" s="1"/>
  <c r="D68" i="4"/>
  <c r="M68" i="4" s="1"/>
  <c r="T101" i="3"/>
  <c r="D71" i="4" s="1"/>
  <c r="M71" i="4" s="1"/>
  <c r="G57" i="8"/>
  <c r="G59" i="8"/>
  <c r="G61" i="8" s="1"/>
  <c r="I45" i="8"/>
  <c r="I71" i="8"/>
  <c r="I62" i="10" s="1"/>
  <c r="J42" i="8"/>
  <c r="J71" i="8" s="1"/>
  <c r="J62" i="10" s="1"/>
  <c r="U117" i="8"/>
  <c r="U118" i="8" s="1"/>
  <c r="U116" i="8"/>
  <c r="AG104" i="7"/>
  <c r="R117" i="8"/>
  <c r="R118" i="8" s="1"/>
  <c r="R116" i="8"/>
  <c r="U215" i="7"/>
  <c r="V215" i="7" s="1"/>
  <c r="AD191" i="7"/>
  <c r="R59" i="8"/>
  <c r="R61" i="8" s="1"/>
  <c r="R56" i="8"/>
  <c r="R57" i="8"/>
  <c r="I23" i="3" s="1"/>
  <c r="G117" i="8"/>
  <c r="G118" i="8" s="1"/>
  <c r="G116" i="8"/>
  <c r="U59" i="8"/>
  <c r="U56" i="8"/>
  <c r="U57" i="8"/>
  <c r="K23" i="3" s="1"/>
  <c r="AK11" i="15"/>
  <c r="BK11" i="15"/>
  <c r="C92" i="17"/>
  <c r="O76" i="17"/>
  <c r="F163" i="7"/>
  <c r="F89" i="7"/>
  <c r="F51" i="7"/>
  <c r="N31" i="16" a="1"/>
  <c r="N31" i="16" s="1"/>
  <c r="N51" i="16" a="1"/>
  <c r="N51" i="16" s="1"/>
  <c r="F51" i="16" a="1"/>
  <c r="F51" i="16" s="1"/>
  <c r="E31" i="16" a="1"/>
  <c r="E31" i="16" s="1"/>
  <c r="F31" i="16" a="1"/>
  <c r="F31" i="16" s="1"/>
  <c r="D31" i="16" a="1"/>
  <c r="D31" i="16" s="1"/>
  <c r="J91" i="16" a="1"/>
  <c r="J91" i="16" s="1"/>
  <c r="L31" i="16" a="1"/>
  <c r="L31" i="16" s="1"/>
  <c r="D51" i="16" a="1"/>
  <c r="D51" i="16" s="1"/>
  <c r="L51" i="16" a="1"/>
  <c r="L51" i="16" s="1"/>
  <c r="H91" i="16" a="1"/>
  <c r="H91" i="16" s="1"/>
  <c r="H92" i="16" s="1"/>
  <c r="U256" i="8"/>
  <c r="K13" i="15"/>
  <c r="J14" i="15"/>
  <c r="H117" i="8"/>
  <c r="H118" i="8" s="1"/>
  <c r="H116" i="8"/>
  <c r="AB190" i="7"/>
  <c r="AC190" i="7" s="1"/>
  <c r="AG92" i="7"/>
  <c r="G5" i="9"/>
  <c r="G276" i="8"/>
  <c r="G235" i="8"/>
  <c r="G205" i="8"/>
  <c r="G191" i="8"/>
  <c r="G217" i="8"/>
  <c r="G120" i="8"/>
  <c r="G74" i="8"/>
  <c r="G161" i="8"/>
  <c r="G287" i="8"/>
  <c r="H32" i="3"/>
  <c r="H59" i="3" s="1"/>
  <c r="H70" i="3" s="1"/>
  <c r="H73" i="3"/>
  <c r="BK12" i="15"/>
  <c r="AK12" i="15"/>
  <c r="M136" i="9"/>
  <c r="H56" i="8"/>
  <c r="H57" i="8"/>
  <c r="H59" i="8"/>
  <c r="H61" i="8" s="1"/>
  <c r="M178" i="9" s="1"/>
  <c r="F56" i="8"/>
  <c r="F59" i="8"/>
  <c r="F57" i="8"/>
  <c r="N28" i="14"/>
  <c r="O29" i="14"/>
  <c r="Q89" i="7"/>
  <c r="Q163" i="7"/>
  <c r="Q51" i="7"/>
  <c r="G80" i="3"/>
  <c r="G20" i="3"/>
  <c r="G79" i="3" s="1"/>
  <c r="G82" i="3"/>
  <c r="G81" i="3"/>
  <c r="O184" i="7"/>
  <c r="O180" i="7"/>
  <c r="O178" i="7"/>
  <c r="I82" i="3"/>
  <c r="I81" i="3"/>
  <c r="I80" i="3"/>
  <c r="I20" i="3"/>
  <c r="I79" i="3" s="1"/>
  <c r="T168" i="7"/>
  <c r="T172" i="7"/>
  <c r="T166" i="7"/>
  <c r="F256" i="8"/>
  <c r="K81" i="3"/>
  <c r="K21" i="3"/>
  <c r="K82" i="3"/>
  <c r="K80" i="3"/>
  <c r="K20" i="3"/>
  <c r="K79" i="3" s="1"/>
  <c r="G51" i="7"/>
  <c r="G89" i="7"/>
  <c r="G163" i="7"/>
  <c r="G32" i="3"/>
  <c r="G73" i="3"/>
  <c r="Q191" i="8"/>
  <c r="Q5" i="9"/>
  <c r="Q235" i="8"/>
  <c r="Q276" i="8"/>
  <c r="Q217" i="8"/>
  <c r="Q287" i="8"/>
  <c r="Q74" i="8"/>
  <c r="Q205" i="8"/>
  <c r="Q161" i="8"/>
  <c r="Q120" i="8"/>
  <c r="K20" i="19"/>
  <c r="P89" i="7"/>
  <c r="P163" i="7"/>
  <c r="P51" i="7"/>
  <c r="I23" i="15"/>
  <c r="S116" i="8"/>
  <c r="S117" i="8"/>
  <c r="S118" i="8" s="1"/>
  <c r="M70" i="16"/>
  <c r="M51" i="16" a="1"/>
  <c r="M51" i="16" s="1"/>
  <c r="AF151" i="7"/>
  <c r="AG152" i="7"/>
  <c r="AG151" i="7" s="1"/>
  <c r="E51" i="16" a="1"/>
  <c r="E51" i="16" s="1"/>
  <c r="T110" i="8"/>
  <c r="T114" i="8" s="1"/>
  <c r="T53" i="8"/>
  <c r="T238" i="8" s="1"/>
  <c r="T239" i="8" s="1"/>
  <c r="T54" i="8"/>
  <c r="V19" i="3"/>
  <c r="F117" i="8"/>
  <c r="F118" i="8" s="1"/>
  <c r="F116" i="8"/>
  <c r="G33" i="14"/>
  <c r="G35" i="14" s="1"/>
  <c r="H36" i="14" s="1"/>
  <c r="J144" i="9"/>
  <c r="T15" i="3"/>
  <c r="K196" i="9"/>
  <c r="O176" i="9"/>
  <c r="P276" i="8"/>
  <c r="P217" i="8"/>
  <c r="P191" i="8"/>
  <c r="P5" i="9"/>
  <c r="P74" i="8"/>
  <c r="P235" i="8"/>
  <c r="P120" i="8"/>
  <c r="P287" i="8"/>
  <c r="P205" i="8"/>
  <c r="P161" i="8"/>
  <c r="F7" i="16"/>
  <c r="V78" i="3"/>
  <c r="J20" i="18"/>
  <c r="I90" i="16"/>
  <c r="I91" i="16" s="1" a="1"/>
  <c r="I91" i="16" s="1"/>
  <c r="P57" i="8"/>
  <c r="G23" i="3" s="1"/>
  <c r="P59" i="8"/>
  <c r="T51" i="8"/>
  <c r="P56" i="8"/>
  <c r="H239" i="8"/>
  <c r="F239" i="8"/>
  <c r="G239" i="8"/>
  <c r="K61" i="8"/>
  <c r="J82" i="3"/>
  <c r="J80" i="3"/>
  <c r="J81" i="3"/>
  <c r="J20" i="3"/>
  <c r="J79" i="3" s="1"/>
  <c r="S239" i="8"/>
  <c r="I29" i="15"/>
  <c r="I32" i="15"/>
  <c r="J44" i="18" a="1"/>
  <c r="J44" i="18" s="1"/>
  <c r="S56" i="8"/>
  <c r="S57" i="8"/>
  <c r="S59" i="8"/>
  <c r="S61" i="8" s="1"/>
  <c r="P116" i="8"/>
  <c r="P117" i="8"/>
  <c r="P118" i="8" s="1"/>
  <c r="I26" i="15"/>
  <c r="AA202" i="7" l="1"/>
  <c r="M29" i="19"/>
  <c r="L37" i="19" a="1"/>
  <c r="L37" i="19" s="1"/>
  <c r="P37" i="19" s="1"/>
  <c r="K14" i="18" a="1"/>
  <c r="K14" i="18" s="1"/>
  <c r="L44" i="19" a="1"/>
  <c r="L44" i="19" s="1"/>
  <c r="K34" i="18" a="1"/>
  <c r="K34" i="18" s="1"/>
  <c r="N34" i="18" s="1"/>
  <c r="K32" i="18" a="1"/>
  <c r="K32" i="18" s="1"/>
  <c r="N32" i="18" s="1"/>
  <c r="K13" i="18" a="1"/>
  <c r="K13" i="18" s="1"/>
  <c r="K36" i="18" a="1"/>
  <c r="K36" i="18" s="1"/>
  <c r="N36" i="18" s="1"/>
  <c r="L30" i="19" a="1"/>
  <c r="L30" i="19" s="1"/>
  <c r="P30" i="19" s="1"/>
  <c r="K12" i="18" a="1"/>
  <c r="K12" i="18" s="1"/>
  <c r="L33" i="19" a="1"/>
  <c r="L33" i="19" s="1"/>
  <c r="P33" i="19" s="1"/>
  <c r="L27" i="19" a="1"/>
  <c r="L27" i="19" s="1"/>
  <c r="P27" i="19" s="1"/>
  <c r="K43" i="18" a="1"/>
  <c r="K43" i="18" s="1"/>
  <c r="K33" i="18" a="1"/>
  <c r="K33" i="18" s="1"/>
  <c r="N33" i="18" s="1"/>
  <c r="K35" i="18" a="1"/>
  <c r="K35" i="18" s="1"/>
  <c r="N35" i="18" s="1"/>
  <c r="L34" i="19" a="1"/>
  <c r="L34" i="19" s="1"/>
  <c r="P34" i="19" s="1"/>
  <c r="L26" i="19" a="1"/>
  <c r="L26" i="19" s="1"/>
  <c r="P26" i="19" s="1"/>
  <c r="K31" i="18" a="1"/>
  <c r="K31" i="18" s="1"/>
  <c r="N31" i="18" s="1"/>
  <c r="L42" i="19" a="1"/>
  <c r="L42" i="19" s="1"/>
  <c r="K17" i="18" a="1"/>
  <c r="K17" i="18" s="1"/>
  <c r="L28" i="19" a="1"/>
  <c r="L28" i="19" s="1"/>
  <c r="P28" i="19" s="1"/>
  <c r="L17" i="19" a="1"/>
  <c r="L17" i="19" s="1"/>
  <c r="K37" i="18" a="1"/>
  <c r="K37" i="18" s="1"/>
  <c r="N37" i="18" s="1"/>
  <c r="K28" i="18" a="1"/>
  <c r="K28" i="18" s="1"/>
  <c r="N28" i="18" s="1"/>
  <c r="K44" i="18" a="1"/>
  <c r="K44" i="18" s="1"/>
  <c r="K30" i="18" a="1"/>
  <c r="K30" i="18" s="1"/>
  <c r="N30" i="18" s="1"/>
  <c r="L12" i="19" a="1"/>
  <c r="L12" i="19" s="1"/>
  <c r="K19" i="18" a="1"/>
  <c r="K19" i="18" s="1"/>
  <c r="L43" i="19" a="1"/>
  <c r="L43" i="19" s="1"/>
  <c r="L14" i="19" a="1"/>
  <c r="L14" i="19" s="1"/>
  <c r="L36" i="19" a="1"/>
  <c r="L36" i="19" s="1"/>
  <c r="P36" i="19" s="1"/>
  <c r="K26" i="18" a="1"/>
  <c r="K26" i="18" s="1"/>
  <c r="N26" i="18" s="1"/>
  <c r="K27" i="18" a="1"/>
  <c r="K27" i="18" s="1"/>
  <c r="N27" i="18" s="1"/>
  <c r="L19" i="19" a="1"/>
  <c r="L19" i="19" s="1"/>
  <c r="K29" i="18" a="1"/>
  <c r="K29" i="18" s="1"/>
  <c r="N29" i="18" s="1"/>
  <c r="L29" i="19" a="1"/>
  <c r="L29" i="19" s="1"/>
  <c r="P29" i="19" s="1"/>
  <c r="L32" i="19" a="1"/>
  <c r="L32" i="19" s="1"/>
  <c r="P32" i="19" s="1"/>
  <c r="K42" i="18" a="1"/>
  <c r="K42" i="18" s="1"/>
  <c r="L31" i="19" a="1"/>
  <c r="L31" i="19" s="1"/>
  <c r="P31" i="19" s="1"/>
  <c r="L13" i="19" a="1"/>
  <c r="L13" i="19" s="1"/>
  <c r="L35" i="19" a="1"/>
  <c r="L35" i="19" s="1"/>
  <c r="P35" i="19" s="1"/>
  <c r="M28" i="19"/>
  <c r="L36" i="18"/>
  <c r="AE86" i="7"/>
  <c r="AC84" i="7"/>
  <c r="M34" i="19"/>
  <c r="M26" i="19"/>
  <c r="M32" i="19"/>
  <c r="O26" i="19"/>
  <c r="L30" i="18"/>
  <c r="L32" i="18"/>
  <c r="M35" i="19"/>
  <c r="N29" i="19"/>
  <c r="M37" i="19"/>
  <c r="M33" i="19"/>
  <c r="O37" i="19"/>
  <c r="M30" i="19"/>
  <c r="N31" i="19"/>
  <c r="N28" i="19"/>
  <c r="N30" i="19"/>
  <c r="L27" i="18"/>
  <c r="O31" i="19"/>
  <c r="L34" i="18"/>
  <c r="M36" i="19"/>
  <c r="L28" i="18"/>
  <c r="L31" i="18"/>
  <c r="M31" i="18"/>
  <c r="M33" i="18"/>
  <c r="O27" i="19"/>
  <c r="O32" i="19"/>
  <c r="M29" i="18"/>
  <c r="N35" i="19"/>
  <c r="M35" i="18"/>
  <c r="L29" i="18"/>
  <c r="L26" i="18"/>
  <c r="M37" i="18"/>
  <c r="M31" i="19"/>
  <c r="M27" i="18"/>
  <c r="M27" i="19"/>
  <c r="N34" i="19"/>
  <c r="AA6" i="3"/>
  <c r="AG72" i="10"/>
  <c r="AG184" i="10"/>
  <c r="AG63" i="8"/>
  <c r="AG28" i="7"/>
  <c r="AG4" i="10"/>
  <c r="AG121" i="10"/>
  <c r="AB276" i="8"/>
  <c r="AB235" i="8"/>
  <c r="AB287" i="8"/>
  <c r="AB5" i="9"/>
  <c r="AB191" i="8"/>
  <c r="AB205" i="8"/>
  <c r="AB120" i="8"/>
  <c r="AB217" i="8"/>
  <c r="AB161" i="8"/>
  <c r="AB74" i="8"/>
  <c r="AF89" i="7"/>
  <c r="AF163" i="7"/>
  <c r="AF51" i="7"/>
  <c r="Q73" i="3"/>
  <c r="Q32" i="3"/>
  <c r="L90" i="16"/>
  <c r="Q90" i="16"/>
  <c r="Z184" i="10"/>
  <c r="O6" i="3"/>
  <c r="Z72" i="10"/>
  <c r="Z121" i="10"/>
  <c r="Z4" i="10"/>
  <c r="Z63" i="8"/>
  <c r="Z28" i="7"/>
  <c r="I50" i="16"/>
  <c r="I70" i="16" s="1"/>
  <c r="M90" i="16" s="1"/>
  <c r="Q30" i="16"/>
  <c r="Q50" i="16" s="1"/>
  <c r="Q70" i="16" s="1"/>
  <c r="AF235" i="8"/>
  <c r="AF217" i="8"/>
  <c r="AF74" i="8"/>
  <c r="AF161" i="8"/>
  <c r="AF287" i="8"/>
  <c r="AF5" i="9"/>
  <c r="AF276" i="8"/>
  <c r="AF205" i="8"/>
  <c r="AF120" i="8"/>
  <c r="AF191" i="8"/>
  <c r="AA28" i="7"/>
  <c r="AA63" i="8"/>
  <c r="AA4" i="10"/>
  <c r="P6" i="3"/>
  <c r="AA184" i="10"/>
  <c r="AA72" i="10"/>
  <c r="AA121" i="10"/>
  <c r="Z73" i="3"/>
  <c r="Z32" i="3"/>
  <c r="J19" i="4"/>
  <c r="J43" i="4" s="1"/>
  <c r="AB89" i="7"/>
  <c r="AB163" i="7"/>
  <c r="AB51" i="7"/>
  <c r="N73" i="3"/>
  <c r="N32" i="3"/>
  <c r="U287" i="8"/>
  <c r="U276" i="8"/>
  <c r="U217" i="8"/>
  <c r="U161" i="8"/>
  <c r="U205" i="8"/>
  <c r="U235" i="8"/>
  <c r="U5" i="9"/>
  <c r="U74" i="8"/>
  <c r="U191" i="8"/>
  <c r="U120" i="8"/>
  <c r="U163" i="7"/>
  <c r="U51" i="7"/>
  <c r="U89" i="7"/>
  <c r="X161" i="8"/>
  <c r="X235" i="8"/>
  <c r="X74" i="8"/>
  <c r="X287" i="8"/>
  <c r="X120" i="8"/>
  <c r="X5" i="9"/>
  <c r="X276" i="8"/>
  <c r="X205" i="8"/>
  <c r="X191" i="8"/>
  <c r="X217" i="8"/>
  <c r="X51" i="7"/>
  <c r="X163" i="7"/>
  <c r="X89" i="7"/>
  <c r="K32" i="3"/>
  <c r="K59" i="3" s="1"/>
  <c r="K70" i="3" s="1"/>
  <c r="K73" i="3"/>
  <c r="M32" i="16"/>
  <c r="V213" i="7"/>
  <c r="V214" i="7" s="1"/>
  <c r="W215" i="7"/>
  <c r="W213" i="7" s="1"/>
  <c r="AB201" i="7"/>
  <c r="AC203" i="7"/>
  <c r="N239" i="8"/>
  <c r="H27" i="3"/>
  <c r="H89" i="3" s="1"/>
  <c r="Q55" i="3"/>
  <c r="N32" i="16"/>
  <c r="P239" i="8"/>
  <c r="Q239" i="8"/>
  <c r="N117" i="8"/>
  <c r="N118" i="8" s="1"/>
  <c r="N116" i="8"/>
  <c r="N56" i="8"/>
  <c r="N59" i="8"/>
  <c r="N61" i="8" s="1"/>
  <c r="S178" i="9" s="1"/>
  <c r="N57" i="8"/>
  <c r="L256" i="8"/>
  <c r="O256" i="8" s="1"/>
  <c r="O254" i="8"/>
  <c r="O53" i="8"/>
  <c r="O238" i="8" s="1"/>
  <c r="O239" i="8" s="1"/>
  <c r="O110" i="8"/>
  <c r="O114" i="8" s="1"/>
  <c r="O54" i="8"/>
  <c r="U19" i="3"/>
  <c r="V21" i="3" s="1"/>
  <c r="F34" i="4" s="1"/>
  <c r="O51" i="8"/>
  <c r="L57" i="8"/>
  <c r="L56" i="8"/>
  <c r="L59" i="8"/>
  <c r="L117" i="8"/>
  <c r="L118" i="8" s="1"/>
  <c r="L116" i="8"/>
  <c r="E7" i="16"/>
  <c r="U78" i="3"/>
  <c r="I92" i="16"/>
  <c r="E32" i="16"/>
  <c r="J92" i="16"/>
  <c r="G136" i="9"/>
  <c r="K14" i="15"/>
  <c r="J15" i="15"/>
  <c r="BK13" i="15"/>
  <c r="AK13" i="15"/>
  <c r="AG292" i="8"/>
  <c r="AG94" i="8"/>
  <c r="U167" i="7"/>
  <c r="V167" i="7" s="1"/>
  <c r="F32" i="16"/>
  <c r="P179" i="7"/>
  <c r="I27" i="15"/>
  <c r="L21" i="19" a="1"/>
  <c r="L21" i="19" s="1"/>
  <c r="K21" i="18" a="1"/>
  <c r="K21" i="18" s="1"/>
  <c r="T56" i="8"/>
  <c r="T57" i="8"/>
  <c r="T87" i="3"/>
  <c r="D62" i="4" s="1"/>
  <c r="M62" i="4" s="1"/>
  <c r="T16" i="3"/>
  <c r="U17" i="3"/>
  <c r="E30" i="4" s="1"/>
  <c r="AC15" i="3"/>
  <c r="P61" i="8"/>
  <c r="T59" i="8"/>
  <c r="E52" i="16"/>
  <c r="H198" i="9"/>
  <c r="H136" i="9"/>
  <c r="O28" i="14"/>
  <c r="P29" i="14"/>
  <c r="F52" i="16"/>
  <c r="I254" i="8"/>
  <c r="I54" i="8"/>
  <c r="I53" i="8"/>
  <c r="I238" i="8" s="1"/>
  <c r="I51" i="8"/>
  <c r="I110" i="8"/>
  <c r="I114" i="8" s="1"/>
  <c r="J45" i="8"/>
  <c r="C108" i="17"/>
  <c r="O92" i="17"/>
  <c r="F61" i="8"/>
  <c r="G198" i="9" s="1"/>
  <c r="S136" i="9"/>
  <c r="S198" i="9"/>
  <c r="J27" i="3"/>
  <c r="J15" i="18" a="1"/>
  <c r="J15" i="18" s="1"/>
  <c r="K15" i="19" a="1"/>
  <c r="K15" i="19" s="1"/>
  <c r="R178" i="9"/>
  <c r="R198" i="9"/>
  <c r="R136" i="9"/>
  <c r="I27" i="3"/>
  <c r="N52" i="16"/>
  <c r="AE191" i="7"/>
  <c r="AD190" i="7"/>
  <c r="V81" i="3"/>
  <c r="F56" i="4" s="1"/>
  <c r="V80" i="3"/>
  <c r="F55" i="4" s="1"/>
  <c r="V20" i="3"/>
  <c r="V82" i="3"/>
  <c r="F57" i="4" s="1"/>
  <c r="F32" i="4"/>
  <c r="T117" i="8"/>
  <c r="T118" i="8" s="1"/>
  <c r="T116" i="8"/>
  <c r="F39" i="4"/>
  <c r="F71" i="16" a="1"/>
  <c r="F71" i="16" s="1"/>
  <c r="J23" i="3"/>
  <c r="K21" i="19" a="1"/>
  <c r="K21" i="19" s="1"/>
  <c r="J21" i="18" a="1"/>
  <c r="J21" i="18" s="1"/>
  <c r="I33" i="15"/>
  <c r="I36" i="15"/>
  <c r="K136" i="9"/>
  <c r="I30" i="15"/>
  <c r="K24" i="3"/>
  <c r="U61" i="8"/>
  <c r="K15" i="18" s="1" a="1"/>
  <c r="K15" i="18" s="1"/>
  <c r="U216" i="7"/>
  <c r="U220" i="7"/>
  <c r="Y220" i="7" s="1"/>
  <c r="W214" i="7" l="1"/>
  <c r="AB202" i="7"/>
  <c r="K20" i="18"/>
  <c r="L20" i="19"/>
  <c r="AF86" i="7"/>
  <c r="AE84" i="7"/>
  <c r="Z74" i="8"/>
  <c r="Z217" i="8"/>
  <c r="Z161" i="8"/>
  <c r="Z235" i="8"/>
  <c r="Z287" i="8"/>
  <c r="Z276" i="8"/>
  <c r="Z5" i="9"/>
  <c r="Z191" i="8"/>
  <c r="Z205" i="8"/>
  <c r="Z120" i="8"/>
  <c r="P73" i="3"/>
  <c r="P32" i="3"/>
  <c r="AG89" i="7"/>
  <c r="AG163" i="7"/>
  <c r="AG51" i="7"/>
  <c r="AG205" i="8"/>
  <c r="AG217" i="8"/>
  <c r="AG161" i="8"/>
  <c r="AG120" i="8"/>
  <c r="AG5" i="9"/>
  <c r="AG276" i="8"/>
  <c r="AG191" i="8"/>
  <c r="AG235" i="8"/>
  <c r="AG287" i="8"/>
  <c r="AG74" i="8"/>
  <c r="AA217" i="8"/>
  <c r="AA191" i="8"/>
  <c r="AA74" i="8"/>
  <c r="AA205" i="8"/>
  <c r="AA235" i="8"/>
  <c r="AA287" i="8"/>
  <c r="AA5" i="9"/>
  <c r="AA276" i="8"/>
  <c r="AA161" i="8"/>
  <c r="AA120" i="8"/>
  <c r="AA51" i="7"/>
  <c r="AA163" i="7"/>
  <c r="AA89" i="7"/>
  <c r="O73" i="3"/>
  <c r="O32" i="3"/>
  <c r="Z89" i="7"/>
  <c r="Z51" i="7"/>
  <c r="Z163" i="7"/>
  <c r="AA32" i="3"/>
  <c r="R26" i="4"/>
  <c r="K19" i="4"/>
  <c r="K43" i="4" s="1"/>
  <c r="AA73" i="3"/>
  <c r="V165" i="7"/>
  <c r="V166" i="7" s="1"/>
  <c r="W167" i="7"/>
  <c r="W165" i="7" s="1"/>
  <c r="AC201" i="7"/>
  <c r="AD203" i="7"/>
  <c r="H92" i="3"/>
  <c r="H88" i="3"/>
  <c r="H28" i="3"/>
  <c r="H77" i="3" s="1"/>
  <c r="N198" i="9"/>
  <c r="N136" i="9"/>
  <c r="L61" i="8"/>
  <c r="O59" i="8"/>
  <c r="U80" i="3"/>
  <c r="E55" i="4" s="1"/>
  <c r="E32" i="4"/>
  <c r="U82" i="3"/>
  <c r="E57" i="4" s="1"/>
  <c r="U20" i="3"/>
  <c r="U81" i="3"/>
  <c r="E56" i="4" s="1"/>
  <c r="O116" i="8"/>
  <c r="E39" i="4"/>
  <c r="F40" i="4" s="1"/>
  <c r="O117" i="8"/>
  <c r="O118" i="8" s="1"/>
  <c r="E71" i="16" a="1"/>
  <c r="E71" i="16" s="1"/>
  <c r="F72" i="16" s="1"/>
  <c r="L15" i="19" a="1"/>
  <c r="L15" i="19" s="1"/>
  <c r="O57" i="8"/>
  <c r="O56" i="8"/>
  <c r="I256" i="8"/>
  <c r="J256" i="8" s="1"/>
  <c r="J254" i="8"/>
  <c r="U168" i="7"/>
  <c r="U172" i="7"/>
  <c r="J16" i="15"/>
  <c r="K15" i="15"/>
  <c r="BK14" i="15"/>
  <c r="AK14" i="15"/>
  <c r="I37" i="15"/>
  <c r="I40" i="15"/>
  <c r="C124" i="17"/>
  <c r="O108" i="17"/>
  <c r="Q29" i="14"/>
  <c r="P28" i="14"/>
  <c r="D7" i="16"/>
  <c r="T78" i="3"/>
  <c r="V23" i="3"/>
  <c r="N71" i="16" a="1"/>
  <c r="N71" i="16" s="1"/>
  <c r="F9" i="16"/>
  <c r="F33" i="4"/>
  <c r="V79" i="3"/>
  <c r="I34" i="15"/>
  <c r="T179" i="7"/>
  <c r="P184" i="7"/>
  <c r="P180" i="7"/>
  <c r="Q180" i="7"/>
  <c r="P198" i="9"/>
  <c r="P178" i="9"/>
  <c r="P136" i="9"/>
  <c r="T61" i="8"/>
  <c r="G27" i="3"/>
  <c r="Q198" i="9"/>
  <c r="J32" i="14"/>
  <c r="U198" i="9"/>
  <c r="U178" i="9"/>
  <c r="U136" i="9"/>
  <c r="K27" i="3"/>
  <c r="J54" i="8"/>
  <c r="J53" i="8"/>
  <c r="J238" i="8" s="1"/>
  <c r="J239" i="8" s="1"/>
  <c r="J110" i="8"/>
  <c r="J114" i="8" s="1"/>
  <c r="T19" i="3"/>
  <c r="J28" i="3"/>
  <c r="J77" i="3" s="1"/>
  <c r="J88" i="3"/>
  <c r="J92" i="3"/>
  <c r="J89" i="3"/>
  <c r="I31" i="15"/>
  <c r="I28" i="3"/>
  <c r="I77" i="3" s="1"/>
  <c r="I88" i="3"/>
  <c r="I89" i="3"/>
  <c r="I92" i="3"/>
  <c r="I117" i="8"/>
  <c r="I118" i="8" s="1"/>
  <c r="I116" i="8"/>
  <c r="F136" i="9"/>
  <c r="X66" i="8"/>
  <c r="AE189" i="7"/>
  <c r="AE190" i="7" s="1"/>
  <c r="AF191" i="7"/>
  <c r="I57" i="8"/>
  <c r="I56" i="8"/>
  <c r="I59" i="8"/>
  <c r="J51" i="8"/>
  <c r="L239" i="8"/>
  <c r="M239" i="8"/>
  <c r="K239" i="8"/>
  <c r="I239" i="8"/>
  <c r="K178" i="9"/>
  <c r="AC202" i="7" l="1"/>
  <c r="AD201" i="7"/>
  <c r="AD202" i="7" s="1"/>
  <c r="AG86" i="7"/>
  <c r="AG84" i="7" s="1"/>
  <c r="AF84" i="7"/>
  <c r="W166" i="7"/>
  <c r="AE203" i="7"/>
  <c r="R55" i="3"/>
  <c r="X55" i="3"/>
  <c r="E9" i="16"/>
  <c r="E33" i="4"/>
  <c r="U79" i="3"/>
  <c r="U23" i="3"/>
  <c r="E36" i="4" s="1"/>
  <c r="M71" i="16" a="1"/>
  <c r="M71" i="16" s="1"/>
  <c r="N72" i="16" s="1"/>
  <c r="M198" i="9"/>
  <c r="L198" i="9"/>
  <c r="L136" i="9"/>
  <c r="Q178" i="9"/>
  <c r="O61" i="8"/>
  <c r="T178" i="9" s="1"/>
  <c r="L178" i="9"/>
  <c r="I35" i="15"/>
  <c r="T180" i="7"/>
  <c r="T184" i="7"/>
  <c r="T178" i="7"/>
  <c r="J117" i="8"/>
  <c r="J118" i="8" s="1"/>
  <c r="J116" i="8"/>
  <c r="D39" i="4"/>
  <c r="D71" i="16" a="1"/>
  <c r="D71" i="16" s="1"/>
  <c r="E72" i="16" s="1"/>
  <c r="C140" i="17"/>
  <c r="O124" i="17"/>
  <c r="J57" i="8"/>
  <c r="J56" i="8"/>
  <c r="I44" i="15"/>
  <c r="I41" i="15"/>
  <c r="I61" i="8"/>
  <c r="J59" i="8"/>
  <c r="I38" i="15"/>
  <c r="Z66" i="8"/>
  <c r="K29" i="3"/>
  <c r="K88" i="3"/>
  <c r="K89" i="3"/>
  <c r="K28" i="3"/>
  <c r="K77" i="3" s="1"/>
  <c r="K92" i="3"/>
  <c r="G28" i="3"/>
  <c r="G77" i="3" s="1"/>
  <c r="G88" i="3"/>
  <c r="G89" i="3"/>
  <c r="G92" i="3"/>
  <c r="AG191" i="7"/>
  <c r="AG189" i="7" s="1"/>
  <c r="AF189" i="7"/>
  <c r="AF190" i="7" s="1"/>
  <c r="I32" i="14"/>
  <c r="T136" i="9"/>
  <c r="V27" i="3"/>
  <c r="R29" i="14"/>
  <c r="R28" i="14" s="1"/>
  <c r="Q28" i="14"/>
  <c r="T82" i="3"/>
  <c r="D57" i="4" s="1"/>
  <c r="M57" i="4" s="1"/>
  <c r="T81" i="3"/>
  <c r="D56" i="4" s="1"/>
  <c r="M56" i="4" s="1"/>
  <c r="T80" i="3"/>
  <c r="D55" i="4" s="1"/>
  <c r="M55" i="4" s="1"/>
  <c r="D32" i="4"/>
  <c r="T20" i="3"/>
  <c r="U21" i="3"/>
  <c r="E34" i="4" s="1"/>
  <c r="AC19" i="3"/>
  <c r="M32" i="4" s="1"/>
  <c r="F36" i="4"/>
  <c r="AK15" i="15"/>
  <c r="BK15" i="15"/>
  <c r="K16" i="15"/>
  <c r="J17" i="15"/>
  <c r="AE201" i="7" l="1"/>
  <c r="AE202" i="7" s="1"/>
  <c r="AF203" i="7"/>
  <c r="Y55" i="3"/>
  <c r="V24" i="3"/>
  <c r="F37" i="4" s="1"/>
  <c r="H32" i="14"/>
  <c r="O136" i="9"/>
  <c r="U27" i="3"/>
  <c r="V29" i="3" s="1"/>
  <c r="AG190" i="7"/>
  <c r="I39" i="15"/>
  <c r="T23" i="3"/>
  <c r="L71" i="16" a="1"/>
  <c r="L71" i="16" s="1"/>
  <c r="M72" i="16" s="1"/>
  <c r="C156" i="17"/>
  <c r="O156" i="17" s="1"/>
  <c r="O140" i="17"/>
  <c r="K17" i="15"/>
  <c r="J18" i="15"/>
  <c r="V88" i="3"/>
  <c r="F63" i="4" s="1"/>
  <c r="F28" i="4"/>
  <c r="V28" i="3"/>
  <c r="V89" i="3"/>
  <c r="F64" i="4" s="1"/>
  <c r="V92" i="3"/>
  <c r="F45" i="4" s="1"/>
  <c r="I42" i="15"/>
  <c r="AA66" i="8"/>
  <c r="I45" i="15"/>
  <c r="I48" i="15"/>
  <c r="U179" i="7"/>
  <c r="V179" i="7" s="1"/>
  <c r="I198" i="9"/>
  <c r="I136" i="9"/>
  <c r="N178" i="9"/>
  <c r="K198" i="9"/>
  <c r="J61" i="8"/>
  <c r="BK16" i="15"/>
  <c r="AK16" i="15"/>
  <c r="E40" i="4"/>
  <c r="M39" i="4"/>
  <c r="D9" i="16"/>
  <c r="T79" i="3"/>
  <c r="V177" i="7" l="1"/>
  <c r="V178" i="7" s="1"/>
  <c r="W179" i="7"/>
  <c r="W177" i="7" s="1"/>
  <c r="AF201" i="7"/>
  <c r="AF202" i="7" s="1"/>
  <c r="AG203" i="7"/>
  <c r="AG201" i="7" s="1"/>
  <c r="Z55" i="3"/>
  <c r="U28" i="3"/>
  <c r="U92" i="3"/>
  <c r="E45" i="4" s="1"/>
  <c r="U88" i="3"/>
  <c r="E63" i="4" s="1"/>
  <c r="E28" i="4"/>
  <c r="U89" i="3"/>
  <c r="E64" i="4" s="1"/>
  <c r="D36" i="4"/>
  <c r="U24" i="3"/>
  <c r="E37" i="4" s="1"/>
  <c r="AC23" i="3"/>
  <c r="M36" i="4" s="1"/>
  <c r="F8" i="16"/>
  <c r="V77" i="3"/>
  <c r="F29" i="4"/>
  <c r="G32" i="14"/>
  <c r="J136" i="9"/>
  <c r="T27" i="3"/>
  <c r="O178" i="9"/>
  <c r="U180" i="7"/>
  <c r="U184" i="7"/>
  <c r="I49" i="15"/>
  <c r="I52" i="15"/>
  <c r="K18" i="15"/>
  <c r="J19" i="15"/>
  <c r="BK17" i="15"/>
  <c r="AK17" i="15"/>
  <c r="AC66" i="8"/>
  <c r="AB66" i="8"/>
  <c r="I46" i="15"/>
  <c r="I43" i="15"/>
  <c r="W178" i="7" l="1"/>
  <c r="AG202" i="7"/>
  <c r="AA55" i="3"/>
  <c r="E8" i="16"/>
  <c r="E29" i="4"/>
  <c r="U77" i="3"/>
  <c r="I53" i="15"/>
  <c r="I56" i="15"/>
  <c r="I47" i="15"/>
  <c r="D28" i="4"/>
  <c r="T89" i="3"/>
  <c r="D64" i="4" s="1"/>
  <c r="M64" i="4" s="1"/>
  <c r="T88" i="3"/>
  <c r="D63" i="4" s="1"/>
  <c r="M63" i="4" s="1"/>
  <c r="T28" i="3"/>
  <c r="T92" i="3"/>
  <c r="D45" i="4" s="1"/>
  <c r="M45" i="4" s="1"/>
  <c r="U29" i="3"/>
  <c r="AC27" i="3"/>
  <c r="M28" i="4" s="1"/>
  <c r="J20" i="15"/>
  <c r="K19" i="15"/>
  <c r="I50" i="15"/>
  <c r="AK18" i="15"/>
  <c r="BK18" i="15"/>
  <c r="I57" i="15" l="1"/>
  <c r="I60" i="15"/>
  <c r="I54" i="15"/>
  <c r="AE66" i="8"/>
  <c r="D8" i="16"/>
  <c r="T77" i="3"/>
  <c r="I51" i="15"/>
  <c r="AK19" i="15"/>
  <c r="BK19" i="15"/>
  <c r="K20" i="15"/>
  <c r="J21" i="15"/>
  <c r="AG66" i="8" l="1"/>
  <c r="I61" i="15"/>
  <c r="I64" i="15"/>
  <c r="I58" i="15"/>
  <c r="AF66" i="8"/>
  <c r="I55" i="15"/>
  <c r="K21" i="15"/>
  <c r="J22" i="15"/>
  <c r="AK20" i="15"/>
  <c r="BK20" i="15"/>
  <c r="I65" i="15" l="1"/>
  <c r="I68" i="15"/>
  <c r="I62" i="15"/>
  <c r="K22" i="15"/>
  <c r="J23" i="15"/>
  <c r="I59" i="15"/>
  <c r="AK21" i="15"/>
  <c r="BK21" i="15"/>
  <c r="I69" i="15" l="1"/>
  <c r="I72" i="15"/>
  <c r="I63" i="15"/>
  <c r="J24" i="15"/>
  <c r="K23" i="15"/>
  <c r="I66" i="15"/>
  <c r="BK22" i="15"/>
  <c r="AK22" i="15"/>
  <c r="I76" i="15" l="1"/>
  <c r="I73" i="15"/>
  <c r="I70" i="15"/>
  <c r="K24" i="15"/>
  <c r="J25" i="15"/>
  <c r="I67" i="15"/>
  <c r="AK23" i="15"/>
  <c r="BK23" i="15"/>
  <c r="BK24" i="15" l="1"/>
  <c r="AK24" i="15"/>
  <c r="I74" i="15"/>
  <c r="I77" i="15"/>
  <c r="I80" i="15"/>
  <c r="I71" i="15"/>
  <c r="K25" i="15"/>
  <c r="J26" i="15"/>
  <c r="I75" i="15" l="1"/>
  <c r="I84" i="15"/>
  <c r="I81" i="15"/>
  <c r="K26" i="15"/>
  <c r="J27" i="15"/>
  <c r="I78" i="15"/>
  <c r="BK25" i="15"/>
  <c r="AK25" i="15"/>
  <c r="I82" i="15" l="1"/>
  <c r="I85" i="15"/>
  <c r="I79" i="15"/>
  <c r="J28" i="15"/>
  <c r="K27" i="15"/>
  <c r="AK26" i="15"/>
  <c r="BK26" i="15"/>
  <c r="I83" i="15" l="1"/>
  <c r="K28" i="15"/>
  <c r="J29" i="15"/>
  <c r="AK27" i="15"/>
  <c r="BK27" i="15"/>
  <c r="AK28" i="15" l="1"/>
  <c r="BK28" i="15"/>
  <c r="K29" i="15"/>
  <c r="J30" i="15"/>
  <c r="BK29" i="15" l="1"/>
  <c r="AK29" i="15"/>
  <c r="K30" i="15"/>
  <c r="J31" i="15"/>
  <c r="J32" i="15" l="1"/>
  <c r="K31" i="15"/>
  <c r="AK30" i="15"/>
  <c r="BK30" i="15"/>
  <c r="AK31" i="15" l="1"/>
  <c r="BK31" i="15"/>
  <c r="K32" i="15"/>
  <c r="J33" i="15"/>
  <c r="BK32" i="15" l="1"/>
  <c r="AK32" i="15"/>
  <c r="K33" i="15"/>
  <c r="J34" i="15"/>
  <c r="K34" i="15" l="1"/>
  <c r="J35" i="15"/>
  <c r="BK33" i="15"/>
  <c r="AK33" i="15"/>
  <c r="J36" i="15" l="1"/>
  <c r="K35" i="15"/>
  <c r="BK34" i="15"/>
  <c r="AK34" i="15"/>
  <c r="K36" i="15" l="1"/>
  <c r="J37" i="15"/>
  <c r="BK35" i="15"/>
  <c r="AK35" i="15"/>
  <c r="K37" i="15" l="1"/>
  <c r="J38" i="15"/>
  <c r="BK36" i="15"/>
  <c r="AK36" i="15"/>
  <c r="K38" i="15" l="1"/>
  <c r="J39" i="15"/>
  <c r="BK37" i="15"/>
  <c r="AK37" i="15"/>
  <c r="J40" i="15" l="1"/>
  <c r="K39" i="15"/>
  <c r="AK38" i="15"/>
  <c r="BK38" i="15"/>
  <c r="AK39" i="15" l="1"/>
  <c r="BK39" i="15"/>
  <c r="K40" i="15"/>
  <c r="J41" i="15"/>
  <c r="K41" i="15" l="1"/>
  <c r="J42" i="15"/>
  <c r="BK40" i="15"/>
  <c r="AK40" i="15"/>
  <c r="K42" i="15" l="1"/>
  <c r="J43" i="15"/>
  <c r="AK41" i="15"/>
  <c r="BK41" i="15"/>
  <c r="J44" i="15" l="1"/>
  <c r="K43" i="15"/>
  <c r="AK42" i="15"/>
  <c r="BK42" i="15"/>
  <c r="BK43" i="15" l="1"/>
  <c r="AK43" i="15"/>
  <c r="K44" i="15"/>
  <c r="J45" i="15"/>
  <c r="AK44" i="15" l="1"/>
  <c r="BK44" i="15"/>
  <c r="K45" i="15"/>
  <c r="J46" i="15"/>
  <c r="K46" i="15" l="1"/>
  <c r="J47" i="15"/>
  <c r="AK45" i="15"/>
  <c r="BK45" i="15"/>
  <c r="J48" i="15" l="1"/>
  <c r="K47" i="15"/>
  <c r="AK46" i="15"/>
  <c r="BK46" i="15"/>
  <c r="BK47" i="15" l="1"/>
  <c r="AK47" i="15"/>
  <c r="K48" i="15"/>
  <c r="J49" i="15"/>
  <c r="K49" i="15" l="1"/>
  <c r="J50" i="15"/>
  <c r="AK48" i="15"/>
  <c r="BK48" i="15"/>
  <c r="K50" i="15" l="1"/>
  <c r="J51" i="15"/>
  <c r="AK49" i="15"/>
  <c r="BK49" i="15"/>
  <c r="J52" i="15" l="1"/>
  <c r="K51" i="15"/>
  <c r="BK50" i="15"/>
  <c r="AK50" i="15"/>
  <c r="AK51" i="15" l="1"/>
  <c r="BK51" i="15"/>
  <c r="K52" i="15"/>
  <c r="J53" i="15"/>
  <c r="K53" i="15" l="1"/>
  <c r="J54" i="15"/>
  <c r="BK52" i="15"/>
  <c r="AK52" i="15"/>
  <c r="K54" i="15" l="1"/>
  <c r="J55" i="15"/>
  <c r="BK53" i="15"/>
  <c r="AK53" i="15"/>
  <c r="J56" i="15" l="1"/>
  <c r="K55" i="15"/>
  <c r="BK54" i="15"/>
  <c r="AK54" i="15"/>
  <c r="AK55" i="15" l="1"/>
  <c r="BK55" i="15"/>
  <c r="K56" i="15"/>
  <c r="J57" i="15"/>
  <c r="K57" i="15" l="1"/>
  <c r="J58" i="15"/>
  <c r="BK56" i="15"/>
  <c r="AK56" i="15"/>
  <c r="K58" i="15" l="1"/>
  <c r="J59" i="15"/>
  <c r="AK57" i="15"/>
  <c r="BK57" i="15"/>
  <c r="J60" i="15" l="1"/>
  <c r="K59" i="15"/>
  <c r="AK58" i="15"/>
  <c r="BK58" i="15"/>
  <c r="BK59" i="15" l="1"/>
  <c r="AK59" i="15"/>
  <c r="K60" i="15"/>
  <c r="J61" i="15"/>
  <c r="K61" i="15" l="1"/>
  <c r="J62" i="15"/>
  <c r="BK60" i="15"/>
  <c r="AK60" i="15"/>
  <c r="K62" i="15" l="1"/>
  <c r="J63" i="15"/>
  <c r="AK61" i="15"/>
  <c r="BK61" i="15"/>
  <c r="J64" i="15" l="1"/>
  <c r="K63" i="15"/>
  <c r="AK62" i="15"/>
  <c r="BK62" i="15"/>
  <c r="BK63" i="15" l="1"/>
  <c r="AK63" i="15"/>
  <c r="K64" i="15"/>
  <c r="J65" i="15"/>
  <c r="K65" i="15" l="1"/>
  <c r="J66" i="15"/>
  <c r="AK64" i="15"/>
  <c r="BK64" i="15"/>
  <c r="K66" i="15" l="1"/>
  <c r="J67" i="15"/>
  <c r="AK65" i="15"/>
  <c r="BK65" i="15"/>
  <c r="J68" i="15" l="1"/>
  <c r="K67" i="15"/>
  <c r="AK66" i="15"/>
  <c r="BK66" i="15"/>
  <c r="BK67" i="15" l="1"/>
  <c r="AK67" i="15"/>
  <c r="K68" i="15"/>
  <c r="J69" i="15"/>
  <c r="K69" i="15" l="1"/>
  <c r="J70" i="15"/>
  <c r="BK68" i="15"/>
  <c r="AK68" i="15"/>
  <c r="K70" i="15" l="1"/>
  <c r="J71" i="15"/>
  <c r="BK69" i="15"/>
  <c r="AK69" i="15"/>
  <c r="J72" i="15" l="1"/>
  <c r="K71" i="15"/>
  <c r="AK70" i="15"/>
  <c r="BK70" i="15"/>
  <c r="BK71" i="15" l="1"/>
  <c r="AK71" i="15"/>
  <c r="K72" i="15"/>
  <c r="J73" i="15"/>
  <c r="AK72" i="15" l="1"/>
  <c r="BK72" i="15"/>
  <c r="K73" i="15"/>
  <c r="J74" i="15"/>
  <c r="K74" i="15" l="1"/>
  <c r="J75" i="15"/>
  <c r="BK73" i="15"/>
  <c r="AK73" i="15"/>
  <c r="J76" i="15" l="1"/>
  <c r="K75" i="15"/>
  <c r="BK74" i="15"/>
  <c r="AK74" i="15"/>
  <c r="AK75" i="15" l="1"/>
  <c r="BK75" i="15"/>
  <c r="K76" i="15"/>
  <c r="J77" i="15"/>
  <c r="K77" i="15" l="1"/>
  <c r="J78" i="15"/>
  <c r="BK76" i="15"/>
  <c r="AK76" i="15"/>
  <c r="K78" i="15" l="1"/>
  <c r="J79" i="15"/>
  <c r="BK77" i="15"/>
  <c r="AK77" i="15"/>
  <c r="J80" i="15" l="1"/>
  <c r="K79" i="15"/>
  <c r="AK78" i="15"/>
  <c r="BK78" i="15"/>
  <c r="BK79" i="15" l="1"/>
  <c r="AK79" i="15"/>
  <c r="K80" i="15"/>
  <c r="J81" i="15"/>
  <c r="K81" i="15" l="1"/>
  <c r="J82" i="15"/>
  <c r="BK80" i="15"/>
  <c r="AK80" i="15"/>
  <c r="K82" i="15" l="1"/>
  <c r="J83" i="15"/>
  <c r="AK81" i="15"/>
  <c r="BK81" i="15"/>
  <c r="J84" i="15" l="1"/>
  <c r="K83" i="15"/>
  <c r="BK82" i="15"/>
  <c r="AK82" i="15"/>
  <c r="BK83" i="15" l="1"/>
  <c r="AK83" i="15"/>
  <c r="K84" i="15"/>
  <c r="J85" i="15"/>
  <c r="K85" i="15" s="1"/>
  <c r="AK84" i="15" l="1"/>
  <c r="BK84" i="15"/>
  <c r="X250" i="8"/>
  <c r="Z250" i="8" s="1"/>
  <c r="Y256" i="8"/>
  <c r="AA250" i="8" l="1"/>
  <c r="AB250" i="8" l="1"/>
  <c r="AC250" i="8" l="1"/>
  <c r="AE250" i="8" l="1"/>
  <c r="AF250" i="8" l="1"/>
  <c r="AG250" i="8" l="1"/>
  <c r="Q91" i="16"/>
  <c r="Q92" i="16" s="1"/>
  <c r="X53" i="7"/>
  <c r="Y53" i="7" s="1"/>
  <c r="X59" i="7"/>
  <c r="Y59" i="7" s="1"/>
  <c r="X65" i="7"/>
  <c r="X38" i="7" s="1"/>
  <c r="Y38" i="7" s="1"/>
  <c r="Y39" i="7" s="1"/>
  <c r="X71" i="7"/>
  <c r="Y71" i="7" s="1"/>
  <c r="X77" i="7"/>
  <c r="X44" i="7" s="1"/>
  <c r="X45" i="7" s="1"/>
  <c r="X83" i="7"/>
  <c r="X47" i="7" s="1"/>
  <c r="X13" i="9" s="1"/>
  <c r="X97" i="7"/>
  <c r="X91" i="7" s="1"/>
  <c r="Y91" i="7" s="1"/>
  <c r="Y97" i="7" s="1"/>
  <c r="X109" i="7"/>
  <c r="X103" i="7" s="1"/>
  <c r="Y103" i="7" s="1"/>
  <c r="Y109" i="7" s="1"/>
  <c r="X121" i="7"/>
  <c r="X115" i="7" s="1"/>
  <c r="Y115" i="7" s="1"/>
  <c r="Y121" i="7" s="1"/>
  <c r="X133" i="7"/>
  <c r="X127" i="7" s="1"/>
  <c r="Y127" i="7" s="1"/>
  <c r="Y133" i="7" s="1"/>
  <c r="X145" i="7"/>
  <c r="X139" i="7" s="1"/>
  <c r="Y139" i="7" s="1"/>
  <c r="Y145" i="7" s="1"/>
  <c r="Y151" i="7"/>
  <c r="X167" i="7"/>
  <c r="X165" i="7" s="1"/>
  <c r="Y172" i="7"/>
  <c r="X179" i="7"/>
  <c r="Y179" i="7" s="1"/>
  <c r="Y184" i="7"/>
  <c r="X215" i="7"/>
  <c r="X227" i="7"/>
  <c r="V8" i="9"/>
  <c r="V163" i="9" s="1"/>
  <c r="W8" i="9"/>
  <c r="W163" i="9" s="1"/>
  <c r="V9" i="9"/>
  <c r="V164" i="9" s="1"/>
  <c r="W9" i="9"/>
  <c r="W164" i="9" s="1"/>
  <c r="V10" i="9"/>
  <c r="V185" i="9" s="1"/>
  <c r="W10" i="9"/>
  <c r="W165" i="9" s="1"/>
  <c r="V11" i="9"/>
  <c r="V166" i="9" s="1"/>
  <c r="W11" i="9"/>
  <c r="W166" i="9" s="1"/>
  <c r="V12" i="9"/>
  <c r="V187" i="9" s="1"/>
  <c r="W12" i="9"/>
  <c r="W167" i="9" s="1"/>
  <c r="V13" i="9"/>
  <c r="W13" i="9"/>
  <c r="W168" i="9" s="1"/>
  <c r="Z133" i="7" l="1"/>
  <c r="AA133" i="7" s="1"/>
  <c r="AB133" i="7" s="1"/>
  <c r="Y167" i="7"/>
  <c r="Y83" i="7"/>
  <c r="V183" i="9"/>
  <c r="Y65" i="7"/>
  <c r="V165" i="9"/>
  <c r="W185" i="9"/>
  <c r="X10" i="9"/>
  <c r="X165" i="9" s="1"/>
  <c r="X188" i="9"/>
  <c r="X168" i="9"/>
  <c r="X29" i="9"/>
  <c r="X150" i="9" s="1"/>
  <c r="Y13" i="9"/>
  <c r="Y168" i="9" s="1"/>
  <c r="X12" i="9"/>
  <c r="Y12" i="9" s="1"/>
  <c r="Y167" i="9" s="1"/>
  <c r="W187" i="9"/>
  <c r="V167" i="9"/>
  <c r="Z59" i="7"/>
  <c r="AA59" i="7" s="1"/>
  <c r="AA35" i="7" s="1"/>
  <c r="AA9" i="9" s="1"/>
  <c r="AA25" i="9" s="1"/>
  <c r="AA146" i="9" s="1"/>
  <c r="W184" i="9"/>
  <c r="W183" i="9"/>
  <c r="W188" i="9"/>
  <c r="W186" i="9"/>
  <c r="V188" i="9"/>
  <c r="V186" i="9"/>
  <c r="W7" i="9"/>
  <c r="Z77" i="7"/>
  <c r="X32" i="7"/>
  <c r="X8" i="9" s="1"/>
  <c r="Y8" i="9" s="1"/>
  <c r="V184" i="9"/>
  <c r="V168" i="9"/>
  <c r="V7" i="9"/>
  <c r="X177" i="7"/>
  <c r="Y177" i="7" s="1"/>
  <c r="Y178" i="7" s="1"/>
  <c r="Z97" i="7"/>
  <c r="AA97" i="7" s="1"/>
  <c r="AB97" i="7" s="1"/>
  <c r="Y77" i="7"/>
  <c r="Z167" i="7"/>
  <c r="Z165" i="7" s="1"/>
  <c r="Y165" i="7"/>
  <c r="X166" i="7"/>
  <c r="Y227" i="7"/>
  <c r="Y215" i="7"/>
  <c r="Z179" i="7"/>
  <c r="Z121" i="7"/>
  <c r="Z83" i="7"/>
  <c r="Y44" i="7"/>
  <c r="Z65" i="7"/>
  <c r="X41" i="7"/>
  <c r="Z145" i="7"/>
  <c r="Z109" i="7"/>
  <c r="X48" i="7"/>
  <c r="Z71" i="7"/>
  <c r="X39" i="7"/>
  <c r="X225" i="7"/>
  <c r="Y225" i="7" s="1"/>
  <c r="X213" i="7"/>
  <c r="Y213" i="7" s="1"/>
  <c r="Z53" i="7"/>
  <c r="Y47" i="7"/>
  <c r="Z227" i="7"/>
  <c r="Z215" i="7"/>
  <c r="X35" i="7"/>
  <c r="Z127" i="7" l="1"/>
  <c r="AA127" i="7"/>
  <c r="Y166" i="7"/>
  <c r="Y10" i="9"/>
  <c r="Y165" i="9" s="1"/>
  <c r="Z91" i="7"/>
  <c r="AA91" i="7"/>
  <c r="X26" i="9"/>
  <c r="X147" i="9" s="1"/>
  <c r="X185" i="9"/>
  <c r="Z166" i="7"/>
  <c r="V28" i="8"/>
  <c r="V141" i="10" s="1"/>
  <c r="W18" i="9"/>
  <c r="X187" i="9"/>
  <c r="X167" i="9"/>
  <c r="X28" i="9"/>
  <c r="X149" i="9" s="1"/>
  <c r="X178" i="7"/>
  <c r="AA167" i="7"/>
  <c r="AB167" i="7" s="1"/>
  <c r="V19" i="9"/>
  <c r="V18" i="9"/>
  <c r="V17" i="9"/>
  <c r="Z35" i="7"/>
  <c r="AA36" i="7" s="1"/>
  <c r="AB59" i="7"/>
  <c r="AB35" i="7" s="1"/>
  <c r="AA164" i="9"/>
  <c r="V20" i="9"/>
  <c r="W182" i="9"/>
  <c r="W20" i="9"/>
  <c r="W17" i="9"/>
  <c r="W162" i="9"/>
  <c r="W21" i="9"/>
  <c r="X30" i="7"/>
  <c r="X40" i="7" s="1"/>
  <c r="W19" i="9"/>
  <c r="Y32" i="7"/>
  <c r="Y33" i="7" s="1"/>
  <c r="Y54" i="7" s="1"/>
  <c r="X33" i="7"/>
  <c r="V16" i="9"/>
  <c r="W16" i="9"/>
  <c r="V21" i="9"/>
  <c r="W28" i="8"/>
  <c r="X24" i="9"/>
  <c r="X145" i="9" s="1"/>
  <c r="X163" i="9"/>
  <c r="X183" i="9"/>
  <c r="V182" i="9"/>
  <c r="V162" i="9"/>
  <c r="AA77" i="7"/>
  <c r="Z44" i="7"/>
  <c r="AA109" i="7"/>
  <c r="Z103" i="7"/>
  <c r="Y226" i="7"/>
  <c r="AC97" i="7"/>
  <c r="AC91" i="7" s="1"/>
  <c r="AB91" i="7"/>
  <c r="X42" i="7"/>
  <c r="Y41" i="7"/>
  <c r="X11" i="9"/>
  <c r="Z47" i="7"/>
  <c r="AA83" i="7"/>
  <c r="Y163" i="9"/>
  <c r="AA227" i="7"/>
  <c r="Z225" i="7"/>
  <c r="Z41" i="7"/>
  <c r="AA71" i="7"/>
  <c r="AA145" i="7"/>
  <c r="Z139" i="7"/>
  <c r="AA121" i="7"/>
  <c r="Z115" i="7"/>
  <c r="AC133" i="7"/>
  <c r="AC127" i="7" s="1"/>
  <c r="AB127" i="7"/>
  <c r="Z38" i="7"/>
  <c r="AA65" i="7"/>
  <c r="X214" i="7"/>
  <c r="X226" i="7"/>
  <c r="Y35" i="7"/>
  <c r="X36" i="7"/>
  <c r="X9" i="9"/>
  <c r="Z32" i="7"/>
  <c r="AA53" i="7"/>
  <c r="AA179" i="7"/>
  <c r="Z177" i="7"/>
  <c r="Y48" i="7"/>
  <c r="AA215" i="7"/>
  <c r="Z213" i="7"/>
  <c r="O51" i="16" a="1"/>
  <c r="O51" i="16" s="1"/>
  <c r="O52" i="16" s="1"/>
  <c r="Y45" i="7"/>
  <c r="Y214" i="7"/>
  <c r="Z226" i="7" l="1"/>
  <c r="L8" i="3"/>
  <c r="L9" i="3" s="1"/>
  <c r="V247" i="8"/>
  <c r="V248" i="8" s="1"/>
  <c r="K31" i="14"/>
  <c r="V223" i="8"/>
  <c r="V154" i="8"/>
  <c r="V50" i="8" s="1"/>
  <c r="V219" i="8"/>
  <c r="L31" i="14"/>
  <c r="W154" i="8"/>
  <c r="W50" i="8" s="1"/>
  <c r="Y78" i="8" s="1"/>
  <c r="W223" i="8"/>
  <c r="W219" i="8"/>
  <c r="AD127" i="7"/>
  <c r="AD133" i="7" s="1"/>
  <c r="AE133" i="7" s="1"/>
  <c r="AE127" i="7" s="1"/>
  <c r="AD91" i="7"/>
  <c r="AD97" i="7" s="1"/>
  <c r="AE97" i="7" s="1"/>
  <c r="AF97" i="7" s="1"/>
  <c r="AA165" i="7"/>
  <c r="AA166" i="7" s="1"/>
  <c r="G31" i="16" a="1"/>
  <c r="G31" i="16" s="1"/>
  <c r="G32" i="16" s="1"/>
  <c r="Z36" i="7"/>
  <c r="AC59" i="7"/>
  <c r="AC35" i="7" s="1"/>
  <c r="AC9" i="9" s="1"/>
  <c r="Z9" i="9"/>
  <c r="Z184" i="9" s="1"/>
  <c r="Y30" i="7"/>
  <c r="Y49" i="7" s="1"/>
  <c r="X31" i="7"/>
  <c r="M8" i="3"/>
  <c r="M9" i="3" s="1"/>
  <c r="X46" i="7"/>
  <c r="X34" i="7"/>
  <c r="X49" i="7"/>
  <c r="X43" i="7"/>
  <c r="W247" i="8"/>
  <c r="W79" i="8" s="1"/>
  <c r="X37" i="7"/>
  <c r="AA44" i="7"/>
  <c r="AB77" i="7"/>
  <c r="Z12" i="9"/>
  <c r="Z45" i="7"/>
  <c r="AA139" i="7"/>
  <c r="AB145" i="7"/>
  <c r="AB227" i="7"/>
  <c r="AA225" i="7"/>
  <c r="AB53" i="7"/>
  <c r="AA32" i="7"/>
  <c r="Z30" i="7"/>
  <c r="Z34" i="7" s="1"/>
  <c r="Z33" i="7"/>
  <c r="Z8" i="9"/>
  <c r="AA38" i="7"/>
  <c r="AB65" i="7"/>
  <c r="Z48" i="7"/>
  <c r="Z13" i="9"/>
  <c r="AC167" i="7"/>
  <c r="AC165" i="7" s="1"/>
  <c r="AB165" i="7"/>
  <c r="AA41" i="7"/>
  <c r="AB71" i="7"/>
  <c r="AB36" i="7"/>
  <c r="AB9" i="9"/>
  <c r="X25" i="9"/>
  <c r="X164" i="9"/>
  <c r="X184" i="9"/>
  <c r="Y9" i="9"/>
  <c r="X7" i="9"/>
  <c r="Z10" i="9"/>
  <c r="Z39" i="7"/>
  <c r="Z42" i="7"/>
  <c r="Z11" i="9"/>
  <c r="X27" i="9"/>
  <c r="X166" i="9"/>
  <c r="X186" i="9"/>
  <c r="Y11" i="9"/>
  <c r="AA103" i="7"/>
  <c r="AB109" i="7"/>
  <c r="G51" i="16" a="1"/>
  <c r="G51" i="16" s="1"/>
  <c r="G52" i="16" s="1"/>
  <c r="Y36" i="7"/>
  <c r="AA47" i="7"/>
  <c r="AB83" i="7"/>
  <c r="Z214" i="7"/>
  <c r="AB121" i="7"/>
  <c r="AA115" i="7"/>
  <c r="AB215" i="7"/>
  <c r="AA213" i="7"/>
  <c r="AB179" i="7"/>
  <c r="AA177" i="7"/>
  <c r="Y42" i="7"/>
  <c r="Z178" i="7"/>
  <c r="AA226" i="7" l="1"/>
  <c r="K39" i="14"/>
  <c r="V97" i="8"/>
  <c r="AE91" i="7"/>
  <c r="AF133" i="7"/>
  <c r="AG133" i="7" s="1"/>
  <c r="AG127" i="7" s="1"/>
  <c r="AD165" i="7"/>
  <c r="V79" i="8"/>
  <c r="AD167" i="7"/>
  <c r="W97" i="8"/>
  <c r="W143" i="8"/>
  <c r="M56" i="3" s="1"/>
  <c r="W224" i="8"/>
  <c r="V143" i="8"/>
  <c r="V224" i="8"/>
  <c r="V225" i="8" s="1"/>
  <c r="Y43" i="7"/>
  <c r="K91" i="16" a="1"/>
  <c r="K91" i="16" s="1"/>
  <c r="K92" i="16" s="1"/>
  <c r="X17" i="9"/>
  <c r="AB166" i="7"/>
  <c r="AC166" i="7" s="1"/>
  <c r="AA178" i="7"/>
  <c r="AA184" i="9"/>
  <c r="L39" i="14"/>
  <c r="AC36" i="7"/>
  <c r="AD35" i="7"/>
  <c r="H51" i="16" s="1" a="1"/>
  <c r="H51" i="16" s="1"/>
  <c r="H52" i="16" s="1"/>
  <c r="Z164" i="9"/>
  <c r="Z25" i="9"/>
  <c r="Z146" i="9" s="1"/>
  <c r="AD59" i="7"/>
  <c r="AE59" i="7" s="1"/>
  <c r="AE35" i="7" s="1"/>
  <c r="Y46" i="7"/>
  <c r="Y34" i="7"/>
  <c r="O31" i="16" a="1"/>
  <c r="O31" i="16" s="1"/>
  <c r="O32" i="16" s="1"/>
  <c r="Y40" i="7"/>
  <c r="Y31" i="7"/>
  <c r="Y37" i="7"/>
  <c r="Z49" i="7"/>
  <c r="Z43" i="7"/>
  <c r="Z40" i="7"/>
  <c r="X19" i="9"/>
  <c r="Z28" i="9"/>
  <c r="Z149" i="9" s="1"/>
  <c r="Z167" i="9"/>
  <c r="Z187" i="9"/>
  <c r="AB44" i="7"/>
  <c r="AC77" i="7"/>
  <c r="AA214" i="7"/>
  <c r="AA45" i="7"/>
  <c r="AA12" i="9"/>
  <c r="V148" i="8"/>
  <c r="W245" i="8"/>
  <c r="W248" i="8" s="1"/>
  <c r="X146" i="9"/>
  <c r="X23" i="9"/>
  <c r="X37" i="9" s="1"/>
  <c r="AB41" i="7"/>
  <c r="AC71" i="7"/>
  <c r="Z29" i="9"/>
  <c r="Z188" i="9"/>
  <c r="Z168" i="9"/>
  <c r="AA39" i="7"/>
  <c r="AA10" i="9"/>
  <c r="AA33" i="7"/>
  <c r="AA8" i="9"/>
  <c r="AA30" i="7"/>
  <c r="AA49" i="7" s="1"/>
  <c r="AC145" i="7"/>
  <c r="AC139" i="7" s="1"/>
  <c r="AB139" i="7"/>
  <c r="AB213" i="7"/>
  <c r="AC215" i="7"/>
  <c r="AC213" i="7" s="1"/>
  <c r="AC83" i="7"/>
  <c r="AC47" i="7" s="1"/>
  <c r="AB47" i="7"/>
  <c r="Y166" i="9"/>
  <c r="Z27" i="9"/>
  <c r="Z186" i="9"/>
  <c r="Z166" i="9"/>
  <c r="AA42" i="7"/>
  <c r="AA11" i="9"/>
  <c r="Z7" i="9"/>
  <c r="Z24" i="9"/>
  <c r="Z183" i="9"/>
  <c r="Z163" i="9"/>
  <c r="AB32" i="7"/>
  <c r="AC53" i="7"/>
  <c r="AC32" i="7" s="1"/>
  <c r="AC179" i="7"/>
  <c r="AC177" i="7" s="1"/>
  <c r="AB177" i="7"/>
  <c r="AA48" i="7"/>
  <c r="AA13" i="9"/>
  <c r="AC25" i="9"/>
  <c r="AC164" i="9"/>
  <c r="AC184" i="9"/>
  <c r="AG97" i="7"/>
  <c r="AG91" i="7" s="1"/>
  <c r="AF91" i="7"/>
  <c r="X28" i="8"/>
  <c r="X16" i="9"/>
  <c r="X18" i="9"/>
  <c r="X20" i="9"/>
  <c r="X21" i="9"/>
  <c r="X162" i="9"/>
  <c r="X182" i="9"/>
  <c r="Y7" i="9"/>
  <c r="AB25" i="9"/>
  <c r="AB184" i="9"/>
  <c r="AB164" i="9"/>
  <c r="Y164" i="9"/>
  <c r="AC109" i="7"/>
  <c r="AC103" i="7" s="1"/>
  <c r="AB103" i="7"/>
  <c r="X148" i="9"/>
  <c r="Z26" i="9"/>
  <c r="Z185" i="9"/>
  <c r="Z165" i="9"/>
  <c r="AC121" i="7"/>
  <c r="AC115" i="7" s="1"/>
  <c r="AB115" i="7"/>
  <c r="AD9" i="9"/>
  <c r="AB38" i="7"/>
  <c r="AC65" i="7"/>
  <c r="AC38" i="7" s="1"/>
  <c r="Z31" i="7"/>
  <c r="Z46" i="7"/>
  <c r="Z37" i="7"/>
  <c r="AB225" i="7"/>
  <c r="AC227" i="7"/>
  <c r="AD166" i="7" l="1"/>
  <c r="AD177" i="7"/>
  <c r="L56" i="3"/>
  <c r="AD47" i="7"/>
  <c r="AD48" i="7" s="1"/>
  <c r="AE167" i="7"/>
  <c r="AE165" i="7" s="1"/>
  <c r="AB226" i="7"/>
  <c r="AF127" i="7"/>
  <c r="AD83" i="7"/>
  <c r="AE83" i="7" s="1"/>
  <c r="AE47" i="7" s="1"/>
  <c r="X194" i="8"/>
  <c r="X154" i="8"/>
  <c r="X50" i="8" s="1"/>
  <c r="Y50" i="8" s="1"/>
  <c r="X223" i="8"/>
  <c r="X219" i="8"/>
  <c r="Y219" i="8" s="1"/>
  <c r="W225" i="8"/>
  <c r="AB178" i="7"/>
  <c r="AC178" i="7" s="1"/>
  <c r="AB214" i="7"/>
  <c r="AC214" i="7" s="1"/>
  <c r="AD179" i="7"/>
  <c r="Z21" i="9"/>
  <c r="AD36" i="7"/>
  <c r="AF59" i="7"/>
  <c r="AF35" i="7" s="1"/>
  <c r="AA34" i="7"/>
  <c r="AD32" i="7"/>
  <c r="H31" i="16" s="1" a="1"/>
  <c r="H31" i="16" s="1"/>
  <c r="H32" i="16" s="1"/>
  <c r="AA43" i="7"/>
  <c r="Z18" i="9"/>
  <c r="AB45" i="7"/>
  <c r="AB12" i="9"/>
  <c r="AC44" i="7"/>
  <c r="AD77" i="7"/>
  <c r="AE77" i="7" s="1"/>
  <c r="AD65" i="7"/>
  <c r="AE65" i="7" s="1"/>
  <c r="AE38" i="7" s="1"/>
  <c r="AD115" i="7"/>
  <c r="AD121" i="7" s="1"/>
  <c r="AE121" i="7" s="1"/>
  <c r="AF121" i="7" s="1"/>
  <c r="Z16" i="9"/>
  <c r="AA187" i="9"/>
  <c r="AA28" i="9"/>
  <c r="AA149" i="9" s="1"/>
  <c r="AA167" i="9"/>
  <c r="AD103" i="7"/>
  <c r="AD109" i="7" s="1"/>
  <c r="AE109" i="7" s="1"/>
  <c r="AF109" i="7" s="1"/>
  <c r="I51" i="16" a="1"/>
  <c r="I51" i="16" s="1"/>
  <c r="I52" i="16" s="1"/>
  <c r="AE36" i="7"/>
  <c r="AE9" i="9"/>
  <c r="AB146" i="9"/>
  <c r="AC33" i="7"/>
  <c r="AC8" i="9"/>
  <c r="Z148" i="9"/>
  <c r="X31" i="9"/>
  <c r="X38" i="9"/>
  <c r="X36" i="9"/>
  <c r="X34" i="9"/>
  <c r="X39" i="9"/>
  <c r="Y162" i="9"/>
  <c r="Y21" i="9"/>
  <c r="Y20" i="9"/>
  <c r="Y18" i="9"/>
  <c r="Y16" i="9"/>
  <c r="AB39" i="7"/>
  <c r="AB10" i="9"/>
  <c r="AD38" i="7"/>
  <c r="AD164" i="9"/>
  <c r="Z147" i="9"/>
  <c r="AB30" i="7"/>
  <c r="AB34" i="7" s="1"/>
  <c r="AB8" i="9"/>
  <c r="AB33" i="7"/>
  <c r="Z28" i="8"/>
  <c r="Z20" i="9"/>
  <c r="Z182" i="9"/>
  <c r="Z162" i="9"/>
  <c r="Z17" i="9"/>
  <c r="Z19" i="9"/>
  <c r="AA31" i="7"/>
  <c r="AA37" i="7"/>
  <c r="AA46" i="7"/>
  <c r="AA40" i="7"/>
  <c r="AC41" i="7"/>
  <c r="AD41" i="7" s="1"/>
  <c r="AD71" i="7"/>
  <c r="AE71" i="7" s="1"/>
  <c r="X35" i="9"/>
  <c r="AD215" i="7"/>
  <c r="AA7" i="9"/>
  <c r="AA24" i="9"/>
  <c r="AA183" i="9"/>
  <c r="AA163" i="9"/>
  <c r="AB11" i="9"/>
  <c r="AB42" i="7"/>
  <c r="W148" i="8"/>
  <c r="X245" i="8"/>
  <c r="X41" i="8"/>
  <c r="X29" i="8"/>
  <c r="X30" i="8" s="1"/>
  <c r="X32" i="8"/>
  <c r="X33" i="8"/>
  <c r="X35" i="8"/>
  <c r="X163" i="8"/>
  <c r="X165" i="8"/>
  <c r="H12" i="18" a="1"/>
  <c r="H12" i="18" s="1"/>
  <c r="X247" i="8"/>
  <c r="H12" i="19" a="1"/>
  <c r="H12" i="19" s="1"/>
  <c r="I12" i="19" a="1"/>
  <c r="I12" i="19" s="1"/>
  <c r="N8" i="3"/>
  <c r="M31" i="14"/>
  <c r="Y28" i="8"/>
  <c r="AC146" i="9"/>
  <c r="Y19" i="9"/>
  <c r="Y17" i="9"/>
  <c r="AB48" i="7"/>
  <c r="AB13" i="9"/>
  <c r="AD213" i="7"/>
  <c r="AD25" i="9"/>
  <c r="L61" i="3"/>
  <c r="AC225" i="7"/>
  <c r="AD225" i="7" s="1"/>
  <c r="AD227" i="7"/>
  <c r="AC39" i="7"/>
  <c r="AC10" i="9"/>
  <c r="AA29" i="9"/>
  <c r="AA188" i="9"/>
  <c r="AA168" i="9"/>
  <c r="AD53" i="7"/>
  <c r="AE53" i="7" s="1"/>
  <c r="Z23" i="9"/>
  <c r="Z145" i="9"/>
  <c r="AA27" i="9"/>
  <c r="AA186" i="9"/>
  <c r="AA166" i="9"/>
  <c r="AC48" i="7"/>
  <c r="AC13" i="9"/>
  <c r="AD139" i="7"/>
  <c r="AD145" i="7" s="1"/>
  <c r="AE145" i="7" s="1"/>
  <c r="AA26" i="9"/>
  <c r="AA185" i="9"/>
  <c r="AA165" i="9"/>
  <c r="Z150" i="9"/>
  <c r="AD178" i="7" l="1"/>
  <c r="AE166" i="7"/>
  <c r="AF83" i="7"/>
  <c r="AF47" i="7" s="1"/>
  <c r="AF167" i="7"/>
  <c r="AF165" i="7" s="1"/>
  <c r="AC226" i="7"/>
  <c r="X97" i="8"/>
  <c r="AE179" i="7"/>
  <c r="AE177" i="7" s="1"/>
  <c r="Z154" i="8"/>
  <c r="Z50" i="8" s="1"/>
  <c r="Z223" i="8"/>
  <c r="Z219" i="8"/>
  <c r="Y231" i="8"/>
  <c r="Y223" i="8"/>
  <c r="Y224" i="8" s="1"/>
  <c r="Y225" i="8" s="1"/>
  <c r="X143" i="8"/>
  <c r="X224" i="8"/>
  <c r="X225" i="8" s="1"/>
  <c r="Y233" i="8"/>
  <c r="Z29" i="8"/>
  <c r="Z194" i="8"/>
  <c r="X168" i="8"/>
  <c r="Y168" i="8" s="1"/>
  <c r="X169" i="8"/>
  <c r="Y169" i="8" s="1"/>
  <c r="AA16" i="9"/>
  <c r="AE115" i="7"/>
  <c r="AG59" i="7"/>
  <c r="AG35" i="7" s="1"/>
  <c r="AG36" i="7" s="1"/>
  <c r="AA19" i="9"/>
  <c r="AA18" i="9"/>
  <c r="AD33" i="7"/>
  <c r="AD54" i="7" s="1"/>
  <c r="AA21" i="9"/>
  <c r="AE44" i="7"/>
  <c r="AF77" i="7"/>
  <c r="AF65" i="7"/>
  <c r="AG65" i="7" s="1"/>
  <c r="AG38" i="7" s="1"/>
  <c r="AE103" i="7"/>
  <c r="AC12" i="9"/>
  <c r="AD12" i="9" s="1"/>
  <c r="AD167" i="9" s="1"/>
  <c r="AC45" i="7"/>
  <c r="AD44" i="7"/>
  <c r="AB28" i="9"/>
  <c r="AB149" i="9" s="1"/>
  <c r="AB187" i="9"/>
  <c r="AB167" i="9"/>
  <c r="AF145" i="7"/>
  <c r="AE139" i="7"/>
  <c r="Z31" i="9"/>
  <c r="Z38" i="9"/>
  <c r="Z35" i="9"/>
  <c r="AC29" i="9"/>
  <c r="AC168" i="9"/>
  <c r="AC188" i="9"/>
  <c r="AE32" i="7"/>
  <c r="AF53" i="7"/>
  <c r="AD146" i="9"/>
  <c r="AD12" i="10" s="1"/>
  <c r="X125" i="8"/>
  <c r="Y165" i="8"/>
  <c r="Y187" i="8" s="1"/>
  <c r="Y134" i="10" s="1"/>
  <c r="Z37" i="9"/>
  <c r="AE39" i="7"/>
  <c r="AE10" i="9"/>
  <c r="AB31" i="7"/>
  <c r="AB37" i="7"/>
  <c r="AB46" i="7"/>
  <c r="AB49" i="7"/>
  <c r="O12" i="19"/>
  <c r="P12" i="19"/>
  <c r="X84" i="8"/>
  <c r="X113" i="8"/>
  <c r="M40" i="14"/>
  <c r="N86" i="3"/>
  <c r="AB26" i="9"/>
  <c r="AB185" i="9"/>
  <c r="AB165" i="9"/>
  <c r="AD10" i="9"/>
  <c r="AD39" i="7"/>
  <c r="AF36" i="7"/>
  <c r="AF9" i="9"/>
  <c r="N9" i="3"/>
  <c r="X123" i="8"/>
  <c r="Y163" i="8"/>
  <c r="AA23" i="9"/>
  <c r="AA36" i="9" s="1"/>
  <c r="AA145" i="9"/>
  <c r="AE25" i="9"/>
  <c r="AE164" i="9"/>
  <c r="AE184" i="9"/>
  <c r="AA147" i="9"/>
  <c r="AA150" i="9"/>
  <c r="AC26" i="9"/>
  <c r="AC165" i="9"/>
  <c r="AC185" i="9"/>
  <c r="AB29" i="9"/>
  <c r="AB188" i="9"/>
  <c r="AB168" i="9"/>
  <c r="M12" i="19"/>
  <c r="K18" i="19"/>
  <c r="L18" i="19"/>
  <c r="L16" i="19"/>
  <c r="N12" i="19"/>
  <c r="K16" i="19"/>
  <c r="X248" i="8"/>
  <c r="AB27" i="9"/>
  <c r="AB186" i="9"/>
  <c r="AB166" i="9"/>
  <c r="AA28" i="8"/>
  <c r="AA17" i="9"/>
  <c r="AA182" i="9"/>
  <c r="AA162" i="9"/>
  <c r="AA20" i="9"/>
  <c r="AE41" i="7"/>
  <c r="AF71" i="7"/>
  <c r="Z32" i="8"/>
  <c r="Z33" i="8"/>
  <c r="Z35" i="8"/>
  <c r="Z41" i="8"/>
  <c r="Z163" i="8"/>
  <c r="Z165" i="8"/>
  <c r="Z125" i="8" s="1"/>
  <c r="O37" i="3" s="1"/>
  <c r="Z247" i="8"/>
  <c r="O8" i="3"/>
  <c r="AG109" i="7"/>
  <c r="AG103" i="7" s="1"/>
  <c r="AF103" i="7"/>
  <c r="Z39" i="9"/>
  <c r="AA148" i="9"/>
  <c r="AE48" i="7"/>
  <c r="AE13" i="9"/>
  <c r="N11" i="3"/>
  <c r="Z36" i="9"/>
  <c r="AE227" i="7"/>
  <c r="AD226" i="7"/>
  <c r="X164" i="8"/>
  <c r="X166" i="8" s="1"/>
  <c r="X170" i="8"/>
  <c r="AD42" i="7"/>
  <c r="AB40" i="7"/>
  <c r="AC24" i="9"/>
  <c r="AC163" i="9"/>
  <c r="AC183" i="9"/>
  <c r="AD13" i="9"/>
  <c r="Z34" i="9"/>
  <c r="X79" i="8"/>
  <c r="Y79" i="8" s="1"/>
  <c r="M39" i="14"/>
  <c r="Y247" i="8"/>
  <c r="M61" i="3"/>
  <c r="AB43" i="7"/>
  <c r="AE215" i="7"/>
  <c r="AD214" i="7"/>
  <c r="AC42" i="7"/>
  <c r="AC11" i="9"/>
  <c r="AC30" i="7"/>
  <c r="AG121" i="7"/>
  <c r="AG115" i="7" s="1"/>
  <c r="AF115" i="7"/>
  <c r="W8" i="3"/>
  <c r="N31" i="14"/>
  <c r="L12" i="18"/>
  <c r="M12" i="18"/>
  <c r="J18" i="18"/>
  <c r="K16" i="18"/>
  <c r="J16" i="18"/>
  <c r="N12" i="18"/>
  <c r="K18" i="18"/>
  <c r="AB7" i="9"/>
  <c r="AB24" i="9"/>
  <c r="AB183" i="9"/>
  <c r="AB163" i="9"/>
  <c r="AD8" i="9"/>
  <c r="AG83" i="7" l="1"/>
  <c r="AG47" i="7" s="1"/>
  <c r="AG48" i="7" s="1"/>
  <c r="AE178" i="7"/>
  <c r="AF179" i="7"/>
  <c r="AF177" i="7" s="1"/>
  <c r="AF166" i="7"/>
  <c r="AG167" i="7"/>
  <c r="AG165" i="7" s="1"/>
  <c r="AF38" i="7"/>
  <c r="AF10" i="9" s="1"/>
  <c r="AC7" i="9"/>
  <c r="AC21" i="9" s="1"/>
  <c r="AA194" i="8"/>
  <c r="AA154" i="8"/>
  <c r="AA50" i="8" s="1"/>
  <c r="AA223" i="8"/>
  <c r="AA219" i="8"/>
  <c r="Y143" i="8"/>
  <c r="W56" i="3" s="1"/>
  <c r="N56" i="3"/>
  <c r="Z143" i="8"/>
  <c r="O56" i="3" s="1"/>
  <c r="Z224" i="8"/>
  <c r="Z225" i="8" s="1"/>
  <c r="Z168" i="8"/>
  <c r="Z169" i="8"/>
  <c r="Z136" i="8" s="1"/>
  <c r="O49" i="3" s="1"/>
  <c r="AB18" i="9"/>
  <c r="AJ35" i="7"/>
  <c r="AG9" i="9"/>
  <c r="AG184" i="9" s="1"/>
  <c r="AD24" i="9"/>
  <c r="AD145" i="9" s="1"/>
  <c r="AA39" i="9"/>
  <c r="AA37" i="9"/>
  <c r="AB16" i="9"/>
  <c r="AC28" i="9"/>
  <c r="AC167" i="9"/>
  <c r="AC187" i="9"/>
  <c r="AB21" i="9"/>
  <c r="AF44" i="7"/>
  <c r="AG77" i="7"/>
  <c r="AG44" i="7" s="1"/>
  <c r="P51" i="16" a="1"/>
  <c r="P51" i="16" s="1"/>
  <c r="P52" i="16" s="1"/>
  <c r="AD45" i="7"/>
  <c r="AE45" i="7"/>
  <c r="AE12" i="9"/>
  <c r="Q51" i="16" a="1"/>
  <c r="Q51" i="16" s="1"/>
  <c r="Z164" i="8"/>
  <c r="Z124" i="8" s="1"/>
  <c r="O36" i="3" s="1"/>
  <c r="Z170" i="8"/>
  <c r="Z137" i="8" s="1"/>
  <c r="O50" i="3" s="1"/>
  <c r="X148" i="8"/>
  <c r="Y248" i="8"/>
  <c r="AB147" i="9"/>
  <c r="AF215" i="7"/>
  <c r="AE213" i="7"/>
  <c r="AE214" i="7" s="1"/>
  <c r="X137" i="8"/>
  <c r="Y170" i="8"/>
  <c r="AE26" i="9"/>
  <c r="AE185" i="9"/>
  <c r="AE165" i="9"/>
  <c r="AF32" i="7"/>
  <c r="AG53" i="7"/>
  <c r="AG32" i="7" s="1"/>
  <c r="AF227" i="7"/>
  <c r="AE225" i="7"/>
  <c r="AE226" i="7" s="1"/>
  <c r="AD168" i="9"/>
  <c r="AF41" i="7"/>
  <c r="AG71" i="7"/>
  <c r="AG41" i="7" s="1"/>
  <c r="Y123" i="8"/>
  <c r="W35" i="3" s="1"/>
  <c r="N35" i="3"/>
  <c r="AD26" i="9"/>
  <c r="AB28" i="8"/>
  <c r="AB182" i="9"/>
  <c r="AB162" i="9"/>
  <c r="AB20" i="9"/>
  <c r="AB17" i="9"/>
  <c r="AC31" i="7"/>
  <c r="AC37" i="7"/>
  <c r="AC46" i="7"/>
  <c r="AC49" i="7"/>
  <c r="AC34" i="7"/>
  <c r="AC40" i="7"/>
  <c r="X136" i="8"/>
  <c r="Z113" i="8"/>
  <c r="Z84" i="8"/>
  <c r="O86" i="3"/>
  <c r="AE42" i="7"/>
  <c r="AE11" i="9"/>
  <c r="AA34" i="9"/>
  <c r="I31" i="16" a="1"/>
  <c r="I31" i="16" s="1"/>
  <c r="I32" i="16" s="1"/>
  <c r="AE30" i="7"/>
  <c r="AE43" i="7" s="1"/>
  <c r="AE33" i="7"/>
  <c r="AE8" i="9"/>
  <c r="O9" i="3"/>
  <c r="AA29" i="8"/>
  <c r="AA30" i="8" s="1"/>
  <c r="AA32" i="8"/>
  <c r="AA33" i="8"/>
  <c r="AA35" i="8"/>
  <c r="AA41" i="8"/>
  <c r="AA163" i="8"/>
  <c r="AA165" i="8"/>
  <c r="AA125" i="8" s="1"/>
  <c r="P37" i="3" s="1"/>
  <c r="AA247" i="8"/>
  <c r="AA79" i="8" s="1"/>
  <c r="P8" i="3"/>
  <c r="AD163" i="9"/>
  <c r="AC27" i="9"/>
  <c r="AC166" i="9"/>
  <c r="AC186" i="9"/>
  <c r="AD11" i="9"/>
  <c r="X135" i="8"/>
  <c r="X171" i="8"/>
  <c r="X173" i="8" s="1"/>
  <c r="AG10" i="9"/>
  <c r="AJ38" i="7"/>
  <c r="Z79" i="8"/>
  <c r="AB150" i="9"/>
  <c r="AD29" i="9"/>
  <c r="AA31" i="9"/>
  <c r="AA35" i="9"/>
  <c r="AA38" i="9"/>
  <c r="AD165" i="9"/>
  <c r="AD30" i="7"/>
  <c r="AB23" i="9"/>
  <c r="AB39" i="9" s="1"/>
  <c r="AB145" i="9"/>
  <c r="AC145" i="9"/>
  <c r="X124" i="8"/>
  <c r="Y164" i="8"/>
  <c r="N12" i="3"/>
  <c r="N76" i="3" s="1"/>
  <c r="N13" i="3"/>
  <c r="AB148" i="9"/>
  <c r="AC147" i="9"/>
  <c r="Y183" i="8"/>
  <c r="AF25" i="9"/>
  <c r="AF164" i="9"/>
  <c r="AF184" i="9"/>
  <c r="Y125" i="8"/>
  <c r="W37" i="3" s="1"/>
  <c r="N37" i="3"/>
  <c r="G21" i="4"/>
  <c r="W9" i="3"/>
  <c r="G22" i="4" s="1"/>
  <c r="AC43" i="7"/>
  <c r="Y250" i="8"/>
  <c r="N39" i="14"/>
  <c r="AE29" i="9"/>
  <c r="AE188" i="9"/>
  <c r="AE168" i="9"/>
  <c r="Z123" i="8"/>
  <c r="O35" i="3" s="1"/>
  <c r="Z30" i="8"/>
  <c r="AB19" i="9"/>
  <c r="AE146" i="9"/>
  <c r="X177" i="8"/>
  <c r="AC150" i="9"/>
  <c r="AF13" i="9"/>
  <c r="AF48" i="7"/>
  <c r="AG145" i="7"/>
  <c r="AG139" i="7" s="1"/>
  <c r="AF139" i="7"/>
  <c r="AJ47" i="7" l="1"/>
  <c r="AG13" i="9"/>
  <c r="AG29" i="9" s="1"/>
  <c r="AG179" i="7"/>
  <c r="AG177" i="7" s="1"/>
  <c r="AF178" i="7"/>
  <c r="AG166" i="7"/>
  <c r="AG39" i="7"/>
  <c r="AF39" i="7"/>
  <c r="AC20" i="9"/>
  <c r="AC18" i="9"/>
  <c r="AC17" i="9"/>
  <c r="AC19" i="9"/>
  <c r="AC16" i="9"/>
  <c r="AC182" i="9"/>
  <c r="AC162" i="9"/>
  <c r="AC28" i="8"/>
  <c r="AC41" i="8" s="1"/>
  <c r="AD7" i="9"/>
  <c r="AD21" i="9" s="1"/>
  <c r="AA143" i="8"/>
  <c r="P56" i="3" s="1"/>
  <c r="AA224" i="8"/>
  <c r="AA225" i="8" s="1"/>
  <c r="AB194" i="8"/>
  <c r="AB223" i="8"/>
  <c r="AB154" i="8"/>
  <c r="AB50" i="8" s="1"/>
  <c r="AD78" i="8" s="1"/>
  <c r="AB219" i="8"/>
  <c r="Z171" i="8"/>
  <c r="Y166" i="8"/>
  <c r="AA168" i="8"/>
  <c r="AA169" i="8"/>
  <c r="AA136" i="8" s="1"/>
  <c r="P49" i="3" s="1"/>
  <c r="AC23" i="9"/>
  <c r="AC34" i="9" s="1"/>
  <c r="AG164" i="9"/>
  <c r="AG25" i="9"/>
  <c r="AG146" i="9" s="1"/>
  <c r="Z177" i="8"/>
  <c r="Z166" i="8"/>
  <c r="AB34" i="9"/>
  <c r="AB37" i="9"/>
  <c r="Y177" i="8"/>
  <c r="Y179" i="8" s="1"/>
  <c r="Q52" i="16"/>
  <c r="AE28" i="9"/>
  <c r="AE149" i="9" s="1"/>
  <c r="AE167" i="9"/>
  <c r="AE187" i="9"/>
  <c r="AF45" i="7"/>
  <c r="AF12" i="9"/>
  <c r="AC149" i="9"/>
  <c r="AD28" i="9"/>
  <c r="AD149" i="9" s="1"/>
  <c r="AD27" i="10" s="1"/>
  <c r="AE34" i="7"/>
  <c r="AG12" i="9"/>
  <c r="AG45" i="7"/>
  <c r="AJ44" i="7"/>
  <c r="P11" i="3"/>
  <c r="AG42" i="7"/>
  <c r="AJ41" i="7"/>
  <c r="AG11" i="9"/>
  <c r="Y124" i="10"/>
  <c r="W98" i="3"/>
  <c r="Y124" i="8"/>
  <c r="W36" i="3" s="1"/>
  <c r="N36" i="3"/>
  <c r="AG26" i="9"/>
  <c r="AG185" i="9"/>
  <c r="AG165" i="9"/>
  <c r="AE27" i="9"/>
  <c r="AE166" i="9"/>
  <c r="AE186" i="9"/>
  <c r="Y148" i="8"/>
  <c r="W61" i="3" s="1"/>
  <c r="N61" i="3"/>
  <c r="O11" i="3"/>
  <c r="AF146" i="9"/>
  <c r="AF26" i="9"/>
  <c r="AF185" i="9"/>
  <c r="AF165" i="9"/>
  <c r="AG215" i="7"/>
  <c r="AG213" i="7" s="1"/>
  <c r="AF213" i="7"/>
  <c r="AF214" i="7" s="1"/>
  <c r="AB31" i="9"/>
  <c r="AB38" i="9"/>
  <c r="AB35" i="9"/>
  <c r="AC148" i="9"/>
  <c r="AD27" i="9"/>
  <c r="AA113" i="8"/>
  <c r="AA84" i="8"/>
  <c r="P86" i="3"/>
  <c r="AF42" i="7"/>
  <c r="AF11" i="9"/>
  <c r="AG227" i="7"/>
  <c r="AG225" i="7" s="1"/>
  <c r="AF225" i="7"/>
  <c r="AF226" i="7" s="1"/>
  <c r="P9" i="3"/>
  <c r="AE7" i="9"/>
  <c r="AE24" i="9"/>
  <c r="AE163" i="9"/>
  <c r="AE183" i="9"/>
  <c r="AE150" i="9"/>
  <c r="AE147" i="9"/>
  <c r="AF29" i="9"/>
  <c r="AF188" i="9"/>
  <c r="AF168" i="9"/>
  <c r="Y171" i="8"/>
  <c r="Q31" i="16" a="1"/>
  <c r="Q31" i="16" s="1"/>
  <c r="M91" i="16" a="1"/>
  <c r="M91" i="16" s="1"/>
  <c r="AE31" i="7"/>
  <c r="AE37" i="7"/>
  <c r="AE46" i="7"/>
  <c r="AE49" i="7"/>
  <c r="AE40" i="7"/>
  <c r="Y136" i="8"/>
  <c r="W49" i="3" s="1"/>
  <c r="N49" i="3"/>
  <c r="AB41" i="8"/>
  <c r="AB29" i="8"/>
  <c r="AB30" i="8" s="1"/>
  <c r="AB32" i="8"/>
  <c r="AB33" i="8"/>
  <c r="AB35" i="8"/>
  <c r="AB163" i="8"/>
  <c r="AB165" i="8"/>
  <c r="AB125" i="8" s="1"/>
  <c r="Q37" i="3" s="1"/>
  <c r="AB247" i="8"/>
  <c r="AB79" i="8" s="1"/>
  <c r="Q8" i="3"/>
  <c r="AG33" i="7"/>
  <c r="AJ32" i="7"/>
  <c r="AG30" i="7"/>
  <c r="AG34" i="7" s="1"/>
  <c r="AG8" i="9"/>
  <c r="AB36" i="9"/>
  <c r="Z135" i="8"/>
  <c r="AA123" i="8"/>
  <c r="P35" i="3" s="1"/>
  <c r="AA164" i="8"/>
  <c r="AA124" i="8" s="1"/>
  <c r="P36" i="3" s="1"/>
  <c r="AA170" i="8"/>
  <c r="AA137" i="8" s="1"/>
  <c r="P50" i="3" s="1"/>
  <c r="AD147" i="9"/>
  <c r="AD17" i="10" s="1"/>
  <c r="AF30" i="7"/>
  <c r="AF34" i="7" s="1"/>
  <c r="AF33" i="7"/>
  <c r="AF8" i="9"/>
  <c r="P31" i="16" a="1"/>
  <c r="P31" i="16" s="1"/>
  <c r="P32" i="16" s="1"/>
  <c r="L91" i="16" a="1"/>
  <c r="L91" i="16" s="1"/>
  <c r="L92" i="16" s="1"/>
  <c r="AD31" i="7"/>
  <c r="AD37" i="7"/>
  <c r="AD46" i="7"/>
  <c r="AD34" i="7"/>
  <c r="AD49" i="7"/>
  <c r="AD43" i="7"/>
  <c r="AD40" i="7"/>
  <c r="AD150" i="9"/>
  <c r="AD32" i="10" s="1"/>
  <c r="X138" i="8"/>
  <c r="Y135" i="8"/>
  <c r="W48" i="3" s="1"/>
  <c r="N48" i="3"/>
  <c r="AD166" i="9"/>
  <c r="Y137" i="8"/>
  <c r="W50" i="3" s="1"/>
  <c r="N50" i="3"/>
  <c r="Z245" i="8"/>
  <c r="Z248" i="8" s="1"/>
  <c r="AD245" i="8"/>
  <c r="AG168" i="9" l="1"/>
  <c r="AG188" i="9"/>
  <c r="AG178" i="7"/>
  <c r="AD18" i="9"/>
  <c r="AD28" i="8"/>
  <c r="X8" i="3" s="1"/>
  <c r="AD162" i="9"/>
  <c r="R8" i="3"/>
  <c r="R9" i="3" s="1"/>
  <c r="AD19" i="9"/>
  <c r="AC247" i="8"/>
  <c r="AC79" i="8" s="1"/>
  <c r="AD79" i="8" s="1"/>
  <c r="AC219" i="8"/>
  <c r="AD219" i="8" s="1"/>
  <c r="AC165" i="8"/>
  <c r="AC125" i="8" s="1"/>
  <c r="AC154" i="8"/>
  <c r="AC50" i="8" s="1"/>
  <c r="AD50" i="8" s="1"/>
  <c r="AC163" i="8"/>
  <c r="AD163" i="8" s="1"/>
  <c r="AC223" i="8"/>
  <c r="AD223" i="8" s="1"/>
  <c r="AD224" i="8" s="1"/>
  <c r="AD225" i="8" s="1"/>
  <c r="AC35" i="8"/>
  <c r="AD35" i="8" s="1"/>
  <c r="AD16" i="9"/>
  <c r="AC194" i="8"/>
  <c r="AD194" i="8" s="1"/>
  <c r="AC33" i="8"/>
  <c r="AD33" i="8" s="1"/>
  <c r="AC32" i="8"/>
  <c r="AC29" i="8"/>
  <c r="AD29" i="8" s="1"/>
  <c r="AD20" i="9"/>
  <c r="AD17" i="9"/>
  <c r="AC38" i="9"/>
  <c r="AC35" i="9"/>
  <c r="AB143" i="8"/>
  <c r="Q56" i="3" s="1"/>
  <c r="AB224" i="8"/>
  <c r="AB225" i="8" s="1"/>
  <c r="AC37" i="9"/>
  <c r="Y173" i="8"/>
  <c r="Y175" i="8" s="1"/>
  <c r="AC31" i="9"/>
  <c r="AC39" i="9"/>
  <c r="Z173" i="8"/>
  <c r="AB168" i="8"/>
  <c r="AB169" i="8"/>
  <c r="AB136" i="8" s="1"/>
  <c r="Q49" i="3" s="1"/>
  <c r="AD23" i="9"/>
  <c r="AD36" i="9" s="1"/>
  <c r="AC36" i="9"/>
  <c r="AE16" i="9"/>
  <c r="W51" i="3"/>
  <c r="Z179" i="8"/>
  <c r="Z112" i="8" s="1"/>
  <c r="Q32" i="16"/>
  <c r="AG28" i="9"/>
  <c r="AG149" i="9" s="1"/>
  <c r="AG167" i="9"/>
  <c r="AG187" i="9"/>
  <c r="AF28" i="9"/>
  <c r="AF149" i="9" s="1"/>
  <c r="AF167" i="9"/>
  <c r="AF187" i="9"/>
  <c r="AA166" i="8"/>
  <c r="AD41" i="8"/>
  <c r="AF43" i="7"/>
  <c r="N51" i="3"/>
  <c r="AG214" i="7"/>
  <c r="AG226" i="7"/>
  <c r="AF31" i="7"/>
  <c r="AF37" i="7"/>
  <c r="AF46" i="7"/>
  <c r="AF49" i="7"/>
  <c r="AF40" i="7"/>
  <c r="AG31" i="7"/>
  <c r="AJ30" i="7"/>
  <c r="AG37" i="7"/>
  <c r="AG46" i="7"/>
  <c r="AG49" i="7"/>
  <c r="AG40" i="7"/>
  <c r="AB84" i="8"/>
  <c r="AB113" i="8"/>
  <c r="Q86" i="3"/>
  <c r="Q11" i="3"/>
  <c r="AF150" i="9"/>
  <c r="AG7" i="9"/>
  <c r="AG24" i="9"/>
  <c r="AG183" i="9"/>
  <c r="AG163" i="9"/>
  <c r="AB164" i="8"/>
  <c r="AB124" i="8" s="1"/>
  <c r="Q36" i="3" s="1"/>
  <c r="AB170" i="8"/>
  <c r="AB137" i="8" s="1"/>
  <c r="Q50" i="3" s="1"/>
  <c r="O12" i="3"/>
  <c r="O76" i="3" s="1"/>
  <c r="O13" i="3"/>
  <c r="AG147" i="9"/>
  <c r="Y138" i="8"/>
  <c r="AA135" i="8"/>
  <c r="AA171" i="8"/>
  <c r="Z138" i="8"/>
  <c r="O48" i="3"/>
  <c r="O51" i="3" s="1"/>
  <c r="AB123" i="8"/>
  <c r="Q35" i="3" s="1"/>
  <c r="AE23" i="9"/>
  <c r="AE37" i="9" s="1"/>
  <c r="AE145" i="9"/>
  <c r="AG43" i="7"/>
  <c r="G68" i="4"/>
  <c r="AF7" i="9"/>
  <c r="AF24" i="9"/>
  <c r="AF163" i="9"/>
  <c r="AF183" i="9"/>
  <c r="AF27" i="9"/>
  <c r="AF166" i="9"/>
  <c r="AF186" i="9"/>
  <c r="AF147" i="9"/>
  <c r="AE148" i="9"/>
  <c r="AG27" i="9"/>
  <c r="AG186" i="9"/>
  <c r="AG166" i="9"/>
  <c r="Z148" i="8"/>
  <c r="AA245" i="8"/>
  <c r="AA248" i="8" s="1"/>
  <c r="AG150" i="9"/>
  <c r="AA177" i="8"/>
  <c r="AA179" i="8" s="1"/>
  <c r="AA112" i="8" s="1"/>
  <c r="Q9" i="3"/>
  <c r="M92" i="16"/>
  <c r="AE28" i="8"/>
  <c r="AE182" i="9"/>
  <c r="AE162" i="9"/>
  <c r="AE20" i="9"/>
  <c r="AE17" i="9"/>
  <c r="AE18" i="9"/>
  <c r="AE21" i="9"/>
  <c r="AD148" i="9"/>
  <c r="AD22" i="10" s="1"/>
  <c r="AE19" i="9"/>
  <c r="P12" i="3"/>
  <c r="P76" i="3" s="1"/>
  <c r="AC168" i="8" l="1"/>
  <c r="AD168" i="8" s="1"/>
  <c r="AC143" i="8"/>
  <c r="AD143" i="8" s="1"/>
  <c r="X56" i="3" s="1"/>
  <c r="AC224" i="8"/>
  <c r="AC225" i="8" s="1"/>
  <c r="AD70" i="8"/>
  <c r="AD57" i="10" s="1"/>
  <c r="AD68" i="8"/>
  <c r="AD45" i="10" s="1"/>
  <c r="O31" i="14"/>
  <c r="AD69" i="8"/>
  <c r="AD50" i="10" s="1"/>
  <c r="AD233" i="8"/>
  <c r="AD183" i="8"/>
  <c r="AD231" i="8"/>
  <c r="AC123" i="8"/>
  <c r="R35" i="3" s="1"/>
  <c r="R86" i="3"/>
  <c r="AC113" i="8"/>
  <c r="AD113" i="8" s="1"/>
  <c r="AD165" i="8"/>
  <c r="AD187" i="8" s="1"/>
  <c r="AD134" i="10" s="1"/>
  <c r="AC30" i="8"/>
  <c r="AD30" i="8" s="1"/>
  <c r="AD66" i="8" s="1"/>
  <c r="AD7" i="10" s="1"/>
  <c r="AD32" i="8"/>
  <c r="AD67" i="8" s="1"/>
  <c r="AD40" i="10" s="1"/>
  <c r="AC84" i="8"/>
  <c r="AD84" i="8" s="1"/>
  <c r="AC170" i="8"/>
  <c r="AC137" i="8" s="1"/>
  <c r="AC164" i="8"/>
  <c r="AC169" i="8"/>
  <c r="AD169" i="8" s="1"/>
  <c r="AD247" i="8"/>
  <c r="AD248" i="8" s="1"/>
  <c r="AE245" i="8" s="1"/>
  <c r="Z175" i="8"/>
  <c r="Z80" i="8" s="1"/>
  <c r="AE154" i="8"/>
  <c r="AE50" i="8" s="1"/>
  <c r="AE223" i="8"/>
  <c r="AE219" i="8"/>
  <c r="AE163" i="8"/>
  <c r="AE194" i="8"/>
  <c r="AD39" i="9"/>
  <c r="AD34" i="9"/>
  <c r="AD38" i="9"/>
  <c r="AD35" i="9"/>
  <c r="AD31" i="9"/>
  <c r="AD37" i="9"/>
  <c r="AF16" i="9"/>
  <c r="AG16" i="9"/>
  <c r="AG19" i="9"/>
  <c r="AE34" i="9"/>
  <c r="AA173" i="8"/>
  <c r="AA175" i="8" s="1"/>
  <c r="AA80" i="8" s="1"/>
  <c r="AF19" i="9"/>
  <c r="AG148" i="9"/>
  <c r="AE29" i="8"/>
  <c r="AE30" i="8" s="1"/>
  <c r="AE32" i="8"/>
  <c r="AE33" i="8"/>
  <c r="AE35" i="8"/>
  <c r="AE41" i="8"/>
  <c r="AE165" i="8"/>
  <c r="AE125" i="8" s="1"/>
  <c r="Y37" i="3" s="1"/>
  <c r="AE247" i="8"/>
  <c r="Y8" i="3"/>
  <c r="P31" i="14"/>
  <c r="AB135" i="8"/>
  <c r="AB171" i="8"/>
  <c r="AG23" i="9"/>
  <c r="AG37" i="9" s="1"/>
  <c r="AG145" i="9"/>
  <c r="AA138" i="8"/>
  <c r="P48" i="3"/>
  <c r="P51" i="3" s="1"/>
  <c r="AF23" i="9"/>
  <c r="AF37" i="9" s="1"/>
  <c r="AF145" i="9"/>
  <c r="Q12" i="3"/>
  <c r="Q76" i="3" s="1"/>
  <c r="AA148" i="8"/>
  <c r="AB245" i="8"/>
  <c r="AB248" i="8" s="1"/>
  <c r="AE31" i="9"/>
  <c r="AE38" i="9"/>
  <c r="AE35" i="9"/>
  <c r="AE39" i="9"/>
  <c r="AE36" i="9"/>
  <c r="AG28" i="8"/>
  <c r="AG182" i="9"/>
  <c r="AG162" i="9"/>
  <c r="AG17" i="9"/>
  <c r="AG20" i="9"/>
  <c r="AG21" i="9"/>
  <c r="AG18" i="9"/>
  <c r="AF28" i="8"/>
  <c r="AF182" i="9"/>
  <c r="AF162" i="9"/>
  <c r="AF20" i="9"/>
  <c r="AF17" i="9"/>
  <c r="AF18" i="9"/>
  <c r="AF21" i="9"/>
  <c r="AD125" i="8"/>
  <c r="X37" i="3" s="1"/>
  <c r="R37" i="3"/>
  <c r="AB177" i="8"/>
  <c r="AB179" i="8" s="1"/>
  <c r="AB112" i="8" s="1"/>
  <c r="AD201" i="8"/>
  <c r="AD100" i="10" s="1"/>
  <c r="O40" i="14"/>
  <c r="X86" i="3"/>
  <c r="H61" i="4" s="1"/>
  <c r="AF148" i="9"/>
  <c r="O61" i="3"/>
  <c r="H21" i="4"/>
  <c r="X9" i="3"/>
  <c r="H22" i="4" s="1"/>
  <c r="AB166" i="8"/>
  <c r="AC135" i="8" l="1"/>
  <c r="R48" i="3" s="1"/>
  <c r="AC177" i="8"/>
  <c r="AC179" i="8" s="1"/>
  <c r="AC112" i="8" s="1"/>
  <c r="AD112" i="8" s="1"/>
  <c r="O42" i="14" s="1"/>
  <c r="R56" i="3"/>
  <c r="AD170" i="8"/>
  <c r="AD189" i="8" s="1"/>
  <c r="AD167" i="10" s="1"/>
  <c r="AD123" i="8"/>
  <c r="X35" i="3" s="1"/>
  <c r="AC171" i="8"/>
  <c r="X11" i="3"/>
  <c r="H24" i="4" s="1"/>
  <c r="AE248" i="8"/>
  <c r="AF245" i="8" s="1"/>
  <c r="AD164" i="8"/>
  <c r="AD184" i="8" s="1"/>
  <c r="AD188" i="8"/>
  <c r="AD162" i="10" s="1"/>
  <c r="R11" i="3"/>
  <c r="R12" i="3" s="1"/>
  <c r="R76" i="3" s="1"/>
  <c r="AC124" i="8"/>
  <c r="AD124" i="8" s="1"/>
  <c r="X36" i="3" s="1"/>
  <c r="AC166" i="8"/>
  <c r="O39" i="14"/>
  <c r="AD185" i="8"/>
  <c r="AD250" i="8"/>
  <c r="AC136" i="8"/>
  <c r="AD136" i="8" s="1"/>
  <c r="X49" i="3" s="1"/>
  <c r="AG154" i="8"/>
  <c r="AG50" i="8" s="1"/>
  <c r="AF154" i="8"/>
  <c r="AF50" i="8" s="1"/>
  <c r="AE168" i="8"/>
  <c r="AG194" i="8"/>
  <c r="AG223" i="8"/>
  <c r="AG219" i="8"/>
  <c r="AE143" i="8"/>
  <c r="Y56" i="3" s="1"/>
  <c r="AE224" i="8"/>
  <c r="AE225" i="8" s="1"/>
  <c r="AF194" i="8"/>
  <c r="AF223" i="8"/>
  <c r="AF219" i="8"/>
  <c r="AE169" i="8"/>
  <c r="AE136" i="8" s="1"/>
  <c r="Y49" i="3" s="1"/>
  <c r="AB173" i="8"/>
  <c r="AB175" i="8" s="1"/>
  <c r="AB80" i="8" s="1"/>
  <c r="AG34" i="9"/>
  <c r="AF34" i="9"/>
  <c r="AF29" i="8"/>
  <c r="AF30" i="8" s="1"/>
  <c r="AF32" i="8"/>
  <c r="AF33" i="8"/>
  <c r="AF35" i="8"/>
  <c r="AF41" i="8"/>
  <c r="AF163" i="8"/>
  <c r="AF165" i="8"/>
  <c r="AF125" i="8" s="1"/>
  <c r="Z37" i="3" s="1"/>
  <c r="AF247" i="8"/>
  <c r="Z8" i="3"/>
  <c r="Q31" i="14"/>
  <c r="P61" i="3"/>
  <c r="I21" i="4"/>
  <c r="Y9" i="3"/>
  <c r="I22" i="4" s="1"/>
  <c r="AD124" i="10"/>
  <c r="X98" i="3"/>
  <c r="AB138" i="8"/>
  <c r="Q48" i="3"/>
  <c r="Q51" i="3" s="1"/>
  <c r="AE79" i="8"/>
  <c r="P39" i="14"/>
  <c r="AE123" i="8"/>
  <c r="Y35" i="3" s="1"/>
  <c r="Y11" i="3"/>
  <c r="AF31" i="9"/>
  <c r="AF38" i="9"/>
  <c r="AF35" i="9"/>
  <c r="AF36" i="9"/>
  <c r="AF39" i="9"/>
  <c r="AE84" i="8"/>
  <c r="AE113" i="8"/>
  <c r="P40" i="14"/>
  <c r="Y86" i="3"/>
  <c r="I61" i="4" s="1"/>
  <c r="AE164" i="8"/>
  <c r="AE124" i="8" s="1"/>
  <c r="Y36" i="3" s="1"/>
  <c r="AE170" i="8"/>
  <c r="AE137" i="8" s="1"/>
  <c r="Y50" i="3" s="1"/>
  <c r="AG29" i="8"/>
  <c r="AG30" i="8" s="1"/>
  <c r="AG32" i="8"/>
  <c r="AG33" i="8"/>
  <c r="AG35" i="8"/>
  <c r="AG41" i="8"/>
  <c r="AG163" i="8"/>
  <c r="AG165" i="8"/>
  <c r="AG125" i="8" s="1"/>
  <c r="AA37" i="3" s="1"/>
  <c r="AG247" i="8"/>
  <c r="AA8" i="3"/>
  <c r="R31" i="14"/>
  <c r="AD137" i="8"/>
  <c r="X50" i="3" s="1"/>
  <c r="R50" i="3"/>
  <c r="AB148" i="8"/>
  <c r="AC245" i="8"/>
  <c r="AC248" i="8" s="1"/>
  <c r="AC148" i="8" s="1"/>
  <c r="AG31" i="9"/>
  <c r="AG38" i="9"/>
  <c r="AG35" i="9"/>
  <c r="AG39" i="9"/>
  <c r="AG36" i="9"/>
  <c r="AD135" i="8" l="1"/>
  <c r="X48" i="3" s="1"/>
  <c r="X51" i="3" s="1"/>
  <c r="AD171" i="8"/>
  <c r="R36" i="3"/>
  <c r="AD166" i="8"/>
  <c r="R13" i="3"/>
  <c r="AD177" i="8"/>
  <c r="AD179" i="8" s="1"/>
  <c r="X12" i="3"/>
  <c r="H25" i="4" s="1"/>
  <c r="AC173" i="8"/>
  <c r="AC175" i="8" s="1"/>
  <c r="AC80" i="8" s="1"/>
  <c r="AD80" i="8" s="1"/>
  <c r="AE148" i="8"/>
  <c r="Y61" i="3" s="1"/>
  <c r="AD129" i="10"/>
  <c r="X99" i="3"/>
  <c r="H69" i="4" s="1"/>
  <c r="AD186" i="8"/>
  <c r="AC138" i="8"/>
  <c r="AD138" i="8" s="1"/>
  <c r="R49" i="3"/>
  <c r="R51" i="3" s="1"/>
  <c r="AF143" i="8"/>
  <c r="Z56" i="3" s="1"/>
  <c r="AF224" i="8"/>
  <c r="AF225" i="8" s="1"/>
  <c r="AG143" i="8"/>
  <c r="AA56" i="3" s="1"/>
  <c r="AG224" i="8"/>
  <c r="AF168" i="8"/>
  <c r="AG168" i="8"/>
  <c r="AF169" i="8"/>
  <c r="AF136" i="8" s="1"/>
  <c r="Z49" i="3" s="1"/>
  <c r="AG169" i="8"/>
  <c r="AG136" i="8" s="1"/>
  <c r="AA49" i="3" s="1"/>
  <c r="AF248" i="8"/>
  <c r="AF148" i="8" s="1"/>
  <c r="AA11" i="3"/>
  <c r="I24" i="4"/>
  <c r="Y12" i="3"/>
  <c r="Y13" i="3"/>
  <c r="I26" i="4" s="1"/>
  <c r="AG113" i="8"/>
  <c r="AG84" i="8"/>
  <c r="AA86" i="3"/>
  <c r="K61" i="4" s="1"/>
  <c r="R40" i="14"/>
  <c r="H68" i="4"/>
  <c r="O68" i="4" s="1"/>
  <c r="Z11" i="3"/>
  <c r="AE177" i="8"/>
  <c r="AF123" i="8"/>
  <c r="Z35" i="3" s="1"/>
  <c r="AF164" i="8"/>
  <c r="AF124" i="8" s="1"/>
  <c r="Z36" i="3" s="1"/>
  <c r="AF170" i="8"/>
  <c r="AF137" i="8" s="1"/>
  <c r="Z50" i="3" s="1"/>
  <c r="Q61" i="3"/>
  <c r="AG123" i="8"/>
  <c r="AA35" i="3" s="1"/>
  <c r="AG164" i="8"/>
  <c r="AG124" i="8" s="1"/>
  <c r="AA36" i="3" s="1"/>
  <c r="AG170" i="8"/>
  <c r="AG137" i="8" s="1"/>
  <c r="AA50" i="3" s="1"/>
  <c r="AE166" i="8"/>
  <c r="AD157" i="10"/>
  <c r="X100" i="3"/>
  <c r="H70" i="4" s="1"/>
  <c r="K21" i="4"/>
  <c r="AE8" i="3"/>
  <c r="O21" i="4" s="1"/>
  <c r="AA9" i="3"/>
  <c r="K22" i="4" s="1"/>
  <c r="AF79" i="8"/>
  <c r="Q39" i="14"/>
  <c r="J21" i="4"/>
  <c r="Z9" i="3"/>
  <c r="J22" i="4" s="1"/>
  <c r="AE135" i="8"/>
  <c r="AE138" i="8" s="1"/>
  <c r="AE171" i="8"/>
  <c r="AD148" i="8"/>
  <c r="X61" i="3" s="1"/>
  <c r="R61" i="3"/>
  <c r="AG79" i="8"/>
  <c r="R39" i="14"/>
  <c r="AF113" i="8"/>
  <c r="AF84" i="8"/>
  <c r="Q40" i="14"/>
  <c r="Z86" i="3"/>
  <c r="J61" i="4" s="1"/>
  <c r="AD173" i="8" l="1"/>
  <c r="AD175" i="8" s="1"/>
  <c r="AE179" i="8"/>
  <c r="AE112" i="8" s="1"/>
  <c r="P42" i="14" s="1"/>
  <c r="X76" i="3"/>
  <c r="AG225" i="8"/>
  <c r="AE173" i="8"/>
  <c r="AG245" i="8"/>
  <c r="AG248" i="8" s="1"/>
  <c r="AG148" i="8" s="1"/>
  <c r="AA61" i="3" s="1"/>
  <c r="AF166" i="8"/>
  <c r="AF177" i="8"/>
  <c r="AF179" i="8" s="1"/>
  <c r="AF112" i="8" s="1"/>
  <c r="Q42" i="14" s="1"/>
  <c r="Z61" i="3"/>
  <c r="J24" i="4"/>
  <c r="Z12" i="3"/>
  <c r="Z13" i="3"/>
  <c r="J26" i="4" s="1"/>
  <c r="Y48" i="3"/>
  <c r="Y51" i="3" s="1"/>
  <c r="AG135" i="8"/>
  <c r="AG138" i="8" s="1"/>
  <c r="AG171" i="8"/>
  <c r="X101" i="3"/>
  <c r="H71" i="4" s="1"/>
  <c r="AG177" i="8"/>
  <c r="AG166" i="8"/>
  <c r="AF135" i="8"/>
  <c r="AF138" i="8" s="1"/>
  <c r="AF171" i="8"/>
  <c r="K24" i="4"/>
  <c r="AE11" i="3"/>
  <c r="O24" i="4" s="1"/>
  <c r="AA12" i="3"/>
  <c r="AA13" i="3"/>
  <c r="K26" i="4" s="1"/>
  <c r="I25" i="4"/>
  <c r="Y76" i="3"/>
  <c r="AE175" i="8" l="1"/>
  <c r="AE80" i="8" s="1"/>
  <c r="AF173" i="8"/>
  <c r="AF175" i="8" s="1"/>
  <c r="AF80" i="8" s="1"/>
  <c r="AG179" i="8"/>
  <c r="AG112" i="8" s="1"/>
  <c r="R42" i="14" s="1"/>
  <c r="AG173" i="8"/>
  <c r="Z48" i="3"/>
  <c r="Z51" i="3" s="1"/>
  <c r="K25" i="4"/>
  <c r="AA76" i="3"/>
  <c r="J25" i="4"/>
  <c r="Z76" i="3"/>
  <c r="AA48" i="3"/>
  <c r="AA51" i="3" s="1"/>
  <c r="AG175" i="8" l="1"/>
  <c r="AG80" i="8" s="1"/>
  <c r="Y174" i="10"/>
  <c r="Y179" i="10"/>
  <c r="Y187" i="10"/>
  <c r="L41" i="14"/>
  <c r="V66" i="8"/>
  <c r="W66" i="8"/>
  <c r="W29" i="8" s="1"/>
  <c r="W30" i="8" s="1"/>
  <c r="M11" i="3" s="1"/>
  <c r="V67" i="8"/>
  <c r="V32" i="8" s="1"/>
  <c r="W67" i="8"/>
  <c r="W32" i="8" s="1"/>
  <c r="V68" i="8"/>
  <c r="V33" i="8" s="1"/>
  <c r="W68" i="8"/>
  <c r="W33" i="8" s="1"/>
  <c r="V69" i="8"/>
  <c r="V35" i="8" s="1"/>
  <c r="W69" i="8"/>
  <c r="W35" i="8" s="1"/>
  <c r="V70" i="8"/>
  <c r="V41" i="8" s="1"/>
  <c r="W70" i="8"/>
  <c r="W41" i="8" s="1"/>
  <c r="V71" i="8"/>
  <c r="F33" i="2" s="1"/>
  <c r="W71" i="8"/>
  <c r="W86" i="8"/>
  <c r="W100" i="8"/>
  <c r="V183" i="8"/>
  <c r="L98" i="3" s="1"/>
  <c r="W183" i="8"/>
  <c r="M98" i="3" s="1"/>
  <c r="V184" i="8"/>
  <c r="L99" i="3" s="1"/>
  <c r="W184" i="8"/>
  <c r="M99" i="3" s="1"/>
  <c r="L100" i="3"/>
  <c r="M100" i="3"/>
  <c r="V187" i="8"/>
  <c r="W187" i="8"/>
  <c r="W165" i="8" s="1"/>
  <c r="W125" i="8" s="1"/>
  <c r="M37" i="3" s="1"/>
  <c r="W188" i="8"/>
  <c r="V189" i="8"/>
  <c r="W189" i="8"/>
  <c r="V201" i="8"/>
  <c r="W201" i="8"/>
  <c r="V202" i="8"/>
  <c r="V77" i="8" s="1"/>
  <c r="V34" i="8" s="1"/>
  <c r="W202" i="8"/>
  <c r="W215" i="8"/>
  <c r="W211" i="8" s="1"/>
  <c r="W208" i="8" s="1"/>
  <c r="V130" i="8"/>
  <c r="V261" i="8"/>
  <c r="W261" i="8"/>
  <c r="V273" i="8"/>
  <c r="V242" i="8" s="1"/>
  <c r="W273" i="8"/>
  <c r="W242" i="8" s="1"/>
  <c r="V274" i="8"/>
  <c r="V268" i="8" s="1"/>
  <c r="W274" i="8"/>
  <c r="W268" i="8" s="1"/>
  <c r="W296" i="8"/>
  <c r="W297" i="8"/>
  <c r="W310" i="8" s="1"/>
  <c r="W93" i="8" s="1"/>
  <c r="V24" i="9"/>
  <c r="W24" i="9"/>
  <c r="V25" i="9"/>
  <c r="W25" i="9"/>
  <c r="W146" i="9" s="1"/>
  <c r="V26" i="9"/>
  <c r="V147" i="9" s="1"/>
  <c r="W26" i="9"/>
  <c r="V27" i="9"/>
  <c r="V148" i="9" s="1"/>
  <c r="W27" i="9"/>
  <c r="W148" i="9" s="1"/>
  <c r="V28" i="9"/>
  <c r="V149" i="9" s="1"/>
  <c r="W28" i="9"/>
  <c r="V29" i="9"/>
  <c r="W29" i="9"/>
  <c r="W150" i="9" s="1"/>
  <c r="V52" i="9"/>
  <c r="W52" i="9"/>
  <c r="V53" i="9"/>
  <c r="W53" i="9"/>
  <c r="V54" i="9"/>
  <c r="W54" i="9"/>
  <c r="V55" i="9"/>
  <c r="W55" i="9"/>
  <c r="V56" i="9"/>
  <c r="W56" i="9"/>
  <c r="V57" i="9"/>
  <c r="W57" i="9"/>
  <c r="V29" i="8" l="1"/>
  <c r="V30" i="8" s="1"/>
  <c r="V36" i="8" s="1"/>
  <c r="I14" i="19" a="1"/>
  <c r="I14" i="19" s="1"/>
  <c r="H14" i="18" a="1"/>
  <c r="H14" i="18" s="1"/>
  <c r="H14" i="19" a="1"/>
  <c r="H14" i="19" s="1"/>
  <c r="V165" i="8"/>
  <c r="V125" i="8" s="1"/>
  <c r="L42" i="3"/>
  <c r="X211" i="8"/>
  <c r="W85" i="8"/>
  <c r="W194" i="8"/>
  <c r="L40" i="14" s="1"/>
  <c r="V194" i="8"/>
  <c r="K40" i="14" s="1"/>
  <c r="G85" i="14"/>
  <c r="F47" i="13"/>
  <c r="G47" i="13" s="1"/>
  <c r="G9" i="13"/>
  <c r="G16" i="13"/>
  <c r="G17" i="13" s="1"/>
  <c r="O6" i="13" s="1"/>
  <c r="Y154" i="8"/>
  <c r="K70" i="14"/>
  <c r="W168" i="8"/>
  <c r="W135" i="8" s="1"/>
  <c r="M48" i="3" s="1"/>
  <c r="V168" i="8"/>
  <c r="V169" i="8"/>
  <c r="V136" i="8" s="1"/>
  <c r="W309" i="8"/>
  <c r="W92" i="8" s="1"/>
  <c r="Y92" i="8" s="1"/>
  <c r="W169" i="8"/>
  <c r="W136" i="8" s="1"/>
  <c r="M49" i="3" s="1"/>
  <c r="AB70" i="14"/>
  <c r="L67" i="3"/>
  <c r="V290" i="8"/>
  <c r="V95" i="8"/>
  <c r="V291" i="8"/>
  <c r="V96" i="8"/>
  <c r="Y261" i="8"/>
  <c r="Y262" i="8" s="1"/>
  <c r="AD260" i="8" s="1"/>
  <c r="AD262" i="8" s="1"/>
  <c r="AE260" i="8" s="1"/>
  <c r="AE262" i="8" s="1"/>
  <c r="AE151" i="8" s="1"/>
  <c r="Y64" i="3" s="1"/>
  <c r="Y40" i="8"/>
  <c r="N41" i="14" s="1"/>
  <c r="K41" i="14"/>
  <c r="V255" i="8"/>
  <c r="Y35" i="8"/>
  <c r="Y69" i="8" s="1"/>
  <c r="Y50" i="10" s="1"/>
  <c r="Y33" i="8"/>
  <c r="Y68" i="8" s="1"/>
  <c r="Y45" i="10" s="1"/>
  <c r="M101" i="3"/>
  <c r="Y29" i="9"/>
  <c r="Y150" i="9" s="1"/>
  <c r="Y32" i="10" s="1"/>
  <c r="V150" i="9"/>
  <c r="Y27" i="9"/>
  <c r="Y148" i="9" s="1"/>
  <c r="Y22" i="10" s="1"/>
  <c r="Q13" i="3"/>
  <c r="M12" i="3"/>
  <c r="M76" i="3" s="1"/>
  <c r="W164" i="8"/>
  <c r="W124" i="8" s="1"/>
  <c r="M36" i="3" s="1"/>
  <c r="W170" i="8"/>
  <c r="W137" i="8" s="1"/>
  <c r="M50" i="3" s="1"/>
  <c r="M13" i="3"/>
  <c r="Y32" i="8"/>
  <c r="Y25" i="9"/>
  <c r="Y146" i="9" s="1"/>
  <c r="Y12" i="10" s="1"/>
  <c r="Y100" i="8"/>
  <c r="Y119" i="10" s="1"/>
  <c r="V146" i="9"/>
  <c r="V262" i="8"/>
  <c r="L101" i="3"/>
  <c r="Y273" i="8"/>
  <c r="W147" i="9"/>
  <c r="W96" i="8"/>
  <c r="W255" i="8"/>
  <c r="AB268" i="8"/>
  <c r="W291" i="8"/>
  <c r="Y24" i="9"/>
  <c r="V23" i="9"/>
  <c r="V36" i="9" s="1"/>
  <c r="V145" i="9"/>
  <c r="Y26" i="9"/>
  <c r="W149" i="9"/>
  <c r="Y28" i="9"/>
  <c r="Y93" i="8"/>
  <c r="W23" i="9"/>
  <c r="W34" i="9" s="1"/>
  <c r="W145" i="9"/>
  <c r="W95" i="8"/>
  <c r="W241" i="8"/>
  <c r="W280" i="8" s="1"/>
  <c r="W290" i="8"/>
  <c r="AA268" i="8"/>
  <c r="Y268" i="8"/>
  <c r="V150" i="8"/>
  <c r="Y242" i="8"/>
  <c r="V241" i="8"/>
  <c r="L43" i="3"/>
  <c r="V220" i="8"/>
  <c r="V232" i="8" s="1"/>
  <c r="W186" i="8"/>
  <c r="W163" i="8"/>
  <c r="V111" i="8"/>
  <c r="V186" i="8"/>
  <c r="V163" i="8"/>
  <c r="V203" i="8"/>
  <c r="Y86" i="8"/>
  <c r="Y105" i="10" s="1"/>
  <c r="Y41" i="8"/>
  <c r="Y70" i="8" s="1"/>
  <c r="Y57" i="10" s="1"/>
  <c r="Y97" i="8"/>
  <c r="V170" i="8" l="1"/>
  <c r="V137" i="8" s="1"/>
  <c r="V164" i="8"/>
  <c r="V124" i="8" s="1"/>
  <c r="L36" i="3" s="1"/>
  <c r="Y29" i="8"/>
  <c r="P14" i="19"/>
  <c r="O14" i="19"/>
  <c r="M14" i="19"/>
  <c r="N14" i="19"/>
  <c r="N14" i="18"/>
  <c r="M14" i="18"/>
  <c r="L14" i="18"/>
  <c r="I13" i="19" a="1"/>
  <c r="I13" i="19" s="1"/>
  <c r="H13" i="18" a="1"/>
  <c r="H13" i="18" s="1"/>
  <c r="H13" i="19" a="1"/>
  <c r="H13" i="19" s="1"/>
  <c r="Y211" i="8"/>
  <c r="Y215" i="8" s="1"/>
  <c r="X208" i="8"/>
  <c r="Y208" i="8" s="1"/>
  <c r="L49" i="3"/>
  <c r="L63" i="3"/>
  <c r="L50" i="3"/>
  <c r="Y114" i="10"/>
  <c r="Y72" i="8"/>
  <c r="M86" i="3"/>
  <c r="L37" i="3"/>
  <c r="X85" i="8"/>
  <c r="X87" i="8" s="1"/>
  <c r="W113" i="8"/>
  <c r="W84" i="8"/>
  <c r="W87" i="8" s="1"/>
  <c r="V113" i="8"/>
  <c r="L86" i="3"/>
  <c r="V197" i="8"/>
  <c r="W193" i="8" s="1"/>
  <c r="W197" i="8" s="1"/>
  <c r="X193" i="8" s="1"/>
  <c r="X197" i="8" s="1"/>
  <c r="Y197" i="8" s="1"/>
  <c r="Z193" i="8" s="1"/>
  <c r="Y194" i="8"/>
  <c r="Y201" i="8" s="1"/>
  <c r="Y100" i="10" s="1"/>
  <c r="V84" i="8"/>
  <c r="M67" i="3"/>
  <c r="N131" i="14"/>
  <c r="R278" i="14"/>
  <c r="R70" i="14"/>
  <c r="Y67" i="8"/>
  <c r="Y40" i="10" s="1"/>
  <c r="Y188" i="8"/>
  <c r="Y162" i="10" s="1"/>
  <c r="Y184" i="8"/>
  <c r="Y189" i="8"/>
  <c r="Y167" i="10" s="1"/>
  <c r="Y185" i="8"/>
  <c r="V221" i="8"/>
  <c r="V227" i="8" s="1"/>
  <c r="Z260" i="8"/>
  <c r="Z262" i="8" s="1"/>
  <c r="Z151" i="8" s="1"/>
  <c r="O64" i="3" s="1"/>
  <c r="Y255" i="8"/>
  <c r="AF260" i="8"/>
  <c r="AF262" i="8" s="1"/>
  <c r="AF151" i="8" s="1"/>
  <c r="Z64" i="3" s="1"/>
  <c r="N67" i="3"/>
  <c r="Y96" i="8"/>
  <c r="Z97" i="8"/>
  <c r="W67" i="3"/>
  <c r="M51" i="3"/>
  <c r="V34" i="9"/>
  <c r="W138" i="8"/>
  <c r="W171" i="8"/>
  <c r="V38" i="9"/>
  <c r="W38" i="9"/>
  <c r="W36" i="9"/>
  <c r="V151" i="8"/>
  <c r="W260" i="8"/>
  <c r="W262" i="8" s="1"/>
  <c r="V135" i="8"/>
  <c r="Y30" i="8"/>
  <c r="L11" i="3"/>
  <c r="V41" i="9"/>
  <c r="V142" i="8"/>
  <c r="J137" i="16" s="1"/>
  <c r="W308" i="8"/>
  <c r="W311" i="8" s="1"/>
  <c r="Y149" i="9"/>
  <c r="Y27" i="10" s="1"/>
  <c r="Y145" i="9"/>
  <c r="W177" i="8"/>
  <c r="W123" i="8"/>
  <c r="M35" i="3" s="1"/>
  <c r="W166" i="8"/>
  <c r="M43" i="3"/>
  <c r="Y95" i="8"/>
  <c r="W31" i="9"/>
  <c r="W39" i="9"/>
  <c r="W35" i="9"/>
  <c r="W37" i="9"/>
  <c r="W130" i="8"/>
  <c r="W220" i="8"/>
  <c r="W232" i="8" s="1"/>
  <c r="AA291" i="8"/>
  <c r="AA255" i="8"/>
  <c r="AD268" i="8"/>
  <c r="AA96" i="8"/>
  <c r="Y274" i="8"/>
  <c r="Y147" i="9"/>
  <c r="Y17" i="10" s="1"/>
  <c r="Y240" i="8"/>
  <c r="Y241" i="8"/>
  <c r="V280" i="8"/>
  <c r="Y23" i="9"/>
  <c r="Y34" i="9" s="1"/>
  <c r="V35" i="9"/>
  <c r="V37" i="9"/>
  <c r="V31" i="9"/>
  <c r="V39" i="9"/>
  <c r="V123" i="8"/>
  <c r="V166" i="8"/>
  <c r="V177" i="8"/>
  <c r="V179" i="8" s="1"/>
  <c r="V112" i="8" s="1"/>
  <c r="W150" i="8"/>
  <c r="AB291" i="8"/>
  <c r="AB255" i="8"/>
  <c r="AB96" i="8"/>
  <c r="V171" i="8" l="1"/>
  <c r="V173" i="8" s="1"/>
  <c r="V175" i="8" s="1"/>
  <c r="V80" i="8" s="1"/>
  <c r="Z211" i="8"/>
  <c r="Z208" i="8" s="1"/>
  <c r="O13" i="19"/>
  <c r="M13" i="19"/>
  <c r="N13" i="19"/>
  <c r="P13" i="19"/>
  <c r="N13" i="18"/>
  <c r="L13" i="18"/>
  <c r="M13" i="18"/>
  <c r="H43" i="18" a="1"/>
  <c r="H43" i="18" s="1"/>
  <c r="I43" i="19" a="1"/>
  <c r="I43" i="19" s="1"/>
  <c r="H43" i="19" a="1"/>
  <c r="H43" i="19" s="1"/>
  <c r="M42" i="3"/>
  <c r="L64" i="3"/>
  <c r="V138" i="8"/>
  <c r="Y84" i="8"/>
  <c r="Y113" i="8"/>
  <c r="N40" i="14"/>
  <c r="W86" i="3"/>
  <c r="G61" i="4" s="1"/>
  <c r="O61" i="4" s="1"/>
  <c r="L35" i="3"/>
  <c r="V128" i="8"/>
  <c r="Z197" i="8"/>
  <c r="AA193" i="8" s="1"/>
  <c r="AA197" i="8" s="1"/>
  <c r="AB193" i="8" s="1"/>
  <c r="AB197" i="8" s="1"/>
  <c r="AC193" i="8" s="1"/>
  <c r="AC197" i="8" s="1"/>
  <c r="AD197" i="8" s="1"/>
  <c r="AD193" i="8"/>
  <c r="AG260" i="8"/>
  <c r="AG262" i="8" s="1"/>
  <c r="AG151" i="8" s="1"/>
  <c r="AA64" i="3" s="1"/>
  <c r="R131" i="14"/>
  <c r="N209" i="14"/>
  <c r="R209" i="14" s="1"/>
  <c r="AA260" i="8"/>
  <c r="AA262" i="8" s="1"/>
  <c r="AB260" i="8" s="1"/>
  <c r="AB262" i="8" s="1"/>
  <c r="V81" i="8"/>
  <c r="K43" i="14" s="1"/>
  <c r="W221" i="8"/>
  <c r="W227" i="8" s="1"/>
  <c r="W81" i="8" s="1"/>
  <c r="L43" i="14" s="1"/>
  <c r="AA97" i="8"/>
  <c r="O67" i="3"/>
  <c r="W173" i="8"/>
  <c r="X175" i="8" s="1"/>
  <c r="X80" i="8" s="1"/>
  <c r="W151" i="8"/>
  <c r="M64" i="3" s="1"/>
  <c r="X260" i="8"/>
  <c r="X262" i="8" s="1"/>
  <c r="X151" i="8" s="1"/>
  <c r="L48" i="3"/>
  <c r="L51" i="3" s="1"/>
  <c r="W142" i="8"/>
  <c r="X308" i="8"/>
  <c r="X311" i="8" s="1"/>
  <c r="W319" i="8"/>
  <c r="W321" i="8" s="1"/>
  <c r="K42" i="14"/>
  <c r="Y36" i="9"/>
  <c r="X130" i="8"/>
  <c r="X220" i="8"/>
  <c r="X232" i="8" s="1"/>
  <c r="L13" i="3"/>
  <c r="P13" i="3"/>
  <c r="L12" i="3"/>
  <c r="L76" i="3" s="1"/>
  <c r="AD96" i="8"/>
  <c r="Y157" i="10"/>
  <c r="W100" i="3"/>
  <c r="G70" i="4" s="1"/>
  <c r="O70" i="4" s="1"/>
  <c r="L54" i="3"/>
  <c r="Y66" i="8"/>
  <c r="Y7" i="10" s="1"/>
  <c r="W11" i="3"/>
  <c r="Y31" i="9"/>
  <c r="Y37" i="9"/>
  <c r="Y39" i="9"/>
  <c r="Y35" i="9"/>
  <c r="Y280" i="8"/>
  <c r="V281" i="8"/>
  <c r="AD274" i="8"/>
  <c r="AE268" i="8"/>
  <c r="Y129" i="10"/>
  <c r="Y186" i="8"/>
  <c r="W99" i="3"/>
  <c r="V144" i="9"/>
  <c r="V196" i="9"/>
  <c r="K33" i="14"/>
  <c r="V152" i="9"/>
  <c r="L15" i="3"/>
  <c r="V176" i="9"/>
  <c r="Y38" i="9"/>
  <c r="X150" i="8"/>
  <c r="M63" i="3"/>
  <c r="V59" i="9"/>
  <c r="V45" i="9"/>
  <c r="V43" i="9"/>
  <c r="V44" i="9"/>
  <c r="V47" i="9"/>
  <c r="V46" i="9"/>
  <c r="V42" i="9"/>
  <c r="AD255" i="8"/>
  <c r="W179" i="8"/>
  <c r="W112" i="8" s="1"/>
  <c r="L42" i="14" s="1"/>
  <c r="X179" i="8"/>
  <c r="X112" i="8" s="1"/>
  <c r="M42" i="14" s="1"/>
  <c r="V60" i="8"/>
  <c r="K38" i="14"/>
  <c r="AA211" i="8" l="1"/>
  <c r="AB211" i="8" s="1"/>
  <c r="Z85" i="8"/>
  <c r="Z87" i="8" s="1"/>
  <c r="M54" i="3"/>
  <c r="K137" i="16"/>
  <c r="N43" i="19"/>
  <c r="M43" i="19"/>
  <c r="P43" i="19"/>
  <c r="O43" i="19"/>
  <c r="N43" i="18"/>
  <c r="M43" i="18"/>
  <c r="L43" i="18"/>
  <c r="L40" i="3"/>
  <c r="AE193" i="8"/>
  <c r="AE197" i="8" s="1"/>
  <c r="AF193" i="8" s="1"/>
  <c r="AF197" i="8" s="1"/>
  <c r="AG193" i="8" s="1"/>
  <c r="AG197" i="8" s="1"/>
  <c r="AA151" i="8"/>
  <c r="P64" i="3" s="1"/>
  <c r="X221" i="8"/>
  <c r="X227" i="8" s="1"/>
  <c r="X81" i="8" s="1"/>
  <c r="M43" i="14" s="1"/>
  <c r="AB97" i="8"/>
  <c r="P67" i="3"/>
  <c r="W175" i="8"/>
  <c r="W80" i="8" s="1"/>
  <c r="Y80" i="8" s="1"/>
  <c r="Y151" i="8"/>
  <c r="W64" i="3" s="1"/>
  <c r="N64" i="3"/>
  <c r="W43" i="3"/>
  <c r="N43" i="3"/>
  <c r="V61" i="9"/>
  <c r="V69" i="9" s="1"/>
  <c r="Y220" i="8"/>
  <c r="Y232" i="8" s="1"/>
  <c r="V63" i="9"/>
  <c r="V71" i="9" s="1"/>
  <c r="Y112" i="8"/>
  <c r="N42" i="14" s="1"/>
  <c r="AB151" i="8"/>
  <c r="Q64" i="3" s="1"/>
  <c r="AC260" i="8"/>
  <c r="AC262" i="8" s="1"/>
  <c r="AC151" i="8" s="1"/>
  <c r="V60" i="9"/>
  <c r="V68" i="9" s="1"/>
  <c r="L16" i="3"/>
  <c r="L78" i="3" s="1"/>
  <c r="L17" i="3"/>
  <c r="Y130" i="8"/>
  <c r="W42" i="3" s="1"/>
  <c r="N42" i="3"/>
  <c r="V62" i="9"/>
  <c r="V70" i="9" s="1"/>
  <c r="G24" i="4"/>
  <c r="W12" i="3"/>
  <c r="X13" i="3"/>
  <c r="H26" i="4" s="1"/>
  <c r="W13" i="3"/>
  <c r="G26" i="4" s="1"/>
  <c r="V64" i="9"/>
  <c r="V72" i="9" s="1"/>
  <c r="V49" i="9"/>
  <c r="Y150" i="8"/>
  <c r="N63" i="3"/>
  <c r="G69" i="4"/>
  <c r="O69" i="4" s="1"/>
  <c r="W101" i="3"/>
  <c r="G71" i="4" s="1"/>
  <c r="O71" i="4" s="1"/>
  <c r="AE96" i="8"/>
  <c r="AF268" i="8"/>
  <c r="AE291" i="8"/>
  <c r="AE255" i="8"/>
  <c r="X142" i="8"/>
  <c r="L137" i="16" s="1"/>
  <c r="Z308" i="8"/>
  <c r="Z311" i="8" s="1"/>
  <c r="X319" i="8"/>
  <c r="X321" i="8" s="1"/>
  <c r="W278" i="8"/>
  <c r="W281" i="8" s="1"/>
  <c r="V283" i="8"/>
  <c r="W128" i="8"/>
  <c r="V65" i="9"/>
  <c r="V73" i="9" s="1"/>
  <c r="Y144" i="10"/>
  <c r="W77" i="8"/>
  <c r="W111" i="8"/>
  <c r="W203" i="8"/>
  <c r="AA208" i="8" l="1"/>
  <c r="AA85" i="8"/>
  <c r="AA87" i="8" s="1"/>
  <c r="AB85" i="8"/>
  <c r="AB87" i="8" s="1"/>
  <c r="AB208" i="8"/>
  <c r="AC211" i="8"/>
  <c r="Y81" i="8"/>
  <c r="N43" i="14" s="1"/>
  <c r="Y221" i="8"/>
  <c r="Y227" i="8" s="1"/>
  <c r="Q67" i="3"/>
  <c r="W129" i="8"/>
  <c r="Z142" i="8"/>
  <c r="O54" i="3" s="1"/>
  <c r="AA308" i="8"/>
  <c r="AA311" i="8" s="1"/>
  <c r="Z319" i="8"/>
  <c r="Z321" i="8" s="1"/>
  <c r="M40" i="3"/>
  <c r="W34" i="8"/>
  <c r="W41" i="9"/>
  <c r="Y142" i="8"/>
  <c r="N54" i="3"/>
  <c r="O43" i="3"/>
  <c r="AD151" i="8"/>
  <c r="X64" i="3" s="1"/>
  <c r="R64" i="3"/>
  <c r="V267" i="8"/>
  <c r="V265" i="8" s="1"/>
  <c r="V266" i="8" s="1"/>
  <c r="F34" i="2" s="1"/>
  <c r="V285" i="8"/>
  <c r="F35" i="2" s="1"/>
  <c r="X278" i="8"/>
  <c r="X281" i="8" s="1"/>
  <c r="W283" i="8"/>
  <c r="AF96" i="8"/>
  <c r="AF255" i="8"/>
  <c r="AF291" i="8"/>
  <c r="AG268" i="8"/>
  <c r="Z150" i="8"/>
  <c r="W63" i="3"/>
  <c r="G25" i="4"/>
  <c r="W76" i="3"/>
  <c r="Z220" i="8"/>
  <c r="Z130" i="8"/>
  <c r="O42" i="3" s="1"/>
  <c r="W54" i="3" l="1"/>
  <c r="M137" i="16"/>
  <c r="AD211" i="8"/>
  <c r="AE211" i="8" s="1"/>
  <c r="AF211" i="8" s="1"/>
  <c r="AF208" i="8" s="1"/>
  <c r="AC208" i="8"/>
  <c r="AD208" i="8" s="1"/>
  <c r="AC85" i="8"/>
  <c r="AC87" i="8" s="1"/>
  <c r="AD87" i="8" s="1"/>
  <c r="M41" i="3"/>
  <c r="M44" i="3" s="1"/>
  <c r="AC97" i="8"/>
  <c r="AD97" i="8" s="1"/>
  <c r="AD154" i="8"/>
  <c r="K74" i="14"/>
  <c r="R74" i="14" s="1"/>
  <c r="R282" i="14"/>
  <c r="N135" i="14"/>
  <c r="C7" i="14"/>
  <c r="E7" i="14" s="1"/>
  <c r="N213" i="14"/>
  <c r="R213" i="14" s="1"/>
  <c r="R135" i="14"/>
  <c r="AB74" i="14"/>
  <c r="M7" i="13"/>
  <c r="Z221" i="8"/>
  <c r="Z227" i="8" s="1"/>
  <c r="Z81" i="8" s="1"/>
  <c r="Z232" i="8"/>
  <c r="W131" i="8"/>
  <c r="R67" i="3"/>
  <c r="X203" i="8"/>
  <c r="W43" i="9"/>
  <c r="W46" i="9"/>
  <c r="W59" i="9"/>
  <c r="W45" i="9"/>
  <c r="W47" i="9"/>
  <c r="W42" i="9"/>
  <c r="W44" i="9"/>
  <c r="AA142" i="8"/>
  <c r="P54" i="3" s="1"/>
  <c r="AB308" i="8"/>
  <c r="AB311" i="8" s="1"/>
  <c r="AA319" i="8"/>
  <c r="AA321" i="8" s="1"/>
  <c r="AG96" i="8"/>
  <c r="AG255" i="8"/>
  <c r="AG291" i="8"/>
  <c r="W267" i="8"/>
  <c r="W265" i="8" s="1"/>
  <c r="W266" i="8" s="1"/>
  <c r="W285" i="8"/>
  <c r="AA220" i="8"/>
  <c r="AA130" i="8"/>
  <c r="P42" i="3" s="1"/>
  <c r="Y281" i="8"/>
  <c r="X283" i="8"/>
  <c r="P43" i="3"/>
  <c r="AA150" i="8"/>
  <c r="O63" i="3"/>
  <c r="W60" i="8"/>
  <c r="L38" i="14"/>
  <c r="W36" i="8"/>
  <c r="AD215" i="8" l="1"/>
  <c r="AE85" i="8"/>
  <c r="AE87" i="8" s="1"/>
  <c r="AE208" i="8"/>
  <c r="AD85" i="8"/>
  <c r="AD114" i="10"/>
  <c r="AD72" i="8"/>
  <c r="AD67" i="10" s="1"/>
  <c r="AG211" i="8"/>
  <c r="AF85" i="8"/>
  <c r="AF87" i="8" s="1"/>
  <c r="Y203" i="8"/>
  <c r="AA221" i="8"/>
  <c r="AA227" i="8" s="1"/>
  <c r="AA81" i="8" s="1"/>
  <c r="AA232" i="8"/>
  <c r="X129" i="8"/>
  <c r="AE97" i="8"/>
  <c r="X67" i="3"/>
  <c r="W61" i="9"/>
  <c r="W63" i="9"/>
  <c r="AB142" i="8"/>
  <c r="Q54" i="3" s="1"/>
  <c r="AB319" i="8"/>
  <c r="AB321" i="8" s="1"/>
  <c r="AC308" i="8"/>
  <c r="AC311" i="8" s="1"/>
  <c r="X111" i="8"/>
  <c r="Y111" i="8" s="1"/>
  <c r="W60" i="9"/>
  <c r="W65" i="9"/>
  <c r="W176" i="9"/>
  <c r="W196" i="9"/>
  <c r="W144" i="9"/>
  <c r="W152" i="9"/>
  <c r="M15" i="3"/>
  <c r="L33" i="14"/>
  <c r="AD278" i="8"/>
  <c r="AD281" i="8" s="1"/>
  <c r="AE278" i="8" s="1"/>
  <c r="AE281" i="8" s="1"/>
  <c r="Z278" i="8"/>
  <c r="Z281" i="8" s="1"/>
  <c r="W49" i="9"/>
  <c r="X77" i="8"/>
  <c r="AB130" i="8"/>
  <c r="Q42" i="3" s="1"/>
  <c r="AB220" i="8"/>
  <c r="Q43" i="3"/>
  <c r="Y202" i="8"/>
  <c r="X128" i="8"/>
  <c r="AB150" i="8"/>
  <c r="P63" i="3"/>
  <c r="X285" i="8"/>
  <c r="Y285" i="8" s="1"/>
  <c r="X267" i="8"/>
  <c r="X265" i="8" s="1"/>
  <c r="X266" i="8" s="1"/>
  <c r="Y93" i="10"/>
  <c r="W62" i="9"/>
  <c r="W64" i="9"/>
  <c r="Y283" i="8"/>
  <c r="Y267" i="8" s="1"/>
  <c r="Y265" i="8" s="1"/>
  <c r="Y266" i="8" s="1"/>
  <c r="AG85" i="8" l="1"/>
  <c r="AG87" i="8" s="1"/>
  <c r="AG208" i="8"/>
  <c r="Y75" i="10"/>
  <c r="AB221" i="8"/>
  <c r="AB227" i="8" s="1"/>
  <c r="AB81" i="8" s="1"/>
  <c r="AB232" i="8"/>
  <c r="AF97" i="8"/>
  <c r="Y67" i="3"/>
  <c r="AC130" i="8"/>
  <c r="AC220" i="8"/>
  <c r="W68" i="9"/>
  <c r="W71" i="9"/>
  <c r="X131" i="8"/>
  <c r="Y131" i="8" s="1"/>
  <c r="Y128" i="8"/>
  <c r="W40" i="3" s="1"/>
  <c r="N40" i="3"/>
  <c r="AC142" i="8"/>
  <c r="AC319" i="8"/>
  <c r="AC321" i="8" s="1"/>
  <c r="AE308" i="8"/>
  <c r="AE311" i="8" s="1"/>
  <c r="Z283" i="8"/>
  <c r="AA278" i="8"/>
  <c r="AA281" i="8" s="1"/>
  <c r="Y129" i="8"/>
  <c r="W41" i="3" s="1"/>
  <c r="N41" i="3"/>
  <c r="W72" i="9"/>
  <c r="W69" i="9"/>
  <c r="AC150" i="8"/>
  <c r="Q63" i="3"/>
  <c r="AF278" i="8"/>
  <c r="AF281" i="8" s="1"/>
  <c r="AE283" i="8"/>
  <c r="Y284" i="8"/>
  <c r="X34" i="8"/>
  <c r="X41" i="9"/>
  <c r="Y77" i="8"/>
  <c r="M16" i="3"/>
  <c r="M78" i="3" s="1"/>
  <c r="M17" i="3"/>
  <c r="W70" i="9"/>
  <c r="W73" i="9"/>
  <c r="N44" i="3" l="1"/>
  <c r="W44" i="3"/>
  <c r="AC221" i="8"/>
  <c r="AC227" i="8" s="1"/>
  <c r="AC81" i="8" s="1"/>
  <c r="AD81" i="8" s="1"/>
  <c r="O43" i="14" s="1"/>
  <c r="AC232" i="8"/>
  <c r="Z67" i="3"/>
  <c r="AA283" i="8"/>
  <c r="AB278" i="8"/>
  <c r="AB281" i="8" s="1"/>
  <c r="X60" i="8"/>
  <c r="Y60" i="8" s="1"/>
  <c r="X36" i="8"/>
  <c r="M38" i="14"/>
  <c r="Y34" i="8"/>
  <c r="N38" i="14" s="1"/>
  <c r="Z129" i="8"/>
  <c r="O41" i="3" s="1"/>
  <c r="Z267" i="8"/>
  <c r="Z265" i="8" s="1"/>
  <c r="Z266" i="8" s="1"/>
  <c r="Z285" i="8"/>
  <c r="AD220" i="8"/>
  <c r="AD232" i="8" s="1"/>
  <c r="AD144" i="10"/>
  <c r="AD142" i="8"/>
  <c r="X54" i="3" s="1"/>
  <c r="R54" i="3"/>
  <c r="AE267" i="8"/>
  <c r="AE265" i="8" s="1"/>
  <c r="AE266" i="8" s="1"/>
  <c r="AE285" i="8"/>
  <c r="X42" i="9"/>
  <c r="X43" i="9"/>
  <c r="X44" i="9"/>
  <c r="X45" i="9"/>
  <c r="X46" i="9"/>
  <c r="X47" i="9"/>
  <c r="X59" i="9"/>
  <c r="AF283" i="8"/>
  <c r="AG278" i="8"/>
  <c r="AG281" i="8" s="1"/>
  <c r="AG283" i="8" s="1"/>
  <c r="AF308" i="8"/>
  <c r="AF311" i="8" s="1"/>
  <c r="AE319" i="8"/>
  <c r="AE321" i="8" s="1"/>
  <c r="AE142" i="8"/>
  <c r="Y54" i="3" s="1"/>
  <c r="X43" i="3"/>
  <c r="R43" i="3"/>
  <c r="AD150" i="8"/>
  <c r="R63" i="3"/>
  <c r="AD130" i="8"/>
  <c r="X42" i="3" s="1"/>
  <c r="R42" i="3"/>
  <c r="AA67" i="3" l="1"/>
  <c r="AG97" i="8"/>
  <c r="AD221" i="8"/>
  <c r="AD227" i="8" s="1"/>
  <c r="X61" i="9"/>
  <c r="Y43" i="9"/>
  <c r="Z77" i="8"/>
  <c r="Z111" i="8"/>
  <c r="Z203" i="8"/>
  <c r="X49" i="9"/>
  <c r="X60" i="9"/>
  <c r="Y42" i="9"/>
  <c r="AF142" i="8"/>
  <c r="Z54" i="3" s="1"/>
  <c r="AG308" i="8"/>
  <c r="AG311" i="8" s="1"/>
  <c r="AF319" i="8"/>
  <c r="AF321" i="8" s="1"/>
  <c r="H17" i="19" a="1"/>
  <c r="H17" i="19" s="1"/>
  <c r="X144" i="9"/>
  <c r="X196" i="9"/>
  <c r="X152" i="9"/>
  <c r="M33" i="14"/>
  <c r="X176" i="9"/>
  <c r="N15" i="3"/>
  <c r="I17" i="19" a="1"/>
  <c r="I17" i="19" s="1"/>
  <c r="I18" i="19" s="1"/>
  <c r="H17" i="18" a="1"/>
  <c r="H17" i="18" s="1"/>
  <c r="Y36" i="8"/>
  <c r="AE150" i="8"/>
  <c r="X63" i="3"/>
  <c r="X64" i="9"/>
  <c r="Y46" i="9"/>
  <c r="AC278" i="8"/>
  <c r="AC281" i="8" s="1"/>
  <c r="AC283" i="8" s="1"/>
  <c r="AB283" i="8"/>
  <c r="X65" i="9"/>
  <c r="Y47" i="9"/>
  <c r="Y43" i="3"/>
  <c r="AG267" i="8"/>
  <c r="AG265" i="8" s="1"/>
  <c r="AG266" i="8" s="1"/>
  <c r="AG285" i="8"/>
  <c r="X63" i="9"/>
  <c r="Y45" i="9"/>
  <c r="AF267" i="8"/>
  <c r="AF265" i="8" s="1"/>
  <c r="AF266" i="8" s="1"/>
  <c r="AF285" i="8"/>
  <c r="X62" i="9"/>
  <c r="Y44" i="9"/>
  <c r="AE130" i="8"/>
  <c r="Y42" i="3" s="1"/>
  <c r="AE220" i="8"/>
  <c r="AA267" i="8"/>
  <c r="AA265" i="8" s="1"/>
  <c r="AA266" i="8" s="1"/>
  <c r="AA285" i="8"/>
  <c r="AE221" i="8" l="1"/>
  <c r="AE227" i="8" s="1"/>
  <c r="AE81" i="8" s="1"/>
  <c r="P43" i="14" s="1"/>
  <c r="AE232" i="8"/>
  <c r="AA129" i="8"/>
  <c r="P41" i="3" s="1"/>
  <c r="X71" i="9"/>
  <c r="Y62" i="9"/>
  <c r="AA43" i="3"/>
  <c r="Z43" i="3"/>
  <c r="Y176" i="9"/>
  <c r="Y144" i="9"/>
  <c r="W15" i="3"/>
  <c r="N33" i="14"/>
  <c r="AG142" i="8"/>
  <c r="AA54" i="3" s="1"/>
  <c r="AG319" i="8"/>
  <c r="AG321" i="8" s="1"/>
  <c r="L17" i="18"/>
  <c r="M17" i="18"/>
  <c r="N17" i="18"/>
  <c r="H18" i="18"/>
  <c r="Z128" i="8"/>
  <c r="M17" i="19"/>
  <c r="N17" i="19"/>
  <c r="O17" i="19"/>
  <c r="H18" i="19"/>
  <c r="P17" i="19"/>
  <c r="Y41" i="9"/>
  <c r="Y60" i="9"/>
  <c r="Z34" i="8"/>
  <c r="Z41" i="9"/>
  <c r="AF130" i="8"/>
  <c r="Z42" i="3" s="1"/>
  <c r="AF220" i="8"/>
  <c r="Y63" i="9"/>
  <c r="Y65" i="9"/>
  <c r="X73" i="9"/>
  <c r="X72" i="9"/>
  <c r="N17" i="3"/>
  <c r="N16" i="3"/>
  <c r="N78" i="3" s="1"/>
  <c r="X70" i="9"/>
  <c r="AB267" i="8"/>
  <c r="AB265" i="8" s="1"/>
  <c r="AB266" i="8" s="1"/>
  <c r="AB285" i="8"/>
  <c r="AD283" i="8"/>
  <c r="AD267" i="8" s="1"/>
  <c r="AD265" i="8" s="1"/>
  <c r="AD266" i="8" s="1"/>
  <c r="X68" i="9"/>
  <c r="Y61" i="9"/>
  <c r="Y64" i="9"/>
  <c r="AC285" i="8"/>
  <c r="AC267" i="8"/>
  <c r="AC265" i="8" s="1"/>
  <c r="AC266" i="8" s="1"/>
  <c r="AF150" i="8"/>
  <c r="Y63" i="3"/>
  <c r="X69" i="9"/>
  <c r="Y52" i="9" l="1"/>
  <c r="Y86" i="10" s="1"/>
  <c r="Y53" i="9"/>
  <c r="Y87" i="10" s="1"/>
  <c r="AF221" i="8"/>
  <c r="AF227" i="8" s="1"/>
  <c r="AF81" i="8" s="1"/>
  <c r="Q43" i="14" s="1"/>
  <c r="AF232" i="8"/>
  <c r="Y55" i="9"/>
  <c r="Y89" i="10" s="1"/>
  <c r="Z36" i="8"/>
  <c r="Z60" i="8"/>
  <c r="N18" i="18"/>
  <c r="L18" i="18"/>
  <c r="M18" i="18"/>
  <c r="Y54" i="9"/>
  <c r="Y88" i="10" s="1"/>
  <c r="AG130" i="8"/>
  <c r="AA42" i="3" s="1"/>
  <c r="AG220" i="8"/>
  <c r="W16" i="3"/>
  <c r="W17" i="3"/>
  <c r="Y59" i="9"/>
  <c r="Y73" i="9" s="1"/>
  <c r="Y49" i="9"/>
  <c r="Y56" i="9"/>
  <c r="Y90" i="10" s="1"/>
  <c r="AD285" i="8"/>
  <c r="AD284" i="8" s="1"/>
  <c r="Y57" i="9"/>
  <c r="Y91" i="10" s="1"/>
  <c r="Z42" i="9"/>
  <c r="Z45" i="9"/>
  <c r="Z44" i="9"/>
  <c r="Z47" i="9"/>
  <c r="Z59" i="9"/>
  <c r="Z43" i="9"/>
  <c r="Z46" i="9"/>
  <c r="Z131" i="8"/>
  <c r="O40" i="3"/>
  <c r="O44" i="3" s="1"/>
  <c r="AG150" i="8"/>
  <c r="AA63" i="3" s="1"/>
  <c r="Z63" i="3"/>
  <c r="M18" i="19"/>
  <c r="N18" i="19"/>
  <c r="O18" i="19"/>
  <c r="P18" i="19"/>
  <c r="AG221" i="8" l="1"/>
  <c r="AG227" i="8" s="1"/>
  <c r="AG81" i="8" s="1"/>
  <c r="R43" i="14" s="1"/>
  <c r="AG232" i="8"/>
  <c r="Y71" i="9"/>
  <c r="Y69" i="9"/>
  <c r="Y72" i="9"/>
  <c r="Z61" i="9"/>
  <c r="Z60" i="9"/>
  <c r="Y68" i="9"/>
  <c r="AB129" i="8"/>
  <c r="Q41" i="3" s="1"/>
  <c r="Z65" i="9"/>
  <c r="Y70" i="9"/>
  <c r="AA77" i="8"/>
  <c r="AA111" i="8"/>
  <c r="AA203" i="8"/>
  <c r="Z62" i="9"/>
  <c r="G7" i="16"/>
  <c r="W78" i="3"/>
  <c r="Z196" i="9"/>
  <c r="Z144" i="9"/>
  <c r="Z152" i="9"/>
  <c r="Z176" i="9"/>
  <c r="O15" i="3"/>
  <c r="Z49" i="9"/>
  <c r="Z64" i="9"/>
  <c r="Z63" i="9"/>
  <c r="Z68" i="9" l="1"/>
  <c r="Z71" i="9"/>
  <c r="Z69" i="9"/>
  <c r="Z73" i="9"/>
  <c r="Z72" i="9"/>
  <c r="AA128" i="8"/>
  <c r="Z70" i="9"/>
  <c r="O17" i="3"/>
  <c r="O16" i="3"/>
  <c r="O78" i="3" s="1"/>
  <c r="AA34" i="8"/>
  <c r="AA41" i="9"/>
  <c r="AD93" i="10" l="1"/>
  <c r="AA42" i="9"/>
  <c r="AA43" i="9"/>
  <c r="AA44" i="9"/>
  <c r="AA45" i="9"/>
  <c r="AA46" i="9"/>
  <c r="AA47" i="9"/>
  <c r="AA59" i="9"/>
  <c r="AA131" i="8"/>
  <c r="P40" i="3"/>
  <c r="P44" i="3" s="1"/>
  <c r="AA36" i="8"/>
  <c r="AA60" i="8"/>
  <c r="AC129" i="8" l="1"/>
  <c r="AD129" i="8" s="1"/>
  <c r="X41" i="3" s="1"/>
  <c r="AA63" i="9"/>
  <c r="AA61" i="9"/>
  <c r="AA60" i="9"/>
  <c r="AA144" i="9"/>
  <c r="AA196" i="9"/>
  <c r="AA176" i="9"/>
  <c r="P15" i="3"/>
  <c r="AA152" i="9"/>
  <c r="AB128" i="8"/>
  <c r="AA62" i="9"/>
  <c r="AA49" i="9"/>
  <c r="AA65" i="9"/>
  <c r="AA64" i="9"/>
  <c r="AB77" i="8"/>
  <c r="AB111" i="8"/>
  <c r="AB203" i="8"/>
  <c r="R41" i="3" l="1"/>
  <c r="AA73" i="9"/>
  <c r="E277" i="14"/>
  <c r="M277" i="14" s="1"/>
  <c r="AE129" i="8"/>
  <c r="P16" i="3"/>
  <c r="P78" i="3" s="1"/>
  <c r="P17" i="3"/>
  <c r="AA68" i="9"/>
  <c r="E272" i="14"/>
  <c r="M272" i="14" s="1"/>
  <c r="AC128" i="8"/>
  <c r="AA69" i="9"/>
  <c r="E273" i="14"/>
  <c r="M273" i="14" s="1"/>
  <c r="AB34" i="8"/>
  <c r="AB41" i="9"/>
  <c r="AA72" i="9"/>
  <c r="E276" i="14"/>
  <c r="M276" i="14" s="1"/>
  <c r="AA70" i="9"/>
  <c r="E274" i="14"/>
  <c r="M274" i="14" s="1"/>
  <c r="AB131" i="8"/>
  <c r="Q40" i="3"/>
  <c r="Q44" i="3" s="1"/>
  <c r="AA71" i="9"/>
  <c r="E275" i="14"/>
  <c r="M275" i="14" s="1"/>
  <c r="Y41" i="3" l="1"/>
  <c r="R272" i="14"/>
  <c r="AC131" i="8"/>
  <c r="AD131" i="8" s="1"/>
  <c r="AD128" i="8"/>
  <c r="X40" i="3" s="1"/>
  <c r="X44" i="3" s="1"/>
  <c r="R40" i="3"/>
  <c r="R44" i="3" s="1"/>
  <c r="AB42" i="9"/>
  <c r="AB43" i="9"/>
  <c r="AB44" i="9"/>
  <c r="AB45" i="9"/>
  <c r="AB46" i="9"/>
  <c r="AB47" i="9"/>
  <c r="AB59" i="9"/>
  <c r="AC77" i="8"/>
  <c r="AC111" i="8"/>
  <c r="AD111" i="8" s="1"/>
  <c r="AC203" i="8"/>
  <c r="AB36" i="8"/>
  <c r="AB60" i="8"/>
  <c r="AB61" i="9" l="1"/>
  <c r="AB69" i="9" s="1"/>
  <c r="AB49" i="9"/>
  <c r="AB60" i="9"/>
  <c r="AB68" i="9" s="1"/>
  <c r="AF129" i="8"/>
  <c r="AD203" i="8"/>
  <c r="AB65" i="9"/>
  <c r="AB73" i="9" s="1"/>
  <c r="AB62" i="9"/>
  <c r="AB70" i="9" s="1"/>
  <c r="AB152" i="9"/>
  <c r="AB176" i="9"/>
  <c r="Q15" i="3"/>
  <c r="AB144" i="9"/>
  <c r="AB196" i="9"/>
  <c r="AB64" i="9"/>
  <c r="AB72" i="9" s="1"/>
  <c r="AC34" i="8"/>
  <c r="AC41" i="9"/>
  <c r="AD77" i="8"/>
  <c r="AB63" i="9"/>
  <c r="AB71" i="9" s="1"/>
  <c r="Z41" i="3" l="1"/>
  <c r="AD202" i="8"/>
  <c r="AD75" i="10" s="1"/>
  <c r="AC42" i="9"/>
  <c r="AC43" i="9"/>
  <c r="AC44" i="9"/>
  <c r="AC45" i="9"/>
  <c r="AC46" i="9"/>
  <c r="AC47" i="9"/>
  <c r="AC59" i="9"/>
  <c r="AC36" i="8"/>
  <c r="AC60" i="8"/>
  <c r="AD60" i="8" s="1"/>
  <c r="AD34" i="8"/>
  <c r="O38" i="14" s="1"/>
  <c r="Q16" i="3"/>
  <c r="Q78" i="3" s="1"/>
  <c r="Q17" i="3"/>
  <c r="AG129" i="8"/>
  <c r="AA41" i="3" l="1"/>
  <c r="AC62" i="9"/>
  <c r="AC70" i="9" s="1"/>
  <c r="AD44" i="9"/>
  <c r="AC61" i="9"/>
  <c r="AC69" i="9" s="1"/>
  <c r="AD43" i="9"/>
  <c r="AC60" i="9"/>
  <c r="AC68" i="9" s="1"/>
  <c r="AD42" i="9"/>
  <c r="AC63" i="9"/>
  <c r="AC71" i="9" s="1"/>
  <c r="AD45" i="9"/>
  <c r="AC49" i="9"/>
  <c r="AC65" i="9"/>
  <c r="AC73" i="9" s="1"/>
  <c r="AD47" i="9"/>
  <c r="AE77" i="8"/>
  <c r="AE111" i="8"/>
  <c r="AE203" i="8"/>
  <c r="AC176" i="9"/>
  <c r="AC144" i="9"/>
  <c r="R15" i="3"/>
  <c r="AC152" i="9"/>
  <c r="AC196" i="9"/>
  <c r="AD36" i="8"/>
  <c r="AC64" i="9"/>
  <c r="AC72" i="9" s="1"/>
  <c r="AD46" i="9"/>
  <c r="AD61" i="9" l="1"/>
  <c r="AE34" i="8"/>
  <c r="AE41" i="9"/>
  <c r="R16" i="3"/>
  <c r="R78" i="3" s="1"/>
  <c r="R17" i="3"/>
  <c r="AD41" i="9"/>
  <c r="AD52" i="9" s="1"/>
  <c r="AD86" i="10" s="1"/>
  <c r="AD60" i="9"/>
  <c r="AD65" i="9"/>
  <c r="AD176" i="9"/>
  <c r="X15" i="3"/>
  <c r="AD144" i="9"/>
  <c r="O33" i="14"/>
  <c r="AD63" i="9"/>
  <c r="AD62" i="9"/>
  <c r="AD64" i="9"/>
  <c r="AD55" i="9" l="1"/>
  <c r="AD89" i="10" s="1"/>
  <c r="AD57" i="9"/>
  <c r="AD91" i="10" s="1"/>
  <c r="AD56" i="9"/>
  <c r="AD90" i="10" s="1"/>
  <c r="AE42" i="9"/>
  <c r="AE60" i="9" s="1"/>
  <c r="AE45" i="9"/>
  <c r="AE63" i="9" s="1"/>
  <c r="AE44" i="9"/>
  <c r="AE62" i="9" s="1"/>
  <c r="AE47" i="9"/>
  <c r="AE65" i="9" s="1"/>
  <c r="AE59" i="9"/>
  <c r="AE43" i="9"/>
  <c r="AE61" i="9" s="1"/>
  <c r="AE46" i="9"/>
  <c r="AE64" i="9" s="1"/>
  <c r="AE60" i="8"/>
  <c r="AE36" i="8"/>
  <c r="P38" i="14"/>
  <c r="X17" i="3"/>
  <c r="X16" i="3"/>
  <c r="AD49" i="9"/>
  <c r="AD59" i="9"/>
  <c r="AD73" i="9" s="1"/>
  <c r="AD54" i="9"/>
  <c r="AD88" i="10" s="1"/>
  <c r="AD53" i="9"/>
  <c r="AD87" i="10" s="1"/>
  <c r="AE70" i="9" l="1"/>
  <c r="AE71" i="9"/>
  <c r="AE69" i="9"/>
  <c r="AE72" i="9"/>
  <c r="AE73" i="9"/>
  <c r="AD69" i="9"/>
  <c r="AD68" i="9"/>
  <c r="AD71" i="9"/>
  <c r="AD70" i="9"/>
  <c r="AE49" i="9"/>
  <c r="AE196" i="9"/>
  <c r="AE152" i="9"/>
  <c r="AE176" i="9"/>
  <c r="AE144" i="9"/>
  <c r="Y15" i="3"/>
  <c r="P33" i="14"/>
  <c r="AD72" i="9"/>
  <c r="AE68" i="9"/>
  <c r="H7" i="16"/>
  <c r="X78" i="3"/>
  <c r="Y16" i="3" l="1"/>
  <c r="Y17" i="3"/>
  <c r="I7" i="16" l="1"/>
  <c r="Y78" i="3"/>
  <c r="AF111" i="8" l="1"/>
  <c r="AE128" i="8"/>
  <c r="AF203" i="8"/>
  <c r="AF77" i="8"/>
  <c r="Y40" i="3" l="1"/>
  <c r="Y44" i="3" s="1"/>
  <c r="AE131" i="8"/>
  <c r="AF41" i="9"/>
  <c r="AF34" i="8"/>
  <c r="Q38" i="14" l="1"/>
  <c r="AF60" i="8"/>
  <c r="AF36" i="8"/>
  <c r="AF42" i="9"/>
  <c r="AF60" i="9" s="1"/>
  <c r="AF43" i="9"/>
  <c r="AF61" i="9" s="1"/>
  <c r="AF59" i="9"/>
  <c r="AF45" i="9"/>
  <c r="AF63" i="9" s="1"/>
  <c r="AF44" i="9"/>
  <c r="AF62" i="9" s="1"/>
  <c r="AF46" i="9"/>
  <c r="AF64" i="9" s="1"/>
  <c r="AF47" i="9"/>
  <c r="AF65" i="9" s="1"/>
  <c r="AF72" i="9" l="1"/>
  <c r="AF73" i="9"/>
  <c r="AF71" i="9"/>
  <c r="AF70" i="9"/>
  <c r="AF69" i="9"/>
  <c r="AF49" i="9"/>
  <c r="AF68" i="9"/>
  <c r="Z15" i="3"/>
  <c r="AF152" i="9"/>
  <c r="Q33" i="14"/>
  <c r="AF144" i="9"/>
  <c r="AF176" i="9"/>
  <c r="AF196" i="9"/>
  <c r="Z16" i="3" l="1"/>
  <c r="Z78" i="3" s="1"/>
  <c r="Z17" i="3"/>
  <c r="AG77" i="8"/>
  <c r="AG111" i="8"/>
  <c r="AG203" i="8"/>
  <c r="AG41" i="9" l="1"/>
  <c r="AG34" i="8"/>
  <c r="AG60" i="8" l="1"/>
  <c r="R38" i="14"/>
  <c r="AG36" i="8"/>
  <c r="AG42" i="9"/>
  <c r="AG60" i="9" s="1"/>
  <c r="AG43" i="9"/>
  <c r="AG61" i="9" s="1"/>
  <c r="AG44" i="9"/>
  <c r="AG62" i="9" s="1"/>
  <c r="AG45" i="9"/>
  <c r="AG63" i="9" s="1"/>
  <c r="AG46" i="9"/>
  <c r="AG64" i="9" s="1"/>
  <c r="AG47" i="9"/>
  <c r="AG65" i="9" s="1"/>
  <c r="AG59" i="9"/>
  <c r="AG73" i="9" l="1"/>
  <c r="AG68" i="9"/>
  <c r="AG49" i="9"/>
  <c r="AG71" i="9"/>
  <c r="AG69" i="9"/>
  <c r="AG72" i="9"/>
  <c r="AG70" i="9"/>
  <c r="AG152" i="9"/>
  <c r="AG176" i="9"/>
  <c r="AG144" i="9"/>
  <c r="AA15" i="3"/>
  <c r="R33" i="14"/>
  <c r="AG196" i="9"/>
  <c r="AA16" i="3" l="1"/>
  <c r="AA78" i="3" s="1"/>
  <c r="AA17" i="3"/>
  <c r="AE15" i="3"/>
  <c r="AF128" i="8"/>
  <c r="AG128" i="8"/>
  <c r="AA40" i="3" l="1"/>
  <c r="AA44" i="3" s="1"/>
  <c r="AG131" i="8"/>
  <c r="Z40" i="3"/>
  <c r="Z44" i="3" s="1"/>
  <c r="AF131" i="8"/>
  <c r="K246" i="8" l="1"/>
  <c r="O246" i="8" s="1"/>
  <c r="Y85" i="8"/>
  <c r="V87" i="8"/>
  <c r="Y87" i="8" s="1"/>
  <c r="V131" i="8"/>
  <c r="L41" i="3"/>
  <c r="L44" i="3" s="1"/>
  <c r="Y67" i="10"/>
  <c r="V140" i="10"/>
  <c r="V142" i="10"/>
  <c r="V140" i="8"/>
  <c r="V139" i="10" l="1"/>
  <c r="W141" i="10"/>
  <c r="W140" i="10" s="1"/>
  <c r="W142" i="10" l="1"/>
  <c r="W140" i="8"/>
  <c r="W139" i="10" l="1"/>
  <c r="X141" i="10"/>
  <c r="X142" i="10" l="1"/>
  <c r="X140" i="10"/>
  <c r="X140" i="8"/>
  <c r="X139" i="10" l="1"/>
  <c r="Y140" i="8"/>
  <c r="Y139" i="10" l="1"/>
  <c r="Z141" i="10"/>
  <c r="Z140" i="8" l="1"/>
  <c r="Z142" i="10"/>
  <c r="Z140" i="10"/>
  <c r="Z139" i="10" s="1"/>
  <c r="AA141" i="10" l="1"/>
  <c r="AA140" i="8" l="1"/>
  <c r="AA140" i="10"/>
  <c r="AA142" i="10"/>
  <c r="AA139" i="10" l="1"/>
  <c r="AB141" i="10"/>
  <c r="AB140" i="8" l="1"/>
  <c r="AB142" i="10"/>
  <c r="AB140" i="10"/>
  <c r="AB139" i="10"/>
  <c r="AC141" i="10" l="1"/>
  <c r="AC140" i="8" l="1"/>
  <c r="AC142" i="10"/>
  <c r="AC140" i="10"/>
  <c r="AC139" i="10" s="1"/>
  <c r="AD140" i="8" l="1"/>
  <c r="AE141" i="10" l="1"/>
  <c r="AD139" i="10"/>
  <c r="AE140" i="10" l="1"/>
  <c r="AE142" i="10"/>
  <c r="AE140" i="8"/>
  <c r="AE139" i="10" l="1"/>
  <c r="AF141" i="10"/>
  <c r="AF142" i="10" l="1"/>
  <c r="AF140" i="10"/>
  <c r="AF139" i="10" s="1"/>
  <c r="AF140" i="8"/>
  <c r="AG141" i="10" l="1"/>
  <c r="AG140" i="10" l="1"/>
  <c r="AG142" i="10"/>
  <c r="AG140" i="8"/>
  <c r="AG139" i="10" l="1"/>
  <c r="K66" i="14"/>
  <c r="R66" i="14" s="1"/>
  <c r="K68" i="14"/>
  <c r="N129" i="14" s="1"/>
  <c r="N127" i="14"/>
  <c r="R127" i="14" s="1"/>
  <c r="N205" i="14"/>
  <c r="R205" i="14" s="1"/>
  <c r="R274" i="14"/>
  <c r="N207" i="14" l="1"/>
  <c r="R207" i="14" s="1"/>
  <c r="R129" i="14"/>
  <c r="R68" i="14"/>
  <c r="R276" i="14"/>
  <c r="R281" i="14" s="1"/>
  <c r="R284" i="14" s="1"/>
  <c r="R285" i="14" l="1"/>
  <c r="Q22" i="14"/>
  <c r="R22" i="14" s="1"/>
  <c r="V20" i="5"/>
  <c r="V19" i="5"/>
  <c r="U25" i="5"/>
  <c r="G8" i="16"/>
  <c r="H8" i="16"/>
  <c r="I8" i="16"/>
  <c r="G9" i="16"/>
  <c r="H9" i="16"/>
  <c r="I9" i="16"/>
  <c r="G71" i="16" a="1"/>
  <c r="G71" i="16"/>
  <c r="H71" i="16" a="1"/>
  <c r="H71" i="16"/>
  <c r="I71" i="16" a="1"/>
  <c r="I71" i="16"/>
  <c r="O71" i="16" a="1"/>
  <c r="O71" i="16"/>
  <c r="P71" i="16" a="1"/>
  <c r="P71" i="16"/>
  <c r="Q71" i="16" a="1"/>
  <c r="Q71" i="16"/>
  <c r="G72" i="16"/>
  <c r="H72" i="16"/>
  <c r="I72" i="16"/>
  <c r="O72" i="16"/>
  <c r="P72" i="16"/>
  <c r="Q72" i="16"/>
  <c r="L9" i="2"/>
  <c r="L10" i="2"/>
  <c r="P11" i="2"/>
  <c r="Q11" i="2"/>
  <c r="L12" i="2"/>
  <c r="L13" i="2"/>
  <c r="P13" i="2"/>
  <c r="Q13" i="2"/>
  <c r="L16" i="2"/>
  <c r="L17" i="2"/>
  <c r="P18" i="2"/>
  <c r="Q18" i="2"/>
  <c r="L19" i="2"/>
  <c r="L20" i="2"/>
  <c r="P20" i="2"/>
  <c r="Q20" i="2"/>
  <c r="Y62" i="10"/>
  <c r="AD62" i="10"/>
  <c r="D7" i="6"/>
  <c r="D13" i="6"/>
  <c r="D14" i="6"/>
  <c r="V38" i="8"/>
  <c r="W38" i="8"/>
  <c r="X38" i="8"/>
  <c r="Y38" i="8"/>
  <c r="Z38" i="8"/>
  <c r="AA38" i="8"/>
  <c r="AB38" i="8"/>
  <c r="AC38" i="8"/>
  <c r="AD38" i="8"/>
  <c r="AE38" i="8"/>
  <c r="AF38" i="8"/>
  <c r="AG38" i="8"/>
  <c r="V39" i="8"/>
  <c r="W39" i="8"/>
  <c r="X39" i="8"/>
  <c r="Y39" i="8"/>
  <c r="Z39" i="8"/>
  <c r="AA39" i="8"/>
  <c r="AB39" i="8"/>
  <c r="AC39" i="8"/>
  <c r="AD39" i="8"/>
  <c r="AE39" i="8"/>
  <c r="AF39" i="8"/>
  <c r="AG39" i="8"/>
  <c r="V42" i="8"/>
  <c r="W42" i="8"/>
  <c r="X42" i="8"/>
  <c r="Y42" i="8"/>
  <c r="Z42" i="8"/>
  <c r="AA42" i="8"/>
  <c r="AB42" i="8"/>
  <c r="AC42" i="8"/>
  <c r="AD42" i="8"/>
  <c r="AE42" i="8"/>
  <c r="AF42" i="8"/>
  <c r="AG42" i="8"/>
  <c r="V44" i="8"/>
  <c r="W44" i="8"/>
  <c r="X44" i="8"/>
  <c r="Y44" i="8"/>
  <c r="Z44" i="8"/>
  <c r="AA44" i="8"/>
  <c r="AB44" i="8"/>
  <c r="AC44" i="8"/>
  <c r="AD44" i="8"/>
  <c r="AE44" i="8"/>
  <c r="AF44" i="8"/>
  <c r="AG44" i="8"/>
  <c r="V45" i="8"/>
  <c r="W45" i="8"/>
  <c r="X45" i="8"/>
  <c r="Y45" i="8"/>
  <c r="Z45" i="8"/>
  <c r="AA45" i="8"/>
  <c r="AB45" i="8"/>
  <c r="AC45" i="8"/>
  <c r="AD45" i="8"/>
  <c r="AE45" i="8"/>
  <c r="AF45" i="8"/>
  <c r="AG45" i="8"/>
  <c r="V51" i="8"/>
  <c r="W51" i="8"/>
  <c r="X51" i="8"/>
  <c r="Y51" i="8"/>
  <c r="Z51" i="8"/>
  <c r="AA51" i="8"/>
  <c r="AB51" i="8"/>
  <c r="AC51" i="8"/>
  <c r="AD51" i="8"/>
  <c r="AE51" i="8"/>
  <c r="AF51" i="8"/>
  <c r="AG51" i="8"/>
  <c r="V53" i="8"/>
  <c r="W53" i="8"/>
  <c r="X53" i="8"/>
  <c r="Y53" i="8"/>
  <c r="Z53" i="8"/>
  <c r="AA53" i="8"/>
  <c r="AB53" i="8"/>
  <c r="AC53" i="8"/>
  <c r="AD53" i="8"/>
  <c r="AE53" i="8"/>
  <c r="AF53" i="8"/>
  <c r="AG53" i="8"/>
  <c r="V54" i="8"/>
  <c r="W54" i="8"/>
  <c r="X54" i="8"/>
  <c r="Y54" i="8"/>
  <c r="Z54" i="8"/>
  <c r="AA54" i="8"/>
  <c r="AB54" i="8"/>
  <c r="AC54" i="8"/>
  <c r="AD54" i="8"/>
  <c r="AE54" i="8"/>
  <c r="AF54" i="8"/>
  <c r="AG54" i="8"/>
  <c r="V56" i="8"/>
  <c r="W56" i="8"/>
  <c r="X56" i="8"/>
  <c r="Y56" i="8"/>
  <c r="Z56" i="8"/>
  <c r="AA56" i="8"/>
  <c r="AB56" i="8"/>
  <c r="AC56" i="8"/>
  <c r="AD56" i="8"/>
  <c r="AE56" i="8"/>
  <c r="AF56" i="8"/>
  <c r="AG56" i="8"/>
  <c r="V57" i="8"/>
  <c r="W57" i="8"/>
  <c r="X57" i="8"/>
  <c r="Y57" i="8"/>
  <c r="Z57" i="8"/>
  <c r="AA57" i="8"/>
  <c r="AB57" i="8"/>
  <c r="AC57" i="8"/>
  <c r="AD57" i="8"/>
  <c r="AE57" i="8"/>
  <c r="AF57" i="8"/>
  <c r="AG57" i="8"/>
  <c r="V59" i="8"/>
  <c r="W59" i="8"/>
  <c r="X59" i="8"/>
  <c r="Y59" i="8"/>
  <c r="Z59" i="8"/>
  <c r="AA59" i="8"/>
  <c r="AB59" i="8"/>
  <c r="AC59" i="8"/>
  <c r="AD59" i="8"/>
  <c r="AE59" i="8"/>
  <c r="AF59" i="8"/>
  <c r="AG59" i="8"/>
  <c r="V61" i="8"/>
  <c r="W61" i="8"/>
  <c r="X61" i="8"/>
  <c r="Y61" i="8"/>
  <c r="Z61" i="8"/>
  <c r="AA61" i="8"/>
  <c r="AB61" i="8"/>
  <c r="AC61" i="8"/>
  <c r="AD61" i="8"/>
  <c r="AE61" i="8"/>
  <c r="AF61" i="8"/>
  <c r="AG61" i="8"/>
  <c r="Y71" i="8"/>
  <c r="AD71" i="8"/>
  <c r="V76" i="8"/>
  <c r="W76" i="8"/>
  <c r="X76" i="8"/>
  <c r="Y76" i="8"/>
  <c r="Z76" i="8"/>
  <c r="AA76" i="8"/>
  <c r="AB76" i="8"/>
  <c r="AC76" i="8"/>
  <c r="AD76" i="8"/>
  <c r="AE76" i="8"/>
  <c r="AF76" i="8"/>
  <c r="AG76" i="8"/>
  <c r="V82" i="8"/>
  <c r="W82" i="8"/>
  <c r="X82" i="8"/>
  <c r="Y82" i="8"/>
  <c r="Z82" i="8"/>
  <c r="AA82" i="8"/>
  <c r="AB82" i="8"/>
  <c r="AC82" i="8"/>
  <c r="AD82" i="8"/>
  <c r="AE82" i="8"/>
  <c r="AF82" i="8"/>
  <c r="AG82" i="8"/>
  <c r="V89" i="8"/>
  <c r="W89" i="8"/>
  <c r="X89" i="8"/>
  <c r="Y89" i="8"/>
  <c r="Z89" i="8"/>
  <c r="AA89" i="8"/>
  <c r="AB89" i="8"/>
  <c r="AC89" i="8"/>
  <c r="AD89" i="8"/>
  <c r="AE89" i="8"/>
  <c r="AF89" i="8"/>
  <c r="AG89" i="8"/>
  <c r="V91" i="8"/>
  <c r="W91" i="8"/>
  <c r="X91" i="8"/>
  <c r="Z91" i="8"/>
  <c r="AA91" i="8"/>
  <c r="AB91" i="8"/>
  <c r="AC91" i="8"/>
  <c r="AE91" i="8"/>
  <c r="AF91" i="8"/>
  <c r="AG91" i="8"/>
  <c r="V98" i="8"/>
  <c r="W98" i="8"/>
  <c r="X98" i="8"/>
  <c r="Y98" i="8"/>
  <c r="Z98" i="8"/>
  <c r="AA98" i="8"/>
  <c r="AB98" i="8"/>
  <c r="AC98" i="8"/>
  <c r="AD98" i="8"/>
  <c r="AE98" i="8"/>
  <c r="AF98" i="8"/>
  <c r="AG98" i="8"/>
  <c r="W104" i="8"/>
  <c r="X104" i="8"/>
  <c r="Z104" i="8"/>
  <c r="AA104" i="8"/>
  <c r="AB104" i="8"/>
  <c r="AC104" i="8"/>
  <c r="AD104" i="8"/>
  <c r="AE104" i="8"/>
  <c r="AF104" i="8"/>
  <c r="AG104" i="8"/>
  <c r="V105" i="8"/>
  <c r="W105" i="8"/>
  <c r="X105" i="8"/>
  <c r="Y105" i="8"/>
  <c r="Z105" i="8"/>
  <c r="AA105" i="8"/>
  <c r="AB105" i="8"/>
  <c r="AC105" i="8"/>
  <c r="AD105" i="8"/>
  <c r="AE105" i="8"/>
  <c r="AF105" i="8"/>
  <c r="AG105" i="8"/>
  <c r="V106" i="8"/>
  <c r="W106" i="8"/>
  <c r="X106" i="8"/>
  <c r="Y106" i="8"/>
  <c r="Z106" i="8"/>
  <c r="AA106" i="8"/>
  <c r="AB106" i="8"/>
  <c r="AC106" i="8"/>
  <c r="AD106" i="8"/>
  <c r="AE106" i="8"/>
  <c r="AF106" i="8"/>
  <c r="AG106" i="8"/>
  <c r="V110" i="8"/>
  <c r="W110" i="8"/>
  <c r="X110" i="8"/>
  <c r="Y110" i="8"/>
  <c r="Z110" i="8"/>
  <c r="AA110" i="8"/>
  <c r="AB110" i="8"/>
  <c r="AC110" i="8"/>
  <c r="AD110" i="8"/>
  <c r="AE110" i="8"/>
  <c r="AF110" i="8"/>
  <c r="AG110" i="8"/>
  <c r="V114" i="8"/>
  <c r="W114" i="8"/>
  <c r="X114" i="8"/>
  <c r="Y114" i="8"/>
  <c r="Z114" i="8"/>
  <c r="AA114" i="8"/>
  <c r="AB114" i="8"/>
  <c r="AC114" i="8"/>
  <c r="AD114" i="8"/>
  <c r="AE114" i="8"/>
  <c r="AF114" i="8"/>
  <c r="AG114" i="8"/>
  <c r="V116" i="8"/>
  <c r="W116" i="8"/>
  <c r="X116" i="8"/>
  <c r="Y116" i="8"/>
  <c r="Z116" i="8"/>
  <c r="AA116" i="8"/>
  <c r="AB116" i="8"/>
  <c r="AC116" i="8"/>
  <c r="AD116" i="8"/>
  <c r="AE116" i="8"/>
  <c r="AF116" i="8"/>
  <c r="AG116" i="8"/>
  <c r="V117" i="8"/>
  <c r="W117" i="8"/>
  <c r="X117" i="8"/>
  <c r="Y117" i="8"/>
  <c r="Z117" i="8"/>
  <c r="AA117" i="8"/>
  <c r="AB117" i="8"/>
  <c r="AC117" i="8"/>
  <c r="AD117" i="8"/>
  <c r="AE117" i="8"/>
  <c r="AF117" i="8"/>
  <c r="AG117" i="8"/>
  <c r="V118" i="8"/>
  <c r="W118" i="8"/>
  <c r="X118" i="8"/>
  <c r="Y118" i="8"/>
  <c r="Z118" i="8"/>
  <c r="AA118" i="8"/>
  <c r="AB118" i="8"/>
  <c r="AC118" i="8"/>
  <c r="AD118" i="8"/>
  <c r="AE118" i="8"/>
  <c r="AF118" i="8"/>
  <c r="AG118" i="8"/>
  <c r="V122" i="8"/>
  <c r="W122" i="8"/>
  <c r="X122" i="8"/>
  <c r="Y122" i="8"/>
  <c r="Z122" i="8"/>
  <c r="AA122" i="8"/>
  <c r="AB122" i="8"/>
  <c r="AC122" i="8"/>
  <c r="AD122" i="8"/>
  <c r="AE122" i="8"/>
  <c r="AF122" i="8"/>
  <c r="AG122" i="8"/>
  <c r="V126" i="8"/>
  <c r="W126" i="8"/>
  <c r="X126" i="8"/>
  <c r="Y126" i="8"/>
  <c r="Z126" i="8"/>
  <c r="AA126" i="8"/>
  <c r="AB126" i="8"/>
  <c r="AC126" i="8"/>
  <c r="AD126" i="8"/>
  <c r="AE126" i="8"/>
  <c r="AF126" i="8"/>
  <c r="AG126" i="8"/>
  <c r="V133" i="8"/>
  <c r="W133" i="8"/>
  <c r="X133" i="8"/>
  <c r="Y133" i="8"/>
  <c r="Z133" i="8"/>
  <c r="AA133" i="8"/>
  <c r="AB133" i="8"/>
  <c r="AC133" i="8"/>
  <c r="AD133" i="8"/>
  <c r="AE133" i="8"/>
  <c r="AF133" i="8"/>
  <c r="AG133" i="8"/>
  <c r="V141" i="8"/>
  <c r="W141" i="8"/>
  <c r="X141" i="8"/>
  <c r="Y141" i="8"/>
  <c r="Z141" i="8"/>
  <c r="AA141" i="8"/>
  <c r="AB141" i="8"/>
  <c r="AC141" i="8"/>
  <c r="AD141" i="8"/>
  <c r="AE141" i="8"/>
  <c r="AF141" i="8"/>
  <c r="AG141" i="8"/>
  <c r="V144" i="8"/>
  <c r="W144" i="8"/>
  <c r="X144" i="8"/>
  <c r="Y144" i="8"/>
  <c r="Z144" i="8"/>
  <c r="AA144" i="8"/>
  <c r="AB144" i="8"/>
  <c r="AC144" i="8"/>
  <c r="AD144" i="8"/>
  <c r="AE144" i="8"/>
  <c r="AF144" i="8"/>
  <c r="AG144" i="8"/>
  <c r="V146" i="8"/>
  <c r="W146" i="8"/>
  <c r="X146" i="8"/>
  <c r="Y146" i="8"/>
  <c r="Z146" i="8"/>
  <c r="AA146" i="8"/>
  <c r="AB146" i="8"/>
  <c r="AC146" i="8"/>
  <c r="AD146" i="8"/>
  <c r="AE146" i="8"/>
  <c r="AF146" i="8"/>
  <c r="AG146" i="8"/>
  <c r="V149" i="8"/>
  <c r="W149" i="8"/>
  <c r="X149" i="8"/>
  <c r="Y149" i="8"/>
  <c r="Z149" i="8"/>
  <c r="AA149" i="8"/>
  <c r="AB149" i="8"/>
  <c r="AC149" i="8"/>
  <c r="AD149" i="8"/>
  <c r="AE149" i="8"/>
  <c r="AF149" i="8"/>
  <c r="AG149" i="8"/>
  <c r="V152" i="8"/>
  <c r="W152" i="8"/>
  <c r="X152" i="8"/>
  <c r="Y152" i="8"/>
  <c r="Z152" i="8"/>
  <c r="AA152" i="8"/>
  <c r="AB152" i="8"/>
  <c r="AC152" i="8"/>
  <c r="AD152" i="8"/>
  <c r="AE152" i="8"/>
  <c r="AF152" i="8"/>
  <c r="AG152" i="8"/>
  <c r="V155" i="8"/>
  <c r="W155" i="8"/>
  <c r="X155" i="8"/>
  <c r="Y155" i="8"/>
  <c r="Z155" i="8"/>
  <c r="AA155" i="8"/>
  <c r="AB155" i="8"/>
  <c r="AC155" i="8"/>
  <c r="AD155" i="8"/>
  <c r="AE155" i="8"/>
  <c r="AF155" i="8"/>
  <c r="AG155" i="8"/>
  <c r="V157" i="8"/>
  <c r="W157" i="8"/>
  <c r="X157" i="8"/>
  <c r="Y157" i="8"/>
  <c r="Z157" i="8"/>
  <c r="AA157" i="8"/>
  <c r="AB157" i="8"/>
  <c r="AC157" i="8"/>
  <c r="AD157" i="8"/>
  <c r="AE157" i="8"/>
  <c r="AF157" i="8"/>
  <c r="AG157" i="8"/>
  <c r="V159" i="8"/>
  <c r="W159" i="8"/>
  <c r="X159" i="8"/>
  <c r="Y159" i="8"/>
  <c r="Z159" i="8"/>
  <c r="AA159" i="8"/>
  <c r="AB159" i="8"/>
  <c r="AC159" i="8"/>
  <c r="AD159" i="8"/>
  <c r="AE159" i="8"/>
  <c r="AF159" i="8"/>
  <c r="AG159" i="8"/>
  <c r="V238" i="8"/>
  <c r="W238" i="8"/>
  <c r="X238" i="8"/>
  <c r="Y238" i="8"/>
  <c r="Z238" i="8"/>
  <c r="AA238" i="8"/>
  <c r="AB238" i="8"/>
  <c r="AC238" i="8"/>
  <c r="AD238" i="8"/>
  <c r="AE238" i="8"/>
  <c r="AF238" i="8"/>
  <c r="AG238" i="8"/>
  <c r="V239" i="8"/>
  <c r="W239" i="8"/>
  <c r="X239" i="8"/>
  <c r="Y239" i="8"/>
  <c r="Z239" i="8"/>
  <c r="AA239" i="8"/>
  <c r="AB239" i="8"/>
  <c r="AC239" i="8"/>
  <c r="AD239" i="8"/>
  <c r="AE239" i="8"/>
  <c r="AF239" i="8"/>
  <c r="AG239" i="8"/>
  <c r="F245" i="8"/>
  <c r="J245" i="8"/>
  <c r="F246" i="8"/>
  <c r="J246" i="8"/>
  <c r="W253" i="8"/>
  <c r="X253" i="8"/>
  <c r="Z253" i="8"/>
  <c r="AA253" i="8"/>
  <c r="AB253" i="8"/>
  <c r="AC253" i="8"/>
  <c r="AD253" i="8"/>
  <c r="AE253" i="8"/>
  <c r="AF253" i="8"/>
  <c r="AG253" i="8"/>
  <c r="V254" i="8"/>
  <c r="W254" i="8"/>
  <c r="X254" i="8"/>
  <c r="Y254" i="8"/>
  <c r="Z254" i="8"/>
  <c r="AA254" i="8"/>
  <c r="AB254" i="8"/>
  <c r="AC254" i="8"/>
  <c r="AD254" i="8"/>
  <c r="AE254" i="8"/>
  <c r="AF254" i="8"/>
  <c r="AG254" i="8"/>
  <c r="V257" i="8"/>
  <c r="W257" i="8"/>
  <c r="X257" i="8"/>
  <c r="Y257" i="8"/>
  <c r="Z257" i="8"/>
  <c r="AA257" i="8"/>
  <c r="AB257" i="8"/>
  <c r="AC257" i="8"/>
  <c r="AD257" i="8"/>
  <c r="AE257" i="8"/>
  <c r="AF257" i="8"/>
  <c r="AG257" i="8"/>
  <c r="V289" i="8"/>
  <c r="W289" i="8"/>
  <c r="X289" i="8"/>
  <c r="Z289" i="8"/>
  <c r="AA289" i="8"/>
  <c r="AB289" i="8"/>
  <c r="AC289" i="8"/>
  <c r="AE289" i="8"/>
  <c r="AF289" i="8"/>
  <c r="AG289" i="8"/>
  <c r="W293" i="8"/>
  <c r="X293" i="8"/>
  <c r="Z293" i="8"/>
  <c r="AA293" i="8"/>
  <c r="AB293" i="8"/>
  <c r="AC293" i="8"/>
  <c r="AE293" i="8"/>
  <c r="AF293" i="8"/>
  <c r="AG293" i="8"/>
  <c r="V294" i="8"/>
  <c r="W294" i="8"/>
  <c r="X294" i="8"/>
  <c r="Z294" i="8"/>
  <c r="AA294" i="8"/>
  <c r="AB294" i="8"/>
  <c r="AC294" i="8"/>
  <c r="AE294" i="8"/>
  <c r="AF294" i="8"/>
  <c r="AG294" i="8"/>
  <c r="V295" i="8"/>
  <c r="W295" i="8"/>
  <c r="X295" i="8"/>
  <c r="Z295" i="8"/>
  <c r="AA295" i="8"/>
  <c r="AB295" i="8"/>
  <c r="AC295" i="8"/>
  <c r="AE295" i="8"/>
  <c r="AF295" i="8"/>
  <c r="AG295" i="8"/>
  <c r="V298" i="8"/>
  <c r="W298" i="8"/>
  <c r="X298" i="8"/>
  <c r="Z298" i="8"/>
  <c r="AA298" i="8"/>
  <c r="AB298" i="8"/>
  <c r="AC298" i="8"/>
  <c r="AE298" i="8"/>
  <c r="AF298" i="8"/>
  <c r="AG298" i="8"/>
  <c r="V300" i="8"/>
  <c r="W300" i="8"/>
  <c r="X300" i="8"/>
  <c r="Z300" i="8"/>
  <c r="AA300" i="8"/>
  <c r="AB300" i="8"/>
  <c r="AC300" i="8"/>
  <c r="AE300" i="8"/>
  <c r="AF300" i="8"/>
  <c r="AG300" i="8"/>
  <c r="W303" i="8"/>
  <c r="X303" i="8"/>
  <c r="Z303" i="8"/>
  <c r="AA303" i="8"/>
  <c r="AB303" i="8"/>
  <c r="AC303" i="8"/>
  <c r="AE303" i="8"/>
  <c r="AF303" i="8"/>
  <c r="AG303" i="8"/>
  <c r="V304" i="8"/>
  <c r="W304" i="8"/>
  <c r="X304" i="8"/>
  <c r="Z304" i="8"/>
  <c r="AA304" i="8"/>
  <c r="AB304" i="8"/>
  <c r="AC304" i="8"/>
  <c r="AE304" i="8"/>
  <c r="AF304" i="8"/>
  <c r="AG304" i="8"/>
  <c r="V305" i="8"/>
  <c r="W305" i="8"/>
  <c r="X305" i="8"/>
  <c r="Z305" i="8"/>
  <c r="AA305" i="8"/>
  <c r="AB305" i="8"/>
  <c r="AC305" i="8"/>
  <c r="AE305" i="8"/>
  <c r="AF305" i="8"/>
  <c r="AG305" i="8"/>
  <c r="V314" i="8"/>
  <c r="W314" i="8"/>
  <c r="X314" i="8"/>
  <c r="Z314" i="8"/>
  <c r="AA314" i="8"/>
  <c r="AB314" i="8"/>
  <c r="AC314" i="8"/>
  <c r="AE314" i="8"/>
  <c r="AF314" i="8"/>
  <c r="AG314" i="8"/>
  <c r="V316" i="8"/>
  <c r="W316" i="8"/>
  <c r="X316" i="8"/>
  <c r="Z316" i="8"/>
  <c r="AA316" i="8"/>
  <c r="AB316" i="8"/>
  <c r="AC316" i="8"/>
  <c r="AE316" i="8"/>
  <c r="AF316" i="8"/>
  <c r="AG316" i="8"/>
  <c r="V323" i="8"/>
  <c r="W323" i="8"/>
  <c r="X323" i="8"/>
  <c r="Z323" i="8"/>
  <c r="AA323" i="8"/>
  <c r="AB323" i="8"/>
  <c r="AC323" i="8"/>
  <c r="AE323" i="8"/>
  <c r="AF323" i="8"/>
  <c r="AG323" i="8"/>
  <c r="V326" i="8"/>
  <c r="W326" i="8"/>
  <c r="X326" i="8"/>
  <c r="Z326" i="8"/>
  <c r="AA326" i="8"/>
  <c r="AB326" i="8"/>
  <c r="AC326" i="8"/>
  <c r="AE326" i="8"/>
  <c r="AF326" i="8"/>
  <c r="AG326" i="8"/>
  <c r="V328" i="8"/>
  <c r="W328" i="8"/>
  <c r="X328" i="8"/>
  <c r="Z328" i="8"/>
  <c r="AA328" i="8"/>
  <c r="AB328" i="8"/>
  <c r="AC328" i="8"/>
  <c r="AE328" i="8"/>
  <c r="AF328" i="8"/>
  <c r="AG328" i="8"/>
  <c r="V330" i="8"/>
  <c r="W330" i="8"/>
  <c r="X330" i="8"/>
  <c r="Z330" i="8"/>
  <c r="AA330" i="8"/>
  <c r="AB330" i="8"/>
  <c r="AC330" i="8"/>
  <c r="AE330" i="8"/>
  <c r="AF330" i="8"/>
  <c r="AG330" i="8"/>
  <c r="N7" i="4"/>
  <c r="N8" i="4"/>
  <c r="N9" i="4"/>
  <c r="N10" i="4"/>
  <c r="N13" i="4"/>
  <c r="N14" i="4"/>
  <c r="N15" i="4"/>
  <c r="N16" i="4"/>
  <c r="S25" i="4"/>
  <c r="T25" i="4"/>
  <c r="U25" i="4"/>
  <c r="S26" i="4"/>
  <c r="T26" i="4"/>
  <c r="U26" i="4"/>
  <c r="T27" i="4"/>
  <c r="U27" i="4"/>
  <c r="G28" i="4"/>
  <c r="H28" i="4"/>
  <c r="I28" i="4"/>
  <c r="J28" i="4"/>
  <c r="K28" i="4"/>
  <c r="O28" i="4"/>
  <c r="S28" i="4"/>
  <c r="T28" i="4"/>
  <c r="U28" i="4"/>
  <c r="G29" i="4"/>
  <c r="H29" i="4"/>
  <c r="I29" i="4"/>
  <c r="J29" i="4"/>
  <c r="K29" i="4"/>
  <c r="G30" i="4"/>
  <c r="H30" i="4"/>
  <c r="I30" i="4"/>
  <c r="J30" i="4"/>
  <c r="K30" i="4"/>
  <c r="G32" i="4"/>
  <c r="H32" i="4"/>
  <c r="I32" i="4"/>
  <c r="J32" i="4"/>
  <c r="K32" i="4"/>
  <c r="O32" i="4"/>
  <c r="G33" i="4"/>
  <c r="H33" i="4"/>
  <c r="I33" i="4"/>
  <c r="J33" i="4"/>
  <c r="K33" i="4"/>
  <c r="G34" i="4"/>
  <c r="H34" i="4"/>
  <c r="I34" i="4"/>
  <c r="J34" i="4"/>
  <c r="K34" i="4"/>
  <c r="G36" i="4"/>
  <c r="H36" i="4"/>
  <c r="I36" i="4"/>
  <c r="J36" i="4"/>
  <c r="K36" i="4"/>
  <c r="O36" i="4"/>
  <c r="G37" i="4"/>
  <c r="H37" i="4"/>
  <c r="I37" i="4"/>
  <c r="J37" i="4"/>
  <c r="K37" i="4"/>
  <c r="G39" i="4"/>
  <c r="H39" i="4"/>
  <c r="I39" i="4"/>
  <c r="J39" i="4"/>
  <c r="K39" i="4"/>
  <c r="O39" i="4"/>
  <c r="G40" i="4"/>
  <c r="H40" i="4"/>
  <c r="I40" i="4"/>
  <c r="J40" i="4"/>
  <c r="K40" i="4"/>
  <c r="G45" i="4"/>
  <c r="H45" i="4"/>
  <c r="I45" i="4"/>
  <c r="J45" i="4"/>
  <c r="K45" i="4"/>
  <c r="O45" i="4"/>
  <c r="G46" i="4"/>
  <c r="H46" i="4"/>
  <c r="I46" i="4"/>
  <c r="J46" i="4"/>
  <c r="K46" i="4"/>
  <c r="O46" i="4"/>
  <c r="G47" i="4"/>
  <c r="H47" i="4"/>
  <c r="I47" i="4"/>
  <c r="J47" i="4"/>
  <c r="K47" i="4"/>
  <c r="O47" i="4"/>
  <c r="G50" i="4"/>
  <c r="H50" i="4"/>
  <c r="I50" i="4"/>
  <c r="J50" i="4"/>
  <c r="K50" i="4"/>
  <c r="O50" i="4"/>
  <c r="G51" i="4"/>
  <c r="H51" i="4"/>
  <c r="I51" i="4"/>
  <c r="J51" i="4"/>
  <c r="K51" i="4"/>
  <c r="O51" i="4"/>
  <c r="G52" i="4"/>
  <c r="H52" i="4"/>
  <c r="I52" i="4"/>
  <c r="J52" i="4"/>
  <c r="K52" i="4"/>
  <c r="O52" i="4"/>
  <c r="G55" i="4"/>
  <c r="H55" i="4"/>
  <c r="I55" i="4"/>
  <c r="J55" i="4"/>
  <c r="K55" i="4"/>
  <c r="O55" i="4"/>
  <c r="G56" i="4"/>
  <c r="H56" i="4"/>
  <c r="I56" i="4"/>
  <c r="J56" i="4"/>
  <c r="K56" i="4"/>
  <c r="O56" i="4"/>
  <c r="G57" i="4"/>
  <c r="H57" i="4"/>
  <c r="I57" i="4"/>
  <c r="J57" i="4"/>
  <c r="K57" i="4"/>
  <c r="O57" i="4"/>
  <c r="G60" i="4"/>
  <c r="H60" i="4"/>
  <c r="I60" i="4"/>
  <c r="J60" i="4"/>
  <c r="K60" i="4"/>
  <c r="O60" i="4"/>
  <c r="G62" i="4"/>
  <c r="H62" i="4"/>
  <c r="I62" i="4"/>
  <c r="J62" i="4"/>
  <c r="K62" i="4"/>
  <c r="O62" i="4"/>
  <c r="G63" i="4"/>
  <c r="H63" i="4"/>
  <c r="I63" i="4"/>
  <c r="J63" i="4"/>
  <c r="K63" i="4"/>
  <c r="O63" i="4"/>
  <c r="G64" i="4"/>
  <c r="H64" i="4"/>
  <c r="I64" i="4"/>
  <c r="J64" i="4"/>
  <c r="K64" i="4"/>
  <c r="O64" i="4"/>
  <c r="G67" i="4"/>
  <c r="H67" i="4"/>
  <c r="I67" i="4"/>
  <c r="J67" i="4"/>
  <c r="K67" i="4"/>
  <c r="O67" i="4"/>
  <c r="H15" i="19" a="1"/>
  <c r="H15" i="19"/>
  <c r="I15" i="19" a="1"/>
  <c r="I15" i="19"/>
  <c r="M15" i="19"/>
  <c r="N15" i="19"/>
  <c r="O15" i="19"/>
  <c r="P15" i="19"/>
  <c r="H16" i="19"/>
  <c r="I16" i="19"/>
  <c r="M16" i="19"/>
  <c r="N16" i="19"/>
  <c r="O16" i="19"/>
  <c r="P16" i="19"/>
  <c r="H19" i="19" a="1"/>
  <c r="H19" i="19"/>
  <c r="I19" i="19" a="1"/>
  <c r="I19" i="19"/>
  <c r="M19" i="19"/>
  <c r="N19" i="19"/>
  <c r="O19" i="19"/>
  <c r="P19" i="19"/>
  <c r="H20" i="19"/>
  <c r="I20" i="19"/>
  <c r="M20" i="19"/>
  <c r="N20" i="19"/>
  <c r="O20" i="19"/>
  <c r="P20" i="19"/>
  <c r="H21" i="19" a="1"/>
  <c r="H21" i="19"/>
  <c r="I21" i="19" a="1"/>
  <c r="I21" i="19"/>
  <c r="M21" i="19"/>
  <c r="N21" i="19"/>
  <c r="O21" i="19"/>
  <c r="P21" i="19"/>
  <c r="H42" i="19" a="1"/>
  <c r="H42" i="19"/>
  <c r="I42" i="19" a="1"/>
  <c r="I42" i="19"/>
  <c r="M42" i="19"/>
  <c r="N42" i="19"/>
  <c r="O42" i="19"/>
  <c r="P42" i="19"/>
  <c r="H44" i="19" a="1"/>
  <c r="H44" i="19"/>
  <c r="I44" i="19" a="1"/>
  <c r="I44" i="19"/>
  <c r="M44" i="19"/>
  <c r="N44" i="19"/>
  <c r="O44" i="19"/>
  <c r="P44" i="19"/>
  <c r="H15" i="18" a="1"/>
  <c r="H15" i="18"/>
  <c r="L15" i="18"/>
  <c r="M15" i="18"/>
  <c r="N15" i="18"/>
  <c r="H16" i="18"/>
  <c r="L16" i="18"/>
  <c r="M16" i="18"/>
  <c r="N16" i="18"/>
  <c r="H19" i="18" a="1"/>
  <c r="H19" i="18"/>
  <c r="L19" i="18"/>
  <c r="M19" i="18"/>
  <c r="N19" i="18"/>
  <c r="H20" i="18"/>
  <c r="L20" i="18"/>
  <c r="M20" i="18"/>
  <c r="N20" i="18"/>
  <c r="H21" i="18" a="1"/>
  <c r="H21" i="18"/>
  <c r="L21" i="18"/>
  <c r="M21" i="18"/>
  <c r="N21" i="18"/>
  <c r="H42" i="18" a="1"/>
  <c r="H42" i="18"/>
  <c r="L42" i="18"/>
  <c r="M42" i="18"/>
  <c r="N42" i="18"/>
  <c r="H44" i="18" a="1"/>
  <c r="H44" i="18"/>
  <c r="L44" i="18"/>
  <c r="M44" i="18"/>
  <c r="N44" i="18"/>
  <c r="V136" i="9"/>
  <c r="W136" i="9"/>
  <c r="X136" i="9"/>
  <c r="Y136" i="9"/>
  <c r="Z136" i="9"/>
  <c r="AA136" i="9"/>
  <c r="AB136" i="9"/>
  <c r="AC136" i="9"/>
  <c r="AD136" i="9"/>
  <c r="AE136" i="9"/>
  <c r="AF136" i="9"/>
  <c r="AG136" i="9"/>
  <c r="V178" i="9"/>
  <c r="W178" i="9"/>
  <c r="X178" i="9"/>
  <c r="Y178" i="9"/>
  <c r="Z178" i="9"/>
  <c r="AA178" i="9"/>
  <c r="AB178" i="9"/>
  <c r="AC178" i="9"/>
  <c r="AD178" i="9"/>
  <c r="AE178" i="9"/>
  <c r="AF178" i="9"/>
  <c r="AG178" i="9"/>
  <c r="V198" i="9"/>
  <c r="W198" i="9"/>
  <c r="X198" i="9"/>
  <c r="Z198" i="9"/>
  <c r="AA198" i="9"/>
  <c r="AB198" i="9"/>
  <c r="AC198" i="9"/>
  <c r="AE198" i="9"/>
  <c r="AF198" i="9"/>
  <c r="AG198" i="9"/>
  <c r="L19" i="3"/>
  <c r="M19" i="3"/>
  <c r="N19" i="3"/>
  <c r="O19" i="3"/>
  <c r="P19" i="3"/>
  <c r="Q19" i="3"/>
  <c r="R19" i="3"/>
  <c r="W19" i="3"/>
  <c r="X19" i="3"/>
  <c r="Y19" i="3"/>
  <c r="Z19" i="3"/>
  <c r="AA19" i="3"/>
  <c r="AE19" i="3"/>
  <c r="L20" i="3"/>
  <c r="M20" i="3"/>
  <c r="N20" i="3"/>
  <c r="O20" i="3"/>
  <c r="P20" i="3"/>
  <c r="Q20" i="3"/>
  <c r="R20" i="3"/>
  <c r="W20" i="3"/>
  <c r="X20" i="3"/>
  <c r="Y20" i="3"/>
  <c r="Z20" i="3"/>
  <c r="AA20" i="3"/>
  <c r="L21" i="3"/>
  <c r="M21" i="3"/>
  <c r="N21" i="3"/>
  <c r="O21" i="3"/>
  <c r="P21" i="3"/>
  <c r="Q21" i="3"/>
  <c r="R21" i="3"/>
  <c r="W21" i="3"/>
  <c r="X21" i="3"/>
  <c r="Y21" i="3"/>
  <c r="Z21" i="3"/>
  <c r="AA21" i="3"/>
  <c r="L23" i="3"/>
  <c r="M23" i="3"/>
  <c r="N23" i="3"/>
  <c r="O23" i="3"/>
  <c r="P23" i="3"/>
  <c r="Q23" i="3"/>
  <c r="R23" i="3"/>
  <c r="W23" i="3"/>
  <c r="X23" i="3"/>
  <c r="Y23" i="3"/>
  <c r="Z23" i="3"/>
  <c r="AA23" i="3"/>
  <c r="AE23" i="3"/>
  <c r="L24" i="3"/>
  <c r="M24" i="3"/>
  <c r="N24" i="3"/>
  <c r="O24" i="3"/>
  <c r="P24" i="3"/>
  <c r="Q24" i="3"/>
  <c r="R24" i="3"/>
  <c r="W24" i="3"/>
  <c r="X24" i="3"/>
  <c r="Y24" i="3"/>
  <c r="Z24" i="3"/>
  <c r="AA24" i="3"/>
  <c r="L27" i="3"/>
  <c r="M27" i="3"/>
  <c r="N27" i="3"/>
  <c r="O27" i="3"/>
  <c r="P27" i="3"/>
  <c r="Q27" i="3"/>
  <c r="R27" i="3"/>
  <c r="W27" i="3"/>
  <c r="X27" i="3"/>
  <c r="Y27" i="3"/>
  <c r="Z27" i="3"/>
  <c r="AA27" i="3"/>
  <c r="AE27" i="3"/>
  <c r="L28" i="3"/>
  <c r="M28" i="3"/>
  <c r="N28" i="3"/>
  <c r="O28" i="3"/>
  <c r="P28" i="3"/>
  <c r="Q28" i="3"/>
  <c r="R28" i="3"/>
  <c r="W28" i="3"/>
  <c r="X28" i="3"/>
  <c r="Y28" i="3"/>
  <c r="Z28" i="3"/>
  <c r="AA28" i="3"/>
  <c r="L29" i="3"/>
  <c r="M29" i="3"/>
  <c r="N29" i="3"/>
  <c r="O29" i="3"/>
  <c r="P29" i="3"/>
  <c r="Q29" i="3"/>
  <c r="R29" i="3"/>
  <c r="W29" i="3"/>
  <c r="X29" i="3"/>
  <c r="Y29" i="3"/>
  <c r="Z29" i="3"/>
  <c r="AA29" i="3"/>
  <c r="L34" i="3"/>
  <c r="M34" i="3"/>
  <c r="N34" i="3"/>
  <c r="O34" i="3"/>
  <c r="P34" i="3"/>
  <c r="Q34" i="3"/>
  <c r="R34" i="3"/>
  <c r="W34" i="3"/>
  <c r="X34" i="3"/>
  <c r="Y34" i="3"/>
  <c r="Z34" i="3"/>
  <c r="AA34" i="3"/>
  <c r="L38" i="3"/>
  <c r="M38" i="3"/>
  <c r="N38" i="3"/>
  <c r="O38" i="3"/>
  <c r="P38" i="3"/>
  <c r="Q38" i="3"/>
  <c r="R38" i="3"/>
  <c r="W38" i="3"/>
  <c r="X38" i="3"/>
  <c r="Y38" i="3"/>
  <c r="Z38" i="3"/>
  <c r="AA38" i="3"/>
  <c r="L46" i="3"/>
  <c r="M46" i="3"/>
  <c r="N46" i="3"/>
  <c r="O46" i="3"/>
  <c r="P46" i="3"/>
  <c r="Q46" i="3"/>
  <c r="R46" i="3"/>
  <c r="W46" i="3"/>
  <c r="X46" i="3"/>
  <c r="Y46" i="3"/>
  <c r="Z46" i="3"/>
  <c r="AA46" i="3"/>
  <c r="L53" i="3"/>
  <c r="M53" i="3"/>
  <c r="N53" i="3"/>
  <c r="O53" i="3"/>
  <c r="P53" i="3"/>
  <c r="Q53" i="3"/>
  <c r="R53" i="3"/>
  <c r="W53" i="3"/>
  <c r="X53" i="3"/>
  <c r="Y53" i="3"/>
  <c r="Z53" i="3"/>
  <c r="AA53" i="3"/>
  <c r="L57" i="3"/>
  <c r="M57" i="3"/>
  <c r="N57" i="3"/>
  <c r="O57" i="3"/>
  <c r="P57" i="3"/>
  <c r="Q57" i="3"/>
  <c r="R57" i="3"/>
  <c r="W57" i="3"/>
  <c r="X57" i="3"/>
  <c r="Y57" i="3"/>
  <c r="Z57" i="3"/>
  <c r="AA57" i="3"/>
  <c r="L59" i="3"/>
  <c r="M59" i="3"/>
  <c r="N59" i="3"/>
  <c r="O59" i="3"/>
  <c r="P59" i="3"/>
  <c r="Q59" i="3"/>
  <c r="R59" i="3"/>
  <c r="W59" i="3"/>
  <c r="X59" i="3"/>
  <c r="Y59" i="3"/>
  <c r="Z59" i="3"/>
  <c r="AA59" i="3"/>
  <c r="L62" i="3"/>
  <c r="M62" i="3"/>
  <c r="N62" i="3"/>
  <c r="O62" i="3"/>
  <c r="P62" i="3"/>
  <c r="Q62" i="3"/>
  <c r="R62" i="3"/>
  <c r="W62" i="3"/>
  <c r="X62" i="3"/>
  <c r="Y62" i="3"/>
  <c r="Z62" i="3"/>
  <c r="AA62" i="3"/>
  <c r="L65" i="3"/>
  <c r="M65" i="3"/>
  <c r="N65" i="3"/>
  <c r="O65" i="3"/>
  <c r="P65" i="3"/>
  <c r="Q65" i="3"/>
  <c r="R65" i="3"/>
  <c r="W65" i="3"/>
  <c r="X65" i="3"/>
  <c r="Y65" i="3"/>
  <c r="Z65" i="3"/>
  <c r="AA65" i="3"/>
  <c r="L68" i="3"/>
  <c r="M68" i="3"/>
  <c r="N68" i="3"/>
  <c r="O68" i="3"/>
  <c r="P68" i="3"/>
  <c r="Q68" i="3"/>
  <c r="R68" i="3"/>
  <c r="W68" i="3"/>
  <c r="X68" i="3"/>
  <c r="Y68" i="3"/>
  <c r="Z68" i="3"/>
  <c r="AA68" i="3"/>
  <c r="L70" i="3"/>
  <c r="M70" i="3"/>
  <c r="N70" i="3"/>
  <c r="O70" i="3"/>
  <c r="P70" i="3"/>
  <c r="Q70" i="3"/>
  <c r="R70" i="3"/>
  <c r="W70" i="3"/>
  <c r="X70" i="3"/>
  <c r="Y70" i="3"/>
  <c r="Z70" i="3"/>
  <c r="AA70" i="3"/>
  <c r="L77" i="3"/>
  <c r="M77" i="3"/>
  <c r="N77" i="3"/>
  <c r="O77" i="3"/>
  <c r="P77" i="3"/>
  <c r="Q77" i="3"/>
  <c r="R77" i="3"/>
  <c r="W77" i="3"/>
  <c r="X77" i="3"/>
  <c r="Y77" i="3"/>
  <c r="Z77" i="3"/>
  <c r="AA77" i="3"/>
  <c r="L79" i="3"/>
  <c r="M79" i="3"/>
  <c r="N79" i="3"/>
  <c r="O79" i="3"/>
  <c r="P79" i="3"/>
  <c r="Q79" i="3"/>
  <c r="R79" i="3"/>
  <c r="W79" i="3"/>
  <c r="X79" i="3"/>
  <c r="Y79" i="3"/>
  <c r="Z79" i="3"/>
  <c r="AA79" i="3"/>
  <c r="L80" i="3"/>
  <c r="M80" i="3"/>
  <c r="N80" i="3"/>
  <c r="O80" i="3"/>
  <c r="P80" i="3"/>
  <c r="Q80" i="3"/>
  <c r="R80" i="3"/>
  <c r="W80" i="3"/>
  <c r="X80" i="3"/>
  <c r="Y80" i="3"/>
  <c r="Z80" i="3"/>
  <c r="AA80" i="3"/>
  <c r="L81" i="3"/>
  <c r="M81" i="3"/>
  <c r="N81" i="3"/>
  <c r="O81" i="3"/>
  <c r="P81" i="3"/>
  <c r="Q81" i="3"/>
  <c r="R81" i="3"/>
  <c r="W81" i="3"/>
  <c r="X81" i="3"/>
  <c r="Y81" i="3"/>
  <c r="Z81" i="3"/>
  <c r="AA81" i="3"/>
  <c r="L82" i="3"/>
  <c r="M82" i="3"/>
  <c r="N82" i="3"/>
  <c r="O82" i="3"/>
  <c r="P82" i="3"/>
  <c r="Q82" i="3"/>
  <c r="R82" i="3"/>
  <c r="W82" i="3"/>
  <c r="X82" i="3"/>
  <c r="Y82" i="3"/>
  <c r="Z82" i="3"/>
  <c r="AA82" i="3"/>
  <c r="L85" i="3"/>
  <c r="M85" i="3"/>
  <c r="N85" i="3"/>
  <c r="O85" i="3"/>
  <c r="P85" i="3"/>
  <c r="Q85" i="3"/>
  <c r="R85" i="3"/>
  <c r="W85" i="3"/>
  <c r="X85" i="3"/>
  <c r="Y85" i="3"/>
  <c r="Z85" i="3"/>
  <c r="AA85" i="3"/>
  <c r="L87" i="3"/>
  <c r="M87" i="3"/>
  <c r="N87" i="3"/>
  <c r="O87" i="3"/>
  <c r="P87" i="3"/>
  <c r="Q87" i="3"/>
  <c r="R87" i="3"/>
  <c r="W87" i="3"/>
  <c r="X87" i="3"/>
  <c r="Y87" i="3"/>
  <c r="Z87" i="3"/>
  <c r="AA87" i="3"/>
  <c r="L88" i="3"/>
  <c r="M88" i="3"/>
  <c r="N88" i="3"/>
  <c r="O88" i="3"/>
  <c r="P88" i="3"/>
  <c r="Q88" i="3"/>
  <c r="R88" i="3"/>
  <c r="W88" i="3"/>
  <c r="X88" i="3"/>
  <c r="Y88" i="3"/>
  <c r="Z88" i="3"/>
  <c r="AA88" i="3"/>
  <c r="L89" i="3"/>
  <c r="M89" i="3"/>
  <c r="N89" i="3"/>
  <c r="O89" i="3"/>
  <c r="P89" i="3"/>
  <c r="Q89" i="3"/>
  <c r="R89" i="3"/>
  <c r="W89" i="3"/>
  <c r="X89" i="3"/>
  <c r="Y89" i="3"/>
  <c r="Z89" i="3"/>
  <c r="AA89" i="3"/>
  <c r="L92" i="3"/>
  <c r="M92" i="3"/>
  <c r="N92" i="3"/>
  <c r="O92" i="3"/>
  <c r="P92" i="3"/>
  <c r="Q92" i="3"/>
  <c r="R92" i="3"/>
  <c r="W92" i="3"/>
  <c r="X92" i="3"/>
  <c r="Y92" i="3"/>
  <c r="Z92" i="3"/>
  <c r="AA92" i="3"/>
  <c r="L93" i="3"/>
  <c r="M93" i="3"/>
  <c r="N93" i="3"/>
  <c r="O93" i="3"/>
  <c r="P93" i="3"/>
  <c r="Q93" i="3"/>
  <c r="R93" i="3"/>
  <c r="W93" i="3"/>
  <c r="X93" i="3"/>
  <c r="Y93" i="3"/>
  <c r="Z93" i="3"/>
  <c r="AA93" i="3"/>
  <c r="L94" i="3"/>
  <c r="M94" i="3"/>
  <c r="N94" i="3"/>
  <c r="O94" i="3"/>
  <c r="P94" i="3"/>
  <c r="Q94" i="3"/>
  <c r="R94" i="3"/>
  <c r="W94" i="3"/>
  <c r="X94" i="3"/>
  <c r="Y94" i="3"/>
  <c r="Z94" i="3"/>
  <c r="AA94" i="3"/>
  <c r="L97" i="3"/>
  <c r="M97" i="3"/>
  <c r="N97" i="3"/>
  <c r="O97" i="3"/>
  <c r="P97" i="3"/>
  <c r="Q97" i="3"/>
  <c r="R97" i="3"/>
  <c r="W97" i="3"/>
  <c r="X97" i="3"/>
  <c r="Y97" i="3"/>
  <c r="Z97" i="3"/>
  <c r="AA97" i="3"/>
  <c r="L104" i="3"/>
  <c r="M104" i="3"/>
  <c r="N104" i="3"/>
  <c r="O104" i="3"/>
  <c r="P104" i="3"/>
  <c r="Q104" i="3"/>
  <c r="R104" i="3"/>
  <c r="W104" i="3"/>
  <c r="X104" i="3"/>
  <c r="Y104" i="3"/>
  <c r="Z104" i="3"/>
  <c r="AA104" i="3"/>
  <c r="L105" i="3"/>
  <c r="M105" i="3"/>
  <c r="N105" i="3"/>
  <c r="O105" i="3"/>
  <c r="P105" i="3"/>
  <c r="Q105" i="3"/>
  <c r="R105" i="3"/>
  <c r="W105" i="3"/>
  <c r="X105" i="3"/>
  <c r="Y105" i="3"/>
  <c r="Z105" i="3"/>
  <c r="AA105" i="3"/>
  <c r="L106" i="3"/>
  <c r="M106" i="3"/>
  <c r="N106" i="3"/>
  <c r="O106" i="3"/>
  <c r="P106" i="3"/>
  <c r="Q106" i="3"/>
  <c r="R106" i="3"/>
  <c r="W106" i="3"/>
  <c r="X106" i="3"/>
  <c r="Y106" i="3"/>
  <c r="Z106" i="3"/>
  <c r="AA106" i="3"/>
  <c r="F7" i="14"/>
  <c r="G7" i="14"/>
  <c r="Q9" i="14"/>
  <c r="R9" i="14"/>
  <c r="Q10" i="14"/>
  <c r="R10" i="14"/>
  <c r="Q12" i="14"/>
  <c r="R12" i="14"/>
  <c r="Q13" i="14"/>
  <c r="R13" i="14"/>
  <c r="Q14" i="14"/>
  <c r="R14" i="14"/>
  <c r="Q15" i="14"/>
  <c r="R15" i="14"/>
  <c r="Q17" i="14"/>
  <c r="R17" i="14"/>
  <c r="Q18" i="14"/>
  <c r="R18" i="14"/>
  <c r="Q19" i="14"/>
  <c r="R19" i="14"/>
  <c r="Q20" i="14"/>
  <c r="R20" i="14"/>
  <c r="Q23" i="14"/>
  <c r="R23" i="14"/>
  <c r="Q24" i="14"/>
  <c r="R24" i="14"/>
  <c r="K32" i="14"/>
  <c r="L32" i="14"/>
  <c r="M32" i="14"/>
  <c r="N32" i="14"/>
  <c r="O32" i="14"/>
  <c r="P32" i="14"/>
  <c r="Q32" i="14"/>
  <c r="R32" i="14"/>
  <c r="K34" i="14"/>
  <c r="L34" i="14"/>
  <c r="M34" i="14"/>
  <c r="N34" i="14"/>
  <c r="O34" i="14"/>
  <c r="P34" i="14"/>
  <c r="Q34" i="14"/>
  <c r="R34" i="14"/>
  <c r="K35" i="14"/>
  <c r="L35" i="14"/>
  <c r="M35" i="14"/>
  <c r="N35" i="14"/>
  <c r="O35" i="14"/>
  <c r="P35" i="14"/>
  <c r="Q35" i="14"/>
  <c r="R35" i="14"/>
  <c r="N36" i="14"/>
  <c r="O36" i="14"/>
  <c r="P36" i="14"/>
  <c r="Q36" i="14"/>
  <c r="R36" i="14"/>
  <c r="K45" i="14"/>
  <c r="L45" i="14"/>
  <c r="M45" i="14"/>
  <c r="N45" i="14"/>
  <c r="O45" i="14"/>
  <c r="P45" i="14"/>
  <c r="Q45" i="14"/>
  <c r="R45" i="14"/>
  <c r="O46" i="14"/>
  <c r="P46" i="14"/>
  <c r="Q46" i="14"/>
  <c r="R46" i="14"/>
  <c r="K48" i="14"/>
  <c r="L48" i="14"/>
  <c r="M48" i="14"/>
  <c r="N48" i="14"/>
  <c r="O48" i="14"/>
  <c r="P48" i="14"/>
  <c r="Q48" i="14"/>
  <c r="R48" i="14"/>
  <c r="N52" i="14"/>
  <c r="O52" i="14"/>
  <c r="P52" i="14"/>
  <c r="Q52" i="14"/>
  <c r="R52" i="14"/>
  <c r="N54" i="14"/>
  <c r="O54" i="14"/>
  <c r="P54" i="14"/>
  <c r="Q54" i="14"/>
  <c r="R54" i="14"/>
  <c r="O55" i="14"/>
  <c r="P55" i="14"/>
  <c r="Q55" i="14"/>
  <c r="R55" i="14"/>
  <c r="K59" i="14"/>
  <c r="R59" i="14"/>
  <c r="AB59" i="14"/>
  <c r="K61" i="14"/>
  <c r="R61" i="14"/>
  <c r="AB61" i="14"/>
  <c r="K62" i="14"/>
  <c r="R62" i="14"/>
  <c r="AB62" i="14"/>
  <c r="K63" i="14"/>
  <c r="R63" i="14"/>
  <c r="AB63" i="14"/>
  <c r="K65" i="14"/>
  <c r="R65" i="14"/>
  <c r="AB65" i="14"/>
  <c r="AB66" i="14"/>
  <c r="AB68" i="14"/>
  <c r="K72" i="14"/>
  <c r="R72" i="14"/>
  <c r="AB72" i="14"/>
  <c r="K76" i="14"/>
  <c r="R76" i="14"/>
  <c r="AB76" i="14"/>
  <c r="K77" i="14"/>
  <c r="R77" i="14"/>
  <c r="AB77" i="14"/>
  <c r="K79" i="14"/>
  <c r="R79" i="14"/>
  <c r="AB79" i="14"/>
  <c r="G84" i="14"/>
  <c r="O92" i="14"/>
  <c r="P92" i="14"/>
  <c r="E98" i="14"/>
  <c r="E106" i="14"/>
  <c r="F124" i="14"/>
  <c r="J124" i="14"/>
  <c r="N124" i="14"/>
  <c r="R124" i="14"/>
  <c r="N125" i="14"/>
  <c r="R125" i="14"/>
  <c r="F126" i="14"/>
  <c r="J126" i="14"/>
  <c r="F127" i="14"/>
  <c r="J127" i="14"/>
  <c r="F131" i="14"/>
  <c r="F132" i="14"/>
  <c r="N134" i="14"/>
  <c r="R134" i="14"/>
  <c r="N137" i="14"/>
  <c r="R137" i="14"/>
  <c r="N138" i="14"/>
  <c r="R138" i="14"/>
  <c r="Q151" i="14"/>
  <c r="R151" i="14"/>
  <c r="R152" i="14"/>
  <c r="Q153" i="14"/>
  <c r="R153" i="14"/>
  <c r="R154" i="14"/>
  <c r="E161" i="14"/>
  <c r="E169" i="14"/>
  <c r="E177" i="14"/>
  <c r="E185" i="14"/>
  <c r="F202" i="14"/>
  <c r="J202" i="14"/>
  <c r="N202" i="14"/>
  <c r="R202" i="14"/>
  <c r="N203" i="14"/>
  <c r="R203" i="14"/>
  <c r="F204" i="14"/>
  <c r="J204" i="14"/>
  <c r="F205" i="14"/>
  <c r="J205" i="14"/>
  <c r="N212" i="14"/>
  <c r="R212" i="14"/>
  <c r="N215" i="14"/>
  <c r="R215" i="14"/>
  <c r="N216" i="14"/>
  <c r="R216" i="14"/>
  <c r="Q227" i="14"/>
  <c r="R227" i="14"/>
  <c r="R228" i="14"/>
  <c r="Q229" i="14"/>
  <c r="R229" i="14"/>
  <c r="R230" i="14"/>
  <c r="E237" i="14"/>
  <c r="E245" i="14"/>
  <c r="E253" i="14"/>
  <c r="E261" i="14"/>
  <c r="M6" i="13"/>
  <c r="N6" i="13"/>
  <c r="N7" i="13"/>
  <c r="N8" i="13"/>
  <c r="M9" i="13"/>
  <c r="N9" i="13"/>
  <c r="O9" i="13"/>
  <c r="O13" i="13"/>
  <c r="Q20" i="13"/>
  <c r="K23" i="13"/>
  <c r="M36" i="13"/>
  <c r="N36"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2" authorId="0" shapeId="0" xr:uid="{00000000-0006-0000-0100-000003000000}">
      <text>
        <r>
          <rPr>
            <sz val="11"/>
            <color theme="1"/>
            <rFont val="Calibri"/>
            <family val="2"/>
            <scheme val="minor"/>
          </rPr>
          <t>======
ID#AAABbnJBVyQ
Luke Brennan    (2025-01-14 21:09:38)
Use this dropdown to change which scenario of projections you would like to display in the model</t>
        </r>
      </text>
    </comment>
    <comment ref="F33" authorId="0" shapeId="0" xr:uid="{00000000-0006-0000-0100-000002000000}">
      <text>
        <r>
          <rPr>
            <sz val="11"/>
            <color theme="1"/>
            <rFont val="Calibri"/>
            <family val="2"/>
            <scheme val="minor"/>
          </rPr>
          <t>======
ID#AAABbnJBVz8
Luke Brennan    (2025-01-14 21:09:38)
Model hardcodes this value from most recent year. For an accurate hardcoded projection, look at most recent quarter (MRQ) or management guidance from latest transcript</t>
        </r>
      </text>
    </comment>
    <comment ref="F35" authorId="0" shapeId="0" xr:uid="{00000000-0006-0000-0100-000001000000}">
      <text>
        <r>
          <rPr>
            <sz val="11"/>
            <color theme="1"/>
            <rFont val="Calibri"/>
            <family val="2"/>
            <scheme val="minor"/>
          </rPr>
          <t>======
ID#AAABbnJBV2Y
Luke Brennan    (2025-01-14 21:09:38)
Pulls from most recent quarter (MRQ) in model</t>
        </r>
      </text>
    </comment>
    <comment ref="F37" authorId="0" shapeId="0" xr:uid="{00000000-0006-0000-0100-000004000000}">
      <text>
        <r>
          <rPr>
            <sz val="11"/>
            <color theme="1"/>
            <rFont val="Calibri"/>
            <family val="2"/>
            <scheme val="minor"/>
          </rPr>
          <t>======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28" authorId="0" shapeId="0" xr:uid="{00000000-0006-0000-0300-000001000000}">
      <text>
        <r>
          <rPr>
            <sz val="11"/>
            <color theme="1"/>
            <rFont val="Calibri"/>
            <family val="2"/>
            <scheme val="minor"/>
          </rPr>
          <t>======
ID#AAABbnJBV0c
nlatimer    (2025-01-14 21:09:38)
Based on 2025e net income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7" authorId="0" shapeId="0" xr:uid="{00000000-0006-0000-0600-000004000000}">
      <text>
        <r>
          <rPr>
            <sz val="11"/>
            <color theme="1"/>
            <rFont val="Calibri"/>
            <family val="2"/>
            <scheme val="minor"/>
          </rPr>
          <t>======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shapeId="0" xr:uid="{00000000-0006-0000-0600-000007000000}">
      <text>
        <r>
          <rPr>
            <sz val="11"/>
            <color theme="1"/>
            <rFont val="Calibri"/>
            <family val="2"/>
            <scheme val="minor"/>
          </rPr>
          <t>======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shapeId="0" xr:uid="{00000000-0006-0000-0600-000002000000}">
      <text>
        <r>
          <rPr>
            <sz val="11"/>
            <color theme="1"/>
            <rFont val="Calibri"/>
            <family val="2"/>
            <scheme val="minor"/>
          </rPr>
          <t>======
ID#AAABbnJBV2A
Luke Brennan    (2025-01-14 21:09:38)
Major drop in backlog and therefore negative new orders is due to the initiation of GBS segment which pulled the majority of its business from DSS segment</t>
        </r>
      </text>
    </comment>
    <comment ref="J178" authorId="0" shapeId="0" xr:uid="{00000000-0006-0000-0600-00000A000000}">
      <text>
        <r>
          <rPr>
            <sz val="11"/>
            <color theme="1"/>
            <rFont val="Calibri"/>
            <family val="2"/>
            <scheme val="minor"/>
          </rPr>
          <t>======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shapeId="0" xr:uid="{00000000-0006-0000-0600-00000D000000}">
      <text>
        <r>
          <rPr>
            <sz val="11"/>
            <color theme="1"/>
            <rFont val="Calibri"/>
            <family val="2"/>
            <scheme val="minor"/>
          </rPr>
          <t>======
ID#AAABbnJBVx4
Luke Brennan    (2025-01-14 21:09:38)
Drop in backlog and therefore major decline in new orders is due to the initiation of GBS segment which pulled some of its business from CA segment</t>
        </r>
      </text>
    </comment>
    <comment ref="J190" authorId="0" shapeId="0" xr:uid="{00000000-0006-0000-0600-000005000000}">
      <text>
        <r>
          <rPr>
            <sz val="11"/>
            <color theme="1"/>
            <rFont val="Calibri"/>
            <family val="2"/>
            <scheme val="minor"/>
          </rPr>
          <t>======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shapeId="0" xr:uid="{00000000-0006-0000-0600-000001000000}">
      <text>
        <r>
          <rPr>
            <sz val="11"/>
            <color theme="1"/>
            <rFont val="Calibri"/>
            <family val="2"/>
            <scheme val="minor"/>
          </rPr>
          <t>======
ID#AAABbnJBV2Q
Luke Brennan    (2025-01-14 21:09:38)
Major drop in backlog and therefore negative new orders is due to the initiation of GBS segment which pulled the majority of its business from DSS segment</t>
        </r>
      </text>
    </comment>
    <comment ref="J202" authorId="0" shapeId="0" xr:uid="{00000000-0006-0000-0600-000008000000}">
      <text>
        <r>
          <rPr>
            <sz val="11"/>
            <color theme="1"/>
            <rFont val="Calibri"/>
            <family val="2"/>
            <scheme val="minor"/>
          </rPr>
          <t>======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shapeId="0" xr:uid="{00000000-0006-0000-0600-00000E000000}">
      <text>
        <r>
          <rPr>
            <sz val="11"/>
            <color theme="1"/>
            <rFont val="Calibri"/>
            <family val="2"/>
            <scheme val="minor"/>
          </rPr>
          <t>======
ID#AAABbnJBVxE
Luke Brennan    (2025-01-14 21:09:38)
Major drop in backlog and therefore negative new orders is due to the initiation of GBS segment which pulled the majority of its business from DSS segment</t>
        </r>
      </text>
    </comment>
    <comment ref="J214" authorId="0" shapeId="0" xr:uid="{00000000-0006-0000-0600-00000B000000}">
      <text>
        <r>
          <rPr>
            <sz val="11"/>
            <color theme="1"/>
            <rFont val="Calibri"/>
            <family val="2"/>
            <scheme val="minor"/>
          </rPr>
          <t>======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shapeId="0" xr:uid="{00000000-0006-0000-0600-000006000000}">
      <text>
        <r>
          <rPr>
            <sz val="11"/>
            <color theme="1"/>
            <rFont val="Calibri"/>
            <family val="2"/>
            <scheme val="minor"/>
          </rPr>
          <t>======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shapeId="0" xr:uid="{00000000-0006-0000-0600-000003000000}">
      <text>
        <r>
          <rPr>
            <sz val="11"/>
            <color theme="1"/>
            <rFont val="Calibri"/>
            <family val="2"/>
            <scheme val="minor"/>
          </rPr>
          <t>======
ID#AAABbnJBV14
Luke Brennan    (2025-01-14 21:09:38)
The 15,215 number is a retroactively calculated backlog balance for YE15 which was the best reported number I could find for a previous balance to calculate orders</t>
        </r>
      </text>
    </comment>
    <comment ref="J226" authorId="0" shapeId="0" xr:uid="{00000000-0006-0000-0600-00000C000000}">
      <text>
        <r>
          <rPr>
            <sz val="11"/>
            <color theme="1"/>
            <rFont val="Calibri"/>
            <family val="2"/>
            <scheme val="minor"/>
          </rPr>
          <t>======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shapeId="0" xr:uid="{00000000-0006-0000-0600-000009000000}">
      <text>
        <r>
          <rPr>
            <sz val="11"/>
            <color theme="1"/>
            <rFont val="Calibri"/>
            <family val="2"/>
            <scheme val="minor"/>
          </rPr>
          <t>======
ID#AAABbnJBVzI
Luke Brennan    (2025-01-14 21:09:38)
Major drop in backlog and therefore negative new orders is due to the initiation of GBS segment which pulled the majority of its business from DSS segment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support</author>
    <author/>
    <author>Saad Quddus</author>
  </authors>
  <commentList>
    <comment ref="C32" authorId="0" shapeId="0" xr:uid="{8E6A0011-5AFE-4E21-B3C7-2A400B65BBC3}">
      <text>
        <r>
          <rPr>
            <b/>
            <sz val="9"/>
            <color indexed="81"/>
            <rFont val="Tahoma"/>
            <family val="2"/>
          </rPr>
          <t>Includes G&amp;A expense for Consolidated Variable Interest Entities</t>
        </r>
      </text>
    </comment>
    <comment ref="C34" authorId="1" shapeId="0" xr:uid="{00000000-0006-0000-0700-000020000000}">
      <text>
        <r>
          <rPr>
            <sz val="11"/>
            <color theme="1"/>
            <rFont val="Calibri"/>
            <family val="2"/>
            <scheme val="minor"/>
          </rPr>
          <t>======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C35" authorId="1" shapeId="0" xr:uid="{00000000-0006-0000-0700-000002000000}">
      <text>
        <r>
          <rPr>
            <sz val="11"/>
            <color theme="1"/>
            <rFont val="Calibri"/>
            <family val="2"/>
            <scheme val="minor"/>
          </rPr>
          <t>======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t>
        </r>
      </text>
    </comment>
    <comment ref="C38" authorId="0" shapeId="0" xr:uid="{CCDDEF14-1131-499E-A83B-CF2384F895F1}">
      <text>
        <r>
          <rPr>
            <b/>
            <sz val="9"/>
            <color indexed="81"/>
            <rFont val="Tahoma"/>
            <family val="2"/>
          </rPr>
          <t>Includes Interest Income from CVIE</t>
        </r>
      </text>
    </comment>
    <comment ref="C41" authorId="2" shapeId="0" xr:uid="{3982B7B1-8DFA-4856-B02F-B713994AEDFF}">
      <text>
        <r>
          <rPr>
            <b/>
            <sz val="9"/>
            <color indexed="81"/>
            <rFont val="Tahoma"/>
            <family val="2"/>
          </rPr>
          <t>Saad Quddus:</t>
        </r>
        <r>
          <rPr>
            <sz val="9"/>
            <color indexed="81"/>
            <rFont val="Tahoma"/>
            <family val="2"/>
          </rPr>
          <t xml:space="preserve">
Includes Equity Income (Loss) of Investees and unrea;ized gain
</t>
        </r>
      </text>
    </comment>
    <comment ref="C48" authorId="1" shapeId="0" xr:uid="{00000000-0006-0000-0700-00001B000000}">
      <text>
        <r>
          <rPr>
            <sz val="11"/>
            <color theme="1"/>
            <rFont val="Calibri"/>
            <family val="2"/>
            <scheme val="minor"/>
          </rPr>
          <t>======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H48" authorId="1" shapeId="0" xr:uid="{00000000-0006-0000-0700-000006000000}">
      <text>
        <r>
          <rPr>
            <sz val="11"/>
            <color theme="1"/>
            <rFont val="Calibri"/>
            <family val="2"/>
            <scheme val="minor"/>
          </rPr>
          <t>======
ID#AAABbnJBV1k
Lilianna Ruby    (2025-01-14 21:09:38)
Orchard Supply Hardware charges, U.S. and Canada closing charges, Mexico impairment charge, non-core activities charges</t>
        </r>
      </text>
    </comment>
    <comment ref="I48" authorId="1" shapeId="0" xr:uid="{00000000-0006-0000-0700-000004000000}">
      <text>
        <r>
          <rPr>
            <sz val="11"/>
            <color theme="1"/>
            <rFont val="Calibri"/>
            <family val="2"/>
            <scheme val="minor"/>
          </rPr>
          <t>======
ID#AAABbnJBV1s
Lilianna Ruby    (2025-01-14 21:09:38)
Canadian goodwill impairment, Orchard Supply Hardware charges, U.S. &amp; Canada store closure charges, Mexico impairment charges, non-core activities charges, Project Specialists Interiors charge</t>
        </r>
      </text>
    </comment>
    <comment ref="K48" authorId="1" shapeId="0" xr:uid="{00000000-0006-0000-0700-000005000000}">
      <text>
        <r>
          <rPr>
            <sz val="11"/>
            <color theme="1"/>
            <rFont val="Calibri"/>
            <family val="2"/>
            <scheme val="minor"/>
          </rPr>
          <t>======
ID#AAABbnJBV1o
Lilianna Ruby    (2025-01-14 21:09:38)
Mexico adjustments</t>
        </r>
      </text>
    </comment>
    <comment ref="L48" authorId="1" shapeId="0" xr:uid="{00000000-0006-0000-0700-000009000000}">
      <text>
        <r>
          <rPr>
            <sz val="11"/>
            <color theme="1"/>
            <rFont val="Calibri"/>
            <family val="2"/>
            <scheme val="minor"/>
          </rPr>
          <t>======
ID#AAABbnJBV1A
Lilianna Ruby    (2025-01-14 21:09:38)
Mexico adjustments</t>
        </r>
      </text>
    </comment>
    <comment ref="M48" authorId="1" shapeId="0" xr:uid="{00000000-0006-0000-0700-000018000000}">
      <text>
        <r>
          <rPr>
            <sz val="11"/>
            <color theme="1"/>
            <rFont val="Calibri"/>
            <family val="2"/>
            <scheme val="minor"/>
          </rPr>
          <t>======
ID#AAABbnJBVy0
Lilianna Ruby    (2025-01-14 21:09:38)
2019 Canada restructuring</t>
        </r>
      </text>
    </comment>
    <comment ref="N48" authorId="1" shapeId="0" xr:uid="{00000000-0006-0000-0700-000007000000}">
      <text>
        <r>
          <rPr>
            <sz val="11"/>
            <color theme="1"/>
            <rFont val="Calibri"/>
            <family val="2"/>
            <scheme val="minor"/>
          </rPr>
          <t>======
ID#AAABbnJBV1g
Lilianna Ruby    (2025-01-14 21:09:38)
Mexico adjustments and 2019 Canada restructuring</t>
        </r>
      </text>
    </comment>
    <comment ref="P48" authorId="1" shapeId="0" xr:uid="{00000000-0006-0000-0700-000010000000}">
      <text>
        <r>
          <rPr>
            <sz val="11"/>
            <color theme="1"/>
            <rFont val="Calibri"/>
            <family val="2"/>
            <scheme val="minor"/>
          </rPr>
          <t>======
ID#AAABbnJBVzs
Lilianna Ruby    (2025-01-14 21:09:38)
Canada restructuring</t>
        </r>
      </text>
    </comment>
    <comment ref="Q48" authorId="1" shapeId="0" xr:uid="{00000000-0006-0000-0700-00001E000000}">
      <text>
        <r>
          <rPr>
            <sz val="11"/>
            <color theme="1"/>
            <rFont val="Calibri"/>
            <family val="2"/>
            <scheme val="minor"/>
          </rPr>
          <t>======
ID#AAABbnJBVx8
Lilianna Ruby    (2025-01-14 21:09:38)
Canada restructuring</t>
        </r>
      </text>
    </comment>
    <comment ref="W50" authorId="1" shapeId="0" xr:uid="{00000000-0006-0000-0700-000015000000}">
      <text>
        <r>
          <rPr>
            <sz val="11"/>
            <color theme="1"/>
            <rFont val="Calibri"/>
            <family val="2"/>
            <scheme val="minor"/>
          </rPr>
          <t>======
ID#AAABbnJBVzY
Lilianna    (2025-01-14 21:09:38)
Net earnings allocable to participating securities</t>
        </r>
      </text>
    </comment>
    <comment ref="V91" authorId="2" shapeId="0" xr:uid="{91C37B17-9DA2-408F-825F-3302E6535AC2}">
      <text>
        <r>
          <rPr>
            <b/>
            <sz val="9"/>
            <color indexed="81"/>
            <rFont val="Tahoma"/>
            <family val="2"/>
          </rPr>
          <t>Saad Quddus:</t>
        </r>
        <r>
          <rPr>
            <sz val="9"/>
            <color indexed="81"/>
            <rFont val="Tahoma"/>
            <family val="2"/>
          </rPr>
          <t xml:space="preserve">
No revolver so 0'd out.
</t>
        </r>
      </text>
    </comment>
    <comment ref="C125" authorId="1" shapeId="0" xr:uid="{00000000-0006-0000-0700-000011000000}">
      <text>
        <r>
          <rPr>
            <sz val="11"/>
            <color theme="1"/>
            <rFont val="Calibri"/>
            <family val="2"/>
            <scheme val="minor"/>
          </rPr>
          <t>Due from Related Parties, Prepaid Expenses, and Restricted Cash</t>
        </r>
      </text>
    </comment>
    <comment ref="C128" authorId="2" shapeId="0" xr:uid="{59070C72-C357-4BC6-BAE1-55DF5EBEA28A}">
      <text>
        <r>
          <rPr>
            <b/>
            <sz val="9"/>
            <color indexed="81"/>
            <rFont val="Tahoma"/>
            <family val="2"/>
          </rPr>
          <t>Saad Quddus:</t>
        </r>
        <r>
          <rPr>
            <sz val="9"/>
            <color indexed="81"/>
            <rFont val="Tahoma"/>
            <family val="2"/>
          </rPr>
          <t xml:space="preserve">
Includes Lease right-of-use Assets and Furniture, Fixtures, and Equiptment-net</t>
        </r>
      </text>
    </comment>
    <comment ref="K129" authorId="1" shapeId="0" xr:uid="{636824CF-1C26-4D50-B7FB-1A3EBC34AFF9}">
      <text>
        <r>
          <rPr>
            <sz val="11"/>
            <color theme="1"/>
            <rFont val="Calibri"/>
            <family val="2"/>
            <scheme val="minor"/>
          </rPr>
          <t>======
ID#AAABbnJBVzw
Lilianna Ruby    (2025-01-14 21:09:38)
operating lease right of use assets, long term investments, deferred income taxes, other assets</t>
        </r>
      </text>
    </comment>
    <comment ref="P129" authorId="1" shapeId="0" xr:uid="{130B38CB-0EA3-4EA5-9669-EDD5CE68D63C}">
      <text>
        <r>
          <rPr>
            <sz val="11"/>
            <color theme="1"/>
            <rFont val="Calibri"/>
            <family val="2"/>
            <scheme val="minor"/>
          </rPr>
          <t>======
ID#AAABbnJBVxY
Lilianna Ruby    (2025-01-14 21:09:38)
operating lease right of use assets, long term investments, deferred income taxes, other assets</t>
        </r>
      </text>
    </comment>
    <comment ref="U129" authorId="1" shapeId="0" xr:uid="{11975DEB-A765-4B28-A180-8F80782F6CA3}">
      <text>
        <r>
          <rPr>
            <sz val="11"/>
            <color theme="1"/>
            <rFont val="Calibri"/>
            <family val="2"/>
            <scheme val="minor"/>
          </rPr>
          <t>Includes operating lease right-of-use assets, long-term investments, deferred income taxes, and other</t>
        </r>
      </text>
    </comment>
    <comment ref="C136" authorId="2" shapeId="0" xr:uid="{05981441-2801-4808-8CB4-501EF7E5F961}">
      <text>
        <r>
          <rPr>
            <b/>
            <sz val="9"/>
            <color indexed="81"/>
            <rFont val="Tahoma"/>
            <family val="2"/>
          </rPr>
          <t>Saad Quddus:</t>
        </r>
        <r>
          <rPr>
            <sz val="9"/>
            <color indexed="81"/>
            <rFont val="Tahoma"/>
            <family val="2"/>
          </rPr>
          <t xml:space="preserve">
Accured Compensation and Benefits, Dividends Payables, Member Distrobution</t>
        </r>
      </text>
    </comment>
    <comment ref="C137" authorId="1" shapeId="0" xr:uid="{00000000-0006-0000-0700-00000D000000}">
      <text>
        <r>
          <rPr>
            <sz val="11"/>
            <color theme="1"/>
            <rFont val="Calibri"/>
            <family val="2"/>
            <scheme val="minor"/>
          </rPr>
          <t xml:space="preserve">
</t>
        </r>
      </text>
    </comment>
    <comment ref="K137" authorId="1" shapeId="0" xr:uid="{00000000-0006-0000-0700-000022000000}">
      <text>
        <r>
          <rPr>
            <sz val="11"/>
            <color theme="1"/>
            <rFont val="Calibri"/>
            <family val="2"/>
            <scheme val="minor"/>
          </rPr>
          <t>======
ID#AAABbnJBVxA
Lilianna Ruby    (2025-01-14 21:09:38)
Current operating lease liabilities, deferred revenue, other</t>
        </r>
      </text>
    </comment>
    <comment ref="P137" authorId="1" shapeId="0" xr:uid="{00000000-0006-0000-0700-00000B000000}">
      <text>
        <r>
          <rPr>
            <sz val="11"/>
            <color theme="1"/>
            <rFont val="Calibri"/>
            <family val="2"/>
            <scheme val="minor"/>
          </rPr>
          <t>======
ID#AAABbnJBV00
Lilianna Ruby    (2025-01-14 21:09:38)
Current operating lease liabilities, deferred revenue, other</t>
        </r>
      </text>
    </comment>
    <comment ref="U137" authorId="1" shapeId="0" xr:uid="{00000000-0006-0000-0700-000008000000}">
      <text>
        <r>
          <rPr>
            <sz val="11"/>
            <color theme="1"/>
            <rFont val="Calibri"/>
            <family val="2"/>
            <scheme val="minor"/>
          </rPr>
          <t>======
ID#AAABbnJBV1E
Lilianna Ruby    (2025-01-14 21:09:38)
Current operating lease liabilities, deferred revenue, other</t>
        </r>
      </text>
    </comment>
    <comment ref="C142" authorId="1" shapeId="0" xr:uid="{00000000-0006-0000-0700-00000E000000}">
      <text>
        <r>
          <rPr>
            <sz val="11"/>
            <color theme="1"/>
            <rFont val="Calibri"/>
            <family val="2"/>
            <scheme val="minor"/>
          </rPr>
          <t xml:space="preserve">
</t>
        </r>
      </text>
    </comment>
    <comment ref="C143" authorId="1" shapeId="0" xr:uid="{00000000-0006-0000-0700-000023000000}">
      <text>
        <r>
          <rPr>
            <sz val="11"/>
            <color theme="1"/>
            <rFont val="Calibri"/>
            <family val="2"/>
            <scheme val="minor"/>
          </rPr>
          <t xml:space="preserve">Other Liabilities, Lease Liabilites, Liabilites of Consolidated Variable Interest Entities
</t>
        </r>
      </text>
    </comment>
    <comment ref="C151" authorId="1" shapeId="0" xr:uid="{00000000-0006-0000-0700-000019000000}">
      <text>
        <r>
          <rPr>
            <sz val="11"/>
            <color theme="1"/>
            <rFont val="Calibri"/>
            <family val="2"/>
            <scheme val="minor"/>
          </rPr>
          <t>======
ID#AAABbnJBVyk
Luke Brennan    (2025-01-14 21:09:38)
Includes FX translation adjustment, unrealized gain (loss) on derivative financial instruments, unrealized gain (loss) on available-for-sale securities, unrealized costs associated with certain retirement plan</t>
        </r>
      </text>
    </comment>
    <comment ref="C159" authorId="1" shapeId="0" xr:uid="{00000000-0006-0000-0700-000003000000}">
      <text>
        <r>
          <rPr>
            <sz val="11"/>
            <color theme="1"/>
            <rFont val="Calibri"/>
            <family val="2"/>
            <scheme val="minor"/>
          </rPr>
          <t>======
ID#AAABbnJBV2I
Luke Brennan    (2025-01-14 21:09:38)
"Check" means everything is good
Positive number means the BS is asset-heavy
Negative number means the BS is asset-light</t>
        </r>
      </text>
    </comment>
    <comment ref="C300" authorId="1" shapeId="0" xr:uid="{00000000-0006-0000-0700-00001D000000}">
      <text>
        <r>
          <rPr>
            <sz val="11"/>
            <color theme="1"/>
            <rFont val="Calibri"/>
            <family val="2"/>
            <scheme val="minor"/>
          </rPr>
          <t>======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20" authorId="1" shapeId="0" xr:uid="{00000000-0006-0000-0700-000016000000}">
      <text>
        <r>
          <rPr>
            <sz val="11"/>
            <color theme="1"/>
            <rFont val="Calibri"/>
            <family val="2"/>
            <scheme val="minor"/>
          </rPr>
          <t>======
ID#AAABbnJBVzM
Luke Brennan    (2025-01-14 21:09:38)
Very Important to remember that this is quarterly! If you are looking up the company's debt schedule and rates, divide by 4!</t>
        </r>
      </text>
    </comment>
    <comment ref="Z320" authorId="1" shapeId="0" xr:uid="{00000000-0006-0000-0700-00001F000000}">
      <text>
        <r>
          <rPr>
            <sz val="11"/>
            <color theme="1"/>
            <rFont val="Calibri"/>
            <family val="2"/>
            <scheme val="minor"/>
          </rPr>
          <t>======
ID#AAABbnJBVyA
Luke Brennan    (2025-01-14 21:09:38)
Very Important to remember that this is quarterly! If you are looking up the company's debt schedule and rates, divide by 4!</t>
        </r>
      </text>
    </comment>
    <comment ref="AA320" authorId="1" shapeId="0" xr:uid="{00000000-0006-0000-0700-000014000000}">
      <text>
        <r>
          <rPr>
            <sz val="11"/>
            <color theme="1"/>
            <rFont val="Calibri"/>
            <family val="2"/>
            <scheme val="minor"/>
          </rPr>
          <t>======
ID#AAABbnJBVzU
Luke Brennan    (2025-01-14 21:09:38)
Very Important to remember that this is quarterly! If you are looking up the company's debt schedule and rates, divide by 4!</t>
        </r>
      </text>
    </comment>
    <comment ref="AB320" authorId="1" shapeId="0" xr:uid="{00000000-0006-0000-0700-00001C000000}">
      <text>
        <r>
          <rPr>
            <sz val="11"/>
            <color theme="1"/>
            <rFont val="Calibri"/>
            <family val="2"/>
            <scheme val="minor"/>
          </rPr>
          <t>======
ID#AAABbnJBVyU
Luke Brennan    (2025-01-14 21:09:38)
Very Important to remember that this is quarterly! If you are looking up the company's debt schedule and rates, divide by 4!</t>
        </r>
      </text>
    </comment>
    <comment ref="AC320" authorId="1" shapeId="0" xr:uid="{00000000-0006-0000-0700-00001A000000}">
      <text>
        <r>
          <rPr>
            <sz val="11"/>
            <color theme="1"/>
            <rFont val="Calibri"/>
            <family val="2"/>
            <scheme val="minor"/>
          </rPr>
          <t>======
ID#AAABbnJBVyg
Luke Brennan    (2025-01-14 21:09:38)
Very Important to remember that this is quarterly! If you are looking up the company's debt schedule and rates, divide by 4!</t>
        </r>
      </text>
    </comment>
    <comment ref="AE320" authorId="1" shapeId="0" xr:uid="{00000000-0006-0000-0700-000001000000}">
      <text>
        <r>
          <rPr>
            <sz val="11"/>
            <color theme="1"/>
            <rFont val="Calibri"/>
            <family val="2"/>
            <scheme val="minor"/>
          </rPr>
          <t>======
ID#AAABbnJBV2g
Luke Brennan    (2025-01-14 21:09:38)
Very Important to remember that this is quarterly! If you are looking up the company's debt schedule and rates, divide by 4!</t>
        </r>
      </text>
    </comment>
    <comment ref="AF320" authorId="1" shapeId="0" xr:uid="{00000000-0006-0000-0700-000013000000}">
      <text>
        <r>
          <rPr>
            <sz val="11"/>
            <color theme="1"/>
            <rFont val="Calibri"/>
            <family val="2"/>
            <scheme val="minor"/>
          </rPr>
          <t>======
ID#AAABbnJBVzc
Luke Brennan    (2025-01-14 21:09:38)
Very Important to remember that this is quarterly! If you are looking up the company's debt schedule and rates, divide by 4!</t>
        </r>
      </text>
    </comment>
    <comment ref="AG320" authorId="1" shapeId="0" xr:uid="{00000000-0006-0000-0700-000012000000}">
      <text>
        <r>
          <rPr>
            <sz val="11"/>
            <color theme="1"/>
            <rFont val="Calibri"/>
            <family val="2"/>
            <scheme val="minor"/>
          </rPr>
          <t>======
ID#AAABbnJBVzg
Luke Brennan    (2025-01-14 21:09:38)
Very Important to remember that this is quarterly! If you are looking up the company's debt schedule and rates, divide by 4!</t>
        </r>
      </text>
    </comment>
    <comment ref="V326" authorId="0" shapeId="0" xr:uid="{34DEB380-E35E-4A88-A227-D746C296D93E}">
      <text>
        <r>
          <rPr>
            <b/>
            <sz val="9"/>
            <color indexed="81"/>
            <rFont val="Tahoma"/>
            <family val="2"/>
          </rPr>
          <t>support:</t>
        </r>
        <r>
          <rPr>
            <sz val="9"/>
            <color indexed="81"/>
            <rFont val="Tahoma"/>
            <family val="2"/>
          </rPr>
          <t xml:space="preserve">
Change formula to IFERROR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31" authorId="0" shapeId="0" xr:uid="{00000000-0006-0000-0800-000002000000}">
      <text>
        <r>
          <rPr>
            <sz val="11"/>
            <color theme="1"/>
            <rFont val="Calibri"/>
            <family val="2"/>
            <scheme val="minor"/>
          </rPr>
          <t>======
ID#AAABbnJBVxw
Luke Brennan    (2025-01-14 21:09:38)
Used to check if the top-down calculation of operating income matches the number here</t>
        </r>
      </text>
    </comment>
    <comment ref="C49" authorId="0" shapeId="0" xr:uid="{00000000-0006-0000-0800-000001000000}">
      <text>
        <r>
          <rPr>
            <sz val="11"/>
            <color theme="1"/>
            <rFont val="Calibri"/>
            <family val="2"/>
            <scheme val="minor"/>
          </rPr>
          <t>======
ID#AAABbnJBVzA
Luke Brennan    (2025-01-14 21:09:38)
Used to check if the top-down calculation of operating income matches the number here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Saad Quddus</author>
  </authors>
  <commentList>
    <comment ref="C162" authorId="0" shapeId="0" xr:uid="{980A870D-0633-431F-8CA1-77AA3C5622E1}">
      <text>
        <r>
          <rPr>
            <b/>
            <sz val="9"/>
            <color indexed="81"/>
            <rFont val="Tahoma"/>
            <family val="2"/>
          </rPr>
          <t>Saad Quddus:</t>
        </r>
        <r>
          <rPr>
            <sz val="9"/>
            <color indexed="81"/>
            <rFont val="Tahoma"/>
            <family val="2"/>
          </rPr>
          <t xml:space="preserve">
As a % of revenue</t>
        </r>
      </text>
    </comment>
    <comment ref="C167" authorId="0" shapeId="0" xr:uid="{DB62970F-11D9-4544-A8CE-8F805AA247E9}">
      <text>
        <r>
          <rPr>
            <b/>
            <sz val="9"/>
            <color indexed="81"/>
            <rFont val="Tahoma"/>
            <family val="2"/>
          </rPr>
          <t>Saad Quddus:</t>
        </r>
        <r>
          <rPr>
            <sz val="9"/>
            <color indexed="81"/>
            <rFont val="Tahoma"/>
            <family val="2"/>
          </rPr>
          <t xml:space="preserve">
As a % of Revenue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E44" authorId="0" shapeId="0" xr:uid="{00000000-0006-0000-0A00-000001000000}">
      <text>
        <r>
          <rPr>
            <sz val="11"/>
            <color theme="1"/>
            <rFont val="Calibri"/>
            <family val="2"/>
            <scheme val="minor"/>
          </rPr>
          <t>======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00000000-0006-0000-0C00-000001000000}">
      <text>
        <r>
          <rPr>
            <sz val="11"/>
            <color theme="1"/>
            <rFont val="Calibri"/>
            <family val="2"/>
            <scheme val="minor"/>
          </rPr>
          <t>======
ID#AAABbnJBV2U
Luke Brennan    (2025-01-14 21:09:38)
Yield on U.S. 10-Year Treasury bond</t>
        </r>
      </text>
    </comment>
    <comment ref="G7" authorId="0" shapeId="0" xr:uid="{00000000-0006-0000-0C00-000005000000}">
      <text>
        <r>
          <rPr>
            <sz val="11"/>
            <color theme="1"/>
            <rFont val="Calibri"/>
            <family val="2"/>
            <scheme val="minor"/>
          </rPr>
          <t>======
ID#AAABbnJBVys
Luke Brennan    (2025-01-14 21:09:38)
Aug 1 ERP</t>
        </r>
      </text>
    </comment>
    <comment ref="G8" authorId="0" shapeId="0" xr:uid="{00000000-0006-0000-0C00-00000A000000}">
      <text>
        <r>
          <rPr>
            <sz val="11"/>
            <color theme="1"/>
            <rFont val="Calibri"/>
            <family val="2"/>
            <scheme val="minor"/>
          </rPr>
          <t>======
ID#AAABbnJBVxQ
Luke Brennan    (2025-01-14 21:09:38)
Can be sourced from Bloomberg's WACC function. Use the rate on company's bonds</t>
        </r>
      </text>
    </comment>
    <comment ref="M8" authorId="0" shapeId="0" xr:uid="{00000000-0006-0000-0C00-000006000000}">
      <text>
        <r>
          <rPr>
            <sz val="11"/>
            <color theme="1"/>
            <rFont val="Calibri"/>
            <family val="2"/>
            <scheme val="minor"/>
          </rPr>
          <t>======
ID#AAABbnJBVyY
Luke Brennan    (2025-01-14 21:09:38)
Source from Bloomberg "EV" function and hard-code here</t>
        </r>
      </text>
    </comment>
    <comment ref="Q20" authorId="0" shapeId="0" xr:uid="{00000000-0006-0000-0C00-000008000000}">
      <text>
        <r>
          <rPr>
            <sz val="11"/>
            <color theme="1"/>
            <rFont val="Calibri"/>
            <family val="2"/>
            <scheme val="minor"/>
          </rPr>
          <t>======
ID#AAABbnJBVxk
Luke Brennan    (2025-01-14 21:09:38)
This is a check to make sure the center WACC value equals the value above in cell N13. Will display "FALSE" if values do not match</t>
        </r>
      </text>
    </comment>
    <comment ref="N23" authorId="0" shapeId="0" xr:uid="{00000000-0006-0000-0C00-000004000000}">
      <text>
        <r>
          <rPr>
            <sz val="11"/>
            <color theme="1"/>
            <rFont val="Calibri"/>
            <family val="2"/>
            <scheme val="minor"/>
          </rPr>
          <t>======
ID#AAABbnJBVy8
Luke Brennan    (2025-01-14 21:09:38)
Hard-code value from toggles below by doing "paste special values"</t>
        </r>
      </text>
    </comment>
    <comment ref="K26" authorId="0" shapeId="0" xr:uid="{00000000-0006-0000-0C00-000003000000}">
      <text>
        <r>
          <rPr>
            <sz val="11"/>
            <color theme="1"/>
            <rFont val="Calibri"/>
            <family val="2"/>
            <scheme val="minor"/>
          </rPr>
          <t>======
ID#AAABbnJBV04
Luke Brennan    (2025-01-14 21:09:38)
Hard-code value from toggles below by doing "paste special values"</t>
        </r>
      </text>
    </comment>
    <comment ref="N33" authorId="0" shapeId="0" xr:uid="{00000000-0006-0000-0C00-000002000000}">
      <text>
        <r>
          <rPr>
            <sz val="11"/>
            <color theme="1"/>
            <rFont val="Calibri"/>
            <family val="2"/>
            <scheme val="minor"/>
          </rPr>
          <t>======
ID#AAABbnJBV2E
Luke Brennan    (2025-01-14 21:09:38)
This is a check to make sure the pre-tax cost mid-point is equal to the mid-point in the data table on the X-axis. Will display "FALSE" if values do not match</t>
        </r>
      </text>
    </comment>
    <comment ref="N36" authorId="0" shapeId="0" xr:uid="{00000000-0006-0000-0C00-000007000000}">
      <text>
        <r>
          <rPr>
            <sz val="11"/>
            <color theme="1"/>
            <rFont val="Calibri"/>
            <family val="2"/>
            <scheme val="minor"/>
          </rPr>
          <t>======
ID#AAABbnJBVx0
Luke Brennan    (2025-01-14 21:09:38)
This is a check to make sure the Debt / Total Cap mid-point is equal to the mid-point in the data table on the Y-axis. Will display "FALSE" if values do not match</t>
        </r>
      </text>
    </comment>
    <comment ref="K43" authorId="0" shapeId="0" xr:uid="{00000000-0006-0000-0C00-000009000000}">
      <text>
        <r>
          <rPr>
            <sz val="11"/>
            <color theme="1"/>
            <rFont val="Calibri"/>
            <family val="2"/>
            <scheme val="minor"/>
          </rPr>
          <t>======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W4" authorId="0" shapeId="0" xr:uid="{00000000-0006-0000-0D00-000003000000}">
      <text>
        <r>
          <rPr>
            <sz val="11"/>
            <color theme="1"/>
            <rFont val="Calibri"/>
            <family val="2"/>
            <scheme val="minor"/>
          </rPr>
          <t>======
ID#AAABbnJBV0k
Hunter Kornfeind    (2025-01-14 21:09:38)
This confirms if your weights = 100%. If they do not equal 100%, it will say "Check."</t>
        </r>
      </text>
    </comment>
    <comment ref="J48" authorId="0" shapeId="0" xr:uid="{00000000-0006-0000-0D00-000001000000}">
      <text>
        <r>
          <rPr>
            <sz val="11"/>
            <color theme="1"/>
            <rFont val="Calibri"/>
            <family val="2"/>
            <scheme val="minor"/>
          </rPr>
          <t>======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shapeId="0" xr:uid="{00000000-0006-0000-0D00-000004000000}">
      <text>
        <r>
          <rPr>
            <sz val="11"/>
            <color theme="1"/>
            <rFont val="Calibri"/>
            <family val="2"/>
            <scheme val="minor"/>
          </rPr>
          <t>======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shapeId="0" xr:uid="{00000000-0006-0000-0D00-000002000000}">
      <text>
        <r>
          <rPr>
            <sz val="11"/>
            <color theme="1"/>
            <rFont val="Calibri"/>
            <family val="2"/>
            <scheme val="minor"/>
          </rPr>
          <t>======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shapeId="0" xr:uid="{00000000-0006-0000-0D00-000005000000}">
      <text>
        <r>
          <rPr>
            <sz val="11"/>
            <color theme="1"/>
            <rFont val="Calibri"/>
            <family val="2"/>
            <scheme val="minor"/>
          </rPr>
          <t>======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Saad Quddus</author>
    <author>support</author>
  </authors>
  <commentList>
    <comment ref="L2" authorId="0" shapeId="0" xr:uid="{00000000-0006-0000-0E00-000001000000}">
      <text>
        <r>
          <rPr>
            <sz val="11"/>
            <color theme="1"/>
            <rFont val="Calibri"/>
            <family val="2"/>
            <scheme val="minor"/>
          </rPr>
          <t>======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 ref="M6" authorId="1" shapeId="0" xr:uid="{5AFDF4B3-8C4B-46B3-B078-92C82E3D37B7}">
      <text>
        <r>
          <rPr>
            <b/>
            <sz val="9"/>
            <color indexed="81"/>
            <rFont val="Tahoma"/>
            <family val="2"/>
          </rPr>
          <t>Saad Quddus:</t>
        </r>
        <r>
          <rPr>
            <sz val="9"/>
            <color indexed="81"/>
            <rFont val="Tahoma"/>
            <family val="2"/>
          </rPr>
          <t xml:space="preserve">
StepStone</t>
        </r>
      </text>
    </comment>
    <comment ref="N6" authorId="1" shapeId="0" xr:uid="{AD265442-5F1A-48AB-BD47-47C3B18AB853}">
      <text>
        <r>
          <rPr>
            <b/>
            <sz val="9"/>
            <color indexed="81"/>
            <rFont val="Tahoma"/>
            <family val="2"/>
          </rPr>
          <t>Saad Quddus:</t>
        </r>
        <r>
          <rPr>
            <sz val="9"/>
            <color indexed="81"/>
            <rFont val="Tahoma"/>
            <family val="2"/>
          </rPr>
          <t xml:space="preserve">
Ares</t>
        </r>
      </text>
    </comment>
    <comment ref="O6" authorId="1" shapeId="0" xr:uid="{0E2C0F0A-A9E5-410D-920A-5C0A57E48B2F}">
      <text>
        <r>
          <rPr>
            <b/>
            <sz val="9"/>
            <color indexed="81"/>
            <rFont val="Tahoma"/>
            <family val="2"/>
          </rPr>
          <t>Saad Quddus:</t>
        </r>
        <r>
          <rPr>
            <sz val="9"/>
            <color indexed="81"/>
            <rFont val="Tahoma"/>
            <family val="2"/>
          </rPr>
          <t xml:space="preserve">
Carlyle
</t>
        </r>
      </text>
    </comment>
    <comment ref="Q6" authorId="2" shapeId="0" xr:uid="{0B40D236-54DB-4E26-A16C-31A195F0B500}">
      <text>
        <r>
          <rPr>
            <b/>
            <sz val="9"/>
            <color indexed="81"/>
            <rFont val="Tahoma"/>
            <charset val="1"/>
          </rPr>
          <t>support:</t>
        </r>
        <r>
          <rPr>
            <sz val="9"/>
            <color indexed="81"/>
            <rFont val="Tahoma"/>
            <charset val="1"/>
          </rPr>
          <t xml:space="preserve">
AMG</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E25" authorId="0" shapeId="0" xr:uid="{00000000-0006-0000-0F00-000008000000}">
      <text>
        <r>
          <rPr>
            <sz val="11"/>
            <color theme="1"/>
            <rFont val="Calibri"/>
            <family val="2"/>
            <scheme val="minor"/>
          </rPr>
          <t>======
ID#AAABbnJBVz4
Luke Brennan    (2025-01-14 21:09:38)
Some of these charts are here if you choose to break out individual segment revenue</t>
        </r>
      </text>
    </comment>
    <comment ref="D32" authorId="0" shapeId="0" xr:uid="{00000000-0006-0000-0F00-000006000000}">
      <text>
        <r>
          <rPr>
            <sz val="11"/>
            <color theme="1"/>
            <rFont val="Calibri"/>
            <family val="2"/>
            <scheme val="minor"/>
          </rPr>
          <t>======
ID#AAABbnJBV0U
Luke Brennan    (2025-01-14 21:09:38)
Manual input for YoY growth in historical year (pull from 10-K, transcript, press release, etc.)</t>
        </r>
      </text>
    </comment>
    <comment ref="L32" authorId="0" shapeId="0" xr:uid="{00000000-0006-0000-0F00-000005000000}">
      <text>
        <r>
          <rPr>
            <sz val="11"/>
            <color theme="1"/>
            <rFont val="Calibri"/>
            <family val="2"/>
            <scheme val="minor"/>
          </rPr>
          <t>======
ID#AAABbnJBV0g
Luke Brennan    (2025-01-14 21:09:38)
Manual input for YoY growth in historical year (pull from 10-K, transcript, press release, etc.)</t>
        </r>
      </text>
    </comment>
    <comment ref="D52" authorId="0" shapeId="0" xr:uid="{00000000-0006-0000-0F00-000002000000}">
      <text>
        <r>
          <rPr>
            <sz val="11"/>
            <color theme="1"/>
            <rFont val="Calibri"/>
            <family val="2"/>
            <scheme val="minor"/>
          </rPr>
          <t>======
ID#AAABbnJBV1I
Luke Brennan    (2025-01-14 21:09:38)
Manual input for YoY growth in historical year (pull from 10-K, transcript, press release, etc.)</t>
        </r>
      </text>
    </comment>
    <comment ref="L52" authorId="0" shapeId="0" xr:uid="{00000000-0006-0000-0F00-000007000000}">
      <text>
        <r>
          <rPr>
            <sz val="11"/>
            <color theme="1"/>
            <rFont val="Calibri"/>
            <family val="2"/>
            <scheme val="minor"/>
          </rPr>
          <t>======
ID#AAABbnJBV0Q
Luke brennan    (2025-01-14 21:09:38)
Manual input for YoY growth in historical year (pull from 10-K, transcript, press release, etc.)</t>
        </r>
      </text>
    </comment>
    <comment ref="D72" authorId="0" shapeId="0" xr:uid="{00000000-0006-0000-0F00-000001000000}">
      <text>
        <r>
          <rPr>
            <sz val="11"/>
            <color theme="1"/>
            <rFont val="Calibri"/>
            <family val="2"/>
            <scheme val="minor"/>
          </rPr>
          <t>======
ID#AAABbnJBV1c
Luke Brennan    (2025-01-14 21:09:38)
Manual input for YoY growth in historical year (pull from 10-K, transcript, press release, etc.)</t>
        </r>
      </text>
    </comment>
    <comment ref="L72" authorId="0" shapeId="0" xr:uid="{00000000-0006-0000-0F00-000004000000}">
      <text>
        <r>
          <rPr>
            <sz val="11"/>
            <color theme="1"/>
            <rFont val="Calibri"/>
            <family val="2"/>
            <scheme val="minor"/>
          </rPr>
          <t>======
ID#AAABbnJBV0o
Zach Pfeffer    (2025-01-14 21:09:38)
Manual input for YoY growth in historical year (pull from 10-K, transcript, press release, etc.)</t>
        </r>
      </text>
    </comment>
    <comment ref="D92" authorId="0" shapeId="0" xr:uid="{00000000-0006-0000-0F00-00000A000000}">
      <text>
        <r>
          <rPr>
            <sz val="11"/>
            <color theme="1"/>
            <rFont val="Calibri"/>
            <family val="2"/>
            <scheme val="minor"/>
          </rPr>
          <t>======
ID#AAABbnJBVxo
Luke Brennan    (2025-01-14 21:09:38)
Manual input for YoY growth in historical year (pull from 10-K, transcript, press release, etc.)</t>
        </r>
      </text>
    </comment>
    <comment ref="E114" authorId="0" shapeId="0" xr:uid="{00000000-0006-0000-0F00-00000D000000}">
      <text>
        <r>
          <rPr>
            <sz val="11"/>
            <color theme="1"/>
            <rFont val="Calibri"/>
            <family val="2"/>
            <scheme val="minor"/>
          </rPr>
          <t>======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shapeId="0" xr:uid="{00000000-0006-0000-0F00-000009000000}">
      <text>
        <r>
          <rPr>
            <sz val="11"/>
            <color theme="1"/>
            <rFont val="Calibri"/>
            <family val="2"/>
            <scheme val="minor"/>
          </rPr>
          <t>======
ID#AAABbnJBVzQ
Luke Brennan    (2025-01-14 21:09:38)
Hard-code in from Bloomberg function "DDIS"</t>
        </r>
      </text>
    </comment>
    <comment ref="D154" authorId="0" shapeId="0" xr:uid="{00000000-0006-0000-0F00-000003000000}">
      <text>
        <r>
          <rPr>
            <sz val="11"/>
            <color theme="1"/>
            <rFont val="Calibri"/>
            <family val="2"/>
            <scheme val="minor"/>
          </rPr>
          <t>======
ID#AAABbnJBV0s
Luke Brennan    (2025-01-14 21:09:38)
This obviously should be modified to reflect your specific industry overview. Change as needed and hard-code numbers</t>
        </r>
      </text>
    </comment>
    <comment ref="C177" authorId="0" shapeId="0" xr:uid="{00000000-0006-0000-0F00-00000C000000}">
      <text>
        <r>
          <rPr>
            <sz val="11"/>
            <color theme="1"/>
            <rFont val="Calibri"/>
            <family val="2"/>
            <scheme val="minor"/>
          </rPr>
          <t>======
ID#AAABbnJBVxU
Luke Brennan    (2025-01-14 21:09:38)
1) Use Bloomberg function "GP"
2) Change "Chart" to "Table" to retrieve daily price closes and volume data
3) Make sure time period is one year
4) Copy &amp; paste data in the columns below</t>
        </r>
      </text>
    </comment>
    <comment ref="F178" authorId="0" shapeId="0" xr:uid="{00000000-0006-0000-0F00-00000B000000}">
      <text>
        <r>
          <rPr>
            <sz val="11"/>
            <color theme="1"/>
            <rFont val="Calibri"/>
            <family val="2"/>
            <scheme val="minor"/>
          </rPr>
          <t>======
ID#AAABbnJBVxg
Hunter Kornfeind    (2025-01-14 21:09:38)
Hard code (paste special values) Bear, Base, and Bull case projections into the model.</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1000-000003000000}">
      <text>
        <r>
          <rPr>
            <sz val="11"/>
            <color theme="1"/>
            <rFont val="Calibri"/>
            <family val="2"/>
            <scheme val="minor"/>
          </rPr>
          <t>======
ID#AAABbnJBVzk
Luke S Brennan    (2025-01-14 21:09:38)
Feel free to make any of these charts any statistic you want. Just make sure they are pulling from the correct column in the comp table and have the correct format ($ vs % vs #)</t>
        </r>
      </text>
    </comment>
    <comment ref="O138" authorId="0" shapeId="0" xr:uid="{00000000-0006-0000-1000-000001000000}">
      <text>
        <r>
          <rPr>
            <sz val="11"/>
            <color theme="1"/>
            <rFont val="Calibri"/>
            <family val="2"/>
            <scheme val="minor"/>
          </rPr>
          <t>======
ID#AAABbnJBV1w
Hunter Kornfeind    (2025-01-14 21:09:38)
Change model company's bar color to Owl Fund red in chart.</t>
        </r>
      </text>
    </comment>
    <comment ref="O154" authorId="0" shapeId="0" xr:uid="{00000000-0006-0000-1000-000002000000}">
      <text>
        <r>
          <rPr>
            <sz val="11"/>
            <color theme="1"/>
            <rFont val="Calibri"/>
            <family val="2"/>
            <scheme val="minor"/>
          </rPr>
          <t>======
ID#AAABbnJBV0I
Hunter Kornfeind    (2025-01-14 21:09:38)
Change model company's bar color to Owl Fund red in chart.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xr:uid="{00000000-0006-0000-1200-000001000000}">
      <text>
        <r>
          <rPr>
            <sz val="11"/>
            <color theme="1"/>
            <rFont val="Calibri"/>
            <family val="2"/>
            <scheme val="minor"/>
          </rPr>
          <t>======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<sst xmlns="http://schemas.openxmlformats.org/spreadsheetml/2006/main" count="2330" uniqueCount="1162">
  <si>
    <t>x</t>
  </si>
  <si>
    <t>Font Toggle</t>
  </si>
  <si>
    <t>$ in Millions Except Per Share Data</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</si>
  <si>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</si>
  <si>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</si>
  <si>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</si>
  <si>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</si>
  <si>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</si>
  <si>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</si>
  <si>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</si>
  <si>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</si>
  <si>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</si>
  <si>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</si>
  <si>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</si>
  <si>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</si>
  <si>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</si>
  <si>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</si>
  <si>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</si>
  <si>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</si>
  <si>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</si>
  <si>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Lowe's Companies, Inc.</t>
  </si>
  <si>
    <t>Ticker</t>
  </si>
  <si>
    <t>LOW</t>
  </si>
  <si>
    <t>2009-2018 Late Cycle P/E</t>
  </si>
  <si>
    <t>Case Scenario</t>
  </si>
  <si>
    <t>Base</t>
  </si>
  <si>
    <t>Table of Contents</t>
  </si>
  <si>
    <t>Last Fiscal Year</t>
  </si>
  <si>
    <t>Cover</t>
  </si>
  <si>
    <t>Next Fiscal Year</t>
  </si>
  <si>
    <t>Summary</t>
  </si>
  <si>
    <t>Last Fiscal Quarter Reported</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</si>
  <si>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</si>
  <si>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</si>
  <si>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</si>
  <si>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</si>
  <si>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</si>
  <si>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</si>
  <si>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</si>
  <si>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</si>
  <si>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</si>
  <si>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</si>
  <si>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</si>
  <si>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</si>
  <si>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</si>
  <si>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</si>
  <si>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</si>
  <si>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</si>
  <si>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</si>
  <si>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</si>
  <si>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</si>
  <si>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</si>
  <si>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</si>
  <si>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</si>
  <si>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</si>
  <si>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</si>
  <si>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</si>
  <si>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</si>
  <si>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</si>
  <si>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</si>
  <si>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</si>
  <si>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</si>
  <si>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</si>
  <si>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</si>
  <si>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</si>
  <si>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</si>
  <si>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</si>
  <si>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</si>
  <si>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</si>
  <si>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</si>
  <si>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</si>
  <si>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</si>
  <si>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</si>
  <si>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</si>
  <si>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</si>
  <si>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</si>
  <si>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</si>
  <si>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</si>
  <si>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</si>
  <si>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</si>
  <si>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</si>
  <si>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</si>
  <si>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</si>
  <si>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</si>
  <si>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</si>
  <si>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</si>
  <si>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</si>
  <si>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</si>
  <si>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</si>
  <si>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</si>
  <si>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</si>
  <si>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</si>
  <si>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</si>
  <si>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</si>
  <si>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</si>
  <si>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</si>
  <si>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</si>
  <si>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</si>
  <si>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</si>
  <si>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</si>
  <si>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</si>
  <si>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</si>
  <si>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</si>
  <si>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</si>
  <si>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</si>
  <si>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</si>
  <si>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</si>
  <si>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</si>
  <si>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</si>
  <si>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</si>
  <si>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</si>
  <si>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</si>
  <si>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</si>
  <si>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</si>
  <si>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</si>
  <si>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</si>
  <si>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</si>
  <si>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</si>
  <si>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</si>
  <si>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</si>
  <si>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</si>
  <si>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</si>
  <si>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</si>
  <si>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</si>
  <si>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</si>
  <si>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</si>
  <si>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</si>
  <si>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</si>
  <si>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</si>
  <si>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</si>
  <si>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</si>
  <si>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</si>
  <si>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</si>
  <si>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</si>
  <si>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</si>
  <si>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</si>
  <si>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</si>
  <si>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</si>
  <si>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</si>
  <si>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</si>
  <si>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</si>
  <si>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</si>
  <si>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</si>
  <si>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</si>
  <si>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</si>
  <si>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</si>
  <si>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</si>
  <si>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</si>
  <si>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</si>
  <si>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</si>
  <si>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</si>
  <si>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</si>
  <si>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</si>
  <si>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</si>
  <si>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</si>
  <si>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</si>
  <si>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</si>
  <si>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</si>
  <si>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</si>
  <si>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</si>
  <si>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</si>
  <si>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</si>
  <si>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</si>
  <si>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</si>
  <si>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</si>
  <si>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</si>
  <si>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</si>
  <si>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</si>
  <si>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</si>
  <si>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</si>
  <si>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</si>
  <si>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</si>
  <si>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</si>
  <si>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</si>
  <si>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</si>
  <si>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</si>
  <si>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</si>
  <si>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</si>
  <si>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</si>
  <si>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</si>
  <si>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</si>
  <si>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</si>
  <si>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</si>
  <si>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</si>
  <si>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</si>
  <si>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</si>
  <si>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</si>
  <si>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</si>
  <si>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</si>
  <si>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</si>
  <si>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</si>
  <si>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</si>
  <si>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</si>
  <si>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</si>
  <si>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</si>
  <si>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</si>
  <si>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</si>
  <si>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</si>
  <si>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</si>
  <si>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</si>
  <si>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</si>
  <si>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</si>
  <si>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</si>
  <si>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</si>
  <si>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</si>
  <si>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</si>
  <si>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</si>
  <si>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</si>
  <si>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</si>
  <si>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</si>
  <si>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</si>
  <si>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</si>
  <si>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</si>
  <si>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</si>
  <si>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</si>
  <si>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</si>
  <si>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</si>
  <si>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</si>
  <si>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</si>
  <si>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</si>
  <si>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</si>
  <si>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</si>
  <si>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</si>
  <si>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</si>
  <si>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</si>
  <si>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</si>
  <si>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</si>
  <si>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</si>
  <si>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</si>
  <si>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</si>
  <si>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</si>
  <si>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</si>
  <si>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</si>
  <si>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</si>
  <si>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</si>
  <si>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</si>
  <si>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</si>
  <si>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</si>
  <si>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</si>
  <si>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</si>
  <si>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</si>
  <si>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</si>
  <si>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</si>
  <si>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</si>
  <si>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</si>
  <si>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</si>
  <si>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</si>
  <si>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</si>
  <si>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</si>
  <si>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</si>
  <si>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</si>
  <si>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</si>
  <si>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</si>
  <si>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</si>
  <si>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</si>
  <si>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</si>
  <si>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</si>
  <si>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</si>
  <si>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</si>
  <si>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</si>
  <si>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</si>
  <si>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</si>
  <si>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</si>
  <si>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</si>
  <si>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</si>
  <si>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</si>
  <si>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</si>
  <si>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</si>
  <si>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</si>
  <si>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</si>
  <si>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</si>
  <si>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</si>
  <si>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</si>
  <si>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</si>
  <si>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</si>
  <si>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</si>
  <si>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</si>
  <si>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</si>
  <si>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</si>
  <si>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</si>
  <si>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</si>
  <si>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</si>
  <si>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</si>
  <si>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</si>
  <si>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</si>
  <si>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</si>
  <si>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</si>
  <si>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</si>
  <si>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</si>
  <si>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</si>
  <si>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</si>
  <si>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</si>
  <si>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</si>
  <si>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</si>
  <si>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</si>
  <si>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</si>
  <si>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</si>
  <si>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</si>
  <si>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</si>
  <si>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</si>
  <si>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</si>
  <si>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</si>
  <si>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</si>
  <si>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</si>
  <si>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</si>
  <si>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</si>
  <si>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</si>
  <si>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</si>
  <si>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</si>
  <si>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</si>
  <si>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</si>
  <si>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</si>
  <si>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</si>
  <si>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</si>
  <si>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</si>
  <si>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</si>
  <si>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</si>
  <si>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</si>
  <si>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</si>
  <si>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</si>
  <si>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</si>
  <si>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</si>
  <si>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Inventory</t>
  </si>
  <si>
    <t>Prepaid &amp; Other Current Assets</t>
  </si>
  <si>
    <t>Total Current Assets</t>
  </si>
  <si>
    <t>PP&amp;E, Net</t>
  </si>
  <si>
    <t>Total Non-Current Assets</t>
  </si>
  <si>
    <t>Total Assets</t>
  </si>
  <si>
    <t>Accounts Payable</t>
  </si>
  <si>
    <t>Accrued Liabilities</t>
  </si>
  <si>
    <t>Other Current Liabilities</t>
  </si>
  <si>
    <t>Total Current Liabilities (Excl. Debt)</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</si>
  <si>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</si>
  <si>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</si>
  <si>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</si>
  <si>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</si>
  <si>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</si>
  <si>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</si>
  <si>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</si>
  <si>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</si>
  <si>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</si>
  <si>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</si>
  <si>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</si>
  <si>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</si>
  <si>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</si>
  <si>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</si>
  <si>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</si>
  <si>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</si>
  <si>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</si>
  <si>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</si>
  <si>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</si>
  <si>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</si>
  <si>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</si>
  <si>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</si>
  <si>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</si>
  <si>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</si>
  <si>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</si>
  <si>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</si>
  <si>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</si>
  <si>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</si>
  <si>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</si>
  <si>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</si>
  <si>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</si>
  <si>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</si>
  <si>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</si>
  <si>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Beginning Intangibles, Net</t>
  </si>
  <si>
    <t>Amortization Expense</t>
  </si>
  <si>
    <t>Write-offs of Intangibles</t>
  </si>
  <si>
    <t>Other Long-Term Items Schedule</t>
  </si>
  <si>
    <t>Total Other LT Assets</t>
  </si>
  <si>
    <t>Change in Other LT Assets</t>
  </si>
  <si>
    <t>Total Other LT Liabilities</t>
  </si>
  <si>
    <t>Change in Other LT Liabilities</t>
  </si>
  <si>
    <t>Change in Other Long Term Items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</si>
  <si>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</si>
  <si>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</si>
  <si>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</si>
  <si>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</si>
  <si>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</si>
  <si>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</si>
  <si>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</si>
  <si>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</si>
  <si>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</si>
  <si>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</si>
  <si>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</si>
  <si>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</si>
  <si>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</si>
  <si>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</si>
  <si>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</si>
  <si>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</si>
  <si>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</si>
  <si>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</si>
  <si>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</si>
  <si>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</si>
  <si>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</si>
  <si>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</si>
  <si>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</si>
  <si>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</si>
  <si>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</si>
  <si>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</si>
  <si>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</si>
  <si>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</si>
  <si>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</si>
  <si>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</si>
  <si>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</si>
  <si>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</si>
  <si>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</si>
  <si>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</si>
  <si>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</si>
  <si>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</si>
  <si>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</si>
  <si>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</si>
  <si>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</si>
  <si>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</si>
  <si>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</si>
  <si>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</si>
  <si>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</si>
  <si>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</si>
  <si>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</si>
  <si>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</si>
  <si>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</si>
  <si>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</si>
  <si>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</si>
  <si>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</si>
  <si>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</si>
  <si>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Segment 3</t>
  </si>
  <si>
    <t>Segment 4</t>
  </si>
  <si>
    <t>Segment 5</t>
  </si>
  <si>
    <t>Segment 6</t>
  </si>
  <si>
    <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</si>
  <si>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</si>
  <si>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</si>
  <si>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</si>
  <si>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</si>
  <si>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</si>
  <si>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</si>
  <si>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</si>
  <si>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</si>
  <si>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</si>
  <si>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</si>
  <si>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</si>
  <si>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</si>
  <si>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</si>
  <si>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</si>
  <si>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</si>
  <si>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</si>
  <si>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</si>
  <si>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</si>
  <si>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</si>
  <si>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</si>
  <si>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</si>
  <si>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</si>
  <si>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</si>
  <si>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</si>
  <si>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</si>
  <si>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</si>
  <si>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</si>
  <si>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</si>
  <si>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</si>
  <si>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</si>
  <si>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</si>
  <si>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</si>
  <si>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</si>
  <si>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</si>
  <si>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</si>
  <si>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</si>
  <si>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</si>
  <si>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</si>
  <si>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</si>
  <si>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</si>
  <si>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</si>
  <si>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</si>
  <si>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RTX</t>
  </si>
  <si>
    <t>MMM</t>
  </si>
  <si>
    <t>BA</t>
  </si>
  <si>
    <t>NM</t>
  </si>
  <si>
    <t>GE</t>
  </si>
  <si>
    <t>HII</t>
  </si>
  <si>
    <t>HON</t>
  </si>
  <si>
    <t>LMT</t>
  </si>
  <si>
    <t>ROP</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</si>
  <si>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</si>
  <si>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</si>
  <si>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</si>
  <si>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</si>
  <si>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</si>
  <si>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</si>
  <si>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</si>
  <si>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</si>
  <si>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</si>
  <si>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</si>
  <si>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</si>
  <si>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</si>
  <si>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</si>
  <si>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</si>
  <si>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</si>
  <si>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</si>
  <si>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</si>
  <si>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</si>
  <si>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</si>
  <si>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</si>
  <si>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</si>
  <si>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</si>
  <si>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</si>
  <si>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</si>
  <si>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</si>
  <si>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</si>
  <si>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</si>
  <si>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</si>
  <si>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</si>
  <si>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t>
  </si>
  <si>
    <t>Negative</t>
  </si>
  <si>
    <t>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</si>
  <si>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</si>
  <si>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</si>
  <si>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</si>
  <si>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</si>
  <si>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</si>
  <si>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</si>
  <si>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</si>
  <si>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</si>
  <si>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</si>
  <si>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</si>
  <si>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</si>
  <si>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</si>
  <si>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</si>
  <si>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</si>
  <si>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Peer Group 3:</t>
  </si>
  <si>
    <t>Cap. Goods Peer Group</t>
  </si>
  <si>
    <t>Comparable Name:</t>
  </si>
  <si>
    <t>Raytheon</t>
  </si>
  <si>
    <t>3M Company</t>
  </si>
  <si>
    <t>IQ159230</t>
  </si>
  <si>
    <t>IQ289194</t>
  </si>
  <si>
    <t>Apple</t>
  </si>
  <si>
    <t>Boeing</t>
  </si>
  <si>
    <t>General Electric</t>
  </si>
  <si>
    <t>IQ370857</t>
  </si>
  <si>
    <t>IQ177031</t>
  </si>
  <si>
    <t>Huntington Ingalls</t>
  </si>
  <si>
    <t>Honeywell</t>
  </si>
  <si>
    <t>IQ363263</t>
  </si>
  <si>
    <t>IQ1340740</t>
  </si>
  <si>
    <t>Lockheed Martin</t>
  </si>
  <si>
    <t>Roper Technologies</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</si>
  <si>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</si>
  <si>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</si>
  <si>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</si>
  <si>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</si>
  <si>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</si>
  <si>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</si>
  <si>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</si>
  <si>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</si>
  <si>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</si>
  <si>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</si>
  <si>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</si>
  <si>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</si>
  <si>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</si>
  <si>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</si>
  <si>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</si>
  <si>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</si>
  <si>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</si>
  <si>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</si>
  <si>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</si>
  <si>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</si>
  <si>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</si>
  <si>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</si>
  <si>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</si>
  <si>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Emerson Electric Co.</t>
  </si>
  <si>
    <t>Emerson Electric Canada Ltd.</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</si>
  <si>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</si>
  <si>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</si>
  <si>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</si>
  <si>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</si>
  <si>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</si>
  <si>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</si>
  <si>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</si>
  <si>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</si>
  <si>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</si>
  <si>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</si>
  <si>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</si>
  <si>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</si>
  <si>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 Financial Services Software Limited</t>
  </si>
  <si>
    <t>IQ22247</t>
  </si>
  <si>
    <t>IQ34903</t>
  </si>
  <si>
    <t>IQ678571</t>
  </si>
  <si>
    <t xml:space="preserve">Citrix Systems, Inc. </t>
  </si>
  <si>
    <t>Citrix Systems, Inc.</t>
  </si>
  <si>
    <t>Citrix Systems GmbH</t>
  </si>
  <si>
    <t>IQ26524</t>
  </si>
  <si>
    <t>IQ29511600</t>
  </si>
  <si>
    <t>IQ29511063</t>
  </si>
  <si>
    <t xml:space="preserve">CYREN </t>
  </si>
  <si>
    <t>Cyren Ltd.</t>
  </si>
  <si>
    <t>Cyrene</t>
  </si>
  <si>
    <t>IQ26767</t>
  </si>
  <si>
    <t>Commvault Systems</t>
  </si>
  <si>
    <t>Commvault Systems, Inc.</t>
  </si>
  <si>
    <t>Commvault Systems Ltd</t>
  </si>
  <si>
    <t>IQ26789</t>
  </si>
  <si>
    <t>IQ111712935</t>
  </si>
  <si>
    <t>eGain Corporation</t>
  </si>
  <si>
    <t>IQ27928</t>
  </si>
  <si>
    <t>Harmonic</t>
  </si>
  <si>
    <t>Harmonic Inc.</t>
  </si>
  <si>
    <t>Harmonic Drive Systems Inc.</t>
  </si>
  <si>
    <t>Harmonic Fund Services</t>
  </si>
  <si>
    <t>IQ29282</t>
  </si>
  <si>
    <t>IQ5433989</t>
  </si>
  <si>
    <t>IQ247850513</t>
  </si>
  <si>
    <t>NetApp</t>
  </si>
  <si>
    <t>NetApp, Inc.</t>
  </si>
  <si>
    <t>NetApp B.V.</t>
  </si>
  <si>
    <t>NetApp Holding &amp; Manufacturing BV NAHM</t>
  </si>
  <si>
    <t>IQ32052</t>
  </si>
  <si>
    <t>IQ5540679</t>
  </si>
  <si>
    <t>IQ37895956</t>
  </si>
  <si>
    <t>Inseego</t>
  </si>
  <si>
    <t>Inseego Corp.</t>
  </si>
  <si>
    <t>IQ32261</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</si>
  <si>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</si>
  <si>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</si>
  <si>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</si>
  <si>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</si>
  <si>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</si>
  <si>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</si>
  <si>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</si>
  <si>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</si>
  <si>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</si>
  <si>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</si>
  <si>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</si>
  <si>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</si>
  <si>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</si>
  <si>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</si>
  <si>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</si>
  <si>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</si>
  <si>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</si>
  <si>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</si>
  <si>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</si>
  <si>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</si>
  <si>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</si>
  <si>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</si>
  <si>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</si>
  <si>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</si>
  <si>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</si>
  <si>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</si>
  <si>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</si>
  <si>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</si>
  <si>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</si>
  <si>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</si>
  <si>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</si>
  <si>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</si>
  <si>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</si>
  <si>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</si>
  <si>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</si>
  <si>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</si>
  <si>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</si>
  <si>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</si>
  <si>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</si>
  <si>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</si>
  <si>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</si>
  <si>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</si>
  <si>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</si>
  <si>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</si>
  <si>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</si>
  <si>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</si>
  <si>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</si>
  <si>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</si>
  <si>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</si>
  <si>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</si>
  <si>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</si>
  <si>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</si>
  <si>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</si>
  <si>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</si>
  <si>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</si>
  <si>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</si>
  <si>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</si>
  <si>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</si>
  <si>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</si>
  <si>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</si>
  <si>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</si>
  <si>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</si>
  <si>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</si>
  <si>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</si>
  <si>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</si>
  <si>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</si>
  <si>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</si>
  <si>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</si>
  <si>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</si>
  <si>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</si>
  <si>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</si>
  <si>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</si>
  <si>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</si>
  <si>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</si>
  <si>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</si>
  <si>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</si>
  <si>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</si>
  <si>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</si>
  <si>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</si>
  <si>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</si>
  <si>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</si>
  <si>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</si>
  <si>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</si>
  <si>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</si>
  <si>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</si>
  <si>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</si>
  <si>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</si>
  <si>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</si>
  <si>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</si>
  <si>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</si>
  <si>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</si>
  <si>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</si>
  <si>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</si>
  <si>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</si>
  <si>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</si>
  <si>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</si>
  <si>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</si>
  <si>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</si>
  <si>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</si>
  <si>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</si>
  <si>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</si>
  <si>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</si>
  <si>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</si>
  <si>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</si>
  <si>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</si>
  <si>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</si>
  <si>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</si>
  <si>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</si>
  <si>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</si>
  <si>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</si>
  <si>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</si>
  <si>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</si>
  <si>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</si>
  <si>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</si>
  <si>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</si>
  <si>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</si>
  <si>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</si>
  <si>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</si>
  <si>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</si>
  <si>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</si>
  <si>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</si>
  <si>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</si>
  <si>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</si>
  <si>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</si>
  <si>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</si>
  <si>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</si>
  <si>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</si>
  <si>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</si>
  <si>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</si>
  <si>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</si>
  <si>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</si>
  <si>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</si>
  <si>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</si>
  <si>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</si>
  <si>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</si>
  <si>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</si>
  <si>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</si>
  <si>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</si>
  <si>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</si>
  <si>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</si>
  <si>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</si>
  <si>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</si>
  <si>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</si>
  <si>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</si>
  <si>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</si>
  <si>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</si>
  <si>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</si>
  <si>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</si>
  <si>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</si>
  <si>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</si>
  <si>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</si>
  <si>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</si>
  <si>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</si>
  <si>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</si>
  <si>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</si>
  <si>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</si>
  <si>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</si>
  <si>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</si>
  <si>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</si>
  <si>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</si>
  <si>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</si>
  <si>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</si>
  <si>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</si>
  <si>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</si>
  <si>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</si>
  <si>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</si>
  <si>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</si>
  <si>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</si>
  <si>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</si>
  <si>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</si>
  <si>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</si>
  <si>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</si>
  <si>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</si>
  <si>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</si>
  <si>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</si>
  <si>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</si>
  <si>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</si>
  <si>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</si>
  <si>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</si>
  <si>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</si>
  <si>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</si>
  <si>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</si>
  <si>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</si>
  <si>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</si>
  <si>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</si>
  <si>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</si>
  <si>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</si>
  <si>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</si>
  <si>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</si>
  <si>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</si>
  <si>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</si>
  <si>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</si>
  <si>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</si>
  <si>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</si>
  <si>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</si>
  <si>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</si>
  <si>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</si>
  <si>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</si>
  <si>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</si>
  <si>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</si>
  <si>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</si>
  <si>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</si>
  <si>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</si>
  <si>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</si>
  <si>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</si>
  <si>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</si>
  <si>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</si>
  <si>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</si>
  <si>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</si>
  <si>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</si>
  <si>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</si>
  <si>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</si>
  <si>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</si>
  <si>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</si>
  <si>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</si>
  <si>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</si>
  <si>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</si>
  <si>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</si>
  <si>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</si>
  <si>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Hamilton Lane Inc.</t>
  </si>
  <si>
    <t>HLNE</t>
  </si>
  <si>
    <t>Management &amp; Advisory Fees</t>
  </si>
  <si>
    <t>Incentive Fees</t>
  </si>
  <si>
    <t>Top Down</t>
  </si>
  <si>
    <t>Total Company Operaing Income</t>
  </si>
  <si>
    <t>N/A</t>
  </si>
  <si>
    <t>Compensation and Benefits</t>
  </si>
  <si>
    <t>Fees Receivable</t>
  </si>
  <si>
    <t>Tax Receivable Agreement Payables</t>
  </si>
  <si>
    <t>Compensation and Benefit as a % of Revenue</t>
  </si>
  <si>
    <t>% Change in Other LT Assets</t>
  </si>
  <si>
    <t>Investments Schedule</t>
  </si>
  <si>
    <t>% Change in Investments</t>
  </si>
  <si>
    <t>Revolver</t>
  </si>
  <si>
    <t>Accrued Liabilities as a % of Operating Expenses</t>
  </si>
  <si>
    <t>Other Current Liabilities as a % of Operating Expenses</t>
  </si>
  <si>
    <t>Ending Investments, Net</t>
  </si>
  <si>
    <t>2Q</t>
  </si>
  <si>
    <t>Purchases of Investments</t>
  </si>
  <si>
    <t>Total Other LT Liabilities as a % of Revenue</t>
  </si>
  <si>
    <t>Noncontrolling Interest as a % of Revenue</t>
  </si>
  <si>
    <t>Investments and Assets of Consolidated Variable Interest Entities</t>
  </si>
  <si>
    <t>Tax Receivable Agreement Payables as a % of Revenue</t>
  </si>
  <si>
    <t>`</t>
  </si>
  <si>
    <t>Deferred Income Taxes as a % of Revenue</t>
  </si>
  <si>
    <t>Income (Loss) due to NCI as a% of NCI</t>
  </si>
  <si>
    <t>Income (Loss) due to NCI</t>
  </si>
  <si>
    <t>IQ780675</t>
  </si>
  <si>
    <t>IQ29807969</t>
  </si>
  <si>
    <t>IQ337380334</t>
  </si>
  <si>
    <t>IQ419870909</t>
  </si>
  <si>
    <t>IQ570511179</t>
  </si>
  <si>
    <t>Hamilton Lane Incorporated</t>
  </si>
  <si>
    <t>HL Newhall II LLC</t>
  </si>
  <si>
    <t>H &amp; L New Gulf, Inc.</t>
  </si>
  <si>
    <t>H. L. Nelson Construction, Inc.</t>
  </si>
  <si>
    <t>Hl Nederweert B.V.</t>
  </si>
  <si>
    <t>IQ429085948</t>
  </si>
  <si>
    <t>IQ259627</t>
  </si>
  <si>
    <t>IQ39456800</t>
  </si>
  <si>
    <t>IQ53305215</t>
  </si>
  <si>
    <t>IQ217485221</t>
  </si>
  <si>
    <t>Harmonic AI, Inc.</t>
  </si>
  <si>
    <t>Harmonic Drive, LLC</t>
  </si>
  <si>
    <t>Emerson Electric U.K. Limited</t>
  </si>
  <si>
    <t>Emerson Electric Company (India) Private Limited</t>
  </si>
  <si>
    <t>Emerson Electric (US) Holding Corporation (Germany)</t>
  </si>
  <si>
    <t>IQ22583406</t>
  </si>
  <si>
    <t>IQ29513189</t>
  </si>
  <si>
    <t>Changing Lives</t>
  </si>
  <si>
    <t>IQ78887320</t>
  </si>
  <si>
    <t>IQ78888003</t>
  </si>
  <si>
    <t>IQ119046841</t>
  </si>
  <si>
    <t>IQ694918</t>
  </si>
  <si>
    <t>IQ49516031</t>
  </si>
  <si>
    <t>IQ51199915</t>
  </si>
  <si>
    <t>IQ111651957</t>
  </si>
  <si>
    <t>Nitman Software Pvt. Ltd.</t>
  </si>
  <si>
    <t>Ega Invest Aps</t>
  </si>
  <si>
    <t>eGain Communications Corp., Asset Management Arm</t>
  </si>
  <si>
    <t>eGain Communications Ltd</t>
  </si>
  <si>
    <t>IQ35346556</t>
  </si>
  <si>
    <t>IQ49154429</t>
  </si>
  <si>
    <t>NetApp India Pvt. Ltd.</t>
  </si>
  <si>
    <t>NetApp Australia Pty. Ltd.</t>
  </si>
  <si>
    <t>Citrix Systems International GmbH</t>
  </si>
  <si>
    <t>Citrix Systems Asia Pacific Pty. Ltd.</t>
  </si>
  <si>
    <t>Citrix Systems Korea Limited</t>
  </si>
  <si>
    <t>CommVault Systems (India) Private Limited</t>
  </si>
  <si>
    <t>CommVault Systems Italia Srl</t>
  </si>
  <si>
    <t>CommVault Systems Mexico S. de R.L. de C.V.</t>
  </si>
  <si>
    <t>Oracle Healthcare</t>
  </si>
  <si>
    <t>Cerner Corporation</t>
  </si>
  <si>
    <t>IQ182703434</t>
  </si>
  <si>
    <t>IQ698479807</t>
  </si>
  <si>
    <t>IQ1860020589</t>
  </si>
  <si>
    <t>IQ1897901862</t>
  </si>
  <si>
    <t>Inseego Wireless, Inc.</t>
  </si>
  <si>
    <t>Inseego Japan K K</t>
  </si>
  <si>
    <t>Inseego SA (Pty) Ltd</t>
  </si>
  <si>
    <t>Inseego ANZ Holdings B.V.</t>
  </si>
  <si>
    <t>IQ1799916204</t>
  </si>
  <si>
    <t>IQ1799920214</t>
  </si>
  <si>
    <t>IQ1897847297</t>
  </si>
  <si>
    <t>IQ1903338692</t>
  </si>
  <si>
    <t>IQ713550374</t>
  </si>
  <si>
    <t>IQ29281</t>
  </si>
  <si>
    <t>StepStone Group Inc.</t>
  </si>
  <si>
    <t>Stepstone Group LP</t>
  </si>
  <si>
    <t>Stepstone Group</t>
  </si>
  <si>
    <t>The Stepstone Group Deutschland GmbH</t>
  </si>
  <si>
    <t>The Stepstone Group GmbH</t>
  </si>
  <si>
    <t>IQ34231914</t>
  </si>
  <si>
    <t>IQ703558126</t>
  </si>
  <si>
    <t>IQ271649044</t>
  </si>
  <si>
    <t>IQ11866656</t>
  </si>
  <si>
    <t>IQ1858004549</t>
  </si>
  <si>
    <t>Ares Management Corporation</t>
  </si>
  <si>
    <t>Ares Capital Corporation</t>
  </si>
  <si>
    <t>Ares Management LLC</t>
  </si>
  <si>
    <t>Ares Capital Management LLC</t>
  </si>
  <si>
    <t>Ares Management Limited</t>
  </si>
  <si>
    <t>IQ44707236</t>
  </si>
  <si>
    <t>IQ9771238</t>
  </si>
  <si>
    <t>IQ18851</t>
  </si>
  <si>
    <t>IQ141943745</t>
  </si>
  <si>
    <t>IQ224012958</t>
  </si>
  <si>
    <t>IQ671980</t>
  </si>
  <si>
    <t>IQ368278</t>
  </si>
  <si>
    <t>IQ576210022</t>
  </si>
  <si>
    <t>IQ258279</t>
  </si>
  <si>
    <t>IQ10004802</t>
  </si>
  <si>
    <t>Blackstone Inc.</t>
  </si>
  <si>
    <t>BXP, Inc.</t>
  </si>
  <si>
    <t>Blackstone Secured Lending Fund</t>
  </si>
  <si>
    <t>Blackstone Mortgage Trust, Inc.</t>
  </si>
  <si>
    <t>BlueLinx Holdings Inc.</t>
  </si>
  <si>
    <t>IQ538190258</t>
  </si>
  <si>
    <t>IQ23307</t>
  </si>
  <si>
    <t>IQ1689088</t>
  </si>
  <si>
    <t>IQ172033764</t>
  </si>
  <si>
    <t>IQ11355381</t>
  </si>
  <si>
    <t>TPG Inc.</t>
  </si>
  <si>
    <t>TPG Capital, L.P.</t>
  </si>
  <si>
    <t>Angelo, Gordon &amp; Co., L.P.</t>
  </si>
  <si>
    <t>TPG Global, LLC</t>
  </si>
  <si>
    <t>TPG Telecom Limited</t>
  </si>
  <si>
    <t>STEP</t>
  </si>
  <si>
    <t>ARES</t>
  </si>
  <si>
    <t>BX</t>
  </si>
  <si>
    <t>TPG</t>
  </si>
  <si>
    <t>NR</t>
  </si>
  <si>
    <t>NA</t>
  </si>
  <si>
    <t>BAABTAVMT0NBTAFI/////wFQQAMAABZDSVEuLklRX0NPTVBBTllfVElDS0VSBQAAAAAAAAAIAAAAFChJbnZhbGlkIElkZW50aWZpZXIpzoeU+tsE3ghwIk0Q3ATeCBxDSVEuSVEyMjQwNTUyODMuSVFfU1BfTENfTFQuAQAAAPPPWg0DAAAAAkIrAM6HlPrbBN4IcCJNENwE3ggZQ0lRLklRMTgwODcxLklRX1NQX0xDX0xULgEAAACHwgIAAwAAAARCQkIrAEqvlPrbBN4IwAlNENwE3ggYQ0lRLklRMjE4MzUuSVFfU1BfTENfTFQuAQAAAEtVAAADAAAAA0FBQQBKr5T62wTeCMAJTRDcBN4IGUNJUS5JUTM3MDg1Ny5JUV9TUF9MQ19MVC4BAAAAqagFAAMAAAAEQkJCLQBKr5T62wTeCEsXZE3eBN4IIUNJUS5JUTM3MDg1Ny5JUV9TUF9PVVRMT09LX1dBVENILgEAAACpqAUAAwAAAAhOZWdhdGl2ZQBKr5T62wTeCEsXZE3eBN4IGUNJUS5JUTE3NzAzMS5JUV9TUF9MQ19MVC4BAAAAh7MCAAMAAAACQS0ASq+U+tsE3gj2+GJN3gTeCCFDSVEuSVEyODkxOTQuSVFfU1BfT1VUTE9PS19XQVRDSC4BAAAAqmkEAAMAAAAGU3RhYmxlAEqvlPrbBN4IFaFmTd4E3gghQ0lRLklRMTgwODcxLklRX1NQX09VVExPT0tfV0FUQ0guAQAAAIfCAgADAAAABlN0YWJsZQBKr5T62wTeCMe6TBDcBN4IIENJUS5JUTIxODM1LklRX1NQX09VVExPT0tfV0FUQ0guAQAAAEtVAAADAAAABlN0YWJsZQBKr5T62wTeCMe6TBDcBN4IJENJUS5JUTIy</t>
  </si>
  <si>
    <t>NDA1NTI4My5JUV9TUF9PVVRMT09LX1dBVENILgEAAADzz1oNAwAAAAZTdGFibGUASq+U+tsE3gjHukwQ3ATeCCBDSVEuSVEyMjc1MS5JUV9TUF9PVVRMT09LX1dBVENILgEAAADfWAAAAwAAAAZTdGFibGUASq+U+tsE3gi6FGVN3gTeCBhDSVEuSVEyOTA5Ni5JUV9TUF9MQ19MVC4BAAAAqHEAAAMAAAADQUErAEqvlPrbBN4IdpJMENwE3ggYQ0lRLklRMjI3NTEuSVFfU1BfTENfTFQuAQAAAN9YAAADAAAABEJCQisASq+U+tsE3gi6FGVN3gTeCCFDSVEuSVEyNjkyMzEuSVFfU1BfT1VUTE9PS19XQVRDSC4BAAAArxsEAAMAAAAGU3RhYmxlAEqvlPrbBN4IdpJMENwE3gghQ0lRLklRMzYzMjYzLklRX1NQX09VVExPT0tfV0FUQ0guAQAAAP+KBQADAAAACE5lZ2F0aXZlAEqvlPrbBN4IATxlTd4E3gggQ0lRLklRMjkwOTYuSVFfU1BfT1VUTE9PS19XQVRDSC4BAAAAqHEAAAMAAAAGU3RhYmxlAEqvlPrbBN4IXGlMENwE3ggbQ0lRLklRMjA3NjU0NjMuSVFfU1BfTENfTFQuAQAAABfbPAEDAAAAA0FBLQBKr5T62wTeCFxpTBDcBN4IGENJUS5JUTk3MTk5LklRX1NQX0xDX0xULgEAAACvewEAAwAAAARCQkIrAEqvlPrbBN4IXGlMENwE3ggZQ0lRLklRMzYzMjYzLklRX1NQX0xDX0xULgEAAAD/igUAAwAAAARCQkItAEqvlPrbBN4IATxlTd4E3gggQ0lRLklROTcxOTkuSVFfU1BfT1VUTE9PS19XQVRDSC4BAAAAr3sB</t>
  </si>
  <si>
    <t>AAMAAAAGU3RhYmxlAEqvlPrbBN4IXGlMENwE3gghQ0lRLklRMjc4Njc5LklRX1NQX09VVExPT0tfV0FUQ0guAQAAAJdABAADAAAABlN0YWJsZQBKr5T62wTeCFxpTBDcBN4IIUNJUS5JUTE3NzAzMS5JUV9TUF9PVVRMT09LX1dBVENILgEAAACHswIAAwAAAAZTdGFibGUASq+U+tsE3gj2+GJN3gTeCCNDSVEuSVEyMDc2NTQ2My5JUV9TUF9PVVRMT09LX1dBVENILgEAAAAX2zwBAwAAAAZTdGFibGUASq+U+tsE3ghKVUwQ3ATeCBlDSVEuSVExNTkyMzAuSVFfU1BfTENfTFQuAQAAAP5tAgADAAAABEJCQisASq+U+tsE3gi+LmNN3gTeCCFDSVEuSVEyODU4MjcuSVFfU1BfT1VUTE9PS19XQVRDSC4BAAAAg1wEAAMAAAAGU3RhYmxlAEqvlPrbBN4IrkpmTd4E3ggaQ0lRLklRMTM0MDc0MC5JUV9TUF9MQ19MVC4BAAAARHUUAAMAAAABQQBKr5T62wTeCFXYY03eBN4IGUNJUS5JUTI4OTE5NC5JUV9TUF9MQ19MVC4BAAAAqmkEAAMAAAAEQkJCKwBKr5T62wTeCBWhZk3eBN4IIkNJUS5JUTEzNDA3NDAuSVFfU1BfT1VUTE9PS19XQVRDSC4BAAAARHUUAAMAAAAJV2F0Y2ggTmVnAEqvlPrbBN4IVdhjTd4E3ggZQ0lRLklRMjY5MjMxLklRX1NQX0xDX0xULgEAAACvGwQAAwAAAAFBAEqvlPrbBN4IDy5MENwE3ggZQ0lRLklRMjc4Njc5LklRX1NQX0xDX0xULgEAAACXQAQAAwAAAAFBAEqvlPrbBN4I+gVMENwE3ggZQ0lR</t>
  </si>
  <si>
    <t>LklRMjg1ODI3LklRX1NQX0xDX0xULgEAAACDXAQAAwAAAAJBLQBKr5T62wTeCK5KZk3eBN4IIUNJUS5JUTE1OTIzMC5JUV9TUF9PVVRMT09LX1dBVENILgEAAAD+bQIAAwAAAAZTdGFibGUASq+U+tsE3gi+LmNN3gTeCDhDSVFSQU5HRS5IQVJNT05JQy5JUV9DT01QQU5ZX0lEX1FVSUNLX01BVENILjEuNS4uLi4uLi5JRAQAAABhcgAABQAAAAMAAAAHSVEyOTI4MgMAAAAJSVE1NDMzOTg5AwAAAAtJUTI0Nzg1MDUxMwMAAAALSVE3MTM1NTAzNzQDAAAAB0lRMjkyODFKr5T62wTeCHAiTRDcBN4ISENJUVJBTkdFLkdFTkVSQUwgRUxFQ1RSSUMgQ09NUEFOWS5JUV9DT01QQU5ZX0lEX1FVSUNLX01BVENILjEuNS4uLi4uLi5JRAQAAACRnoUBBQAAAAMAAAAISVExNzcwMzEDAAAAC0lRMjYzMjQ3MzQ5AwAAAAtJUTMxNjQ1NjQwNQMAAAAHSVEyMDYyNQMAAAAKSVEyNTUzNDA5N0qvlPrbBN4IDktNENwE3gg+Q0lRUkFOR0UuSE9NRSBERVBPVC5JUV9DT01QQU5ZX05BTUVfUVVJQ0tfTUFUQ0guMS41Li4uLi4uLk5BTUUEAAAAjKujJwUAAAADAAAAFFRoZSBIb21lIERlcG90LCBJbmMuAwAAABdIb21lIERlcG90IFUuUy5BLiwgSW5jLgMAAAAKSG9tZSBEZXBvdAMAAAAZSG9tZSBEZXBvdCBvZiBDYW5hZGEgSW5jLgMAAAAhSG9tZSBEZXBvdCBQcm9kdWN0IEF1dGhvcml0eSwgTExDSq+U+tsE3ghwIk0Q3ATeCD5D</t>
  </si>
  <si>
    <t>SVFSQU5HRS4zTSBDT01QQU5ZLklRX0NPTVBBTllfTkFNRV9RVUlDS19NQVRDSC4xLjUuLi4uLi4uTkFNRQQAAADHtQoFBQAAAAMAAAAKM00gQ29tcGFueQMAAAAWM00gSGVhbHRoIENhcmUgTGltaXRlZAMAAAAQM00gSW5kaWEgTGltaXRlZAMAAAAsU3dhcCBSYXRlcyAtIEFjdC8zNjAgQW5uIHZzIDNNIEVVUklCT1IgLSBFVVIDAAAADzNNIE5ldyBWZW50dXJlc0qvlPrbBN4ISq+U+tsE3gg3Q0lRUkFOR0UuSU5TRUVHTy5JUV9DT01QQU5ZX0lEX1FVSUNLX01BVENILjEuNS4uLi4uLi5JRAQAAADEpHJxBQAAAAMAAAAHSVEzMjI2MQMAAAAMSVExNzk5OTE2MjA0AwAAAAxJUTE3OTk5MjAyMTQDAAAADElRMTg5Nzg0NzI5NwMAAAAMSVExOTAzMzM4NjkySq+U+tsE3ghwIk0Q3ATeCDtDSVFSQU5HRS5JTlNFRUdPLklRX0NPTVBBTllfTkFNRV9RVUlDS19NQVRDSC4xLjUuLi4uLi4uTkFNRQQAAADEpHJxBQAAAAMAAAANSW5zZWVnbyBDb3JwLgMAAAAWSW5zZWVnbyBXaXJlbGVzcywgSW5jLgMAAAARSW5zZWVnbyBKYXBhbiBLIEsDAAAAFEluc2VlZ28gU0EgKFB0eSkgTHRkAwAAABlJbnNlZWdvIEFOWiBIb2xkaW5ncyBCLlYuSq+U+tsE3ggOS00Q3ATeCExDSVFSQU5HRS5ST1BFUiBURUNITk9MT0dJRVMsIElOQy4uSVFfQ09NUEFOWV9OQU1FX1FVSUNLX01BVENILjEuNS4uLi4uLi5OQU1FBAAAALUnamoF</t>
  </si>
  <si>
    <t>AAAAAwAAABhSb3BlciBUZWNobm9sb2dpZXMsIEluYy4DAAAAFUluZGljb3IgSG9sZGluZ3MsIExMQwMAAAAYUm9wZXIgSW5kdXN0cmllcyBMaW1pdGVkAwAAACFSb3BlciBUZWNoLiBNaWRkbGUgRWFzdCBMdGQuIEZaQ08DAAAAMUluZHVzdHJpYWwgYnVzaW5lc3NlcyBvZiBSb3BlciBUZWNobm9sb2dpZXMsIEluYy5Kr5T62wTeCA5LTRDcBN4INUNJUVJBTkdFLkNZUkVOLklRX0NPTVBBTllfSURfUVVJQ0tfTUFUQ0guMS41Li4uLi4uLklEBAAAACavH3EFAAAAAwAAAAdJUTI2NzY3AwAAAAtJUTE4MjcwMzQzNAMAAAALSVE2OTg0Nzk4MDcDAAAADElRMTg2MDAyMDU4OQMAAAAMSVExODk3OTAxODYySq+U+tsE3ggOS00Q3ATeCEBDSVFSQU5HRS5WUE4gVEVDSE5PTE9HSUVTLklRX0NPTVBBTllfSURfUVVJQ0tfTUFUQ0guMS41Li4uLi4uLklEBAAAAO2J0RABAAAAAwAAAAtJUTI4MjE2Nzc4OUqvlPrbBN4IDktNENwE3gg1Q0lRUkFOR0UuQVBQTEUuSVFfQ09NUEFOWV9JRF9RVUlDS19NQVRDSC4xLjUuLi4uLi4uSUQEAAAAIRifGQUAAAADAAAAB0lRMjQ5MzcDAAAAC0lRMjc1ODkyNzUxAwAAAAtJUTIyODY3NzY2OAMAAAAKSVEzODU3NjM2OAMAAAALSVE0Mjk4NTY4MDFKr5T62wTeCA5LTRDcBN4IRkNJUVJBTkdFLk9SQUNMRSBDT1JQT1JBVElPTi5JUV9DT01QQU5ZX05BTUVfUVVJQ0tfTUFUQ0guMS41</t>
  </si>
  <si>
    <t>Li4uLi4uLk5BTUUEAAAAK/YDAAUAAAADAAAAEk9yYWNsZSBDb3Jwb3JhdGlvbgMAAAAUT3JhY2xlIEFtZXJpY2EsIEluYy4DAAAAKk9yYWNsZSBGaW5hbmNpYWwgU2VydmljZXMgU29mdHdhcmUgTGltaXRlZAMAAAART3JhY2xlIEhlYWx0aGNhcmUDAAAAEkNlcm5lciBDb3Jwb3JhdGlvbkqvlPrbBN4IDktNENwE3gg6Q0lRUkFOR0UuM00gQ09NUEFOWS5JUV9DT01QQU5ZX0lEX1FVSUNLX01BVENILjEuNS4uLi4uLi5JRAQAAADHtQoFBQAAAAMAAAAISVEyODkxOTQDAAAACklRMjI3Mjg0NTMDAAAACElRODgxMzUxAwAAAAtJUTI2Njk4MzE5MwMAAAAKSVE4NDU4Nzk3NUqvlPrbBN4ISq+U+tsE3ghDQ0lRUkFOR0UuSU5UT1VDSCBJTlNJR0hULklRX0NPTVBBTllfTkFNRV9RVUlDS19NQVRDSC4xLjUuLi4uLi4uTkFNRQQAAABbFFwIAgAAAAMAAAAUSW50b3VjaCBJbnNpZ2h0IEx0ZC4DAAAAHUluLVRvdWNoIEluc2lnaHQgU3lzdGVtcyBJbmMuSq+U+tsE3ggOS00Q3ATeCDpDSVFSQU5HRS5IT01FIERFUE9ULklRX0NPTVBBTllfSURfUVVJQ0tfTUFUQ0guMS41Li4uLi4uLklEBAAAAIyroycFAAAAAwAAAAhJUTI3ODY3OQMAAAAJSVE0NzcyMTAyAwAAAAtJUTY5ODk4MDI5MAMAAAAISVE5ODI5OTUDAAAAC0lRNjY1MDM3NzA4Sq+U+tsE3ggOS00Q3ATeCEVDSVFSQU5HRS5DT01NVkFVTFQgU1lTVEVNUy5J</t>
  </si>
  <si>
    <t>UV9DT01QQU5ZX05BTUVfUVVJQ0tfTUFUQ0guMS41Li4uLi4uLk5BTUUEAAAAuYIYBwUAAAADAAAAF0NvbW12YXVsdCBTeXN0ZW1zLCBJbmMuAwAAAClDb21tVmF1bHQgU3lzdGVtcyAoSW5kaWEpIFByaXZhdGUgTGltaXRlZAMAAAAcQ29tbVZhdWx0IFN5c3RlbXMgSXRhbGlhIFNybAMAAAAVQ29tbXZhdWx0IFN5c3RlbXMgTHRkAwAAACtDb21tVmF1bHQgU3lzdGVtcyBNZXhpY28gUy4gZGUgUi5MLiBkZSBDLlYuSq+U+tsE3ggOS00Q3ATeCDlDSVFSQU5HRS5OWVNFOiBNTU0uSVFfQ09NUEFOWV9JRF9RVUlDS19NQVRDSC4xLjUuLi4uLi4uSUQFAAAAAAAAAAgAAAAUKEludmFsaWQgSWRlbnRpZmllcilKr5T62wTeCMe6TBDcBN4ISENJUVJBTkdFLkNJVFJJWCBTWVNURU1TLCBJTkMuLklRX0NPTVBBTllfTkFNRV9RVUlDS19NQVRDSC4xLjUuLi4uLi4uTkFNRQQAAADlVcIBBQAAAAMAAAAUQ2l0cml4IFN5c3RlbXMsIEluYy4DAAAAE0NpdHJpeCBTeXN0ZW1zIEdtYkgDAAAAIUNpdHJpeCBTeXN0ZW1zIEludGVybmF0aW9uYWwgR21iSAMAAAAlQ2l0cml4IFN5c3RlbXMgQXNpYSBQYWNpZmljIFB0eS4gTHRkLgMAAAAcQ2l0cml4IFN5c3RlbXMgS29yZWEgTGltaXRlZEqvlPrbBN4IDktNENwE3gg6Q0lRUkFOR0UuTkVUQVBQLklRX0NPTVBBTllfTkFNRV9RVUlDS19NQVRDSC4xLjUuLi4uLi4uTkFNRQQA</t>
  </si>
  <si>
    <t>AAB9Ce4CBQAAAAMAAAAMTmV0QXBwLCBJbmMuAwAAACZOZXRBcHAgSG9sZGluZyAmIE1hbnVmYWN0dXJpbmcgQlYgTkFITQMAAAAWTmV0QXBwIEluZGlhIFB2dC4gTHRkLgMAAAALTmV0QXBwIEIuVi4DAAAAGk5ldEFwcCBBdXN0cmFsaWEgUHR5LiBMdGQuSq+U+tsE3ggOS00Q3ATeCD1DSVFSQU5HRS5OWVNFOiBNTU0uSVFfQ09NUEFOWV9OQU1FX1FVSUNLX01BVENILjEuNS4uLi4uLi5OQU1FBQAAAAAAAAAIAAAAFChJbnZhbGlkIElkZW50aWZpZXIpSq+U+tsE3gh2kkwQ3ATeCDZDSVFSQU5HRS5ORVRBUFAuSVFfQ09NUEFOWV9JRF9RVUlDS19NQVRDSC4xLjUuLi4uLi4uSUQEAAAAfQnuAgUAAAADAAAAB0lRMzIwNTIDAAAACklRMzc4OTU5NTYDAAAACklRMzUzNDY1NTYDAAAACUlRNTU0MDY3OQMAAAAKSVE0OTE1NDQyOUqvlPrbBN4IDktNENwE3ghFQ0lRUkFOR0UuRUdBSU4gQ09SUE9SQVRJT04uSVFfQ09NUEFOWV9OQU1FX1FVSUNLX01BVENILjEuNS4uLi4uLi5OQU1FBAAAAHWspwYFAAAAAwAAABFlR2FpbiBDb3Jwb3JhdGlvbgMAAAAZTml0bWFuIFNvZnR3YXJlIFB2dC4gTHRkLgMAAAAORWdhIEludmVzdCBBcHMDAAAAMGVHYWluIENvbW11bmljYXRpb25zIENvcnAuLCBBc3NldCBNYW5hZ2VtZW50IEFybQMAAAAYZUdhaW4gQ29tbXVuaWNhdGlvbnMgTHRkSq+U+tsE3ggOS00Q3ATeCERDSVFS</t>
  </si>
  <si>
    <t>QU5HRS5WUE4gVEVDSE5PTE9HSUVTLklRX0NPTVBBTllfTkFNRV9RVUlDS19NQVRDSC4xLjUuLi4uLi4uTkFNRQQAAADtidEQAQAAAAMAAAAeRW5lcmd5IFBsdWcgVGVjaG5vbG9naWVzIENvcnAuSq+U+tsE3ggOS00Q3ATeCEFDSVFSQU5HRS5FR0FJTiBDT1JQT1JBVElPTi5JUV9DT01QQU5ZX0lEX1FVSUNLX01BVENILjEuNS4uLi4uLi5JRAQAAAB1rKcGBQAAAAMAAAAHSVEyNzkyOAMAAAAISVE2OTQ5MTgDAAAACklRNDk1MTYwMzEDAAAACklRNTExOTk5MTUDAAAAC0lRMTExNjUxOTU3Sq+U+tsE3ggVc00Q3ATeCEFDSVFSQU5HRS5DT01NVkFVTFQgU1lTVEVNUy5JUV9DT01QQU5ZX0lEX1FVSUNLX01BVENILjEuNS4uLi4uLi5JRAQAAAC5ghgHBQAAAAMAAAAHSVEyNjc4OQMAAAAKSVE3ODg4NzMyMAMAAAAKSVE3ODg4ODAwMwMAAAALSVExMTE3MTI5MzUDAAAAC0lRMTE5MDQ2ODQxSq+U+tsE3ggVc00Q3ATeCDlDSVFSQU5HRS5DWVJFTi5JUV9DT01QQU5ZX05BTUVfUVVJQ0tfTUFUQ0guMS41Li4uLi4uLk5BTUUEAAAAJq8fcQUAAAADAAAACkN5cmVuIEx0ZC4DAAAADkNoYW5naW5nIExpdmVzAwAAAAZDeXJlbmUDAAAABkN5cmVuZQMAAAAGQ3lyZW5lSq+U+tsE3ggVc00Q3ATeCDlDSVFSQU5HRS5BUFBMRS5JUV9DT01QQU5ZX05BTUVfUVVJQ0tfTUFUQ0guMS41Li4uLi4uLk5BTUUEAAAAIRifGQUA</t>
  </si>
  <si>
    <t>AAADAAAACkFwcGxlIEluYy4DAAAABUFwcGxlAwAAABJBcHBsZWdyZWVuIExpbWl0ZWQDAAAAE0FwcGxlIExlaXN1cmUgR3JvdXADAAAACkFwcGxlIEluYy5Kr5T62wTeCBVzTRDcBN4ITENJUVJBTkdFLkdFTkVSQUwgRUxFQ1RSSUMgQ09NUEFOWS5JUV9DT01QQU5ZX05BTUVfUVVJQ0tfTUFUQ0guMS41Li4uLi4uLk5BTUUEAAAAkZ6FAQUAAAADAAAAGEdlbmVyYWwgRWxlY3RyaWMgQ29tcGFueQMAAAAYR2VuZXJhbCBFbGVjdHJpYyBDb21wYW55AwAAACRHZW5lcmFsIEVsZWN0cmljIENhcGl0YWwgQ29ycG9yYXRpb24DAAAAHkdlbmVyYWwgRWxlY3RyaWMgUGVuc2lvbiBUcnVzdAMAAAAeR2VuZXJhbCBFbGVjdHJpYyBQb3dlciBDb21wYW55Sq+U+tsE3ggVc00Q3ATeCEhDSVFSQU5HRS5ST1BFUiBURUNITk9MT0dJRVMsIElOQy4uSVFfQ09NUEFOWV9JRF9RVUlDS19NQVRDSC4xLjUuLi4uLi4uSUQEAAAAtSdqagUAAAADAAAAB0lRMjI3NTEDAAAADElRMTc4NTM0NDMwMgMAAAAKSVE0NjQ1MjQxMgMAAAAMSVExNzc1MzU3NzYzAwAAAAxJUTE3ODUzNDE4NzdKr5T62wTeCBVzTRDcBN4IRENJUVJBTkdFLkNJVFJJWCBTWVNURU1TLCBJTkMuLklRX0NPTVBBTllfSURfUVVJQ0tfTUFUQ0guMS41Li4uLi4uLklEBAAAAOVVwgEFAAAAAwAAAAdJUTI2NTI0AwAAAApJUTI5NTExNjAwAwAAAApJUTIyNTgzNDA2</t>
  </si>
  <si>
    <t>AwAAAApJUTI5NTExMDYzAwAAAApJUTI5NTEzMTg5Sq+U+tsE3ggVc00Q3ATeCD9DSVFSQU5HRS5JTlRPVUNIIElOU0lHSFQuSVFfQ09NUEFOWV9JRF9RVUlDS19NQVRDSC4xLjUuLi4uLi4uSUQEAAAAWxRcCAIAAAADAAAACUlRMzE2MDAzNAMAAAALSVExNDAyNTIyNTFKr5T62wTeCBVzTRDcBN4ISENJUVJBTkdFLkVNRVJTT04gRUxFQ1RSSUMgQ08uLklRX0NPTVBBTllfTkFNRV9RVUlDS19NQVRDSC4xLjUuLi4uLi4uTkFNRQQAAAClj/YMBQAAAAMAAAAURW1lcnNvbiBFbGVjdHJpYyBDby4DAAAAHUVtZXJzb24gRWxlY3RyaWMgVS5LLiBMaW1pdGVkAwAAABxFbWVyc29uIEVsZWN0cmljIENhbmFkYSBMdGQuAwAAADBFbWVyc29uIEVsZWN0cmljIENvbXBhbnkgKEluZGlhKSBQcml2YXRlIExpbWl0ZWQDAAAAM0VtZXJzb24gRWxlY3RyaWMgKFVTKSBIb2xkaW5nIENvcnBvcmF0aW9uIChHZXJtYW55KUqvlPrbBN4IFXNNENwE3gg8Q0lRUkFOR0UuSEFSTU9OSUMuSVFfQ09NUEFOWV9OQU1FX1FVSUNLX01BVENILjEuNS4uLi4uLi5OQU1FBAAAAGFyAAAFAAAAAwAAAA1IYXJtb25pYyBJbmMuAwAAABtIYXJtb25pYyBEcml2ZSBTeXN0ZW1zIEluYy4DAAAAFkhhcm1vbmljIEZ1bmQgU2VydmljZXMDAAAAEUhhcm1vbmljIEFJLCBJbmMuAwAAABNIYXJtb25pYyBEcml2ZSwgTExDSq+U+tsE3ggVc00Q3ATe</t>
  </si>
  <si>
    <t>CERDSVFSQU5HRS5FTUVSU09OIEVMRUNUUklDIENPLi5JUV9DT01QQU5ZX0lEX1FVSUNLX01BVENILjEuNS4uLi4uLi5JRAQAAAClj/YMBQAAAAMAAAAISVEyNjkyMzEDAAAACklRMzk0NTY4MDADAAAACklRMjI1OTYzMDADAAAACklRNTMzMDUyMTUDAAAAC0lRMjE3NDg1MjIxSq+U+tsE3ggVc00Q3ATeCEJDSVFSQU5HRS5PUkFDTEUgQ09SUE9SQVRJT04uSVFfQ09NUEFOWV9JRF9RVUlDS19NQVRDSC4xLjUuLi4uLi4uSUQEAAAAK/YDAAUAAAADAAAAB0lRMjIyNDcDAAAAB0lRMzQ5MDMDAAAACElRNjc4NTcxAwAAAAtJUTQyOTA4NTk0OAMAAAAISVEyNTk2MjdKr5T62wTeCBVzTRDcBN4IIUNJUS5JUTIxODM1LklRX0JFVEFfNVlSLjEwLzIvMjAyNQEAAABLVQAAAgAAABAxLjAyMzczNTk0NzM3NjE1AEqvlPrbBN4IcCJNENwE3ggjQ0lRLklRMTM0MDc0MC5JUV9CRVRBXzVZUi4xMC8yLzIwMjUBAAAARHUUAAIAAAAPMS4wNDkwNjYzODc2NDc3AEqvlPrbBN4IVdhjTd4E3gghQ0lRLklRMjI3NTEuSVFfQkVUQV81WVIuMTAvMi8yMDI1AQAAAN9YAAACAAAAEDEuMDAwOTAxOTkwNTA1MTQASq+U+tsE3gi6FGVN3gTeCCJDSVEuSVEyNzg2NzkuSVFfQkVUQV81WVIuMTAvMi8yMDI1AQAAAJdABAACAAAAEDEuMDAxODMyNzU5MjE3ODMASq+U+tsE3giy4kwQ3ATeCCJDSVEuSVExNzcwMzEuSVFfQkVUQV81WVIu</t>
  </si>
  <si>
    <t>MTAvMi8yMDI1AQAAAIezAgACAAAAEDEuNDkzNTk3MjA0MTQ5NDMASq+U+tsE3gj2+GJN3gTeCCFDSVEuSVE5NzE5OS5JUV9CRVRBXzVZUi4xMC8yLzIwMjUBAAAAr3sBAAIAAAASMC4wOTg2MDQyMjU1NjE5NzQ2AEqvlPrbBN4IsuJMENwE3ggkQ0lRLklRMjA3NjU0NjMuSVFfQkVUQV81WVIuMTAvMi8yMDI1AQAAABfbPAECAAAAEDEuMjAzMDUyMjY5OTU1MjQASq+U+tsE3gjHukwQ3ATeCCVDSVEuSVEyMjQwNTUyODMuSVFfQkVUQV81WVIuMTAvMi8yMDI1AQAAAPPPWg0CAAAAETAuNzEyNjM5NTQyMTg2NDUzAH3XlPrbBN4IdpJMENwE3ggiQ0lRLklRMjg1ODI3LklRX0JFVEFfNVlSLjEwLzIvMjAyNQEAAACDXAQAAgAAABEwLjI3Mzk2NzU4NDM0MDA4NwB915T62wTeCK5KZk3eBN4IIkNJUS5JUTE4MDg3MS5JUV9CRVRBXzVZUi4xMC8yLzIwMjUBAAAAh8ICAAIAAAARMC44ODAxMjM5NzEzNDgxNTEAfdeU+tsE3gh2kkwQ3ATeCCJDSVEuSVEyNjkyMzEuSVFfQkVUQV81WVIuMTAvMi8yMDI1AQAAAK8bBAACAAAAEDEuMjc5NjcyMTQ2NDc4ODEAfdeU+tsE3ghcaUwQ3ATeCCJDSVEuSVEzNjMyNjMuSVFfQkVUQV81WVIuMTAvMi8yMDI1AQAAAP+KBQACAAAAETAuMzcxNDE0ODY3NTQyODk5AH3XlPrbBN4IATxlTd4E3ggiQ0lRLklRMTU5MjMwLklRX0JFVEFfNVlSLjEwLzIvMjAyNQEAAAD+bQIAAgAAABEw</t>
  </si>
  <si>
    <t>LjY0ODQyNzEwNTM4ODc4OQB915T62wTeCL4uY03eBN4IIkNJUS5JUTM3MDg1Ny5JUV9CRVRBXzVZUi4xMC8yLzIwMjUBAAAAqagFAAIAAAAQMS40Njk1NzkyNjU2MzcxMgB915T62wTeCEsXZE3eBN4IIUNJUS5JUTI5MDk2LklRX0JFVEFfNVlSLjEwLzIvMjAyNQEAAACocQAAAgAAABEwLjk5OTk0NjU4NDg2NTIyMwB915T62wTeCPoFTBDcBN4IIkNJUS5JUTI4OTE5NC5JUV9CRVRBXzVZUi4xMC8yLzIwMjUBAAAAqmkEAAIAAAAQMS4xMDc5MDYzODM0MDQ3MwB915T62wTeCBWhZk3eBN4IIUNJUS5JUTIyNzUxLklRX1RFVl9UT1RBTF9SRVYuMjAwMAEAAADfWAAAAgAAABA4LjM1Nzk2NjcyNjMxNTkzAQcAAAAFAAAAATEBAAAACy0xOTMzNjkzNjIwAwAAAAEwAgAAAAYxMDAwNjEEAAAAATAHAAAACTEwLzMvMjAyNQgAAAAJMTAvMy8yMDI1fdeU+tsE3ghbTmdN3gTeCCVDSVEuSVEyMjQwNTUyODMuSVFfVEVWX1RPVEFMX1JFVi4yMDAwAQAAAPPPWg0CAAAAEDIuNzkwMDE1Nzc3NTA1NjYBBwAAAAUAAAABMQEAAAALLTE5MzI4NzI5NDIDAAAAATACAAAABjEwMDA2MQQAAAABMAcAAAAJMTAvMy8yMDI1CAAAAAkxMC8zLzIwMjV915T62wTeCLWMSxDcBN4IHUNJUS5JUTEzNDA3NDAuSVFfUEVfRVhDTC4yMDAwAQAAAER1FAACAAAAEDIzLjc5MzE2Njg3MTA3OTYBBwAAAAUAAAABMQEAAAALLTE5MzQ4Nzk4NDYD</t>
  </si>
  <si>
    <t>AAAAATACAAAABjEwMDA2NgQAAAABMAcAAAAJMTAvMy8yMDI1CAAAAAkxMC8zLzIwMjV915T62wTeCK0fZk3eBN4IHENJUS5JUTI4NTgyNy5JUV9QRV9FWENMLjIwMDABAAAAg1wEAAIAAAAQMjguMzQ2Mzk0NzUzMTQ0MQEHAAAABQAAAAExAQAAAAstMTkzNTA3MzQ1MwMAAAABMAIAAAAGMTAwMDY2BAAAAAEwBwAAAAkxMC8zLzIwMjUIAAAACTEwLzMvMjAyNX3XlPrbBN4IuGxkTd4E3ggbQ0lRLklROTcxOTkuSVFfUEVfRVhDTC4yMDAwAQAAAK97AQACAAAAEDIyLjQ1MjgzODMyMDMzNTkBBwAAAAUAAAABMQEAAAALLTE5MzUxMzg0NzEDAAAAATACAAAABjEwMDA2NgQAAAABMAcAAAAJMTAvMy8yMDI1CAAAAAkxMC8zLzIwMjV915T62wTeCLWMSxDcBN4IH0NJUS5JUTE4MDg3MS5JUV9URVZfRUJJVERBLjIwMDABAAAAh8ICAAIAAAAQMTIuNzI0MjE1MDg4MTY2OAEHAAAABQAAAAExAQAAAAstMTkyNzEyNzA4MAMAAAABMAIAAAAGMTAwMDYzBAAAAAEwBwAAAAkxMC8zLzIwMjUIAAAACTEwLzMvMjAyNaB1lfrbBN4INVpLENwE3ggcQ0lRLklRMTgwODcxLklRX1BFX0VYQ0wuMjAwMAEAAACHwgIAAgAAABAyMC4yNDUxMDU4OTg3MDk3AQcAAAAFAAAAATEBAAAACy0xOTI3MTI3MDgwAwAAAAEwAgAAAAYxMDAwNjYEAAAAATAHAAAACTEwLzMvMjAyNQgAAAAJMTAvMy8yMDI1oHWV+tsE3gjYMUsQ3ATeCB5DSVEu</t>
  </si>
  <si>
    <t>SVEyMDc2NTQ2My5JUV9QRV9FWENMLjIwMDABAAAAF9s8AQIAAAAQMjUuNzcyNTMzMDk0MDUyOQEHAAAABQAAAAExAQAAAAstMTkzNDA2MzY3OAMAAAABMAIAAAAGMTAwMDY2BAAAAAEwBwAAAAkxMC8zLzIwMjUIAAAACTEwLzMvMjAyNX3XlPrbBN4I2DFLENwE3ggeQ0lRLklRMjkwOTYuSVFfVEVWX0VCSVREQS4yMDAwAQAAAKhxAAACAAAAEDIwLjAyMjg3NjY3NzU3MDQBBwAAAAUAAAABMQEAAAALLTE5MzQ5MjgyNjcDAAAAATACAAAABjEwMDA2MwQAAAABMAcAAAAJMTAvMy8yMDI1CAAAAAkxMC8zLzIwMjV915T62wTeCM4JSxDcBN4IHENJUS5JUTI3ODY3OS5JUV9QRV9FWENMLjIwMDABAAAAl0AEAAIAAAAQMjYuODUzNzE0MTQ0MDk1OAEHAAAABQAAAAExAQAAAAstMTkyODE2NDk0OQMAAAABMAIAAAAGMTAwMDY2BAAAAAEwBwAAAAkxMC8zLzIwMjUIAAAACTEwLzMvMjAyNX3XlPrbBN4I4uFKENwE3ggbQ0lRLklRMjkwOTYuSVFfUEVfRVhDTC4yMDAwAQAAAKhxAAACAAAAEDI2LjE0MTM5OTQ1Mjk0MzEBBwAAAAUAAAABMQEAAAALLTE5MzQ5MjgyNjcDAAAAATACAAAABjEwMDA2NgQAAAABMAcAAAAJMTAvMy8yMDI1CAAAAAkxMC8zLzIwMjV915T62wTeCOLhShDcBN4IIUNJUS5JUTIwNzY1NDYzLklRX1RFVl9FQklUREEuMjAwMAEAAAAX2zwBAgAAABAxOC4zMjI2OTQyNzIzNjI1AQcAAAAFAAAAATEB</t>
  </si>
  <si>
    <t>AAAACy0xOTM0MDYzNjc4AwAAAAEwAgAAAAYxMDAwNjMEAAAAATAHAAAACTEwLzMvMjAyNQgAAAAJMTAvMy8yMDI1fdeU+tsE3gjfkUoQ3ATeCB9DSVEuSVEyODkxOTQuSVFfVEVWX0VCSVREQS4yMDAwAQAAAKppBAACAAAAEDE1LjI5NjcyMjIxNjMzNDEBBwAAAAUAAAABMQEAAAALLTE5MzUzNDc1NDYDAAAAATACAAAABjEwMDA2MwQAAAABMAcAAAAJMTAvMy8yMDI1CAAAAAkxMC8zLzIwMjWgdZX62wTeCE3MZk3eBN4IH0NJUS5JUTI4NTgyNy5JUV9URVZfRUJJVERBLjIwMDABAAAAg1wEAAIAAAAQMTguNDQxMzU5OTYwMTM4OQEHAAAABQAAAAExAQAAAAstMTkzNTA3MzQ1MwMAAAABMAIAAAAGMTAwMDYzBAAAAAEwBwAAAAkxMC8zLzIwMjUIAAAACTEwLzMvMjAyNaB1lfrbBN4IuGxkTd4E3ggfQ0lRLklRMTU5MjMwLklRX1RFVl9FQklUREEuMjAwMAEAAAD+bQIAAgAAABAxOC4yMjEzOTgwMzk5OTQ1AQcAAAAFAAAAATEBAAAACy0xOTM1MTE4NTQyAwAAAAEwAgAAAAYxMDAwNjMEAAAAATAHAAAACTEwLzMvMjAyNQgAAAAJMTAvMy8yMDI1oHWV+tsE3gjHg2JN3gTeCB5DSVEuSVEyMTgzNS5JUV9URVZfRUJJVERBLjIwMDABAAAAS1UAAAIAAAAQMjMuODM5MDYxNjk3MzI5NgEHAAAABQAAAAExAQAAAAstMTkzNDI0Nzc4NwMAAAABMAIAAAAGMTAwMDYzBAAAAAEwBwAAAAkxMC8zLzIwMjUIAAAACTEwLzMv</t>
  </si>
  <si>
    <t>MjAyNaB1lfrbBN4IQO9JENwE3ggiQ0lRLklRMjc4Njc5LklRX1RFVl9UT1RBTF9SRVYuMjAwMAEAAACXQAQAAgAAABAyLjc0MDYzOTExNjY3NTg4AQcAAAAFAAAAATEBAAAACy0xOTI4MTY0OTQ5AwAAAAEwAgAAAAYxMDAwNjEEAAAAATAHAAAACTEwLzMvMjAyNQgAAAAJMTAvMy8yMDI1oHWV+tsE3ghA70kQ3ATeCCJDSVEuSVExODA4NzEuSVFfVEVWX1RPVEFMX1JFVi4yMDAwAQAAAIfCAgACAAAAEDIuMDU3MDM5ODQyOTI2MjUBBwAAAAUAAAABMQEAAAALLTE5MjcxMjcwODADAAAAATACAAAABjEwMDA2MQQAAAABMAcAAAAJMTAvMy8yMDI1CAAAAAkxMC8zLzIwMjWgdZX62wTeCEDvSRDcBN4IH0NJUS5JUTI2OTIzMS5JUV9URVZfRUJJVERBLjIwMDABAAAArxsEAAIAAAAQMTcuMTM4Nzc2NzgyNjg4NwEHAAAABQAAAAExAQAAAAstMTkzMzEyNjc4NwMAAAABMAIAAAAGMTAwMDYzBAAAAAEwBwAAAAkxMC8zLzIwMjUIAAAACTEwLzMvMjAyNaB1lfrbBN4Iqk9JENwE3ggjQ0lRLklRMTM0MDc0MC5JUV9URVZfVE9UQUxfUkVWLjIwMDABAAAARHUUAAIAAAAQNC4wMDczODAwMDIxNTMwNAEHAAAABQAAAAExAQAAAAstMTkzNDg3OTg0NgMAAAABMAIAAAAGMTAwMDYxBAAAAAEwBwAAAAkxMC8zLzIwMjUIAAAACTEwLzMvMjAyNaB1lfrbBN4IrR9mTd4E3ggfQ0lRLklRMjc4Njc5LklRX1RFVl9FQklUREEuMjAw</t>
  </si>
  <si>
    <t>MAEAAACXQAQAAgAAAA8xNi4xNDMzNzI3ODM0MDYBBwAAAAUAAAABMQEAAAALLTE5MjgxNjQ5NDkDAAAAATACAAAABjEwMDA2MwQAAAABMAcAAAAJMTAvMy8yMDI1CAAAAAkxMC8zLzIwMjWgdZX62wTeCIf0SBDcBN4IIENJUS5JUTEzNDA3NDAuSVFfVEVWX0VCSVREQS4yMDAwAQAAAER1FAACAAAAEDE1LjU0MDY0NDUxOTU5ODUBBwAAAAUAAAABMQEAAAALLTE5MzQ4Nzk4NDYDAAAAATACAAAABjEwMDA2MwQAAAABMAcAAAAJMTAvMy8yMDI1CAAAAAkxMC8zLzIwMjWgdZX62wTeCK0fZk3eBN4IIkNJUS5JUTE1OTIzMC5JUV9URVZfVE9UQUxfUkVWLjIwMDABAAAA/m0CAAIAAAAQMy4xNTM1ODE5NTEyMzkzNwEHAAAABQAAAAExAQAAAAstMTkzNTExODU0MgMAAAABMAIAAAAGMTAwMDYxBAAAAAEwBwAAAAkxMC8zLzIwMjUIAAAACTEwLzMvMjAyNaB1lfrbBN4I1KpiTd4E3ggiQ0lRLklRMjI0MDU1MjgzLklRX1RFVl9FQklUREEuMjAwMAEAAADzz1oNAwAAAAJOTQEHAAAABQAAAAExAQAAAAstMTkzMjg3Mjk0MgMAAAABMAIAAAAGMTAwMDYzBAAAAAEwBwAAAAkxMC8zLzIwMjUIAAAACTEwLzMvMjAyNaB1lfrbBN4Iq31IENwE3gghQ0lRLklRMjkwOTYuSVFfVEVWX1RPVEFMX1JFVi4yMDAwAQAAAKhxAAACAAAAEDcuODYxNTA3MTY2MTQ3NDYBBwAAAAUAAAABMQEAAAALLTE5MzQ5MjgyNjcDAAAAATACAAAA</t>
  </si>
  <si>
    <t>BjEwMDA2MQQAAAABMAcAAAAJMTAvMy8yMDI1CAAAAAkxMC8zLzIwMjWgdZX62wTeCJ5VSBDcBN4IIkNJUS5JUTI4OTE5NC5JUV9URVZfVE9UQUxfUkVWLjIwMDABAAAAqmkEAAIAAAAQMy44MjYzNTY3NDAwNzQ3OQEHAAAABQAAAAExAQAAAAstMTkzNTM0NzU0NgMAAAABMAIAAAAGMTAwMDYxBAAAAAEwBwAAAAkxMC8zLzIwMjUIAAAACTEwLzMvMjAyNaB1lfrbBN4ITcxmTd4E3ggcQ0lRLklRMjY5MjMxLklRX1BFX0VYQ0wuMjAwMAEAAACvGwQAAgAAABAzNC42NDAxODAxNDEyNzUyAQcAAAAFAAAAATEBAAAACy0xOTMzMTI2Nzg3AwAAAAEwAgAAAAYxMDAwNjYEAAAAATAHAAAACTEwLzMvMjAyNQgAAAAJMTAvMy8yMDI1oHWV+tsE3gieVUgQ3ATeCBxDSVEuSVExNTkyMzAuSVFfUEVfRVhDTC4yMDAwAQAAAP5tAgACAAAAEDM2LjYyNzU1NTkzNjI4OTQBBwAAAAUAAAABMQEAAAALLTE5MzUxMTg1NDIDAAAAATACAAAABjEwMDA2NgQAAAABMAcAAAAJMTAvMy8yMDI1CAAAAAkxMC8zLzIwMjWgdZX62wTeCNSqYk3eBN4IHENJUS5JUTE3NzAzMS5JUV9QRV9FWENMLjIwMDABAAAAh7MCAAIAAAAQNDIuMzUxMDAyNTQyMzQzNQEHAAAABQAAAAExAQAAAAstMTkzNTI3MTM1MgMAAAABMAIAAAAGMTAwMDY2BAAAAAEwBwAAAAkxMC8zLzIwMjUIAAAACTEwLzMvMjAyNaB1lfrbBN4IVdhjTd4E3ggfQ0lRLklRMzYz</t>
  </si>
  <si>
    <t>MjYzLklRX1RFVl9FQklUREEuMjAwMAEAAAD/igUAAgAAABAxMi4yNzE2OTY3NDAxMDczAQcAAAAFAAAAATEBAAAACy0xOTM0MDc0OTYxAwAAAAEwAgAAAAYxMDAwNjMEAAAAATAHAAAACTEwLzMvMjAyNQgAAAAJMTAvMy8yMDI1oHWV+tsE3gh6pGdN3gTeCBxDSVEuSVEyODkxOTQuSVFfUEVfRVhDTC4yMDAwAQAAAKppBAACAAAAEDIyLjAyMzQyNjIyOTM2NDgBBwAAAAUAAAABMQEAAAALLTE5MzUzNDc1NDYDAAAAATACAAAABjEwMDA2NgQAAAABMAcAAAAJMTAvMy8yMDI1CAAAAAkxMC8zLzIwMjWgdZX62wTeCE3MZk3eBN4IHENJUS5JUTM2MzI2My5JUV9QRV9FWENMLjIwMDABAAAA/4oFAAIAAAAQMjEuMjc3Mzk1MjgyNzEyMgEHAAAABQAAAAExAQAAAAstMTkzNDA3NDk2MQMAAAABMAIAAAAGMTAwMDY2BAAAAAEwBwAAAAkxMC8zLzIwMjUIAAAACTEwLzMvMjAyNaB1lfrbBN4IeqRnTd4E3ggiQ0lRLklRMTc3MDMxLklRX1RFVl9UT1RBTF9SRVYuMjAwMAEAAACHswIAAgAAABA3Ljc3OTE1NjkwNDE1OTk2AQcAAAAFAAAAATEBAAAACy0xOTM1MjcxMzUyAwAAAAEwAgAAAAYxMDAwNjEEAAAAATAHAAAACTEwLzMvMjAyNQgAAAAJMTAvMy8yMDI1oHWV+tsE3ghV2GNN3gTeCB5DSVEuSVE5NzE5OS5JUV9URVZfRUJJVERBLjIwMDABAAAAr3sBAAIAAAAOMTQuOTIwNjkxMzU1NzIBBwAAAAUAAAABMQEAAAAL</t>
  </si>
  <si>
    <t>LTE5MzUxMzg0NzEDAAAAATACAAAABjEwMDA2MwQAAAABMAcAAAAJMTAvMy8yMDI1CAAAAAkxMC8zLzIwMjWgdZX62wTeCEmJRxDcBN4IG0NJUS5JUTIxODM1LklRX1BFX0VYQ0wuMjAwMAEAAABLVQAAAgAAABAzNy45Mjg4ODU2MzA0OTg1AQcAAAAFAAAAATEBAAAACy0xOTM0MjQ3Nzg3AwAAAAEwAgAAAAYxMDAwNjYEAAAAATAHAAAACTEwLzMvMjAyNQgAAAAJMTAvMy8yMDI1oHWV+tsE3ghJiUcQ3ATeCCRDSVEuSVEyMDc2NTQ2My5JUV9URVZfVE9UQUxfUkVWLjIwMDABAAAAF9s8AQIAAAAQOS45OTcwNzA3OTUyNjE4NQEHAAAABQAAAAExAQAAAAstMTkzNDA2MzY3OAMAAAABMAIAAAAGMTAwMDYxBAAAAAEwBwAAAAkxMC8zLzIwMjUIAAAACTEwLzMvMjAyNaB1lfrbBN4ISYlHENwE3ggfQ0lRLklRMzcwODU3LklRX1RFVl9FQklUREEuMjAwMAEAAACpqAUAAwAAAAJOTQEHAAAABQAAAAExAQAAAAstMTkzNDQwNzcwNAMAAAABMAIAAAAGMTAwMDYzBAAAAAEwBwAAAAkxMC8zLzIwMjUIAAAACTEwLzMvMjAyNaB1lfrbBN4IIb9kTd4E3gghQ0lRLklRMjE4MzUuSVFfVEVWX1RPVEFMX1JFVi4yMDAwAQAAAEtVAAACAAAAEDEzLjcxMjU5NjgxODc4NTkBBwAAAAUAAAABMQEAAAALLTE5MzQyNDc3ODcDAAAAATACAAAABjEwMDA2MQQAAAABMAcAAAAJMTAvMy8yMDI1CAAAAAkxMC8zLzIwMjWgdZX62wTeCI44</t>
  </si>
  <si>
    <t>RxDcBN4IIkNJUS5JUTM2MzI2My5JUV9URVZfVE9UQUxfUkVWLjIwMDABAAAA/4oFAAIAAAAQMS4xODU5MDY5MDI1MzYwOQEHAAAABQAAAAExAQAAAAstMTkzNDA3NDk2MQMAAAABMAIAAAAGMTAwMDYxBAAAAAEwBwAAAAkxMC8zLzIwMjUIAAAACTEwLzMvMjAyNaB1lfrbBN4IwddpTd4E3ggiQ0lRLklRMjg1ODI3LklRX1RFVl9UT1RBTF9SRVYuMjAwMAEAAACDXAQAAgAAABAxLjkyMjU3OTI4NDMwMjY2AQcAAAAFAAAAATEBAAAACy0xOTM1MDczNDUzAwAAAAEwAgAAAAYxMDAwNjEEAAAAATAHAAAACTEwLzMvMjAyNQgAAAAJMTAvMy8yMDI1oHWV+tsE3gjYl2RN3gTeCBxDSVEuSVEzNzA4NTcuSVFfUEVfRVhDTC4yMDAwAQAAAKmoBQADAAAAAk5NAQcAAAAFAAAAATEBAAAACy0xOTM0NDA3NzA0AwAAAAEwAgAAAAYxMDAwNjYEAAAAATAHAAAACTEwLzMvMjAyNQgAAAAJMTAvMy8yMDI1oHWV+tsE3gghv2RN3gTeCCJDSVEuSVEzNzA4NTcuSVFfVEVWX1RPVEFMX1JFVi4yMDAwAQAAAKmoBQACAAAADzIuNjE0NjEyNDE1NTgxNAEHAAAABQAAAAExAQAAAAstMTkzNDQwNzcwNAMAAAABMAIAAAAGMTAwMDYxBAAAAAEwBwAAAAkxMC8zLzIwMjUIAAAACTEwLzMvMjAyNaB1lfrbBN4IIb9kTd4E3ggeQ0lRLklRMjI3NTEuSVFfVEVWX0VCSVREQS4yMDAwAQAAAN9YAAACAAAAEDIwLjc4Mzg3NDMwMzY3NjEBBwAA</t>
  </si>
  <si>
    <t>AAUAAAABMQEAAAALLTE5MzM2OTM2MjADAAAAATACAAAABjEwMDA2MwQAAAABMAcAAAAJMTAvMy8yMDI1CAAAAAkxMC8zLzIwMjWgdZX62wTeCFt5Z03eBN4IIkNJUS5JUTI2OTIzMS5JUV9URVZfVE9UQUxfUkVWLjIwMDABAAAArxsEAAIAAAAQNC45NzgwMDQ5NDkzODEzMwEHAAAABQAAAAExAQAAAAstMTkzMzEyNjc4NwMAAAABMAIAAAAGMTAwMDYxBAAAAAEwBwAAAAkxMC8zLzIwMjUIAAAACTEwLzMvMjAyNaB1lfrbBN4I0hVGENwE3ggfQ0lRLklRMjI0MDU1MjgzLklRX1BFX0VYQ0wuMjAwMAEAAADzz1oNAwAAAAJOTQEHAAAABQAAAAExAQAAAAstMTkzMjg3Mjk0MgMAAAABMAIAAAAGMTAwMDY2BAAAAAEwBwAAAAkxMC8zLzIwMjUIAAAACTEwLzMvMjAyNaB1lfrbBN4IyJ9FENwE3gghQ0lRLklROTcxOTkuSVFfVEVWX1RPVEFMX1JFVi4yMDAwAQAAAK97AQACAAAAEDIuNTQ0Mzc1NTY3MjI3NDgBBwAAAAUAAAABMQEAAAALLTE5MzUxMzg0NzEDAAAAATACAAAABjEwMDA2MQQAAAABMAcAAAAJMTAvMy8yMDI1CAAAAAkxMC8zLzIwMjWgdZX62wTeCHBQRRDcBN4IG0NJUS5JUTIyNzUxLklRX1BFX0VYQ0wuMjAwMAEAAADfWAAAAgAAAA8zNS4xMTM3OTQ4MjI1MDEBBwAAAAUAAAABMQEAAAALLTE5MzM2OTM2MjADAAAAATACAAAABjEwMDA2NgQAAAABMAcAAAAJMTAvMy8yMDI1CAAAAAkxMC8zLzIwMjWg</t>
  </si>
  <si>
    <t>dZX62wTeCFt5Z03eBN4IH0NJUS5JUTE3NzAzMS5JUV9URVZfRUJJVERBLjIwMDABAAAAh7MCAAIAAAAQMjkuNDU2NTkyNzY5MDQxOAEHAAAABQAAAAExAQAAAAstMTkzNTI3MTM1MgMAAAABMAIAAAAGMTAwMDYzBAAAAAEwBwAAAAkxMC8zLzIwMjUIAAAACTEwLzMvMjAyNaB1lfrbBN4IVdhjTd4E3ggdQ0lRLklRMTgwODcxLklRX1RFVi4xMC8yLzIwMjUBAAAAh8ICAAIAAAANMTcyNTQyLjgyMzc1MwEGAAAABQAAAAExAQAAAAstMTkyNzEzNzU4NAMAAAADMTYwAgAAAAYxMDAwNjAEAAAAATAHAAAACTEwLzIvMjAyNVVOlfrbBN4IcCJNENwE3ggcQ0lRLklRMjE4MzUuSVFfVEVWLjEwLzIvMjAyNQEAAABLVQAAAgAAAA4zODUxMjAwLjIyODMwNQEGAAAABQAAAAExAQAAAAstMTkzNDI0Nzc5MwMAAAADMTYwAgAAAAYxMDAwNjAEAAAAATAHAAAACTEwLzIvMjAyNcT+lPrbBN4IwAlNENwE3ggcQ0lRLklROTcxOTkuSVFfVEVWLjEwLzIvMjAyNQEAAACvewEAAgAAAA0xMDI0MDEuMTM1OTM5AQYAAAAFAAAAATEBAAAACy0xOTM1MTQxMTQ4AwAAAAMxNjACAAAABjEwMDA2MAQAAAABMAcAAAAJMTAvMi8yMDI1VU6V+tsE3gj6BUwQ3ATeCBxDSVEuSVEyOTA5Ni5JUV9URVYuMTAvMi8yMDI1AQAAAKhxAAACAAAACjI5MjE5MTMuMDYBBgAAAAUAAAABMQEAAAALLTE5MzQ5Mjg1NTEDAAAAAzE2MAIAAAAGMTAwMDYw</t>
  </si>
  <si>
    <t>BAAAAAEwBwAAAAkxMC8yLzIwMjWgdZX62wTeCHAiTRDcBN4II0NJUS5JUTM2MzI2My5JUV9NQVJLRVRDQVAuMTAvMi8yMDI1AQAAAP+KBQACAAAADDExMDc0LjQ5MDg4MQEGAAAABQAAAAExAQAAAAstMTkzNDA4NzY5NwMAAAADMTYwAgAAAAYxMDAwNTQEAAAAATAHAAAACTEwLzIvMjAyNVVOlfrbBN4IeqRnTd4E3ggfQ0lRLklRMjA3NjU0NjMuSVFfVEVWLjEwLzIvMjAyNQEAAAAX2zwBAgAAAA4xODI4OTQxLjQ1OTM5OAEGAAAABQAAAAExAQAAAAstMTkzNDA2NTQzNwMAAAADMTYwAgAAAAYxMDAwNjAEAAAAATAHAAAACTEwLzIvMjAyNVVOlfrbBN4IPt5LENwE3ggoQ0lRLklRMjg5MTk0LklRX0RJVklERU5EX1lJRUxELjEwLzIvMjAyNQEAAACqaQQAAgAAAAYxLjgzODcAfdeU+tsE3ggVoWZN3gTeCChDSVEuSVExNTkyMzAuSVFfRElWSURFTkRfWUlFTEQuMTAvMi8yMDI1AQAAAP5tAgACAAAABjEuNjMyMwB915T62wTeCL4uY03eBN4IJENJUS5JUTEzNDA3NDAuSVFfTUFSS0VUQ0FQLjEwLzIvMjAyNQEAAABEdRQAAgAAAA0xMzM5NjkuNTIzNTQ4AQYAAAAFAAAAATEBAAAACy0xOTM0ODgzMjczAwAAAAMxNjACAAAABjEwMDA1NAQAAAABMAcAAAAJMTAvMi8yMDI1xP6U+tsE3gitH2ZN3gTeCB1DSVEuSVEyNjkyMzEuSVFfVEVWLjEwLzIvMjAyNQEAAACvGwQAAgAAAAg4NzU0Ni41NAEGAAAABQAAAAEx</t>
  </si>
  <si>
    <t>AQAAAAstMTkzMzEyNzgwNQMAAAADMTYwAgAAAAYxMDAwNjAEAAAAATAHAAAACTEwLzIvMjAyNVVOlfrbBN4I+gVMENwE3ggjQ0lRLklRMzcwODU3LklRX01BUktFVENBUC4xMC8yLzIwMjUBAAAAqagFAAIAAAANMTY0NDExLjM2NzYyNAEGAAAABQAAAAExAQAAAAstMTkzNDQxMDc5NwMAAAADMTYwAgAAAAYxMDAwNTQEAAAAATAHAAAACTEwLzIvMjAyNaB1lfrbBN4InulkTd4E3ggdQ0lRLklRMjc4Njc5LklRX1RFVi4xMC8yLzIwMjUBAAAAl0AEAAIAAAANNDUyMzAzLjY3OTQzMQEGAAAABQAAAAExAQAAAAstMTkyODE2NTYxNAMAAAADMTYwAgAAAAYxMDAwNjAEAAAAATAHAAAACTEwLzIvMjAyNaB1lfrbBN4IPt5LENwE3ggjQ0lRLklRMTgwODcxLklRX01BUktFVENBUC4xMC8yLzIwMjUBAAAAh8ICAAIAAAANMTM4NzA4LjgyMzc1NAEGAAAABQAAAAExAQAAAAstMTkyNzEzNzU4NAMAAAADMTYwAgAAAAYxMDAwNTQEAAAAATAHAAAACTEwLzIvMjAyNaB1lfrbBN4IsuJMENwE3ggjQ0lRLklRMjY5MjMxLklRX01BUktFVENBUC4xMC8yLzIwMjUBAAAArxsEAAIAAAAINzQ4ODAuNTQBBgAAAAUAAAABMQEAAAALLTE5MzMxMjc4MDUDAAAAAzE2MAIAAAAGMTAwMDU0BAAAAAEwBwAAAAkxMC8yLzIwMjXE/pT62wTeCFxpTBDcBN4IHkNJUS5JUTEzNDA3NDAuSVFfVEVWLjEwLzIvMjAyNQEAAABEdRQAAgAAAA0x</t>
  </si>
  <si>
    <t>NjE0OTkuNTIzNTQ3AQYAAAAFAAAAATEBAAAACy0xOTM0ODgzMjczAwAAAAMxNjACAAAABjEwMDA2MAQAAAABMAcAAAAJMTAvMi8yMDI1oHWV+tsE3giuSmZN3gTeCCJDSVEuSVEyMTgzNS5JUV9NQVJLRVRDQVAuMTAvMi8yMDI1AQAAAEtVAAACAAAADjM4MzM1ODEuMjI4MzA1AQYAAAAFAAAAATEBAAAACy0xOTM0MjQ3NzkzAwAAAAMxNjACAAAABjEwMDA1NAQAAAABMAcAAAAJMTAvMi8yMDI1xP6U+tsE3giy4kwQ3ATeCCNDSVEuSVExNzcwMzEuSVFfTUFSS0VUQ0FQLjEwLzIvMjAyNQEAAACHswIAAgAAAA0zMTc1NDguNTc0NDM3AQYAAAAFAAAAATEBAAAACy0xOTM1MjczNTI2AwAAAAMxNjACAAAABjEwMDA1NAQAAAABMAcAAAAJMTAvMi8yMDI1xP6U+tsE3gizrWNN3gTeCCNDSVEuSVExNTkyMzAuSVFfTUFSS0VUQ0FQLjEwLzIvMjAyNQEAAAD+bQIAAgAAAA0yMjMwNDEuMjI0NjMzAQYAAAAFAAAAATEBAAAACy0xOTM1MTE5NjcyAwAAAAMxNjACAAAABjEwMDA1NAQAAAABMAcAAAAJMTAvMi8yMDI1oHWV+tsE3gjUqmJN3gTeCB1DSVEuSVExNTkyMzAuSVFfVEVWLjEwLzIvMjAyNQEAAAD+bQIAAgAAAA0yNjM3MDMuMjI0NjMzAQYAAAAFAAAAATEBAAAACy0xOTM1MTE5NjcyAwAAAAMxNjACAAAABjEwMDA2MAQAAAABMAcAAAAJMTAvMi8yMDI1oHWV+tsE3gjm0WJN3gTeCCJDSVEuSVEyOTA5Ni5JUV9N</t>
  </si>
  <si>
    <t>QVJLRVRDQVAuMTAvMi8yMDI1AQAAAKhxAAACAAAACjI5NzUzOTMuMDYBBgAAAAUAAAABMQEAAAALLTE5MzQ5Mjg1NTEDAAAAAzE2MAIAAAAGMTAwMDU0BAAAAAEwBwAAAAkxMC8yLzIwMjVVTpX62wTeCLLiTBDcBN4IHUNJUS5JUTM2MzI2My5JUV9URVYuMTAvMi8yMDI1AQAAAP+KBQACAAAACzEzNjQwLjQ5MDg4AQYAAAAFAAAAATEBAAAACy0xOTM0MDg3Njk3AwAAAAMxNjACAAAABjEwMDA2MAQAAAABMAcAAAAJMTAvMi8yMDI1oHWV+tsE3gjB12lN3gTeCCVDSVEuSVEyMDc2NTQ2My5JUV9NQVJLRVRDQVAuMTAvMi8yMDI1AQAAABfbPAECAAAADjE4MjY0NTIuNDU5Mzk5AQYAAAAFAAAAATEBAAAACy0xOTM0MDY1NDM3AwAAAAMxNjACAAAABjEwMDA1NAQAAAABMAcAAAAJMTAvMi8yMDI1VU6V+tsE3giy4kwQ3ATeCB1DSVEuSVEzNzA4NTcuSVFfVEVWLjEwLzIvMjAyNQEAAACpqAUAAgAAAA0xOTc4MDUuMzY3NjIzAQYAAAAFAAAAATEBAAAACy0xOTM0NDEwNzk3AwAAAAMxNjACAAAABjEwMDA2MAQAAAABMAcAAAAJMTAvMi8yMDI1oHWV+tsE3gghv2RN3gTeCB1DSVEuSVEyODkxOTQuSVFfVEVWLjEwLzIvMjAyNQEAAACqaQQAAgAAAAw5NDIxMC41OTY2NzcBBgAAAAUAAAABMQEAAAALLTE5MzUzNDgzNjkDAAAAAzE2MAIAAAAGMTAwMDYwBAAAAAEwBwAAAAkxMC8yLzIwMjVVTpX62wTeCE3MZk3eBN4I</t>
  </si>
  <si>
    <t>KENJUS5JUTM3MDg1Ny5JUV9ESVZJREVORF9ZSUVMRC4xMC8yLzIwMjUBAAAAqagFAAMAAAAAAMT+lPrbBN4ISxdkTd4E3ggdQ0lRLklRMTc3MDMxLklRX1RFVi4xMC8yLzIwMjUBAAAAh7MCAAIAAAANMzI2Mjk2LjU3NDQzNwEGAAAABQAAAAExAQAAAAstMTkzNTI3MzUyNgMAAAADMTYwAgAAAAYxMDAwNjAEAAAAATAHAAAACTEwLzIvMjAyNaB1lfrbBN4IVdhjTd4E3ggcQ0lRLklRMjI3NTEuSVFfVEVWLjEwLzIvMjAyNQEAAADfWAAAAgAAAAw2MjE2NC4xNjI2ODQBBgAAAAUAAAABMQEAAAALLTE5MzM2OTUxMzMDAAAAAzE2MAIAAAAGMTAwMDYwBAAAAAEwBwAAAAkxMC8yLzIwMjVVTpX62wTeCFtOZ03eBN4IKENJUS5JUTI2OTIzMS5JUV9ESVZJREVORF9ZSUVMRC4xMC8yLzIwMjUBAAAArxsEAAIAAAAGMS41ODU4AMT+lPrbBN4Ix7pMENwE3ggoQ0lRLklRMTc3MDMxLklRX0RJVklERU5EX1lJRUxELjEwLzIvMjAyNQEAAACHswIAAgAAAAYwLjQ4MDgAxP6U+tsE3gj2+GJN3gTeCB1DSVEuSVEyODU4MjcuSVFfVEVWLjEwLzIvMjAyNQEAAACDXAQAAgAAAA0xMzY5MjguMTEwMzY0AQYAAAAFAAAAATEBAAAACy0xOTM1MDczNzg4AwAAAAMxNjACAAAABjEwMDA2MAQAAAABMAcAAAAJMTAvMi8yMDI1VU6V+tsE3gjYl2RN3gTeCCNDSVEuSVEyODU4MjcuSVFfTUFSS0VUQ0FQLjEwLzIvMjAyNQEAAACDXAQA</t>
  </si>
  <si>
    <t>AgAAAA0xMTY1ODMuMTEwMzY0AQYAAAAFAAAAATEBAAAACy0xOTM1MDczNzg4AwAAAAMxNjACAAAABjEwMDA1NAQAAAABMAcAAAAJMTAvMi8yMDI1VU6V+tsE3gi4bGRN3gTeCCNDSVEuSVEyODkxOTQuSVFfTUFSS0VUQ0FQLjEwLzIvMjAyNQEAAACqaQQAAgAAAAw4NDU4MS41OTY2NzgBBgAAAAUAAAABMQEAAAALLTE5MzUzNDgzNjkDAAAAAzE2MAIAAAAGMTAwMDU0BAAAAAEwBwAAAAkxMC8yLzIwMjWgdZX62wTeCDH4Zk3eBN4IJ0NJUS5JUTI5MDk2LklRX0RJVklERU5EX1lJRUxELjEwLzIvMjAyNQEAAACocQAAAgAAAAYwLjM0MTgAxP6U+tsE3gh2kkwQ3ATeCChDSVEuSVExODA4NzEuSVFfRElWSURFTkRfWUlFTEQuMTAvMi8yMDI1AQAAAIfCAgACAAAABjEuOTQwNwDE/pT62wTeCHaSTBDcBN4IKENJUS5JUTI4NTgyNy5JUV9ESVZJREVORF9ZSUVMRC4xMC8yLzIwMjUBAAAAg1wEAAIAAAAGMi42NDMzAMT+lPrbBN4IrkpmTd4E3ggjQ0lRLklRMjc4Njc5LklRX01BUktFVENBUC4xMC8yLzIwMjUBAAAAl0AEAAIAAAANMzkzMTg3LjY3OTQzMQEGAAAABQAAAAExAQAAAAstMTkyODE2NTYxNAMAAAADMTYwAgAAAAYxMDAwNTQEAAAAATAHAAAACTEwLzIvMjAyNaB1lfrbBN4IdpJMENwE3ggpQ0lRLklRMTM0MDc0MC5JUV9ESVZJREVORF9ZSUVMRC4xMC8yLzIwMjUBAAAARHUUAAIAAAAFMi4xNDIAxP6U</t>
  </si>
  <si>
    <t>+tsE3ghV2GNN3gTeCCJDSVEuSVEyMjc1MS5JUV9NQVJLRVRDQVAuMTAvMi8yMDI1AQAAAN9YAAACAAAADDUzNTQ3LjU2MjY4NAEGAAAABQAAAAExAQAAAAstMTkzMzY5NTEzMwMAAAADMTYwAgAAAAYxMDAwNTQEAAAAATAHAAAACTEwLzIvMjAyNaB1lfrbBN4IW3lnTd4E3ggrQ0lRLklRMjI0MDU1MjgzLklRX0RJVklERU5EX1lJRUxELjEwLzIvMjAyNQEAAADzz1oNAwAAAAAAxP6U+tsE3ghcaUwQ3ATeCCdDSVEuSVEyMjc1MS5JUV9ESVZJREVORF9ZSUVMRC4xMC8yLzIwMjUBAAAA31gAAAIAAAAGMC42NjMxAMT+lPrbBN4IuhRlTd4E3ggnQ0lRLklRMjE4MzUuSVFfRElWSURFTkRfWUlFTEQuMTAvMi8yMDI1AQAAAEtVAAACAAAABjAuNjQzNwDE/pT62wTeCEpVTBDcBN4IIENJUS5JUTIyNDA1NTI4My5JUV9URVYuMTAvMi8yMDI1AQAAAPPPWg0CAAAADDE1MTg5LjM3MzY5MgEGAAAABQAAAAExAQAAAAstMTkzMjg3NTMwNgMAAAADMTYwAgAAAAYxMDAwNjAEAAAAATAHAAAACTEwLzIvMjAyNaB1lfrbBN4IDy5MENwE3ggoQ0lRLklRMzYzMjYzLklRX0RJVklERU5EX1lJRUxELjEwLzIvMjAyNQEAAAD/igUAAgAAAAYxLjkxMzQAxP6U+tsE3ggBPGVN3gTeCCJDSVEuSVE5NzE5OS5JUV9NQVJLRVRDQVAuMTAvMi8yMDI1AQAAAK97AQACAAAACzg2NjI3LjEzNTk0AQYAAAAFAAAAATEBAAAACy0xOTM1MTQx</t>
  </si>
  <si>
    <t>MTQ4AwAAAAMxNjACAAAABjEwMDA1NAQAAAABMAcAAAAJMTAvMi8yMDI1oHWV+tsE3ggPLkwQ3ATeCChDSVEuSVEyNzg2NzkuSVFfRElWSURFTkRfWUlFTEQuMTAvMi8yMDI1AQAAAJdABAACAAAABTIuMzI5AMT+lPrbBN4I+gVMENwE3ggmQ0lRLklRMjI0MDU1MjgzLklRX01BUktFVENBUC4xMC8yLzIwMjUBAAAA889aDQIAAAAMMTM4OTAuNDIzNjkzAQYAAAAFAAAAATEBAAAACy0xOTMyODc1MzA2AwAAAAMxNjACAAAABjEwMDA1NAQAAAABMAcAAAAJMTAvMi8yMDI1oHWV+tsE3gj6BUwQ3ATeCCpDSVEuSVEyMDc2NTQ2My5JUV9ESVZJREVORF9ZSUVMRC4xMC8yLzIwMjUBAAAAF9s8AQIAAAAGMC4yODg4AMT+lPrbBN4I+gVMENwE3ggnQ0lRLklROTcxOTkuSVFfRElWSURFTkRfWUlFTEQuMTAvMi8yMDI1AQAAAK97AQACAAAABjEuNTI3MgDE/pT62wTeCPoFTBDcBN4IHUNJUS5JUTI2NTI0LklRX0NPTVBBTllfVElDS0VSAQAAAJxnAAADAAAADU5hc2RhcUdNOkNUWFMAxP6U+tsE3gj+Qk4Q3ATeCCZDSVEuSVExODA4NzEuSVFfQ09NUEFOWV9OQU1FLjEwLzIvMjAyNQEAAACHwgIAAwAAABZMb3dlJ3MgQ29tcGFuaWVzLCBJbmMuAMT+lPrbBN4IcCJNENwE3ggdQ0lRLklRMjI3NTEuSVFfQ09NUEFOWV9USUNLRVIBAAAA31gAAAMAAAAMTmFzZGFxR1M6Uk9QAMT+lPrbBN4IufFNENwE3ggdQ0lRLklRMjc5</t>
  </si>
  <si>
    <t>MjguSVFfQ09NUEFOWV9USUNLRVIBAAAAGG0AAAMAAAANTmFzZGFxQ006RUdBTgDE/pT62wTeCP5CThDcBN4IHUNJUS5JUTMyMDUyLklRX0NPTVBBTllfVElDS0VSAQAAADR9AAADAAAADU5hc2RhcUdTOk5UQVAAdSaV+tsE3gj+Qk4Q3ATeCCZDSVEuSVEzNjMyNjMuSVFfQ09NUEFOWV9OQU1FLjEwLzIvMjAyNQEAAAD/igUAAwAAACNIdW50aW5ndG9uIEluZ2FsbHMgSW5kdXN0cmllcywgSW5jLgB1JpX62wTeCHqkZ03eBN4IHUNJUS5JUTI2Nzg5LklRX0NPTVBBTllfVElDS0VSAQAAAKVoAAADAAAADU5hc2RhcUdTOkNWTFQAdSaV+tsE3gi1mk0Q3ATeCB1DSVEuSVEyNDkzNy5JUV9DT01QQU5ZX1RJQ0tFUgEAAABpYQAAAwAAAA1OYXNkYXFHUzpBQVBMAHUmlfrbBN4I4hlOENwE3ggeQ0lRLklRMjg5MTk0LklRX0NPTVBBTllfVElDS0VSAQAAAKppBAADAAAACE5ZU0U6TU1NAHUmlfrbBN4INcQHENwE3ggdQ0lRLklRMzIyNjEuSVFfQ09NUEFOWV9USUNLRVIBAAAABX4AAAMAAAANTmFzZGFxR1M6SU5TRwB1JpX62wTeCN/ITRDcBN4IHUNJUS5JUTI5MjgyLklRX0NPTVBBTllfVElDS0VSAQAAAGJyAAADAAAADU5hc2RhcUdTOkhMSVQAdSaV+tsE3gi58U0Q3ATeCB5DSVEuSVExNzcwMzEuSVFfQ09NUEFOWV9USUNLRVIBAAAAh7MCAAMAAAAHTllTRTpHRQB1JpX62wTeCJNqThDcBN4IJkNJUS5JUTI4OTE5</t>
  </si>
  <si>
    <t>NC5JUV9DT01QQU5ZX05BTUUuMTAvMi8yMDI1AQAAAKppBAADAAAACjNNIENvbXBhbnkAdSaV+tsE3ghNzGZN3gTeCChDSVEuSVEyMDc2NTQ2My5JUV9DT01QQU5ZX05BTUUuMTAvMi8yMDI1AQAAABfbPAEDAAAAFE1ldGEgUGxhdGZvcm1zLCBJbmMuAHUmlfrbBN4Ix7pMENwE3ggfQ0lRLklRMzE2MDAzNC5JUV9DT01QQU5ZX1RJQ0tFUgEAAADiNzAAAwAAAAhUU1hWOklOWAB1JpX62wTeCLnxTRDcBN4IJkNJUS5JUTM3MDg1Ny5JUV9DT01QQU5ZX05BTUUuMTAvMi8yMDI1AQAAAKmoBQADAAAAElRoZSBCb2VpbmcgQ29tcGFueQB1JpX62wTeCNiXZE3eBN4IJUNJUS5JUTI5MDk2LklRX0NPTVBBTllfTkFNRS4xMC8yLzIwMjUBAAAAqHEAAAMAAAANQWxwaGFiZXQgSW5jLgB1JpX62wTeCFxpTBDcBN4IJ0NJUS5JUTEzNDA3NDAuSVFfQ09NUEFOWV9OQU1FLjEwLzIvMjAyNQEAAABEdRQAAwAAABxIb25leXdlbGwgSW50ZXJuYXRpb25hbCBJbmMuAHUmlfrbBN4IrR9mTd4E3ggdQ0lRLklRMjIyNDcuSVFfQ09NUEFOWV9USUNLRVIBAAAA51YAAAMAAAAJTllTRTpPUkNMAHUmlfrbBN4I4hlOENwE3gglQ0lRLklRMjE4MzUuSVFfQ09NUEFOWV9OQU1FLjEwLzIvMjAyNQEAAABLVQAAAwAAABVNaWNyb3NvZnQgQ29ycG9yYXRpb24AdSaV+tsE3ghcaUwQ3ATeCClDSVEuSVEyMjQwNTUyODMuSVFfQ09NUEFOWV9O</t>
  </si>
  <si>
    <t>QU1FLjEwLzIvMjAyNQEAAADzz1oNAwAAAAlTbmFwIEluYy4AdSaV+tsE3ghKVUwQ3ATeCB1DSVEuSVEyNjc2Ny5JUV9DT01QQU5ZX1RJQ0tFUgEAAACPaAAAAwAAAAxPVENQSzpDWVJOLlEAdSaV+tsE3gjfyE0Q3ATeCB5DSVEuSVEyNzg2NzkuSVFfQ09NUEFOWV9USUNLRVIBAAAAl0AEAAMAAAAHTllTRTpIRAB1JpX62wTeCLnxTRDcBN4IJUNJUS5JUTIyNzUxLklRX0NPTVBBTllfTkFNRS4xMC8yLzIwMjUBAAAA31gAAAMAAAAYUm9wZXIgVGVjaG5vbG9naWVzLCBJbmMuAHUmlfrbBN4IW05nTd4E3ggmQ0lRLklRMTU5MjMwLklRX0NPTVBBTllfTkFNRS4xMC8yLzIwMjUBAAAA/m0CAAMAAAAPUlRYIENvcnBvcmF0aW9uAHUmlfrbBN4Ix4NiTd4E3ggmQ0lRLklRMjc4Njc5LklRX0NPTVBBTllfTkFNRS4xMC8yLzIwMjUBAAAAl0AEAAMAAAAUVGhlIEhvbWUgRGVwb3QsIEluYy4AdSaV+tsE3ggPLkwQ3ATeCCZDSVEuSVEyODU4MjcuSVFfQ09NUEFOWV9OQU1FLjEwLzIvMjAyNQEAAACDXAQAAwAAABtMb2NraGVlZCBNYXJ0aW4gQ29ycG9yYXRpb24AdSaV+tsE3gi4bGRN3gTeCCZDSVEuSVEyNjkyMzEuSVFfQ09NUEFOWV9OQU1FLjEwLzIvMjAyNQEAAACvGwQAAwAAABRFbWVyc29uIEVsZWN0cmljIENvLgB1JpX62wTeCPoFTBDcBN4IJkNJUS5JUTE3NzAzMS5JUV9DT01QQU5ZX05BTUUuMTAvMi8yMDI1</t>
  </si>
  <si>
    <t>AQAAAIezAgADAAAAGEdlbmVyYWwgRWxlY3RyaWMgQ29tcGFueQB1JpX62wTeCLOtY03eBN4IHkNJUS5JUTI2OTIzMS5JUV9DT01QQU5ZX1RJQ0tFUgEAAACvGwQAAwAAAAhOWVNFOkVNUgB1JpX62wTeCOIZThDcBN4IJUNJUS5JUTk3MTk5LklRX0NPTVBBTllfTkFNRS4xMC8yLzIwMjUBAAAAr3sBAAMAAAAcTm9ydGhyb3AgR3J1bW1hbiBDb3Jwb3JhdGlvbgB1JpX62wTeCD7eSxDcBN4IIUNJUS5JUTI4MjE2Nzc4OS5JUV9DT01QQU5ZX1RJQ0tFUgEAAADtidEQAwAAAAlDTlNYOlBMVUcAdSaV+tsE3gj+Qk4Q3ATeCCJDSVEuSVExODA4NzEuSVFfQ1VSUkVOVF9SQVRJTy4xMDAwAQAAAIfCAgACAAAACDEuMDg1MzU0AQgAAAAFAAAAATEBAAAACy0xOTU0NjE0ODk2AwAAAAMxNjACAAAABDQwMzAEAAAAATAHAAAACTEwLzYvMjAyNQgAAAAJMS8zMS8yMDI1CQAAAAEwNu+V+tsE3gg+3ksQ3ATeCB5DSVEuSVEyODU4MjcuSVFfVE9UQUxfUkVWLjEwMDABAAAAg1wEAAIAAAAFNzEwNDMBCAAAAAUAAAABMQEAAAALLTE5NjE3MDA2MDYDAAAAAzE2MAIAAAACMjgEAAAAATAHAAAACTEwLzYvMjAyNQgAAAAKMTIvMzEvMjAyNAkAAAABMDbvlfrbBN4IuGxkTd4E3ggkQ0lRLklROTcxOTkuSVFfRUJJVERBX0NBUEVYX0lOVC4xMDAwAQAAAK97AQACAAAACDguOTI0MzE1AQgAAAAFAAAAATEBAAAACy0xOTYxNDkzODQ4</t>
  </si>
  <si>
    <t>AwAAAAMxNjACAAAABDQxOTEEAAAAATAHAAAACTEwLzYvMjAyNQgAAAAKMTIvMzEvMjAyNAkAAAABMDbvlfrbBN4IPt5LENwE3ggmQ0lRLklRMjE4MzUuSVFfVE9UQUxfREVCVF9DQVBJVEFMLjEwMDABAAAAS1UAAAIAAAAHMjQuNjE5OQEIAAAABQAAAAExAQAAAAstMTkzNDI1NDIxNgMAAAADMTYwAgAAAAQ0MTg2BAAAAAEwBwAAAAkxMC82LzIwMjUIAAAACTYvMzAvMjAyNQkAAAABMDbvlfrbBN4InrZLENwE3ggeQ0lRLklRMTgwODcxLklRX05JX01BUkdJTi4yMDAwAQAAAIfCAgACAAAABjguMjAyMQEIAAAABQAAAAExAQAAAAstMTkyNzEyNzA4MAMAAAADMTYwAgAAAAQ0MDk0BAAAAAEwBwAAAAkxMC82LzIwMjUIAAAACDgvMS8yMDI1CQAAAAEwNu+V+tsE3gietksQ3ATeCCJDSVEuSVExODA4NzEuSVFfRUJJVERBX01BUkdJTi4yMDAwAQAAAIfCAgACAAAABzE0LjkzOTIBCAAAAAUAAAABMQEAAAALLTE5MjcxMjcwODADAAAAAzE2MAIAAAAENDA0NwQAAAABMAcAAAAJMTAvNi8yMDI1CAAAAAg4LzEvMjAyNQkAAAABMDbvlfrbBN4InrZLENwE3ggiQ0lRLklRMjA3NjU0NjMuSVFfUVVJQ0tfUkFUSU8uMTAwMAEAAAAX2zwBAgAAAAgyLjgyMjAzMgEIAAAABQAAAAExAQAAAAstMTk2MTQ5MTcxOAMAAAADMTYwAgAAAAQ0MTIxBAAAAAEwBwAAAAkxMC82LzIwMjUIAAAACjEyLzMxLzIwMjQJAAAAATA275X6</t>
  </si>
  <si>
    <t>2wTeCJ62SxDcBN4IH0NJUS5JUTM3MDg1Ny5JUV9FQklUREFfSU5ULjEwMDABAAAAqagFAAMAAAACTk0BCAAAAAUAAAABMQEAAAALLTE5NjEyMTgwMjQDAAAAAzE2MAIAAAAENDE5MAQAAAABMAcAAAAJMTAvNi8yMDI1CAAAAAoxMi8zMS8yMDI0CQAAAAEwNu+V+tsE3ghLF2RN3gTeCB9DSVEuSVE5NzE5OS5JUV9RVUlDS19SQVRJTy4xMDAwAQAAAK97AQACAAAACDAuODUyOTE2AQgAAAAFAAAAATEBAAAACy0xOTYxNDkzODQ4AwAAAAMxNjACAAAABDQxMjEEAAAAATAHAAAACTEwLzYvMjAyNQgAAAAKMTIvMzEvMjAyNAkAAAABMDbvlfrbBN4ItYxLENwE3ggeQ0lRLklRMjY5MjMxLklRX1RPVEFMX1JFVi4xMDAwAQAAAK8bBAACAAAABTE3NDkyAQgAAAAFAAAAATEBAAAACy0xOTY5NTE3MDEwAwAAAAMxNjACAAAAAjI4BAAAAAEwBwAAAAkxMC82LzIwMjUIAAAACTkvMzAvMjAyNAkAAAABMDbvlfrbBN4InrZLENwE3gglQ0lRLklRMjE4MzUuSVFfVE9UQUxfREVCVF9FUVVJVFkuMTAwMAEAAABLVQAAAgAAAAYzMi42NjEBCAAAAAUAAAABMQEAAAALLTE5MzQyNTQyMTYDAAAAAzE2MAIAAAAENDAzNAQAAAABMAcAAAAJMTAvNi8yMDI1CAAAAAk2LzMwLzIwMjUJAAAAATA275X62wTeCJ62SxDcBN4IIkNJUS5JUTIyNzUxLklRX0RJTFVUX0VQU19JTkNMLjEwMDABAAAA31gAAAIAAAAFMTQuMzUBCAAAAAUAAAAB</t>
  </si>
  <si>
    <t>MQEAAAALLTE5NTg1MDI2NjIDAAAAAzE2MAIAAAABOAQAAAABMAcAAAAJMTAvNi8yMDI1CAAAAAoxMi8zMS8yMDI0CQAAAAEwNu+V+tsE3ghbTmdN3gTeCCJDSVEuSVExODA4NzEuSVFfUkVUVVJOX0VRVUlUWS4yMDAwAQAAAIfCAgADAAAAAk5NAQgAAAAFAAAAATEBAAAACy0xOTI3MTI3MDgwAwAAAAMxNjACAAAABDQxMjgEAAAAATAHAAAACTEwLzYvMjAyNQgAAAAIOC8xLzIwMjUJAAAAATA7Gpb62wTeCLWMSxDcBN4IJ0NJUS5JUTM2MzI2My5JUV9UT1RBTF9ERUJUX0NBUElUQUwuMTAwMAEAAAD/igUAAgAAAAc0Mi41NzIzAQgAAAAFAAAAATEBAAAACy0xOTYwNzM0MzIwAwAAAAMxNjACAAAABDQxODYEAAAAATAHAAAACTEwLzYvMjAyNQgAAAAKMTIvMzEvMjAyNAkAAAABMDbvlfrbBN4IATxlTd4E3ggcQ0lRLklROTcxOTkuSVFfRUJJVF9JTlQuMTAwMAEAAACvewEAAgAAAAg4LjgwNjc2MwEIAAAABQAAAAExAQAAAAstMTk2MTQ5Mzg0OAMAAAADMTYwAgAAAAQ0MTg5BAAAAAEwBwAAAAkxMC82LzIwMjUIAAAACjEyLzMxLzIwMjQJAAAAATA275X62wTeCLWMSxDcBN4IJkNJUS5JUTI4NTgyNy5JUV9UT1RBTF9ERUJUX0VRVUlUWS4xMDAwAQAAAINcBAACAAAACDMzOC4xOTY3AQgAAAAFAAAAATEBAAAACy0xOTYxNzAwNjA2AwAAAAMxNjACAAAABDQwMzQEAAAAATAHAAAACTEwLzYvMjAyNQgAAAAKMTIv</t>
  </si>
  <si>
    <t>MzEvMjAyNAkAAAABMDbvlfrbBN4IrkpmTd4E3ggdQ0lRLklRMzcwODU3LklRX0VCSVRfSU5ULjEwMDABAAAAqagFAAMAAAACTk0BCAAAAAUAAAABMQEAAAALLTE5NjEyMTgwMjQDAAAAAzE2MAIAAAAENDE4OQQAAAABMAcAAAAJMTAvNi8yMDI1CAAAAAoxMi8zMS8yMDI0CQAAAAEwNu+V+tsE3ghLF2RN3gTeCB5DSVEuSVEyNjkyMzEuSVFfTklfTUFSR0lOLjIwMDABAAAArxsEAAIAAAAHMTQuOTIxMgEIAAAABQAAAAExAQAAAAstMTkzMzEyNjc4NwMAAAADMTYwAgAAAAQ0MDk0BAAAAAEwBwAAAAkxMC82LzIwMjUIAAAACTYvMzAvMjAyNQkAAAABMDbvlfrbBN4ItYxLENwE3ggpQ0lRLklRMjI0MDU1MjgzLklRX1RPVEFMX0RFQlRfRUJJVERBLjEwMDABAAAA889aDQMAAAACTk0BCAAAAAUAAAABMQEAAAALLTE5NjA5OTI3NTkDAAAAAzE2MAIAAAAENDE5MgQAAAABMAcAAAAJMTAvNi8yMDI1CAAAAAoxMi8zMS8yMDI0CQAAAAEwNu+V+tsE3gg1WksQ3ATeCDBDSVEuSVEyMTgzNS5JUV9FUFNfMVlSX0FOTl9HUk9XVEguMjAwMC4xMC8yLzIwMjUBAAAAS1UAAAIAAAAHMTUuNTkzMgEIAAAABQAAAAExAQAAAAstMTkzNDI0Nzc4NwMAAAADMTYwAgAAAAQ0MjAwBAAAAAEwBwAAAAkxMC8yLzIwMjUIAAAACTYvMzAvMjAyNQkAAAABMDbvlfrbBN4INVpLENwE3ggcQ0lRLklRMjE4MzUuSVFfRUJJVF9JTlQuMTAw</t>
  </si>
  <si>
    <t>MAEAAABLVQAAAgAAAAk1My4wMDEyMzcBCAAAAAUAAAABMQEAAAALLTE5MzQyNTQyMTYDAAAAAzE2MAIAAAAENDE4OQQAAAABMAcAAAAJMTAvNi8yMDI1CAAAAAk2LzMwLzIwMjUJAAAAATA275X62wTeCDVaSxDcBN4IN0NJUS5JUTI4NTgyNy5JUV9UT1RBTF9SRVZfMVlSX0FOTl9HUk9XVEguMjAwMC4xMC8yLzIwMjUBAAAAg1wEAAIAAAAGMS4wOTA0AQgAAAAFAAAAATEBAAAACy0xOTM1MDczNDUzAwAAAAMxNjACAAAABDQxOTQEAAAAATAHAAAACTEwLzIvMjAyNQgAAAAJNi8yOS8yMDI1CQAAAAEwNu+V+tsE3gi4bGRN3gTeCB9DSVEuSVEyNzg2NzkuSVFfRUJJVERBX0lOVC4xMDAwAQAAAJdABAACAAAACTExLjg1NDM3MwEIAAAABQAAAAExAQAAAAstMTk1NDc5NDczNwMAAAADMTYwAgAAAAQ0MTkwBAAAAAEwBwAAAAkxMC82LzIwMjUIAAAACDIvMi8yMDI1CQAAAAEwNu+V+tsE3gg1WksQ3ATeCCVDSVEuSVEyOTA5Ni5JUV9UT1RBTF9ERUJUX0VCSVREQS4xMDAwAQAAAKhxAAACAAAACDAuMjA5NjI0AQgAAAAFAAAAATEBAAAACy0xOTYwOTkyNzAwAwAAAAMxNjACAAAABDQxOTIEAAAAATAHAAAACTEwLzYvMjAyNQgAAAAKMTIvMzEvMjAyNAkAAAABMDbvlfrbBN4INVpLENwE3ggfQ0lRLklRMjI3NTEuSVFfUVVJQ0tfUkFUSU8uMTAwMAEAAADfWAAAAgAAAAgwLjMxOTk3MgEIAAAABQAAAAExAQAAAAst</t>
  </si>
  <si>
    <t>MTk1ODUwMjY2MgMAAAADMTYwAgAAAAQ0MTIxBAAAAAEwBwAAAAkxMC82LzIwMjUIAAAACjEyLzMxLzIwMjQJAAAAATA275X62wTeCLoUZU3eBN4IJkNJUS5JUTE1OTIzMC5JUV9UT1RBTF9ERUJUX0VCSVREQS4xMDAwAQAAAP5tAgACAAAACDMuMjY0NjU5AQgAAAAFAAAAATEBAAAACy0xOTYxMjA0MTY0AwAAAAMxNjACAAAABDQxOTIEAAAAATAHAAAACTEwLzYvMjAyNQgAAAAKMTIvMzEvMjAyNAkAAAABMDbvlfrbBN4Ivi5jTd4E3gg3Q0lRLklRMjg5MTk0LklRX1RPVEFMX1JFVl8xWVJfQU5OX0dST1dUSC4yMDAwLjEwLzIvMjAyNQEAAACqaQQAAgAAAAYwLjI0MDMBCAAAAAUAAAABMQEAAAALLTE5MzUzNDc1NDYDAAAAAzE2MAIAAAAENDE5NAQAAAABMAcAAAAJMTAvMi8yMDI1CAAAAAk2LzMwLzIwMjUJAAAAATA275X62wTeCE3MZk3eBN4IHkNJUS5JUTE4MDg3MS5JUV9UT1RBTF9SRVYuMTAwMAEAAACHwgIAAgAAAAU4MzY3NAEIAAAABQAAAAExAQAAAAstMTk1NDYxNDg5NgMAAAADMTYwAgAAAAIyOAQAAAABMAcAAAAJMTAvNi8yMDI1CAAAAAkxLzMxLzIwMjUJAAAAATA275X62wTeCDVaSxDcBN4II0NJUS5JUTE3NzAzMS5JUV9ESUxVVF9FUFNfSU5DTC4xMDAwAQAAAIezAgACAAAABDUuOTkBCAAAAAUAAAABMQEAAAALLTE5NjEyMTUyMDADAAAAAzE2MAIAAAABOAQAAAABMAcAAAAJMTAvNi8yMDI1</t>
  </si>
  <si>
    <t>CAAAAAoxMi8zMS8yMDI0CQAAAAEwNu+V+tsE3gizrWNN3gTeCCZDSVEuSVExODA4NzEuSVFfVE9UQUxfREVCVF9FQklUREEuMTAwMAEAAACHwgIAAgAAAAgyLjkyMTE0NwEIAAAABQAAAAExAQAAAAstMTk1NDYxNDg5NgMAAAADMTYwAgAAAAQ0MTkyBAAAAAEwBwAAAAkxMC82LzIwMjUIAAAACTEvMzEvMjAyNQkAAAABMDsalvrbBN4I2DFLENwE3ggoQ0lRLklRMjI0MDU1MjgzLklRX0VCSVREQV9DQVBFWF9JTlQuMTAwMAEAAADzz1oNAwAAAAJOTQEIAAAABQAAAAExAQAAAAstMTk2MDk5Mjc1OQMAAAADMTYwAgAAAAQ0MTkxBAAAAAEwBwAAAAkxMC82LzIwMjUIAAAACjEyLzMxLzIwMjQJAAAAATA275X62wTeCNgxSxDcBN4IIUNJUS5JUTk3MTk5LklRX0NVUlJFTlRfUkFUSU8uMTAwMAEAAACvewEAAgAAAAgxLjAxMDMzNAEIAAAABQAAAAExAQAAAAstMTk2MTQ5Mzg0OAMAAAADMTYwAgAAAAQ0MDMwBAAAAAEwBwAAAAkxMC82LzIwMjUIAAAACjEyLzMxLzIwMjQJAAAAATA275X62wTeCNgxSxDcBN4IHUNJUS5JUTI3ODY3OS5JUV9FQklUX0lOVC4xMDAwAQAAAJdABAACAAAABzkuMjc0NDUBCAAAAAUAAAABMQEAAAALLTE5NTQ3OTQ3MzcDAAAAAzE2MAIAAAAENDE4OQQAAAABMAcAAAAJMTAvNi8yMDI1CAAAAAgyLzIvMjAyNQkAAAABMDbvlfrbBN4IzglLENwE3ggkQ0lRLklRMzYzMjYzLklRX0VGRkVD</t>
  </si>
  <si>
    <t>VF9UQVhfUkFURS4xMDAwAQAAAP+KBQACAAAABzE0LjQ2MzQBCAAAAAUAAAABMQEAAAALLTE5NjA3MzQzMjADAAAAAzE2MAIAAAAENDM3NgQAAAABMAcAAAAJMTAvNi8yMDI1CAAAAAoxMi8zMS8yMDI0CQAAAAEwNu+V+tsE3ggBPGVN3gTeCDFDSVEuSVEzNjMyNjMuSVFfRVBTXzFZUl9BTk5fR1JPV1RILjIwMDAuMTAvMi8yMDI1AQAAAP+KBQACAAAACC0yOS4wOTg1AQgAAAAFAAAAATEBAAAACy0xOTM0MDc0OTYxAwAAAAMxNjACAAAABDQyMDAEAAAAATAHAAAACTEwLzIvMjAyNQgAAAAJNi8zMC8yMDI1CQAAAAEwNu+V+tsE3gh6pGdN3gTeCDdDSVEuSVExODA4NzEuSVFfVE9UQUxfUkVWXzFZUl9BTk5fR1JPV1RILjIwMDAuMTAvMi8yMDI1AQAAAIfCAgACAAAABy0wLjQ4OTIBCAAAAAUAAAABMQEAAAALLTE5MjcxMjcwODADAAAAAzE2MAIAAAAENDE5NAQAAAABMAcAAAAJMTAvMi8yMDI1CAAAAAg4LzEvMjAyNQkAAAABMDsalvrbBN4I2DFLENwE3ggmQ0lRLklRMzcwODU3LklRX1RPVEFMX0RFQlRfRUJJVERBLjEwMDABAAAAqagFAAMAAAACTk0BCAAAAAUAAAABMQEAAAALLTE5NjEyMTgwMjQDAAAAAzE2MAIAAAAENDE5MgQAAAABMAcAAAAJMTAvNi8yMDI1CAAAAAoxMi8zMS8yMDI0CQAAAAEwNu+V+tsE3ghLF2RN3gTeCCNDSVEuSVExMzQwNzQwLklRX1JFVFVSTl9FUVVJVFkuMjAwMAEAAABEdRQA</t>
  </si>
  <si>
    <t>AgAAAAczMy42MDE1AQgAAAAFAAAAATEBAAAACy0xOTM0ODc5ODQ2AwAAAAMxNjACAAAABDQxMjgEAAAAATAHAAAACTEwLzYvMjAyNQgAAAAJNi8zMC8yMDI1CQAAAAEwNu+V+tsE3ghV2GNN3gTeCCVDSVEuSVEyMjQwNTUyODMuSVFfUkVUVVJOX0FTU0VUUy4yMDAwAQAAAPPPWg0CAAAABy01LjUxMzIBCAAAAAUAAAABMQEAAAALLTE5MzI4NzI5NDIDAAAAAzE2MAIAAAAENDE3OAQAAAABMAcAAAAJMTAvNi8yMDI1CAAAAAk2LzMwLzIwMjUJAAAAATA275X62wTeCM4JSxDcBN4II0NJUS5JUTEzNDA3NDAuSVFfRUJJVERBX01BUkdJTi4yMDAwAQAAAER1FAACAAAABzI0LjkwMzcBCAAAAAUAAAABMQEAAAALLTE5MzQ4Nzk4NDYDAAAAAzE2MAIAAAAENDA0NwQAAAABMAcAAAAJMTAvNi8yMDI1CAAAAAk2LzMwLzIwMjUJAAAAATA275X62wTeCK0fZk3eBN4IIkNJUS5JUTIxODM1LklRX0RJTFVUX0VQU19JTkNMLjEwMDABAAAAS1UAAAIAAAAFMTMuNjQBCAAAAAUAAAABMQEAAAALLTE5MzQyNTQyMTYDAAAAAzE2MAIAAAABOAQAAAABMAcAAAAJMTAvNi8yMDI1CAAAAAk2LzMwLzIwMjUJAAAAATA275X62wTeCOLhShDcBN4IMENJUS5JUTIyNzUxLklRX0VQU18xWVJfQU5OX0dST1dUSC4yMDAwLjEwLzIvMjAyNQEAAADfWAAAAgAAAAY2LjQyMzUBCAAAAAUAAAABMQEAAAALLTE5MzM2OTM2MjADAAAAAzE2MAIA</t>
  </si>
  <si>
    <t>AAAENDIwMAQAAAABMAcAAAAJMTAvMi8yMDI1CAAAAAk2LzMwLzIwMjUJAAAAATA275X62wTeCFtOZ03eBN4IJUNJUS5JUTI3ODY3OS5JUV9FQklUREFfQ0FQRVhfSU5ULjEwMDABAAAAl0AEAAIAAAAJMTAuMzUyODY1AQgAAAAFAAAAATEBAAAACy0xOTU0Nzk0NzM3AwAAAAMxNjACAAAABDQxOTEEAAAAATAHAAAACTEwLzYvMjAyNQgAAAAIMi8yLzIwMjUJAAAAATA275X62wTeCOLhShDcBN4IMUNJUS5JUTE4MDg3MS5JUV9FUFNfMVlSX0FOTl9HUk9XVEguMjAwMC4xMC8yLzIwMjUBAAAAh8ICAAIAAAAFMC45MzQBCAAAAAUAAAABMQEAAAALLTE5MjcxMjcwODADAAAAAzE2MAIAAAAENDIwMAQAAAABMAcAAAAJMTAvMi8yMDI1CAAAAAg4LzEvMjAyNQkAAAABMDbvlfrbBN4I4uFKENwE3ggiQ0lRLklROTcxOTkuSVFfRElMVVRfRVBTX0lOQ0wuMTAwMAEAAACvewEAAgAAAAUyOC4zNAEIAAAABQAAAAExAQAAAAstMTk2MTQ5Mzg0OAMAAAADMTYwAgAAAAE4BAAAAAEwBwAAAAkxMC82LzIwMjUIAAAACjEyLzMxLzIwMjQJAAAAATA275X62wTeCOLhShDcBN4IHENJUS5JUTIyNzUxLklRX0VCSVRfSU5ULjEwMDABAAAA31gAAAIAAAAINy43MDM3MDMBCAAAAAUAAAABMQEAAAALLTE5NTg1MDI2NjIDAAAAAzE2MAIAAAAENDE4OQQAAAABMAcAAAAJMTAvNi8yMDI1CAAAAAoxMi8zMS8yMDI0CQAAAAEwNu+V+tsE</t>
  </si>
  <si>
    <t>3gi6FGVN3gTeCCJDSVEuSVExNTkyMzAuSVFfUkVUVVJOX0VRVUlUWS4yMDAwAQAAAP5tAgACAAAABzEwLjMxNzkBCAAAAAUAAAABMQEAAAALLTE5MzUxMTg1NDIDAAAAAzE2MAIAAAAENDEyOAQAAAABMAcAAAAJMTAvNi8yMDI1CAAAAAk2LzMwLzIwMjUJAAAAATA275X62wTeCL4uY03eBN4IH0NJUS5JUTE4MDg3MS5JUV9FQklUREFfSU5ULjEwMDABAAAAh8ICAAIAAAAIOS4yMzU3MzMBCAAAAAUAAAABMQEAAAALLTE5NTQ2MTQ4OTYDAAAAAzE2MAIAAAAENDE5MAQAAAABMAcAAAAJMTAvNi8yMDI1CAAAAAkxLzMxLzIwMjUJAAAAATA7Gpb62wTeCPW5ShDcBN4IIUNJUS5JUTIyNDA1NTI4My5JUV9UT1RBTF9SRVYuMTAwMAEAAADzz1oNAgAAAAg1MzYxLjM5OAEIAAAABQAAAAExAQAAAAstMTk2MDk5Mjc1OQMAAAADMTYwAgAAAAIyOAQAAAABMAcAAAAJMTAvNi8yMDI1CAAAAAoxMi8zMS8yMDI0CQAAAAEwNu+V+tsE3gji4UoQ3ATeCB1DSVEuSVE5NzE5OS5JUV9UT1RBTF9SRVYuMTAwMAEAAACvewEAAgAAAAU0MTAzMwEIAAAABQAAAAExAQAAAAstMTk2MTQ5Mzg0OAMAAAADMTYwAgAAAAIyOAQAAAABMAcAAAAJMTAvNi8yMDI1CAAAAAoxMi8zMS8yMDI0CQAAAAEwNu+V+tsE3gj1uUoQ3ATeCCZDSVEuSVE5NzE5OS5JUV9UT1RBTF9ERUJUX0NBUElUQUwuMTAwMAEAAACvewEAAgAAAAc1NC42MTAyAQgA</t>
  </si>
  <si>
    <t>AAAFAAAAATEBAAAACy0xOTYxNDkzODQ4AwAAAAMxNjACAAAABDQxODYEAAAAATAHAAAACTEwLzYvMjAyNQgAAAAKMTIvMzEvMjAyNAkAAAABMDbvlfrbBN4I9blKENwE3ggnQ0lRLklRMjI0MDU1MjgzLklRX0VGRkVDVF9UQVhfUkFURS4xMDAwAQAAAPPPWg0DAAAAAk5NAQgAAAAFAAAAATEBAAAACy0xOTYwOTkyNzU5AwAAAAMxNjACAAAABDQzNzYEAAAAATAHAAAACTEwLzYvMjAyNQgAAAAKMTIvMzEvMjAyNAkAAAABMDbvlfrbBN4I9blKENwE3ggjQ0lRLklRMzYzMjYzLklRX0RJTFVUX0VQU19JTkNMLjEwMDABAAAA/4oFAAIAAAAIMTMuOTU5MzkBCAAAAAUAAAABMQEAAAALLTE5NjA3MzQzMjADAAAAAzE2MAIAAAABOAQAAAABMAcAAAAJMTAvNi8yMDI1CAAAAAoxMi8zMS8yMDI0CQAAAAEwNu+V+tsE3gh6pGdN3gTeCCBDSVEuSVExODA4NzEuSVFfUVVJQ0tfUkFUSU8uMTAwMAEAAACHwgIAAgAAAAgwLjA5Mzg4NAEIAAAABQAAAAExAQAAAAstMTk1NDYxNDg5NgMAAAADMTYwAgAAAAQ0MTIxBAAAAAEwBwAAAAkxMC82LzIwMjUIAAAACTEvMzEvMjAyNQkAAAABMDbvlfrbBN4I35FKENwE3ggjQ0lRLklROTcxOTkuSVFfRUZGRUNUX1RBWF9SQVRFLjEwMDABAAAAr3sBAAIAAAAHMTYuNzg2MgEIAAAABQAAAAExAQAAAAstMTk2MTQ5Mzg0OAMAAAADMTYwAgAAAAQ0Mzc2BAAAAAEwBwAAAAkxMC82LzIw</t>
  </si>
  <si>
    <t>MjUIAAAACjEyLzMxLzIwMjQJAAAAATA275X62wTeCN+RShDcBN4IJ0NJUS5JUTE4MDg3MS5JUV9UT1RBTF9ERUJUX0NBUElUQUwuMTAwMAEAAACHwgIAAgAAAAgxNTUuODQ3MgEIAAAABQAAAAExAQAAAAstMTk1NDYxNDg5NgMAAAADMTYwAgAAAAQ0MTg2BAAAAAEwBwAAAAkxMC82LzIwMjUIAAAACTEvMzEvMjAyNQkAAAABMDbvlfrbBN4I35FKENwE3gghQ0lRLklROTcxOTkuSVFfUkVUVVJOX0VRVUlUWS4yMDAwAQAAAK97AQACAAAABzI2LjUwMTQBCAAAAAUAAAABMQEAAAALLTE5MzUxMzg0NzEDAAAAAzE2MAIAAAAENDEyOAQAAAABMAcAAAAJMTAvNi8yMDI1CAAAAAk2LzMwLzIwMjUJAAAAATA275X62wTeCN+RShDcBN4IHkNJUS5JUTIyNzUxLklRX0VCSVREQV9JTlQuMTAwMAEAAADfWAAAAgAAAAkxMS4wNDc0NTMBCAAAAAUAAAABMQEAAAALLTE5NTg1MDI2NjIDAAAAAzE2MAIAAAAENDE5MAQAAAABMAcAAAAJMTAvNi8yMDI1CAAAAAoxMi8zMS8yMDI0CQAAAAEwNu+V+tsE3gi6FGVN3gTeCDZDSVEuSVEyMTgzNS5JUV9UT1RBTF9SRVZfMVlSX0FOTl9HUk9XVEguMjAwMC4xMC8yLzIwMjUBAAAAS1UAAAIAAAAHMTQuOTMyMQEIAAAABQAAAAExAQAAAAstMTkzNDI0Nzc4NwMAAAADMTYwAgAAAAQ0MTk0BAAAAAEwBwAAAAkxMC8yLzIwMjUIAAAACTYvMzAvMjAyNQkAAAABMDbvlfrbBN4I35FKENwE</t>
  </si>
  <si>
    <t>3ggiQ0lRLklRMjc4Njc5LklRX0VCSVREQV9NQVJHSU4uMjAwMAEAAACXQAQAAgAAAAcxNS41MTE4AQgAAAAFAAAAATEBAAAACy0xOTI4MTY0OTQ5AwAAAAMxNjACAAAABDQwNDcEAAAAATAHAAAACTEwLzYvMjAyNQgAAAAIOC8zLzIwMjUJAAAAATA275X62wTeCPVpShDcBN4IKUNJUS5JUTIwNzY1NDYzLklRX1RPVEFMX0RFQlRfQ0FQSVRBTC4xMDAwAQAAABfbPAECAAAABzIxLjQxNDYBCAAAAAUAAAABMQEAAAALLTE5NjE0OTE3MTgDAAAAAzE2MAIAAAAENDE4NgQAAAABMAcAAAAJMTAvNi8yMDI1CAAAAAoxMi8zMS8yMDI0CQAAAAEwNu+V+tsE3gjfkUoQ3ATeCCZDSVEuSVEyNjkyMzEuSVFfVE9UQUxfREVCVF9FUVVJVFkuMTAwMAEAAACvGwQAAgAAAAczMC4zNzU1AQgAAAAFAAAAATEBAAAACy0xOTY5NTE3MDEwAwAAAAMxNjACAAAABDQwMzQEAAAAATAHAAAACTEwLzYvMjAyNQgAAAAJOS8zMC8yMDI0CQAAAAEwNu+V+tsE3gjfkUoQ3ATeCB1DSVEuSVExNTkyMzAuSVFfRUJJVF9JTlQuMTAwMAEAAAD+bQIAAgAAAAg0LjI5Njk1NAEIAAAABQAAAAExAQAAAAstMTk2MTIwNDE2NAMAAAADMTYwAgAAAAQ0MTg5BAAAAAEwBwAAAAkxMC82LzIwMjUIAAAACjEyLzMxLzIwMjQJAAAAATA275X62wTeCL4uY03eBN4IKkNJUS5JUTIyNDA1NTI4My5JUV9UT1RBTF9ERUJUX0NBUElUQUwuMTAwMAEAAADzz1oN</t>
  </si>
  <si>
    <t>AgAAAAc2My4zOTIyAQgAAAAFAAAAATEBAAAACy0xOTYwOTkyNzU5AwAAAAMxNjACAAAABDQxODYEAAAAATAHAAAACTEwLzYvMjAyNQgAAAAKMTIvMzEvMjAyNAkAAAABMDbvlfrbBN4I9WlKENwE3ggkQ0lRLklRMTgwODcxLklRX0VGRkVDVF9UQVhfUkFURS4xMDAwAQAAAIfCAgACAAAABzIzLjk5MjEBCAAAAAUAAAABMQEAAAALLTE5NTQ2MTQ4OTYDAAAAAzE2MAIAAAAENDM3NgQAAAABMAcAAAAJMTAvNi8yMDI1CAAAAAkxLzMxLzIwMjUJAAAAATA275X62wTeCPVpShDcBN4IIkNJUS5JUTM3MDg1Ny5JUV9SRVRVUk5fRVFVSVRZLjIwMDABAAAAqagFAAMAAAACTk0BCAAAAAUAAAABMQEAAAALLTE5MzQ0MDc3MDQDAAAAAzE2MAIAAAAENDEyOAQAAAABMAcAAAAJMTAvNi8yMDI1CAAAAAk2LzMwLzIwMjUJAAAAATA275X62wTeCEsXZE3eBN4IIENJUS5JUTM3MDg1Ny5JUV9RVUlDS19SQVRJTy4xMDAwAQAAAKmoBQACAAAACDAuMzg2MjA0AQgAAAAFAAAAATEBAAAACy0xOTYxMjE4MDI0AwAAAAMxNjACAAAABDQxMjEEAAAAATAHAAAACTEwLzYvMjAyNQgAAAAKMTIvMzEvMjAyNAkAAAABMDbvlfrbBN4ISxdkTd4E3gghQ0lRLklRMjI0MDU1MjgzLklRX05JX01BUkdJTi4yMDAwAQAAAPPPWg0CAAAABy05LjY4OTYBCAAAAAUAAAABMQEAAAALLTE5MzI4NzI5NDIDAAAAAzE2MAIAAAAENDA5NAQAAAABMAcA</t>
  </si>
  <si>
    <t>AAAJMTAvNi8yMDI1CAAAAAk2LzMwLzIwMjUJAAAAATA275X62wTeCPVpShDcBN4IJUNJUS5JUTE1OTIzMC5JUV9FQklUREFfQ0FQRVhfSU5ULjEwMDABAAAA/m0CAAIAAAAINS4zOTM5MDgBCAAAAAUAAAABMQEAAAALLTE5NjEyMDQxNjQDAAAAAzE2MAIAAAAENDE5MQQAAAABMAcAAAAJMTAvNi8yMDI1CAAAAAoxMi8zMS8yMDI0CQAAAAEwNu+V+tsE3gi+LmNN3gTeCCdDSVEuSVEyMDc2NTQ2My5JUV9FQklUREFfQ0FQRVhfSU5ULjEwMDABAAAAF9s8AQIAAAAJNjkuNDYwMTM5AQgAAAAFAAAAATEBAAAACy0xOTYxNDkxNzE4AwAAAAMxNjACAAAABDQxOTEEAAAAATAHAAAACTEwLzYvMjAyNQgAAAAKMTIvMzEvMjAyNAkAAAABMDbvlfrbBN4I9WlKENwE3ggiQ0lRLklRMjY5MjMxLklRX1JFVFVSTl9FUVVJVFkuMjAwMAEAAACvGwQAAgAAAAY5LjE1NTMBCAAAAAUAAAABMQEAAAALLTE5MzMxMjY3ODcDAAAAAzE2MAIAAAAENDEyOAQAAAABMAcAAAAJMTAvNi8yMDI1CAAAAAk2LzMwLzIwMjUJAAAAATCgdZX62wTeCPVpShDcBN4IN0NJUS5JUTI3ODY3OS5JUV9UT1RBTF9SRVZfMVlSX0FOTl9HUk9XVEguMjAwMC4xMC8yLzIwMjUBAAAAl0AEAAIAAAAGOC41MjQ2AQgAAAAFAAAAATEBAAAACy0xOTI4MTY0OTQ5AwAAAAMxNjACAAAABDQxOTQEAAAAATAHAAAACTEwLzIvMjAyNQgAAAAIOC8zLzIwMjUJAAAA</t>
  </si>
  <si>
    <t>ATCgdZX62wTeCPVpShDcBN4INkNJUS5JUTI5MDk2LklRX1RPVEFMX1JFVl8xWVJfQU5OX0dST1dUSC4yMDAwLjEwLzIvMjAyNQEAAACocQAAAgAAAAcxMy4xMzM0AQgAAAAFAAAAATEBAAAACy0xOTM0OTI4MjY3AwAAAAMxNjACAAAABDQxOTQEAAAAATAHAAAACTEwLzIvMjAyNQgAAAAJNi8zMC8yMDI1CQAAAAEwoHWV+tsE3gj9QUoQ3ATeCCZDSVEuSVExODA4NzEuSVFfVE9UQUxfREVCVF9FUVVJVFkuMTAwMAEAAACHwgIAAwAAAAJOTQEIAAAABQAAAAExAQAAAAstMTk1NDYxNDg5NgMAAAADMTYwAgAAAAQ0MDM0BAAAAAEwBwAAAAkxMC82LzIwMjUIAAAACTEvMzEvMjAyNQkAAAABMNqclfrbBN4I/UFKENwE3gg6Q0lRLklRMjI0MDU1MjgzLklRX1RPVEFMX1JFVl8xWVJfQU5OX0dST1dUSC4yMDAwLjEwLzIvMjAyNQEAAADzz1oNAgAAAAcxMy4xODE1AQgAAAAFAAAAATEBAAAACy0xOTMyODcyOTQyAwAAAAMxNjACAAAABDQxOTQEAAAAATAHAAAACTEwLzIvMjAyNQgAAAAJNi8zMC8yMDI1CQAAAAEwoHWV+tsE3gj9QUoQ3ATeCB9DSVEuSVEyOTA5Ni5JUV9RVUlDS19SQVRJTy4xMDAwAQAAAKhxAAACAAAACDEuNjYwNjExAQgAAAAFAAAAATEBAAAACy0xOTYwOTkyNzAwAwAAAAMxNjACAAAABDQxMjEEAAAAATAHAAAACTEwLzYvMjAyNQgAAAAKMTIvMzEvMjAyNAkAAAABMKB1lfrbBN4I/UFKENwE3ggh</t>
  </si>
  <si>
    <t>Q0lRLklRMjkwOTYuSVFfRUJJVERBX01BUkdJTi4yMDAwAQAAAKhxAAACAAAABzM3LjkyMTcBCAAAAAUAAAABMQEAAAALLTE5MzQ5MjgyNjcDAAAAAzE2MAIAAAAENDA0NwQAAAABMAcAAAAJMTAvNi8yMDI1CAAAAAk2LzMwLzIwMjUJAAAAATCgdZX62wTeCP1BShDcBN4IH0NJUS5JUTEzNDA3NDAuSVFfTklfTUFSR0lOLjIwMDABAAAARHUUAAIAAAAGMTQuMjk2AQgAAAAFAAAAATEBAAAACy0xOTM0ODc5ODQ2AwAAAAMxNjACAAAABDQwOTQEAAAAATAHAAAACTEwLzYvMjAyNQgAAAAJNi8zMC8yMDI1CQAAAAEwoHWV+tsE3gitH2ZN3gTeCCVDSVEuSVEyOTA5Ni5JUV9UT1RBTF9ERUJUX0VRVUlUWS4xMDAwAQAAAKhxAAACAAAABjguNjU1MwEIAAAABQAAAAExAQAAAAstMTk2MDk5MjcwMAMAAAADMTYwAgAAAAQ0MDM0BAAAAAEwBwAAAAkxMC82LzIwMjUIAAAACjEyLzMxLzIwMjQJAAAAATCgdZX62wTeCP1BShDcBN4IJENJUS5JUTI4NTgyNy5JUV9FRkZFQ1RfVEFYX1JBVEUuMTAwMAEAAACDXAQAAgAAAAcxNC4yMTIyAQgAAAAFAAAAATEBAAAACy0xOTYxNzAwNjA2AwAAAAMxNjACAAAABDQzNzYEAAAAATAHAAAACTEwLzYvMjAyNQgAAAAKMTIvMzEvMjAyNAkAAAABMKB1lfrbBN4IrkpmTd4E3gghQ0lRLklRMjI3NTEuSVFfUkVUVVJOX0FTU0VUUy4yMDAwAQAAAN9YAAACAAAABTQuMTUzAQgAAAAFAAAA</t>
  </si>
  <si>
    <t>ATEBAAAACy0xOTMzNjkzNjIwAwAAAAMxNjACAAAABDQxNzgEAAAAATAHAAAACTEwLzYvMjAyNQgAAAAJNi8zMC8yMDI1CQAAAAEwoHWV+tsE3gi6FGVN3gTeCCFDSVEuSVEyMjc1MS5JUV9DVVJSRU5UX1JBVElPLjEwMDABAAAA31gAAAIAAAAIMC40MDI1NjIBCAAAAAUAAAABMQEAAAALLTE5NTg1MDI2NjIDAAAAAzE2MAIAAAAENDAzMAQAAAABMAcAAAAJMTAvNi8yMDI1CAAAAAoxMi8zMS8yMDI0CQAAAAEwoHWV+tsE3gi6FGVN3gTeCCZDSVEuSVEzNjMyNjMuSVFfVE9UQUxfREVCVF9FUVVJVFkuMTAwMAEAAAD/igUAAgAAAAY3NC4xMzIBCAAAAAUAAAABMQEAAAALLTE5NjA3MzQzMjADAAAAAzE2MAIAAAAENDAzNAQAAAABMAcAAAAJMTAvNi8yMDI1CAAAAAoxMi8zMS8yMDI0CQAAAAEwoHWV+tsE3ggBPGVN3gTeCCdDSVEuSVEyNjkyMzEuSVFfVE9UQUxfREVCVF9DQVBJVEFMLjEwMDABAAAArxsEAAIAAAAHMjMuMjk4NAEIAAAABQAAAAExAQAAAAstMTk2OTUxNzAxMAMAAAADMTYwAgAAAAQ0MTg2BAAAAAEwBwAAAAkxMC82LzIwMjUIAAAACTkvMzAvMjAyNAkAAAABMKB1lfrbBN4I7hlKENwE3ggjQ0lRLklRMTM0MDc0MC5JUV9SRVRVUk5fQVNTRVRTLjIwMDABAAAARHUUAAIAAAAGNy4xNDY0AQgAAAAFAAAAATEBAAAACy0xOTM0ODc5ODQ2AwAAAAMxNjACAAAABDQxNzgEAAAAATAHAAAACTEwLzYv</t>
  </si>
  <si>
    <t>MjAyNQgAAAAJNi8zMC8yMDI1CQAAAAEwoHWV+tsE3ghV2GNN3gTeCCZDSVEuSVEyMjQwNTUyODMuSVFfRElMVVRfRVBTX0lOQ0wuMTAwMAEAAADzz1oNAgAAAAktMC40MjA2MTEBCAAAAAUAAAABMQEAAAALLTE5NjA5OTI3NTkDAAAAAzE2MAIAAAABOAQAAAABMAcAAAAJMTAvNi8yMDI1CAAAAAoxMi8zMS8yMDI0CQAAAAEwoHWV+tsE3gjuGUoQ3ATeCDRDSVEuSVEyMjQwNTUyODMuSVFfRVBTXzFZUl9BTk5fR1JPV1RILjIwMDAuMTAvMi8yMDI1AQAAAPPPWg0DAAAAAk5NAQgAAAAFAAAAATEBAAAACy0xOTMyODcyOTQyAwAAAAMxNjACAAAABDQyMDAEAAAAATAHAAAACTEwLzIvMjAyNQgAAAAJNi8zMC8yMDI1CQAAAAEwoHWV+tsE3gjuGUoQ3ATeCCRDSVEuSVEyMTgzNS5JUV9FQklUREFfQ0FQRVhfSU5ULjEwMDABAAAAS1UAAAIAAAAJNDAuMjA2NTk3AQgAAAAFAAAAATEBAAAACy0xOTM0MjU0MjE2AwAAAAMxNjACAAAABDQxOTEEAAAAATAHAAAACTEwLzYvMjAyNQgAAAAJNi8zMC8yMDI1CQAAAAEwoHWV+tsE3ghA70kQ3ATeCCJDSVEuSVEyOTA5Ni5JUV9ESUxVVF9FUFNfSU5DTC4xMDAwAQAAAKhxAAACAAAACDguMDQzNTQ0AQgAAAAFAAAAATEBAAAACy0xOTYwOTkyNzAwAwAAAAMxNjACAAAAATgEAAAAATAHAAAACTEwLzYvMjAyNQgAAAAKMTIvMzEvMjAyNAkAAAABMKB1lfrbBN4IQO9JENwE3gge</t>
  </si>
  <si>
    <t>Q0lRLklRMjg1ODI3LklRX05JX01BUkdJTi4yMDAwAQAAAINcBAACAAAABjUuODUxNQEIAAAABQAAAAExAQAAAAstMTkzNTA3MzQ1MwMAAAADMTYwAgAAAAQ0MDk0BAAAAAEwBwAAAAkxMC82LzIwMjUIAAAACTYvMjkvMjAyNQkAAAABMKB1lfrbBN4IuGxkTd4E3ggnQ0lRLklRMjg1ODI3LklRX1RPVEFMX0RFQlRfQ0FQSVRBTC4xMDAwAQAAAINcBAACAAAABzc3LjE3OTIBCAAAAAUAAAABMQEAAAALLTE5NjE3MDA2MDYDAAAAAzE2MAIAAAAENDE4NgQAAAABMAcAAAAJMTAvNi8yMDI1CAAAAAoxMi8zMS8yMDI0CQAAAAEwoHWV+tsE3giuSmZN3gTeCCJDSVEuSVEzNjMyNjMuSVFfUkVUVVJOX0VRVUlUWS4yMDAwAQAAAP+KBQACAAAABzExLjU4OTQBCAAAAAUAAAABMQEAAAALLTE5MzQwNzQ5NjEDAAAAAzE2MAIAAAAENDEyOAQAAAABMAcAAAAJMTAvNi8yMDI1CAAAAAk2LzMwLzIwMjUJAAAAATCgdZX62wTeCAE8ZU3eBN4IHUNJUS5JUTE4MDg3MS5JUV9FQklUX0lOVC4xMDAwAQAAAIfCAgACAAAACDcuMjMwMjk4AQgAAAAFAAAAATEBAAAACy0xOTU0NjE0ODk2AwAAAAMxNjACAAAABDQxODkEAAAAATAHAAAACTEwLzYvMjAyNQgAAAAJMS8zMS8yMDI1CQAAAAEw2pyV+tsE3ghA70kQ3ATeCCJDSVEuSVEyNjkyMzEuSVFfUkVUVVJOX0FTU0VUUy4yMDAwAQAAAK8bBAACAAAABjQuODUyMwEIAAAABQAAAAEx</t>
  </si>
  <si>
    <t>AQAAAAstMTkzMzEyNjc4NwMAAAADMTYwAgAAAAQ0MTc4BAAAAAEwBwAAAAkxMC82LzIwMjUIAAAACTYvMzAvMjAyNQkAAAABMKB1lfrbBN4IQO9JENwE3gghQ0lRLklRMjI3NTEuSVFfRUJJVERBX01BUkdJTi4yMDAwAQAAAN9YAAACAAAABzM5LjQ5MTkBCAAAAAUAAAABMQEAAAALLTE5MzM2OTM2MjADAAAAAzE2MAIAAAAENDA0NwQAAAABMAcAAAAJMTAvNi8yMDI1CAAAAAk2LzMwLzIwMjUJAAAAATCgdZX62wTeCFtOZ03eBN4IIkNJUS5JUTI3ODY3OS5JUV9DVVJSRU5UX1JBVElPLjEwMDABAAAAl0AEAAIAAAAIMS4xMDU0MzkBCAAAAAUAAAABMQEAAAALLTE5NTQ3OTQ3MzcDAAAAAzE2MAIAAAAENDAzMAQAAAABMAcAAAAJMTAvNi8yMDI1CAAAAAgyLzIvMjAyNQkAAAABMKB1lfrbBN4IQO9JENwE3gglQ0lRLklRMjY5MjMxLklRX0VCSVREQV9DQVBFWF9JTlQuMTAwMAEAAACvGwQAAgAAAAgxMy43NDYxMwEIAAAABQAAAAExAQAAAAstMTk2OTUxNzAxMAMAAAADMTYwAgAAAAQ0MTkxBAAAAAEwBwAAAAkxMC82LzIwMjUIAAAACTkvMzAvMjAyNAkAAAABMKB1lfrbBN4IQO9JENwE3ggiQ0lRLklRMzcwODU3LklRX1JFVFVSTl9BU1NFVFMuMjAwMAEAAACpqAUAAgAAAActMy43MjkzAQgAAAAFAAAAATEBAAAACy0xOTM0NDA3NzA0AwAAAAMxNjACAAAABDQxNzgEAAAAATAHAAAACTEwLzYvMjAyNQgAAAAJ</t>
  </si>
  <si>
    <t>Ni8zMC8yMDI1CQAAAAEw2pyV+tsE3ghLF2RN3gTeCCFDSVEuSVEyOTA5Ni5JUV9SRVRVUk5fRVFVSVRZLjIwMDABAAAAqHEAAAIAAAAHMzQuODI4NQEIAAAABQAAAAExAQAAAAstMTkzNDkyODI2NwMAAAADMTYwAgAAAAQ0MTI4BAAAAAEwBwAAAAkxMC82LzIwMjUIAAAACTYvMzAvMjAyNQkAAAABMNqclfrbBN4IQO9JENwE3ggeQ0lRLklRMzcwODU3LklRX1RPVEFMX1JFVi4xMDAwAQAAAKmoBQACAAAABTY2NTE3AQgAAAAFAAAAATEBAAAACy0xOTYxMjE4MDI0AwAAAAMxNjACAAAAAjI4BAAAAAEwBwAAAAkxMC82LzIwMjUIAAAACjEyLzMxLzIwMjQJAAAAATDanJX62wTeCCG/ZE3eBN4IH0NJUS5JUTIwNzY1NDYzLklRX0VCSVRfSU5ULjEwMDABAAAAF9s8AQIAAAAJOTUuNDExMTg4AQgAAAAFAAAAATEBAAAACy0xOTYxNDkxNzE4AwAAAAMxNjACAAAABDQxODkEAAAAATAHAAAACTEwLzYvMjAyNQgAAAAKMTIvMzEvMjAyNAkAAAABMNqclfrbBN4IisVJENwE3gggQ0lRLklRMTU5MjMwLklRX1FVSUNLX1JBVElPLjEwMDABAAAA/m0CAAIAAAAIMC42MDQzNjEBCAAAAAUAAAABMQEAAAALLTE5NjEyMDQxNjQDAAAAAzE2MAIAAAAENDEyMQQAAAABMAcAAAAJMTAvNi8yMDI1CAAAAAoxMi8zMS8yMDI0CQAAAAEw2pyV+tsE3gi+LmNN3gTeCDFDSVEuSVEyODkxOTQuSVFfRVBTXzFZUl9BTk5fR1JPV1RILjIw</t>
  </si>
  <si>
    <t>MDAuMTAvMi8yMDI1AQAAAKppBAACAAAACjI3NzA1LjU3NzIBCAAAAAUAAAABMQEAAAALLTE5MzUzNDc1NDYDAAAAAzE2MAIAAAAENDIwMAQAAAABMAcAAAAJMTAvMi8yMDI1CAAAAAk2LzMwLzIwMjUJAAAAATDanJX62wTeCE3MZk3eBN4IJENJUS5JUTM3MDg1Ny5JUV9FRkZFQ1RfVEFYX1JBVEUuMTAwMAEAAACpqAUAAwAAAAJOTQEIAAAABQAAAAExAQAAAAstMTk2MTIxODAyNAMAAAADMTYwAgAAAAQ0Mzc2BAAAAAEwBwAAAAkxMC82LzIwMjUIAAAACjEyLzMxLzIwMjQJAAAAATDanJX62wTeCEsXZE3eBN4IJ0NJUS5JUTI4OTE5NC5JUV9UT1RBTF9ERUJUX0NBUElUQUwuMTAwMAEAAACqaQQAAgAAAAc3Ny44MTU3AQgAAAAFAAAAATEBAAAACy0xOTYwOTM3OTc5AwAAAAMxNjACAAAABDQxODYEAAAAATAHAAAACTEwLzYvMjAyNQgAAAAKMTIvMzEvMjAyNAkAAAABMNqclfrbBN4IFaFmTd4E3ggeQ0lRLklRMzYzMjYzLklRX05JX01BUkdJTi4yMDAwAQAAAP+KBQACAAAABjQuNTM3OQEIAAAABQAAAAExAQAAAAstMTkzNDA3NDk2MQMAAAADMTYwAgAAAAQ0MDk0BAAAAAEwBwAAAAkxMC82LzIwMjUIAAAACTYvMzAvMjAyNQkAAAABMNqclfrbBN4IeqRnTd4E3ggiQ0lRLklRMzcwODU3LklRX0NVUlJFTlRfUkFUSU8uMTAwMAEAAACpqAUAAgAAAAgxLjMxODUwNgEIAAAABQAAAAExAQAAAAstMTk2MTIxODAy</t>
  </si>
  <si>
    <t>NAMAAAADMTYwAgAAAAQ0MDMwBAAAAAEwBwAAAAkxMC82LzIwMjUIAAAACjEyLzMxLzIwMjQJAAAAATDanJX62wTeCEsXZE3eBN4IJkNJUS5JUTIwNzY1NDYzLklRX0VGRkVDVF9UQVhfUkFURS4xMDAwAQAAABfbPAECAAAABzExLjc1MDEBCAAAAAUAAAABMQEAAAALLTE5NjE0OTE3MTgDAAAAAzE2MAIAAAAENDM3NgQAAAABMAcAAAAJMTAvNi8yMDI1CAAAAAoxMi8zMS8yMDI0CQAAAAEw2pyV+tsE3ggwnkkQ3ATeCB5DSVEuSVEyMTgzNS5JUV9FQklUREFfSU5ULjEwMDABAAAAS1UAAAIAAAAJNjYuODI1NTY3AQgAAAAFAAAAATEBAAAACy0xOTM0MjU0MjE2AwAAAAMxNjACAAAABDQxOTAEAAAAATAHAAAACTEwLzYvMjAyNQgAAAAJNi8zMC8yMDI1CQAAAAEw2pyV+tsE3giqT0kQ3ATeCCNDSVEuSVEyMTgzNS5JUV9FRkZFQ1RfVEFYX1JBVEUuMTAwMAEAAABLVQAAAgAAAAcxNy42Mjk2AQgAAAAFAAAAATEBAAAACy0xOTM0MjU0MjE2AwAAAAMxNjACAAAABDQzNzYEAAAAATAHAAAACTEwLzYvMjAyNQgAAAAJNi8zMC8yMDI1CQAAAAEw2pyV+tsE3giqT0kQ3ATeCCJDSVEuSVEyMjQwNTUyODMuSVFfRUJJVERBX0lOVC4xMDAwAQAAAPPPWg0DAAAAAk5NAQgAAAAFAAAAATEBAAAACy0xOTYwOTkyNzU5AwAAAAMxNjACAAAABDQxOTAEAAAAATAHAAAACTEwLzYvMjAyNQgAAAAKMTIvMzEvMjAyNAkAAAABMNqc</t>
  </si>
  <si>
    <t>lfrbBN4Iqk9JENwE3ggnQ0lRLklRMTM0MDc0MC5JUV9UT1RBTF9ERUJUX0VRVUlUWS4xMDAwAQAAAER1FAACAAAACDE2OC4xODAxAQgAAAAFAAAAATEBAAAACy0xOTU4ODEyNTAwAwAAAAMxNjACAAAABDQwMzQEAAAAATAHAAAACTEwLzYvMjAyNQgAAAAKMTIvMzEvMjAyNAkAAAABMNqclfrbBN4I3/9jTd4E3gglQ0lRLklRMTc3MDMxLklRX0VCSVREQV9DQVBFWF9JTlQuMTAwMAEAAACHswIAAgAAAAg4LjUxMDE0MQEIAAAABQAAAAExAQAAAAstMTk2MTIxNTIwMAMAAAADMTYwAgAAAAQ0MTkxBAAAAAEwBwAAAAkxMC82LzIwMjUIAAAACjEyLzMxLzIwMjQJAAAAATDanJX62wTeCPb4Yk3eBN4IIkNJUS5JUTE1OTIzMC5JUV9SRVRVUk5fQVNTRVRTLjIwMDABAAAA/m0CAAIAAAAGMy42OTU0AQgAAAAFAAAAATEBAAAACy0xOTM1MTE4NTQyAwAAAAMxNjACAAAABDQxNzgEAAAAATAHAAAACTEwLzYvMjAyNQgAAAAJNi8zMC8yMDI1CQAAAAEw2pyV+tsE3gi+LmNN3gTeCB1DSVEuSVE5NzE5OS5JUV9OSV9NQVJHSU4uMjAwMAEAAACvewEAAgAAAAY5Ljc0MDUBCAAAAAUAAAABMQEAAAALLTE5MzUxMzg0NzEDAAAAAzE2MAIAAAAENDA5NAQAAAABMAcAAAAJMTAvNi8yMDI1CAAAAAk2LzMwLzIwMjUJAAAAATDanJX62wTeCB8oSRDcBN4IJkNJUS5JUTI5MDk2LklRX1RPVEFMX0RFQlRfQ0FQSVRBTC4xMDAwAQAA</t>
  </si>
  <si>
    <t>AKhxAAACAAAABjcuOTY1OAEIAAAABQAAAAExAQAAAAstMTk2MDk5MjcwMAMAAAADMTYwAgAAAAQ0MTg2BAAAAAEwBwAAAAkxMC82LzIwMjUIAAAACjEyLzMxLzIwMjQJAAAAATDanJX62wTeCB8oSRDcBN4IHkNJUS5JUTE3NzAzMS5JUV9UT1RBTF9SRVYuMTAwMAEAAACHswIAAgAAAAUzODcwMgEIAAAABQAAAAExAQAAAAstMTk2MTIxNTIwMAMAAAADMTYwAgAAAAIyOAQAAAABMAcAAAAJMTAvNi8yMDI1CAAAAAoxMi8zMS8yMDI0CQAAAAEw2pyV+tsE3gizrWNN3gTeCB5DSVEuSVEyNzg2NzkuSVFfTklfTUFSR0lOLjIwMDABAAAAl0AEAAIAAAAGOC44NjMxAQgAAAAFAAAAATEBAAAACy0xOTI4MTY0OTQ5AwAAAAMxNjACAAAABDQwOTQEAAAAATAHAAAACTEwLzYvMjAyNQgAAAAIOC8zLzIwMjUJAAAAATDanJX62wTeCIf0SBDcBN4IJENJUS5JUTI5MDk2LklRX0VCSVREQV9DQVBFWF9JTlQuMTAwMAEAAACocQAAAgAAAAozMDQuODE3MTY0AQgAAAAFAAAAATEBAAAACy0xOTYwOTkyNzAwAwAAAAMxNjACAAAABDQxOTEEAAAAATAHAAAACTEwLzYvMjAyNQgAAAAKMTIvMzEvMjAyNAkAAAABMNqclfrbBN4Ih/RIENwE3ggwQ0lRLklRMjkwOTYuSVFfRVBTXzFZUl9BTk5fR1JPV1RILjIwMDAuMTAvMi8yMDI1AQAAAKhxAAACAAAABzM0LjcwMDIBCAAAAAUAAAABMQEAAAALLTE5MzQ5MjgyNjcDAAAAAzE2MAIA</t>
  </si>
  <si>
    <t>AAAENDIwMAQAAAABMAcAAAAJMTAvMi8yMDI1CAAAAAk2LzMwLzIwMjUJAAAAATDanJX62wTeCIf0SBDcBN4IIUNJUS5JUTIxODM1LklRX0NVUlJFTlRfUkFUSU8uMTAwMAEAAABLVQAAAgAAAAgxLjM1MzQ0NgEIAAAABQAAAAExAQAAAAstMTkzNDI1NDIxNgMAAAADMTYwAgAAAAQ0MDMwBAAAAAEwBwAAAAkxMC82LzIwMjUIAAAACTYvMzAvMjAyNQkAAAABMNqclfrbBN4Ih/RIENwE3ggiQ0lRLklRMjg1ODI3LklRX1JFVFVSTl9FUVVJVFkuMjAwMAEAAACDXAQAAgAAAAc3My4wNTU4AQgAAAAFAAAAATEBAAAACy0xOTM1MDczNDUzAwAAAAMxNjACAAAABDQxMjgEAAAAATAHAAAACTEwLzYvMjAyNQgAAAAJNi8yOS8yMDI1CQAAAAEw2pyV+tsE3giuSmZN3gTeCCFDSVEuSVEyMTgzNS5JUV9SRVRVUk5fQVNTRVRTLjIwMDABAAAAS1UAAAIAAAAGMTQuMjAzAQgAAAAFAAAAATEBAAAACy0xOTM0MjQ3Nzg3AwAAAAMxNjACAAAABDQxNzgEAAAAATAHAAAACTEwLzYvMjAyNQgAAAAJNi8zMC8yMDI1CQAAAAEw2pyV+tsE3ggezUgQ3ATeCCBDSVEuSVEyODkxOTQuSVFfUVVJQ0tfUkFUSU8uMTAwMAEAAACqaQQAAgAAAAgwLjk3NzI1NgEIAAAABQAAAAExAQAAAAstMTk2MDkzNzk3OQMAAAADMTYwAgAAAAQ0MTIxBAAAAAEwBwAAAAkxMC82LzIwMjUIAAAACjEyLzMxLzIwMjQJAAAAATDanJX62wTeCBWhZk3eBN4I</t>
  </si>
  <si>
    <t>N0NJUS5JUTI2OTIzMS5JUV9UT1RBTF9SRVZfMVlSX0FOTl9HUk9XVEguMjAwMC4xMC8yLzIwMjUBAAAArxsEAAIAAAAGNC44MTYzAQgAAAAFAAAAATEBAAAACy0xOTMzMTI2Nzg3AwAAAAMxNjACAAAABDQxOTQEAAAAATAHAAAACTEwLzIvMjAyNQgAAAAJNi8zMC8yMDI1CQAAAAEw2pyV+tsE3ggezUgQ3ATeCCdDSVEuSVEyNzg2NzkuSVFfVE9UQUxfREVCVF9DQVBJVEFMLjEwMDABAAAAl0AEAAIAAAAHOTAuNDc2OAEIAAAABQAAAAExAQAAAAstMTk1NDc5NDczNwMAAAADMTYwAgAAAAQ0MTg2BAAAAAEwBwAAAAkxMC82LzIwMjUIAAAACDIvMi8yMDI1CQAAAAEw2pyV+tsE3ggezUgQ3ATeCDdDSVEuSVExNTkyMzAuSVFfVE9UQUxfUkVWXzFZUl9BTk5fR1JPV1RILjIwMDAuMTAvMi8yMDI1AQAAAP5tAgACAAAABzE1LjQ0MTEBCAAAAAUAAAABMQEAAAALLTE5MzUxMTg1NDIDAAAAAzE2MAIAAAAENDE5NAQAAAABMAcAAAAJMTAvMi8yMDI1CAAAAAk2LzMwLzIwMjUJAAAAATDanJX62wTeCNSqYk3eBN4IIkNJUS5JUTI2OTIzMS5JUV9DVVJSRU5UX1JBVElPLjEwMDABAAAArxsEAAIAAAAIMS43NzQ5OTEBCAAAAAUAAAABMQEAAAALLTE5Njk1MTcwMTADAAAAAzE2MAIAAAAENDAzMAQAAAABMAcAAAAJMTAvNi8yMDI1CAAAAAk5LzMwLzIwMjQJAAAAATDanJX62wTeCB7NSBDcBN4IIkNJUS5JUTI2OTIzMS5J</t>
  </si>
  <si>
    <t>UV9FQklUREFfTUFSR0lOLjIwMDABAAAArxsEAAIAAAAHMjcuNTE5NgEIAAAABQAAAAExAQAAAAstMTkzMzEyNjc4NwMAAAADMTYwAgAAAAQ0MDQ3BAAAAAEwBwAAAAkxMC82LzIwMjUIAAAACTYvMzAvMjAyNQkAAAABMNqclfrbBN4IHs1IENwE3ggfQ0lRLklRMjY5MjMxLklRX0VCSVREQV9JTlQuMTAwMAEAAACvGwQAAgAAAAkxNS4wNDMzNDMBCAAAAAUAAAABMQEAAAALLTE5Njk1MTcwMTADAAAAAzE2MAIAAAAENDE5MAQAAAABMAcAAAAJMTAvNi8yMDI1CAAAAAk5LzMwLzIwMjQJAAAAATDanJX62wTeCB7NSBDcBN4IN0NJUS5JUTE3NzAzMS5JUV9UT1RBTF9SRVZfMVlSX0FOTl9HUk9XVEguMjAwMC4xMC8yLzIwMjUBAAAAh7MCAAIAAAAGMTMuMDU4AQgAAAAFAAAAATEBAAAACy0xOTM1MjcxMzUyAwAAAAMxNjACAAAABDQxOTQEAAAAATAHAAAACTEwLzIvMjAyNQgAAAAJNi8zMC8yMDI1CQAAAAEw2pyV+tsE3ghV2GNN3gTeCDJDSVEuSVExMzQwNzQwLklRX0VQU18xWVJfQU5OX0dST1dUSC4yMDAwLjEwLzIvMjAyNQEAAABEdRQAAgAAAAYwLjIyMjkBCAAAAAUAAAABMQEAAAALLTE5MzQ4Nzk4NDYDAAAAAzE2MAIAAAAENDIwMAQAAAABMAcAAAAJMTAvMi8yMDI1CAAAAAk2LzMwLzIwMjUJAAAAATDanJX62wTeCK0fZk3eBN4IJkNJUS5JUTM3MDg1Ny5JUV9UT1RBTF9ERUJUX0VRVUlUWS4xMDAwAQAA</t>
  </si>
  <si>
    <t>AKmoBQADAAAAAk5NAQgAAAAFAAAAATEBAAAACy0xOTYxMjE4MDI0AwAAAAMxNjACAAAABDQwMzQEAAAAATAHAAAACTEwLzYvMjAyNQgAAAAKMTIvMzEvMjAyNAkAAAABMNqclfrbBN4I8UFkTd4E3ggmQ0lRLklRMTc3MDMxLklRX1RPVEFMX0RFQlRfRVFVSVRZLjEwMDABAAAAh7MCAAIAAAAIMTA0LjE1NTMBCAAAAAUAAAABMQEAAAALLTE5NjEyMTUyMDADAAAAAzE2MAIAAAAENDAzNAQAAAABMAcAAAAJMTAvNi8yMDI1CAAAAAoxMi8zMS8yMDI0CQAAAAEw2pyV+tsE3gj2+GJN3gTeCCFDSVEuSVE5NzE5OS5JUV9FQklUREFfTUFSR0lOLjIwMDABAAAAr3sBAAIAAAAHMTUuODk4MwEIAAAABQAAAAExAQAAAAstMTkzNTEzODQ3MQMAAAADMTYwAgAAAAQ0MDQ3BAAAAAEwBwAAAAkxMC82LzIwMjUIAAAACTYvMzAvMjAyNQkAAAABMNqclfrbBN4IzqVIENwE3ggpQ0lRLklRMjI0MDU1MjgzLklRX1RPVEFMX0RFQlRfRVFVSVRZLjEwMDABAAAA889aDQIAAAAIMTczLjE2NjQBCAAAAAUAAAABMQEAAAALLTE5NjA5OTI3NTkDAAAAAzE2MAIAAAAENDAzNAQAAAABMAcAAAAJMTAvNi8yMDI1CAAAAAoxMi8zMS8yMDI0CQAAAAEw2pyV+tsE3gjOpUgQ3ATeCCJDSVEuSVEyODkxOTQuSVFfUkVUVVJOX0VRVUlUWS4yMDAwAQAAAKppBAACAAAABzk0Ljc1OTUBCAAAAAUAAAABMQEAAAALLTE5MzUzNDc1NDYDAAAAAzE2</t>
  </si>
  <si>
    <t>MAIAAAAENDEyOAQAAAABMAcAAAAJMTAvNi8yMDI1CAAAAAk2LzMwLzIwMjUJAAAAATDanJX62wTeCBWhZk3eBN4IHkNJUS5JUTE3NzAzMS5JUV9OSV9NQVJHSU4uMjAwMAEAAACHswIAAgAAAAcxOC42NDE3AQgAAAAFAAAAATEBAAAACy0xOTM1MjcxMzUyAwAAAAMxNjACAAAABDQwOTQEAAAAATAHAAAACTEwLzYvMjAyNQgAAAAJNi8zMC8yMDI1CQAAAAEw2pyV+tsE3ghV2GNN3gTeCDdDSVEuSVEzNzA4NTcuSVFfVE9UQUxfUkVWXzFZUl9BTk5fR1JPV1RILjIwMDAuMTAvMi8yMDI1AQAAAKmoBQACAAAABjIuNDA2MgEIAAAABQAAAAExAQAAAAstMTkzNDQwNzcwNAMAAAADMTYwAgAAAAQ0MTk0BAAAAAEwBwAAAAkxMC8yLzIwMjUIAAAACTYvMzAvMjAyNQkAAAABMNqclfrbBN4IIb9kTd4E3ggmQ0lRLklRMjI3NTEuSVFfVE9UQUxfREVCVF9DQVBJVEFMLjEwMDABAAAA31gAAAIAAAAHMjkuMzEyNQEIAAAABQAAAAExAQAAAAstMTk1ODUwMjY2MgMAAAADMTYwAgAAAAQ0MTg2BAAAAAEwBwAAAAkxMC82LzIwMjUIAAAACjEyLzMxLzIwMjQJAAAAATDanJX62wTeCLoUZU3eBN4IMUNJUS5JUTM3MDg1Ny5JUV9FUFNfMVlSX0FOTl9HUk9XVEguMjAwMC4xMC8yLzIwMjUBAAAAqagFAAMAAAACTk0BCAAAAAUAAAABMQEAAAALLTE5MzQ0MDc3MDQDAAAAAzE2MAIAAAAENDIwMAQAAAABMAcAAAAJMTAvMi8yMDI1</t>
  </si>
  <si>
    <t>CAAAAAk2LzMwLzIwMjUJAAAAATDanJX62wTeCCG/ZE3eBN4IJUNJUS5JUTIwNzY1NDYzLklRX0RJTFVUX0VQU19JTkNMLjEwMDABAAAAF9s8AQIAAAAFMjMuODYBCAAAAAUAAAABMQEAAAALLTE5NjE0OTE3MTgDAAAAAzE2MAIAAAABOAQAAAABMAcAAAAJMTAvNi8yMDI1CAAAAAoxMi8zMS8yMDI0CQAAAAEw2pyV+tsE3girfUgQ3ATeCB1DSVEuSVEyODU4MjcuSVFfRUJJVF9JTlQuMTAwMAEAAACDXAQAAgAAAAg2LjkzMTQ2NwEIAAAABQAAAAExAQAAAAstMTk2MTcwMDYwNgMAAAADMTYwAgAAAAQ0MTg5BAAAAAEwBwAAAAkxMC82LzIwMjUIAAAACjEyLzMxLzIwMjQJAAAAATDanJX62wTeCK5KZk3eBN4IJENJUS5JUTI4OTE5NC5JUV9FRkZFQ1RfVEFYX1JBVEUuMTAwMAEAAACqaQQAAgAAAAcxNi42NTI4AQgAAAAFAAAAATEBAAAACy0xOTYwOTM3OTc5AwAAAAMxNjACAAAABDQzNzYEAAAAATAHAAAACTEwLzYvMjAyNQgAAAAKMTIvMzEvMjAyNAkAAAABMNqclfrbBN4IFaFmTd4E3ggjQ0lRLklRMTM0MDc0MC5JUV9DVVJSRU5UX1JBVElPLjEwMDABAAAARHUUAAIAAAAIMS4zMTI5NDYBCAAAAAUAAAABMQEAAAALLTE5NTg4MTI1MDADAAAAAzE2MAIAAAAENDAzMAQAAAABMAcAAAAJMTAvNi8yMDI1CAAAAAoxMi8zMS8yMDI0CQAAAAEw2pyV+tsE3gjf/2NN3gTeCB5DSVEuSVEyODkxOTQuSVFfVE9UQUxf</t>
  </si>
  <si>
    <t>UkVWLjEwMDABAAAAqmkEAAIAAAAFMjQ1NzUBCAAAAAUAAAABMQEAAAALLTE5NjA5Mzc5NzkDAAAAAzE2MAIAAAACMjgEAAAAATAHAAAACTEwLzYvMjAyNQgAAAAKMTIvMzEvMjAyNAkAAAABMNqclfrbBN4ITcxmTd4E3ggiQ0lRLklRMTU5MjMwLklRX0VCSVREQV9NQVJHSU4uMjAwMAEAAAD+bQIAAgAAAAcxNi44MjY3AQgAAAAFAAAAATEBAAAACy0xOTM1MTE4NTQyAwAAAAMxNjACAAAABDQwNDcEAAAAATAHAAAACTEwLzYvMjAyNQgAAAAJNi8zMC8yMDI1CQAAAAEw2pyV+tsE3gjUqmJN3gTeCCBDSVEuSVExMzQwNzQwLklRX0VCSVREQV9JTlQuMTAwMAEAAABEdRQAAgAAAAc5LjMxOTQ3AQgAAAAFAAAAATEBAAAACy0xOTU4ODEyNTAwAwAAAAMxNjACAAAABDQxOTAEAAAAATAHAAAACTEwLzYvMjAyNQgAAAAKMTIvMzEvMjAyNAkAAAABMNqclfrbBN4I3/9jTd4E3gggQ0lRLklRMzYzMjYzLklRX1FVSUNLX1JBVElPLjEwMDABAAAA/4oFAAIAAAAIMC45Nzk2MDUBCAAAAAUAAAABMQEAAAALLTE5NjA3MzQzMjADAAAAAzE2MAIAAAAENDEyMQQAAAABMAcAAAAJMTAvNi8yMDI1CAAAAAoxMi8zMS8yMDI0CQAAAAEw2pyV+tsE3ggRY2VN3gTeCChDSVEuSVEyMDc2NTQ2My5JUV9UT1RBTF9ERUJUX0VCSVREQS4xMDAwAQAAABfbPAECAAAACDAuNTcyNTgzAQgAAAAFAAAAATEBAAAACy0xOTYxNDkxNzE4AwAA</t>
  </si>
  <si>
    <t>AAMxNjACAAAABDQxOTIEAAAAATAHAAAACTEwLzYvMjAyNQgAAAAKMTIvMzEvMjAyNAkAAAABMNqclfrbBN4InlVIENwE3ggkQ0lRLklRMTU5MjMwLklRX0VGRkVDVF9UQVhfUkFURS4xMDAwAQAAAP5tAgACAAAABzE5LjA2NjgBCAAAAAUAAAABMQEAAAALLTE5NjEyMDQxNjQDAAAAAzE2MAIAAAAENDM3NgQAAAABMAcAAAAJMTAvNi8yMDI1CAAAAAoxMi8zMS8yMDI0CQAAAAEw2pyV+tsE3gjaXGNN3gTeCDFDSVEuSVEyNzg2NzkuSVFfRVBTXzFZUl9BTk5fR1JPV1RILjIwMDAuMTAvMi8yMDI1AQAAAJdABAACAAAABy0xLjAzODIBCAAAAAUAAAABMQEAAAALLTE5MjgxNjQ5NDkDAAAAAzE2MAIAAAAENDIwMAQAAAABMAcAAAAJMTAvMi8yMDI1CAAAAAg4LzMvMjAyNQkAAAABMNqclfrbBN4IfipIENwE3ggdQ0lRLklRMjY5MjMxLklRX0VCSVRfSU5ULjEwMDABAAAArxsEAAIAAAAIOS4zNDA1NTcBCAAAAAUAAAABMQEAAAALLTE5Njk1MTcwMTADAAAAAzE2MAIAAAAENDE4OQQAAAABMAcAAAAJMTAvNi8yMDI1CAAAAAk5LzMwLzIwMjQJAAAAATDanJX62wTeCH4qSBDcBN4IHUNJUS5JUTE3NzAzMS5JUV9FQklUX0lOVC4xMDAwAQAAAIezAgACAAAACDcuODY3MTM5AQgAAAAFAAAAATEBAAAACy0xOTYxMjE1MjAwAwAAAAMxNjACAAAABDQxODkEAAAAATAHAAAACTEwLzYvMjAyNQgAAAAKMTIvMzEvMjAyNAkA</t>
  </si>
  <si>
    <t>AAABMNqclfrbBN4I9vhiTd4E3ggiQ0lRLklRMTc3MDMxLklRX0VCSVREQV9NQVJHSU4uMjAwMAEAAACHswIAAgAAAAcyNC45NDUzAQgAAAAFAAAAATEBAAAACy0xOTM1MjcxMzUyAwAAAAMxNjACAAAABDQwNDcEAAAAATAHAAAACTEwLzYvMjAyNQgAAAAJNi8zMC8yMDI1CQAAAAEw2pyV+tsE3ghV2GNN3gTeCCZDSVEuSVExNzcwMzEuSVFfVE9UQUxfREVCVF9FQklUREEuMTAwMAEAAACHswIAAgAAAAcyLjE2MjU4AQgAAAAFAAAAATEBAAAACy0xOTYxMjE1MjAwAwAAAAMxNjACAAAABDQxOTIEAAAAATAHAAAACTEwLzYvMjAyNQgAAAAKMTIvMzEvMjAyNAkAAAABMNqclfrbBN4I9vhiTd4E3ggiQ0lRLklRMjg5MTk0LklRX1JFVFVSTl9BU1NFVFMuMjAwMAEAAACqaQQAAgAAAAY3LjMyMTgBCAAAAAUAAAABMQEAAAALLTE5MzUzNDc1NDYDAAAAAzE2MAIAAAAENDE3OAQAAAABMAcAAAAJMTAvNi8yMDI1CAAAAAk2LzMwLzIwMjUJAAAAATDanJX62wTeCBWhZk3eBN4IJUNJUS5JUTE4MDg3MS5JUV9FQklUREFfQ0FQRVhfSU5ULjEwMDABAAAAh8ICAAIAAAAHNy45MjY2MwEIAAAABQAAAAExAQAAAAstMTk1NDYxNDg5NgMAAAADMTYwAgAAAAQ0MTkxBAAAAAEwBwAAAAkxMC82LzIwMjUIAAAACTEvMzEvMjAyNQkAAAABMNqclfrbBN4IpgJIENwE3ggiQ0lRLklRMTU5MjMwLklRX0NVUlJFTlRfUkFUSU8uMTAw</t>
  </si>
  <si>
    <t>MAEAAAD+bQIAAgAAAAgwLjk5Mjg5MwEIAAAABQAAAAExAQAAAAstMTk2MTIwNDE2NAMAAAADMTYwAgAAAAQ0MDMwBAAAAAEwBwAAAAkxMC82LzIwMjUIAAAACjEyLzMxLzIwMjQJAAAAATDanJX62wTeCNpcY03eBN4IHUNJUS5JUTI4OTE5NC5JUV9FQklUX0lOVC4xMDAwAQAAAKppBAACAAAACDMuNTEwNDk1AQgAAAAFAAAAATEBAAAACy0xOTYwOTM3OTc5AwAAAAMxNjACAAAABDQxODkEAAAAATAHAAAACTEwLzYvMjAyNQgAAAAKMTIvMzEvMjAyNAkAAAABMNqclfrbBN4IFaFmTd4E3ggiQ0lRLklRMjc4Njc5LklRX1JFVFVSTl9FUVVJVFkuMjAwMAEAAACXQAQAAgAAAAgxOTMuOTU0MgEIAAAABQAAAAExAQAAAAstMTkyODE2NDk0OQMAAAADMTYwAgAAAAQ0MTI4BAAAAAEwBwAAAAkxMC82LzIwMjUIAAAACDgvMy8yMDI1CQAAAAEw2pyV+tsE3gimAkgQ3ATeCCRDSVEuSVEyNzg2NzkuSVFfRUZGRUNUX1RBWF9SQVRFLjEwMDABAAAAl0AEAAIAAAAGMjMuNzA0AQgAAAAFAAAAATEBAAAACy0xOTU0Nzk0NzM3AwAAAAMxNjACAAAABDQzNzYEAAAAATAHAAAACTEwLzYvMjAyNQgAAAAIMi8yLzIwMjUJAAAAATDanJX62wTeCLzZRxDcBN4IIUNJUS5JUTk3MTk5LklRX1JFVFVSTl9BU1NFVFMuMjAwMAEAAACvewEAAgAAAAY2LjQ0NDIBCAAAAAUAAAABMQEAAAALLTE5MzUxMzg0NzEDAAAAAzE2MAIAAAAENDE3</t>
  </si>
  <si>
    <t>OAQAAAABMAcAAAAJMTAvNi8yMDI1CAAAAAk2LzMwLzIwMjUJAAAAATDanJX62wTeCLzZRxDcBN4IIUNJUS5JUTIwNzY1NDYzLklRX0VCSVREQV9JTlQuMTAwMAEAAAAX2zwBAgAAAAoxMjEuNTY2NDMzAQgAAAAFAAAAATEBAAAACy0xOTYxNDkxNzE4AwAAAAMxNjACAAAABDQxOTAEAAAAATAHAAAACTEwLzYvMjAyNQgAAAAKMTIvMzEvMjAyNAkAAAABMNqclfrbBN4IvNlHENwE3ggeQ0lRLklRMTU5MjMwLklRX05JX01BUkdJTi4yMDAwAQAAAP5tAgACAAAABjcuMzUxNwEIAAAABQAAAAExAQAAAAstMTkzNTExODU0MgMAAAADMTYwAgAAAAQ0MDk0BAAAAAEwBwAAAAkxMC82LzIwMjUIAAAACTYvMzAvMjAyNQkAAAABMNqclfrbBN4I1KpiTd4E3ggeQ0lRLklRMjg5MTk0LklRX05JX01BUkdJTi4yMDAwAQAAAKppBAACAAAABzE2LjAxMDgBCAAAAAUAAAABMQEAAAALLTE5MzUzNDc1NDYDAAAAAzE2MAIAAAAENDA5NAQAAAABMAcAAAAJMTAvNi8yMDI1CAAAAAk2LzMwLzIwMjUJAAAAATDanJX62wTeCE3MZk3eBN4IJUNJUS5JUTk3MTk5LklRX1RPVEFMX0RFQlRfRVFVSVRZLjEwMDABAAAAr3sBAAIAAAAIMTIwLjMxMzkBCAAAAAUAAAABMQEAAAALLTE5NjE0OTM4NDgDAAAAAzE2MAIAAAAENDAzNAQAAAABMAcAAAAJMTAvNi8yMDI1CAAAAAoxMi8zMS8yMDI0CQAAAAEw2pyV+tsE3ggKsUcQ3ATeCB1DSVEu</t>
  </si>
  <si>
    <t>SVEyOTA5Ni5JUV9UT1RBTF9SRVYuMTAwMAEAAACocQAAAgAAAAYzNTAwMTgBCAAAAAUAAAABMQEAAAALLTE5NjA5OTI3MDADAAAAAzE2MAIAAAACMjgEAAAAATAHAAAACTEwLzYvMjAyNQgAAAAKMTIvMzEvMjAyNAkAAAABMNqclfrbBN4IvNlHENwE3ggmQ0lRLklRMjg5MTk0LklRX1RPVEFMX0RFQlRfRUJJVERBLjEwMDABAAAAqmkEAAIAAAAIMi40MDI2MzgBCAAAAAUAAAABMQEAAAALLTE5NjA5Mzc5NzkDAAAAAzE2MAIAAAAENDE5MgQAAAABMAcAAAAJMTAvNi8yMDI1CAAAAAoxMi8zMS8yMDI0CQAAAAEw2pyV+tsE3ggVoWZN3gTeCCJDSVEuSVExNzcwMzEuSVFfQ1VSUkVOVF9SQVRJTy4xMDAwAQAAAIezAgACAAAACDEuMDk0Mjk1AQgAAAAFAAAAATEBAAAACy0xOTYxMjE1MjAwAwAAAAMxNjACAAAABDQwMzAEAAAAATAHAAAACTEwLzYvMjAyNQgAAAAKMTIvMzEvMjAyNAkAAAABMNqclfrbBN4I9vhiTd4E3ggfQ0lRLklRMjg1ODI3LklRX0VCSVREQV9JTlQuMTAwMAEAAACDXAQAAgAAAAg4LjM1MzI4MQEIAAAABQAAAAExAQAAAAstMTk2MTcwMDYwNgMAAAADMTYwAgAAAAQ0MTkwBAAAAAEwBwAAAAkxMC82LzIwMjUIAAAACjEyLzMxLzIwMjQJAAAAATDanJX62wTeCK5KZk3eBN4IIkNJUS5JUTI3ODY3OS5JUV9SRVRVUk5fQVNTRVRTLjIwMDABAAAAl0AEAAIAAAAHMTMuNzEzNQEIAAAABQAAAAEx</t>
  </si>
  <si>
    <t>AQAAAAstMTkyODE2NDk0OQMAAAADMTYwAgAAAAQ0MTc4BAAAAAEwBwAAAAkxMC82LzIwMjUIAAAACDgvMy8yMDI1CQAAAAEw2pyV+tsE3ghJiUcQ3ATeCCFDSVEuSVExMzQwNzQwLklRX1FVSUNLX1JBVElPLjEwMDABAAAARHUUAAIAAAAIMC44OTA2MTkBCAAAAAUAAAABMQEAAAALLTE5NTg4MTI1MDADAAAAAzE2MAIAAAAENDEyMQQAAAABMAcAAAAJMTAvNi8yMDI1CAAAAAoxMi8zMS8yMDI0CQAAAAEw2pyV+tsE3gjf/2NN3gTeCDdDSVEuSVEzNjMyNjMuSVFfVE9UQUxfUkVWXzFZUl9BTk5fR1JPV1RILjIwMDAuMTAvMi8yMDI1AQAAAP+KBQACAAAABy0xLjc0OTUBCAAAAAUAAAABMQEAAAALLTE5MzQwNzQ5NjEDAAAAAzE2MAIAAAAENDE5NAQAAAABMAcAAAAJMTAvMi8yMDI1CAAAAAk2LzMwLzIwMjUJAAAAATDanJX62wTeCIzPZ03eBN4IJkNJUS5JUTI4OTE5NC5JUV9UT1RBTF9ERUJUX0VRVUlUWS4xMDAwAQAAAKppBAACAAAACDM1MC43NzA0AQgAAAAFAAAAATEBAAAACy0xOTYwOTM3OTc5AwAAAAMxNjACAAAABDQwMzQEAAAAATAHAAAACTEwLzYvMjAyNQgAAAAKMTIvMzEvMjAyNAkAAAABMNqclfrbBN4IFaFmTd4E3ggiQ0lRLklRMTgwODcxLklRX1JFVFVSTl9BU1NFVFMuMjAwMAEAAACHwgIAAgAAAAcxNC4yODc1AQgAAAAFAAAAATEBAAAACy0xOTI3MTI3MDgwAwAAAAMxNjACAAAABDQxNzgE</t>
  </si>
  <si>
    <t>AAAAATAHAAAACTEwLzYvMjAyNQgAAAAIOC8xLzIwMjUJAAAAATA275X62wTeCEmJRxDcBN4IHkNJUS5JUTI5MDk2LklRX0VCSVREQV9JTlQuMTAwMAEAAACocQAAAgAAAAo1MDAuODQzMjgzAQgAAAAFAAAAATEBAAAACy0xOTYwOTkyNzAwAwAAAAMxNjACAAAABDQxOTAEAAAAATAHAAAACTEwLzYvMjAyNQgAAAAKMTIvMzEvMjAyNAkAAAABMNqclfrbBN4ISYlHENwE3ggjQ0lRLklRMjI3NTEuSVFfRUZGRUNUX1RBWF9SQVRFLjEwMDABAAAA31gAAAIAAAAHMjEuMjQzMwEIAAAABQAAAAExAQAAAAstMTk1ODUwMjY2MgMAAAADMTYwAgAAAAQ0Mzc2BAAAAAEwBwAAAAkxMC82LzIwMjUIAAAACjEyLzMxLzIwMjQJAAAAATDanJX62wTeCLoUZU3eBN4IIkNJUS5JUTI4NTgyNy5JUV9FQklUREFfTUFSR0lOLjIwMDABAAAAg1wEAAIAAAAHMTAuMDEzMwEIAAAABQAAAAExAQAAAAstMTkzNTA3MzQ1MwMAAAADMTYwAgAAAAQ0MDQ3BAAAAAEwBwAAAAkxMC82LzIwMjUIAAAACTYvMjkvMjAyNQkAAAABMNqclfrbBN4I2JdkTd4E3gggQ0lRLklRMjc4Njc5LklRX1FVSUNLX1JBVElPLjEwMDABAAAAl0AEAAIAAAAIMC4yMjg5NTIBCAAAAAUAAAABMQEAAAALLTE5NTQ3OTQ3MzcDAAAAAzE2MAIAAAAENDEyMQQAAAABMAcAAAAJMTAvNi8yMDI1CAAAAAgyLzIvMjAyNQkAAAABMNqclfrbBN4IRmFHENwE3gghQ0lRLklR</t>
  </si>
  <si>
    <t>MjE4MzUuSVFfUkVUVVJOX0VRVUlUWS4yMDAwAQAAAEtVAAACAAAABzMzLjI4MDgBCAAAAAUAAAABMQEAAAALLTE5MzQyNDc3ODcDAAAAAzE2MAIAAAAENDEyOAQAAAABMAcAAAAJMTAvNi8yMDI1CAAAAAk2LzMwLzIwMjUJAAAAATDanJX62wTeCEZhRxDcBN4IJUNJUS5JUTIyNzUxLklRX1RPVEFMX0RFQlRfRVFVSVRZLjEwMDABAAAA31gAAAIAAAAHNDEuNDY3OQEIAAAABQAAAAExAQAAAAstMTk1ODUwMjY2MgMAAAADMTYwAgAAAAQ0MDM0BAAAAAEwBwAAAAkxMC82LzIwMjUIAAAACjEyLzMxLzIwMjQJAAAAATDanJX62wTeCAE8ZU3eBN4IJENJUS5JUTIwNzY1NDYzLklRX1JFVFVSTl9FUVVJVFkuMjAwMAEAAAAX2zwBAgAAAAc0MC42NDgyAQgAAAAFAAAAATEBAAAACy0xOTM0MDYzNjc4AwAAAAMxNjACAAAABDQxMjgEAAAAATAHAAAACTEwLzYvMjAyNQgAAAAJNi8zMC8yMDI1CQAAAAEw2pyV+tsE3ghGYUcQ3ATeCCJDSVEuSVExNzcwMzEuSVFfUkVUVVJOX0VRVUlUWS4yMDAwAQAAAIezAgACAAAABzM5LjU2NzQBCAAAAAUAAAABMQEAAAALLTE5MzUyNzEzNTIDAAAAAzE2MAIAAAAENDEyOAQAAAABMAcAAAAJMTAvNi8yMDI1CAAAAAk2LzMwLzIwMjUJAAAAATDanJX62wTeCPb4Yk3eBN4IHUNJUS5JUTIyNzUxLklRX05JX01BUkdJTi4yMDAwAQAAAN9YAAACAAAABzIwLjYxNTYBCAAAAAUAAAABMQEA</t>
  </si>
  <si>
    <t>AAALLTE5MzM2OTM2MjADAAAAAzE2MAIAAAAENDA5NAQAAAABMAcAAAAJMTAvNi8yMDI1CAAAAAk2LzMwLzIwMjUJAAAAATDanJX62wTeCFtOZ03eBN4II0NJUS5JUTI5MDk2LklRX0VGRkVDVF9UQVhfUkFURS4xMDAwAQAAAKhxAAACAAAABzE2LjQzOTUBCAAAAAUAAAABMQEAAAALLTE5NjA5OTI3MDADAAAAAzE2MAIAAAAENDM3NgQAAAABMAcAAAAJMTAvNi8yMDI1CAAAAAoxMi8zMS8yMDI0CQAAAAEw2pyV+tsE3giOOEcQ3ATeCCJDSVEuSVEyODU4MjcuSVFfQ1VSUkVOVF9SQVRJTy4xMDAwAQAAAINcBAACAAAACDEuMTI1MDc3AQgAAAAFAAAAATEBAAAACy0xOTYxNzAwNjA2AwAAAAMxNjACAAAABDQwMzAEAAAAATAHAAAACTEwLzYvMjAyNQgAAAAKMTIvMzEvMjAyNAkAAAABMNqclfrbBN4IrkpmTd4E3gggQ0lRLklRMjA3NjU0NjMuSVFfTklfTUFSR0lOLjIwMDABAAAAF9s8AQIAAAAHMzkuOTkxOAEIAAAABQAAAAExAQAAAAstMTkzNDA2MzY3OAMAAAADMTYwAgAAAAQ0MDk0BAAAAAEwBwAAAAkxMC82LzIwMjUIAAAACTYvMzAvMjAyNQkAAAABMNqclfrbBN4IjjhHENwE3ggfQ0lRLklRMjE4MzUuSVFfUVVJQ0tfUkFUSU8uMTAwMAEAAABLVQAAAgAAAAgxLjIyMjcxOQEIAAAABQAAAAExAQAAAAstMTkzNDI1NDIxNgMAAAADMTYwAgAAAAQ0MTIxBAAAAAEwBwAAAAkxMC82LzIwMjUIAAAACTYvMzAv</t>
  </si>
  <si>
    <t>MjAyNQkAAAABMNqclfrbBN4IjjhHENwE3gggQ0lRLklRMjg1ODI3LklRX1FVSUNLX1JBVElPLjEwMDABAAAAg1wEAAIAAAAIMC45MTYxMTcBCAAAAAUAAAABMQEAAAALLTE5NjE3MDA2MDYDAAAAAzE2MAIAAAAENDEyMQQAAAABMAcAAAAJMTAvNi8yMDI1CAAAAAoxMi8zMS8yMDI0CQAAAAEw2pyV+tsE3ggNdmZN3gTeCCNDSVEuSVExODA4NzEuSVFfRElMVVRfRVBTX0lOQ0wuMTAwMAEAAACHwgIAAgAAAAUxMi4yMwEIAAAABQAAAAExAQAAAAstMTk1NDYxNDg5NgMAAAADMTYwAgAAAAE4BAAAAAEwBwAAAAkxMC82LzIwMjUIAAAACTEvMzEvMjAyNQkAAAABMDsalvrbBN4IIhFHENwE3ggfQ0lRLklRMTM0MDc0MC5JUV9UT1RBTF9SRVYuMTAwMAEAAABEdRQAAgAAAAUzODQ5OAEIAAAABQAAAAExAQAAAAstMTk1ODgxMjUwMAMAAAADMTYwAgAAAAIyOAQAAAABMAcAAAAJMTAvNi8yMDI1CAAAAAoxMi8zMS8yMDI0CQAAAAEw2pyV+tsE3gitH2ZN3gTeCB9DSVEuSVEzNjMyNjMuSVFfRUJJVERBX0lOVC4xMDAwAQAAAP+KBQACAAAACTExLjg0MjEwNQEIAAAABQAAAAExAQAAAAstMTk2MDczNDMyMAMAAAADMTYwAgAAAAQ0MTkwBAAAAAEwBwAAAAkxMC82LzIwMjUIAAAACjEyLzMxLzIwMjQJAAAAATDanJX62wTeCBFjZU3eBN4IIENJUS5JUTIyNDA1NTI4My5JUV9FQklUX0lOVC4xMDAwAQAAAPPPWg0DAAAA</t>
  </si>
  <si>
    <t>Ak5NAQgAAAAFAAAAATEBAAAACy0xOTYwOTkyNzU5AwAAAAMxNjACAAAABDQxODkEAAAAATAHAAAACTEwLzYvMjAyNQgAAAAKMTIvMzEvMjAyNAkAAAABMAjElfrbBN4IIhFHENwE3gghQ0lRLklRMjkwOTYuSVFfQ1VSUkVOVF9SQVRJTy4xMDAwAQAAAKhxAAACAAAACDEuODM2OTMxAQgAAAAFAAAAATEBAAAACy0xOTYwOTkyNzAwAwAAAAMxNjACAAAABDQwMzAEAAAAATAHAAAACTEwLzYvMjAyNQgAAAAKMTIvMzEvMjAyNAkAAAABMAjElfrbBN4IIhFHENwE3gglQ0lRLklRMjE4MzUuSVFfVE9UQUxfREVCVF9FQklUREEuMTAwMAEAAABLVQAAAgAAAAgwLjY5MjI3MQEIAAAABQAAAAExAQAAAAstMTkzNDI1NDIxNgMAAAADMTYwAgAAAAQ0MTkyBAAAAAEwBwAAAAkxMC82LzIwMjUIAAAACTYvMzAvMjAyNQkAAAABMAjElfrbBN4IVeJGENwE3gg2Q0lRLklROTcxOTkuSVFfVE9UQUxfUkVWXzFZUl9BTk5fR1JPV1RILjIwMDAuMTAvMi8yMDI1AQAAAK97AQACAAAABy0wLjY0NTIBCAAAAAUAAAABMQEAAAALLTE5MzUxMzg0NzEDAAAAAzE2MAIAAAAENDE5NAQAAAABMAcAAAAJMTAvMi8yMDI1CAAAAAk2LzMwLzIwMjUJAAAAATAIxJX62wTeCFXiRhDcBN4IHkNJUS5JUTE1OTIzMC5JUV9UT1RBTF9SRVYuMTAwMAEAAAD+bQIAAgAAAAU4MDczOAEIAAAABQAAAAExAQAAAAstMTk2MTIwNDE2NAMAAAADMTYwAgAA</t>
  </si>
  <si>
    <t>AAIyOAQAAAABMAcAAAAJMTAvNi8yMDI1CAAAAAoxMi8zMS8yMDI0CQAAAAEwCMSV+tsE3gjUqmJN3gTeCCNDSVEuSVEzNzA4NTcuSVFfRElMVVRfRVBTX0lOQ0wuMTAwMAEAAACpqAUAAgAAAAYtMTguMzYBCAAAAAUAAAABMQEAAAALLTE5NjEyMTgwMjQDAAAAAzE2MAIAAAABOAQAAAABMAcAAAAJMTAvNi8yMDI1CAAAAAoxMi8zMS8yMDI0CQAAAAEwCMSV+tsE3gghv2RN3gTeCB1DSVEuSVEyMjc1MS5JUV9UT1RBTF9SRVYuMTAwMAEAAADfWAAAAgAAAAY3MDM5LjIBCAAAAAUAAAABMQEAAAALLTE5NTg1MDI2NjIDAAAAAzE2MAIAAAACMjgEAAAAATAHAAAACTEwLzYvMjAyNQgAAAAKMTIvMzEvMjAyNAkAAAABMAjElfrbBN4IW05nTd4E3gghQ0lRLklRMjI3NTEuSVFfUkVUVVJOX0VRVUlUWS4yMDAwAQAAAN9YAAACAAAABjguMTUxOAEIAAAABQAAAAExAQAAAAstMTkzMzY5MzYyMAMAAAADMTYwAgAAAAQ0MTI4BAAAAAEwBwAAAAkxMC82LzIwMjUIAAAACTYvMzAvMjAyNQkAAAABMAjElfrbBN4IATxlTd4E3ggjQ0lRLklRMTU5MjMwLklRX0RJTFVUX0VQU19JTkNMLjEwMDABAAAA/m0CAAIAAAAEMy41NQEIAAAABQAAAAExAQAAAAstMTk2MTIwNDE2NAMAAAADMTYwAgAAAAE4BAAAAAEwBwAAAAkxMC82LzIwMjUIAAAACjEyLzMxLzIwMjQJAAAAATAIxJX62wTeCNSqYk3eBN4IJ0NJUS5JUTE1OTIzMC5J</t>
  </si>
  <si>
    <t>UV9UT1RBTF9ERUJUX0NBUElUQUwuMTAwMAEAAAD+bQIAAgAAAAc0MS4xMTQ2AQgAAAAFAAAAATEBAAAACy0xOTYxMjA0MTY0AwAAAAMxNjACAAAABDQxODYEAAAAATAHAAAACTEwLzYvMjAyNQgAAAAKMTIvMzEvMjAyNAkAAAABMAjElfrbBN4I2lxjTd4E3gglQ0lRLklRMzYzMjYzLklRX0VCSVREQV9DQVBFWF9JTlQuMTAwMAEAAAD/igUAAgAAAAg3Ljk3ODk0NwEIAAAABQAAAAExAQAAAAstMTk2MDczNDMyMAMAAAADMTYwAgAAAAQ0MTkxBAAAAAEwBwAAAAkxMC82LzIwMjUIAAAACjEyLzMxLzIwMjQJAAAAATAIxJX62wTeCBFjZU3eBN4IIkNJUS5JUTM3MDg1Ny5JUV9FQklUREFfTUFSR0lOLjIwMDABAAAAqagFAAIAAAAHLTkuMzAyMQEIAAAABQAAAAExAQAAAAstMTkzNDQwNzcwNAMAAAADMTYwAgAAAAQ0MDQ3BAAAAAEwBwAAAAkxMC82LzIwMjUIAAAACTYvMzAvMjAyNQkAAAABMAjElfrbBN4IIb9kTd4E3ggxQ0lRLklRMTU5MjMwLklRX0VQU18xWVJfQU5OX0dST1dUSC4yMDAwLjEwLzIvMjAyNQEAAAD+bQIAAgAAAAgxNzQuMjMwNwEIAAAABQAAAAExAQAAAAstMTkzNTExODU0MgMAAAADMTYwAgAAAAQ0MjAwBAAAAAEwBwAAAAkxMC8yLzIwMjUIAAAACTYvMzAvMjAyNQkAAAABMAjElfrbBN4I5tFiTd4E3ggnQ0lRLklRMzcwODU3LklRX1RPVEFMX0RFQlRfQ0FQSVRBTC4xMDAwAQAAAKmoBQAC</t>
  </si>
  <si>
    <t>AAAACDEwNy41MjA1AQgAAAAFAAAAATEBAAAACy0xOTYxMjE4MDI0AwAAAAMxNjACAAAABDQxODYEAAAAATAHAAAACTEwLzYvMjAyNQgAAAAKMTIvMzEvMjAyNAkAAAABMAjElfrbBN4I8UFkTd4E3gghQ0lRLklRMjE4MzUuSVFfRUJJVERBX01BUkdJTi4yMDAwAQAAAEtVAAACAAAABzU1LjU2MDcBCAAAAAUAAAABMQEAAAALLTE5MzQyNDc3ODcDAAAAAzE2MAIAAAAENDA0NwQAAAABMAcAAAAJMTAvNi8yMDI1CAAAAAk2LzMwLzIwMjUJAAAAATAIxJX62wTeCHtlRhDcBN4IKENJUS5JUTEzNDA3NDAuSVFfVE9UQUxfREVCVF9DQVBJVEFMLjEwMDABAAAARHUUAAIAAAAHNjIuNzExNgEIAAAABQAAAAExAQAAAAstMTk1ODgxMjUwMAMAAAADMTYwAgAAAAQ0MTg2BAAAAAEwBwAAAAkxMC82LzIwMjUIAAAACjEyLzMxLzIwMjQJAAAAATAIxJX62wTeCN//Y03eBN4IIENJUS5JUTE3NzAzMS5JUV9RVUlDS19SQVRJTy4xMDAwAQAAAIezAgACAAAACDAuNzY4Njk2AQgAAAAFAAAAATEBAAAACy0xOTYxMjE1MjAwAwAAAAMxNjACAAAABDQxMjEEAAAAATAHAAAACTEwLzYvMjAyNQgAAAAKMTIvMzEvMjAyNAkAAAABMNqclfrbBN4I9vhiTd4E3gglQ0lRLklRMjI0MDU1MjgzLklRX1JFVFVSTl9FUVVJVFkuMjAwMAEAAADzz1oNAgAAAAgtMjYuNDE2NAEIAAAABQAAAAExAQAAAAstMTkzMjg3Mjk0MgMAAAADMTYwAgAA</t>
  </si>
  <si>
    <t>AAQ0MTI4BAAAAAEwBwAAAAkxMC82LzIwMjUIAAAACTYvMzAvMjAyNQkAAAABMAjElfrbBN4Ie2VGENwE3ggwQ0lRLklROTcxOTkuSVFfRVBTXzFZUl9BTk5fR1JPV1RILjIwMDAuMTAvMi8yMDI1AQAAAK97AQACAAAABzc3LjkxNDkBCAAAAAUAAAABMQEAAAALLTE5MzUxMzg0NzEDAAAAAzE2MAIAAAAENDIwMAQAAAABMAcAAAAJMTAvMi8yMDI1CAAAAAk2LzMwLzIwMjUJAAAAATAIxJX62wTeCCA9RhDcBN4IJkNJUS5JUTE1OTIzMC5JUV9UT1RBTF9ERUJUX0VRVUlUWS4xMDAwAQAAAP5tAgACAAAABzY5LjgyMTQBCAAAAAUAAAABMQEAAAALLTE5NjEyMDQxNjQDAAAAAzE2MAIAAAAENDAzNAQAAAABMAcAAAAJMTAvNi8yMDI1CAAAAAoxMi8zMS8yMDI0CQAAAAEwCMSV+tsE3gjaXGNN3gTeCCdDSVEuSVExMzQwNzQwLklRX1RPVEFMX0RFQlRfRUJJVERBLjEwMDABAAAARHUUAAIAAAAIMy4yNjgyNTUBCAAAAAUAAAABMQEAAAALLTE5NTg4MTI1MDADAAAAAzE2MAIAAAAENDE5MgQAAAABMAcAAAAJMTAvNi8yMDI1CAAAAAoxMi8zMS8yMDI0CQAAAAEwCMSV+tsE3ghLF2RN3gTeCCRDSVEuSVEyMDc2NTQ2My5JUV9SRVRVUk5fQVNTRVRTLjIwMDABAAAAF9s8AQIAAAAHMTguNDY1MQEIAAAABQAAAAExAQAAAAstMTkzNDA2MzY3OAMAAAADMTYwAgAAAAQ0MTc4BAAAAAEwBwAAAAkxMC82LzIwMjUIAAAACTYv</t>
  </si>
  <si>
    <t>MzAvMjAyNQkAAAABMAjElfrbBN4I0hVGENwE3gglQ0lRLklRMTM0MDc0MC5JUV9FRkZFQ1RfVEFYX1JBVEUuMTAwMAEAAABEdRQAAgAAAAcyMC40MjE0AQgAAAAFAAAAATEBAAAACy0xOTU4ODEyNTAwAwAAAAMxNjACAAAABDQzNzYEAAAAATAHAAAACTEwLzYvMjAyNQgAAAAKMTIvMzEvMjAyNAkAAAABMAjElfrbBN4I3/9jTd4E3gg2Q0lRLklRMjI3NTEuSVFfVE9UQUxfUkVWXzFZUl9BTk5fR1JPV1RILjIwMDAuMTAvMi8yMDI1AQAAAN9YAAACAAAABzEzLjU5MzYBCAAAAAUAAAABMQEAAAALLTE5MzM2OTM2MjADAAAAAzE2MAIAAAAENDE5NAQAAAABMAcAAAAJMTAvMi8yMDI1CAAAAAk2LzMwLzIwMjUJAAAAATAIxJX62wTeCFt5Z03eBN4IHUNJUS5JUTIxODM1LklRX1RPVEFMX1JFVi4xMDAwAQAAAEtVAAACAAAABjI4MTcyNAEIAAAABQAAAAExAQAAAAstMTkzNDI1NDIxNgMAAAADMTYwAgAAAAIyOAQAAAABMAcAAAAJMTAvNi8yMDI1CAAAAAk2LzMwLzIwMjUJAAAAATAIxJX62wTeCNIVRhDcBN4IJENJUS5JUTEzNDA3NDAuSVFfRElMVVRfRVBTX0lOQ0wuMTAwMAEAAABEdRQAAgAAAAQ4LjcxAQgAAAAFAAAAATEBAAAACy0xOTU4ODEyNTAwAwAAAAMxNjACAAAAATgEAAAAATAHAAAACTEwLzYvMjAyNQgAAAAKMTIvMzEvMjAyNAkAAAABMAjElfrbBN4IrkpmTd4E3ggfQ0lRLklRMTc3MDMxLklRX0VC</t>
  </si>
  <si>
    <t>SVREQV9JTlQuMTAwMAEAAACHswIAAgAAAAg5LjU1Njc5NQEIAAAABQAAAAExAQAAAAstMTk2MTIxNTIwMAMAAAADMTYwAgAAAAQ0MTkwBAAAAAEwBwAAAAkxMC82LzIwMjUIAAAACjEyLzMxLzIwMjQJAAAAATAIxJX62wTeCPb4Yk3eBN4IJkNJUS5JUTI4NTgyNy5JUV9UT1RBTF9ERUJUX0VCSVREQS4xMDAwAQAAAINcBAACAAAACDIuNDc0OTI0AQgAAAAFAAAAATEBAAAACy0xOTYxNzAwNjA2AwAAAAMxNjACAAAABDQxOTIEAAAAATAHAAAACTEwLzYvMjAyNQgAAAAKMTIvMzEvMjAyNAkAAAABMAjElfrbBN4IDXZmTd4E3ggeQ0lRLklRMjc4Njc5LklRX1RPVEFMX1JFVi4xMDAwAQAAAJdABAACAAAABjE1OTUxNAEIAAAABQAAAAExAQAAAAstMTk1NDc5NDczNwMAAAADMTYwAgAAAAIyOAQAAAABMAcAAAAJMTAvNi8yMDI1CAAAAAgyLzIvMjAyNQkAAAABMAjElfrbBN4IX+5FENwE3gglQ0lRLklRMjg1ODI3LklRX0VCSVREQV9DQVBFWF9JTlQuMTAwMAEAAACDXAQAAgAAAAg2LjcyNjgzMwEIAAAABQAAAAExAQAAAAstMTk2MTcwMDYwNgMAAAADMTYwAgAAAAQ0MTkxBAAAAAEwBwAAAAkxMC82LzIwMjUIAAAACjEyLzMxLzIwMjQJAAAAATAIxJX62wTeCA12Zk3eBN4IJUNJUS5JUTM3MDg1Ny5JUV9FQklUREFfQ0FQRVhfSU5ULjEwMDABAAAAqagFAAMAAAACTk0BCAAAAAUAAAABMQEAAAALLTE5NjEyMTgw</t>
  </si>
  <si>
    <t>MjQDAAAAAzE2MAIAAAAENDE5MQQAAAABMAcAAAAJMTAvNi8yMDI1CAAAAAoxMi8zMS8yMDI0CQAAAAEwCMSV+tsE3gjxQWRN3gTeCCVDSVEuSVEyMjQwNTUyODMuSVFfQ1VSUkVOVF9SQVRJTy4xMDAwAQAAAPPPWg0CAAAACDMuOTQ1NzcyAQgAAAAFAAAAATEBAAAACy0xOTYwOTkyNzU5AwAAAAMxNjACAAAABDQwMzAEAAAAATAHAAAACTEwLzYvMjAyNQgAAAAKMTIvMzEvMjAyNAkAAAABMDbvlfrbBN4IX+5FENwE3ggoQ0lRLklRMjA3NjU0NjMuSVFfVE9UQUxfREVCVF9FUVVJVFkuMTAwMAEAAAAX2zwBAgAAAAcyNy4yNTAyAQgAAAAFAAAAATEBAAAACy0xOTYxNDkxNzE4AwAAAAMxNjACAAAABDQwMzQEAAAAATAHAAAACTEwLzYvMjAyNQgAAAAKMTIvMzEvMjAyNAkAAAABMDbvlfrbBN4IX+5FENwE3ggdQ0lRLklRMjkwOTYuSVFfTklfTUFSR0lOLjIwMDABAAAAqHEAAAIAAAAHMzEuMTE4MgEIAAAABQAAAAExAQAAAAstMTkzNDkyODI2NwMAAAADMTYwAgAAAAQ0MDk0BAAAAAEwBwAAAAkxMC82LzIwMjUIAAAACTYvMzAvMjAyNQkAAAABMDbvlfrbBN4IX+5FENwE3ggiQ0lRLklRMzYzMjYzLklRX1JFVFVSTl9BU1NFVFMuMjAwMAEAAAD/igUAAgAAAAUzLjQ4NwEIAAAABQAAAAExAQAAAAstMTkzNDA3NDk2MQMAAAADMTYwAgAAAAQ0MTc4BAAAAAEwBwAAAAkxMC82LzIwMjUIAAAACTYvMzAvMjAyNQkA</t>
  </si>
  <si>
    <t>AAABMDbvlfrbBN4IEWNlTd4E3ggdQ0lRLklRMzYzMjYzLklRX0VCSVRfSU5ULjEwMDABAAAA/4oFAAIAAAABNwEIAAAABQAAAAExAQAAAAstMTk2MDczNDMyMAMAAAADMTYwAgAAAAQ0MTg5BAAAAAEwBwAAAAkxMC82LzIwMjUIAAAACjEyLzMxLzIwMjQJAAAAATA275X62wTeCBFjZU3eBN4II0NJUS5JUTI2OTIzMS5JUV9ESUxVVF9FUFNfSU5DTC4xMDAwAQAAAK8bBAACAAAACDMuNDI5NzU2AQgAAAAFAAAAATEBAAAACy0xOTY5NTE3MDEwAwAAAAMxNjACAAAAATgEAAAAATAHAAAACTEwLzYvMjAyNQgAAAAJOS8zMC8yMDI0CQAAAAEwNu+V+tsE3ghf7kUQ3ATeCCRDSVEuSVEyMjc1MS5JUV9FQklUREFfQ0FQRVhfSU5ULjEwMDABAAAA31gAAAIAAAAJMTAuNzkyODI0AQgAAAAFAAAAATEBAAAACy0xOTU4NTAyNjYyAwAAAAMxNjACAAAABDQxOTEEAAAAATAHAAAACTEwLzYvMjAyNQgAAAAKMTIvMzEvMjAyNAkAAAABMDbvlfrbBN4IATxlTd4E3gglQ0lRLklROTcxOTkuSVFfVE9UQUxfREVCVF9FQklUREEuMTAwMAEAAACvewEAAgAAAAgyLjUxNjg5NgEIAAAABQAAAAExAQAAAAstMTk2MTQ5Mzg0OAMAAAADMTYwAgAAAAQ0MTkyBAAAAAEwBwAAAAkxMC82LzIwMjUIAAAACjEyLzMxLzIwMjQJAAAAATA275X62wTeCBTHRRDcBN4IM0NJUS5JUTIwNzY1NDYzLklRX0VQU18xWVJfQU5OX0dST1dUSC4yMDAw</t>
  </si>
  <si>
    <t>LjEwLzIvMjAyNQEAAAAX2zwBAgAAAAc0MS4zNDI1AQgAAAAFAAAAATEBAAAACy0xOTM0MDYzNjc4AwAAAAMxNjACAAAABDQyMDAEAAAAATAHAAAACTEwLzIvMjAyNQgAAAAJNi8zMC8yMDI1CQAAAAEwNu+V+tsE3ggUx0UQ3ATeCCVDSVEuSVEyODkxOTQuSVFfRUJJVERBX0NBUEVYX0lOVC4xMDAwAQAAAKppBAACAAAACDMuNzgxNjk2AQgAAAAFAAAAATEBAAAACy0xOTYwOTM3OTc5AwAAAAMxNjACAAAABDQxOTEEAAAAATAHAAAACTEwLzYvMjAyNQgAAAAKMTIvMzEvMjAyNAkAAAABMDbvlfrbBN4ITcxmTd4E3ggjQ0lRLklRMjI0MDU1MjgzLklRX1FVSUNLX1JBVElPLjEwMDABAAAA889aDQIAAAAIMy43OTk0MTEBCAAAAAUAAAABMQEAAAALLTE5NjA5OTI3NTkDAAAAAzE2MAIAAAAENDEyMQQAAAABMAcAAAAJMTAvNi8yMDI1CAAAAAoxMi8zMS8yMDI0CQAAAAEwNu+V+tsE3ggUx0UQ3ATeCB5DSVEuSVEzNjMyNjMuSVFfVE9UQUxfUkVWLjEwMDABAAAA/4oFAAIAAAAFMTE1MzUBCAAAAAUAAAABMQEAAAALLTE5NjA3MzQzMjADAAAAAzE2MAIAAAACMjgEAAAAATAHAAAACTEwLzYvMjAyNQgAAAAKMTIvMzEvMjAyNAkAAAABMDbvlfrbBN4IpAJqTd4E3ggkQ0lRLklRMTc3MDMxLklRX0VGRkVDVF9UQVhfUkFURS4xMDAwAQAAAIezAgACAAAABzEyLjYyNDYBCAAAAAUAAAABMQEAAAALLTE5NjEyMTUyMDAD</t>
  </si>
  <si>
    <t>AAAAAzE2MAIAAAAENDM3NgQAAAABMAcAAAAJMTAvNi8yMDI1CAAAAAoxMi8zMS8yMDI0CQAAAAEwNu+V+tsE3gj2+GJN3gTeCCZDSVEuSVEyNzg2NzkuSVFfVE9UQUxfREVCVF9FQklUREEuMTAwMAEAAACXQAQAAgAAAAgyLjI5MjgzMgEIAAAABQAAAAExAQAAAAstMTk1NDc5NDczNwMAAAADMTYwAgAAAAQ0MTkyBAAAAAEwBwAAAAkxMC82LzIwMjUIAAAACDIvMi8yMDI1CQAAAAEwNu+V+tsE3ggUx0UQ3ATeCCVDSVEuSVEyMjc1MS5JUV9UT1RBTF9ERUJUX0VCSVREQS4xMDAwAQAAAN9YAAACAAAABzIuNzMyMzIBCAAAAAUAAAABMQEAAAALLTE5NTg1MDI2NjIDAAAAAzE2MAIAAAAENDE5MgQAAAABMAcAAAAJMTAvNi8yMDI1CAAAAAoxMi8zMS8yMDI0CQAAAAEwNu+V+tsE3ggBPGVN3gTeCB1DSVEuSVEyMTgzNS5JUV9OSV9NQVJHSU4uMjAwMAEAAABLVQAAAgAAAAYzNi4xNDYBCAAAAAUAAAABMQEAAAALLTE5MzQyNDc3ODcDAAAAAzE2MAIAAAAENDA5NAQAAAABMAcAAAAJMTAvNi8yMDI1CAAAAAk2LzMwLzIwMjUJAAAAATA275X62wTeCMifRRDcBN4IJENJUS5JUTI2OTIzMS5JUV9FRkZFQ1RfVEFYX1JBVEUuMTAwMAEAAACvGwQAAgAAAAcyMC41NDQ1AQgAAAAFAAAAATEBAAAACy0xOTY5NTE3MDEwAwAAAAMxNjACAAAABDQzNzYEAAAAATAHAAAACTEwLzYvMjAyNQgAAAAJOS8zMC8yMDI0CQAAAAEw</t>
  </si>
  <si>
    <t>OxqW+tsE3ggUx0UQ3ATeCCBDSVEuSVEyNjkyMzEuSVFfUVVJQ0tfUkFUSU8uMTAwMAEAAACvGwQAAgAAAAgxLjMyMjcwOQEIAAAABQAAAAExAQAAAAstMTk2OTUxNzAxMAMAAAADMTYwAgAAAAQ0MTIxBAAAAAEwBwAAAAkxMC82LzIwMjUIAAAACTkvMzAvMjAyNAkAAAABMDsalvrbBN4IyJ9FENwE3ggmQ0lRLklRMzYzMjYzLklRX1RPVEFMX0RFQlRfRUJJVERBLjEwMDABAAAA/4oFAAIAAAAIMy4wNzQ2NjYBCAAAAAUAAAABMQEAAAALLTE5NjA3MzQzMjADAAAAAzE2MAIAAAAENDE5MgQAAAABMAcAAAAJMTAvNi8yMDI1CAAAAAoxMi8zMS8yMDI0CQAAAAEwOxqW+tsE3ggRY2VN3gTeCCNDSVEuSVEyNzg2NzkuSVFfRElMVVRfRVBTX0lOQ0wuMTAwMAEAAACXQAQAAgAAAAUxNC45MQEIAAAABQAAAAExAQAAAAstMTk1NDc5NDczNwMAAAADMTYwAgAAAAE4BAAAAAEwBwAAAAkxMC82LzIwMjUIAAAACDIvMi8yMDI1CQAAAAEwOxqW+tsE3gjIn0UQ3ATeCB9DSVEuSVEyODkxOTQuSVFfRUJJVERBX0lOVC4xMDAwAQAAAKppBAACAAAACDQuNzczMjk5AQgAAAAFAAAAATEBAAAACy0xOTYwOTM3OTc5AwAAAAMxNjACAAAABDQxOTAEAAAAATAHAAAACTEwLzYvMjAyNQgAAAAKMTIvMzEvMjAyNAkAAAABMDsalvrbBN4ITcxmTd4E3ggeQ0lRLklROTcxOTkuSVFfRUJJVERBX0lOVC4xMDAwAQAAAK97AQACAAAACTEx</t>
  </si>
  <si>
    <t>Ljc2OTcyNgEIAAAABQAAAAExAQAAAAstMTk2MTQ5Mzg0OAMAAAADMTYwAgAAAAQ0MTkwBAAAAAEwBwAAAAkxMC82LzIwMjUIAAAACjEyLzMxLzIwMjQJAAAAATA7Gpb62wTeCMifRRDcBN4IIkNJUS5JUTE3NzAzMS5JUV9SRVRVUk5fQVNTRVRTLjIwMDABAAAAh7MCAAIAAAAGNC42MDgxAQgAAAAFAAAAATEBAAAACy0xOTM1MjcxMzUyAwAAAAMxNjACAAAABDQxNzgEAAAAATAHAAAACTEwLzYvMjAyNQgAAAAJNi8zMC8yMDI1CQAAAAEwOxqW+tsE3gi+LmNN3gTeCCBDSVEuSVEyMDc2NTQ2My5JUV9UT1RBTF9SRVYuMTAwMAEAAAAX2zwBAgAAAAYxNjQ1MDEBCAAAAAUAAAABMQEAAAALLTE5NjE0OTE3MTgDAAAAAzE2MAIAAAACMjgEAAAAATAHAAAACTEwLzYvMjAyNQgAAAAKMTIvMzEvMjAyNAkAAAABMDsalvrbBN4IyJ9FENwE3ggkQ0lRLklRMjA3NjU0NjMuSVFfRUJJVERBX01BUkdJTi4yMDAwAQAAABfbPAECAAAABzUyLjcyODEBCAAAAAUAAAABMQEAAAALLTE5MzQwNjM2NzgDAAAAAzE2MAIAAAAENDA0NwQAAAABMAcAAAAJMTAvNi8yMDI1CAAAAAk2LzMwLzIwMjUJAAAAATA7Gpb62wTeCHh4RRDcBN4II0NJUS5JUTI4OTE5NC5JUV9ESUxVVF9FUFNfSU5DTC4xMDAwAQAAAKppBAACAAAACDcuNTU2ODg2AQgAAAAFAAAAATEBAAAACy0xOTYwOTM3OTc5AwAAAAMxNjACAAAAATgEAAAAATAHAAAACTEw</t>
  </si>
  <si>
    <t>LzYvMjAyNQgAAAAKMTIvMzEvMjAyNAkAAAABMDsalvrbBN4IMfhmTd4E3ggxQ0lRLklRMTc3MDMxLklRX0VQU18xWVJfQU5OX0dST1dUSC4yMDAwLjEwLzIvMjAyNQEAAACHswIAAgAAAAY3My4zMjUBCAAAAAUAAAABMQEAAAALLTE5MzUyNzEzNTIDAAAAAzE2MAIAAAAENDIwMAQAAAABMAcAAAAJMTAvMi8yMDI1CAAAAAk2LzMwLzIwMjUJAAAAATA7Gpb62wTeCFXYY03eBN4IOUNJUS5JUTIwNzY1NDYzLklRX1RPVEFMX1JFVl8xWVJfQU5OX0dST1dUSC4yMDAwLjEwLzIvMjAyNQEAAAAX2zwBAgAAAAcxOS4zNzQ1AQgAAAAFAAAAATEBAAAACy0xOTM0MDYzNjc4AwAAAAMxNjACAAAABDQxOTQEAAAAATAHAAAACTEwLzIvMjAyNQgAAAAJNi8zMC8yMDI1CQAAAAEwOxqW+tsE3ghwUEUQ3ATeCB5DSVEuSVExMzQwNzQwLklRX0VCSVRfSU5ULjEwMDABAAAARHUUAAIAAAAINy43OTc3MzEBCAAAAAUAAAABMQEAAAALLTE5NTg4MTI1MDADAAAAAzE2MAIAAAAENDE4OQQAAAABMAcAAAAJMTAvNi8yMDI1CAAAAAoxMi8zMS8yMDI0CQAAAAEwOxqW+tsE3ghLF2RN3gTeCCJDSVEuSVEzNjMyNjMuSVFfRUJJVERBX01BUkdJTi4yMDAwAQAAAP+KBQACAAAABjguNDc5NQEIAAAABQAAAAExAQAAAAstMTkzNDA3NDk2MQMAAAADMTYwAgAAAAQ0MDQ3BAAAAAEwBwAAAAkxMC82LzIwMjUIAAAACTYvMzAvMjAyNQkAAAAB</t>
  </si>
  <si>
    <t>MDsalvrbBN4IpAJqTd4E3ggiQ0lRLklRMjg5MTk0LklRX0VCSVREQV9NQVJHSU4uMjAwMAEAAACqaQQAAgAAAAcyMy41NTQ5AQgAAAAFAAAAATEBAAAACy0xOTM1MzQ3NTQ2AwAAAAMxNjACAAAABDQwNDcEAAAAATAHAAAACTEwLzYvMjAyNQgAAAAJNi8zMC8yMDI1CQAAAAEwOxqW+tsE3ggx+GZN3gTeCCRDSVEuSVEyMDc2NTQ2My5JUV9DVVJSRU5UX1JBVElPLjEwMDABAAAAF9s8AQIAAAAIMi45Nzc4ODQBCAAAAAUAAAABMQEAAAALLTE5NjE0OTE3MTgDAAAAAzE2MAIAAAAENDAzMAQAAAABMAcAAAAJMTAvNi8yMDI1CAAAAAoxMi8zMS8yMDI0CQAAAAEwOxqW+tsE3ghwUEUQ3ATeCCZDSVEuSVEyNjkyMzEuSVFfVE9UQUxfREVCVF9FQklUREEuMTAwMAEAAACvGwQAAgAAAAgxLjcxOTY5NQEIAAAABQAAAAExAQAAAAstMTk2OTUxNzAxMAMAAAADMTYwAgAAAAQ0MTkyBAAAAAEwBwAAAAkxMC82LzIwMjUIAAAACTkvMzAvMjAyNAkAAAABMDsalvrbBN4IcFBFENwE3ggmQ0lRLklRMjc4Njc5LklRX1RPVEFMX0RFQlRfRVFVSVRZLjEwMDABAAAAl0AEAAIAAAAIOTUwLjA3NTMBCAAAAAUAAAABMQEAAAALLTE5NTQ3OTQ3MzcDAAAAAzE2MAIAAAAENDAzNAQAAAABMAcAAAAJMTAvNi8yMDI1CAAAAAgyLzIvMjAyNQkAAAABMDsalvrbBN4IcFBFENwE3ggiQ0lRLklRMzYzMjYzLklRX0NVUlJFTlRfUkFUSU8u</t>
  </si>
  <si>
    <t>MTAwMAEAAAD/igUAAgAAAAgxLjA3OTIzNwEIAAAABQAAAAExAQAAAAstMTk2MDczNDMyMAMAAAADMTYwAgAAAAQ0MDMwBAAAAAEwBwAAAAkxMC82LzIwMjUIAAAACjEyLzMxLzIwMjQJAAAAATA7Gpb62wTeCBFjZU3eBN4II0NJUS5JUTI4NTgyNy5JUV9ESUxVVF9FUFNfSU5DTC4xMDAwAQAAAINcBAACAAAABTIyLjMxAQgAAAAFAAAAATEBAAAACy0xOTYxNzAwNjA2AwAAAAMxNjACAAAAATgEAAAAATAHAAAACTEwLzYvMjAyNQgAAAAKMTIvMzEvMjAyNAkAAAABMDsalvrbBN4I2JdkTd4E3ggxQ0lRLklRMjY5MjMxLklRX0VQU18xWVJfQU5OX0dST1dUSC4yMDAwLjEwLzIvMjAyNQEAAACvGwQAAgAAAAcyMS40NjM0AQgAAAAFAAAAATEBAAAACy0xOTMzMTI2Nzg3AwAAAAMxNjACAAAABDQyMDAEAAAAATAHAAAACTEwLzIvMjAyNQgAAAAJNi8zMC8yMDI1CQAAAAEwOxqW+tsE3ggLKUUQ3ATeCB9DSVEuSVExNTkyMzAuSVFfRUJJVERBX0lOVC4xMDAwAQAAAP5tAgACAAAACDYuNzI2Mzk1AQgAAAAFAAAAATEBAAAACy0xOTYxMjA0MTY0AwAAAAMxNjACAAAABDQxOTAEAAAAATAHAAAACTEwLzYvMjAyNQgAAAAKMTIvMzEvMjAyNAkAAAABMDsalvrbBN4I2lxjTd4E3gg4Q0lRLklRMTM0MDc0MC5JUV9UT1RBTF9SRVZfMVlSX0FOTl9HUk9XVEguMjAwMC4xMC8yLzIwMjUBAAAARHUUAAIAAAAGNy4xMTQxAQgA</t>
  </si>
  <si>
    <t>AAAFAAAAATEBAAAACy0xOTM0ODc5ODQ2AwAAAAMxNjACAAAABDQxOTQEAAAAATAHAAAACTEwLzIvMjAyNQgAAAAJNi8zMC8yMDI1CQAAAAEwOxqW+tsE3giuSmZN3gTeCBxDSVEuSVEyOTA5Ni5JUV9FQklUX0lOVC4xMDAwAQAAAKhxAAACAAAACjQyNi4wNjcxNjQBCAAAAAUAAAABMQEAAAALLTE5NjA5OTI3MDADAAAAAzE2MAIAAAAENDE4OQQAAAABMAcAAAAJMTAvNi8yMDI1CAAAAAoxMi8zMS8yMDI0CQAAAAEwOxqW+tsE3ggLKUUQ3ATeCDFDSVEuSVEyODU4MjcuSVFfRVBTXzFZUl9BTk5fR1JPV1RILjIwMDAuMTAvMi8yMDI1AQAAAINcBAACAAAACC0zNS40NzE4AQgAAAAFAAAAATEBAAAACy0xOTM1MDczNDUzAwAAAAMxNjACAAAABDQyMDAEAAAAATAHAAAACTEwLzIvMjAyNQgAAAAJNi8yOS8yMDI1CQAAAAEwOxqW+tsE3gjYl2RN3gTeCB5DSVEuSVEzNzA4NTcuSVFfTklfTUFSR0lOLjIwMDABAAAAqagFAAIAAAAILTE0LjE4MjEBCAAAAAUAAAABMQEAAAALLTE5MzQ0MDc3MDQDAAAAAzE2MAIAAAAENDA5NAQAAAABMAcAAAAJMTAvNi8yMDI1CAAAAAk2LzMwLzIwMjUJAAAAATA7Gpb62wTeCCG/ZE3eBN4IHkNJUS4zMzA0LklRX0VWX09WRVJfTFRNX0VCSVREQQUAAAAAAAAACAAAABQoSW52YWxpZCBJZGVudGlmaWVyKQjElfrbBN4IPt5LENwE3gglQ0lRLklRMjI0MDU1MjgzLklRX0VCSVREQV9N</t>
  </si>
  <si>
    <t>QVJHSU4uMjAwMAEAAADzz1oNAgAAAActOC44Nzk3AQgAAAAFAAAAATEBAAAACy0xOTMyODcyOTQyAwAAAAMxNjACAAAABDQwNDcEAAAAATAHAAAACTEwLzYvMjAyNQgAAAAJNi8zMC8yMDI1CQAAAAEwOxqW+tsE3giEAUUQ3ATeCCJDSVEuSVEyODU4MjcuSVFfUkVUVVJOX0FTU0VUUy4yMDAwAQAAAINcBAACAAAABjYuNDY2OAEIAAAABQAAAAExAQAAAAstMTkzNTA3MzQ1MwMAAAADMTYwAgAAAAQ0MTc4BAAAAAEwBwAAAAkxMC82LzIwMjUIAAAACTYvMjkvMjAyNQkAAAABMDsalvrbBN4IDXZmTd4E3ggmQ0lRLklRMTM0MDc0MC5JUV9FQklUREFfQ0FQRVhfSU5ULjEwMDABAAAARHUUAAIAAAAIOC4yMTkyODEBCAAAAAUAAAABMQEAAAALLTE5NTg4MTI1MDADAAAAAzE2MAIAAAAENDE5MQQAAAABMAcAAAAJMTAvNi8yMDI1CAAAAAoxMi8zMS8yMDI0CQAAAAEwOxqW+tsE3ghLF2RN3gTeCCdDSVEuSVExNzcwMzEuSVFfVE9UQUxfREVCVF9DQVBJVEFMLjEwMDABAAAAh7MCAAIAAAAHNTEuMDE3NwEIAAAABQAAAAExAQAAAAstMTk2MTIxNTIwMAMAAAADMTYwAgAAAAQ0MTg2BAAAAAEwBwAAAAkxMC82LzIwMjUIAAAACjEyLzMxLzIwMjQJAAAAATA7Gpb62wTeCL4uY03eBN4IIkNJUS5JUTI4OTE5NC5JUV9DVVJSRU5UX1JBVElPLjEwMDABAAAAqmkEAAIAAAAIMS40MTExNTgBCAAAAAUAAAABMQEAAAALLTE5</t>
  </si>
  <si>
    <t>NjA5Mzc5NzkDAAAAAzE2MAIAAAAENDAzMAQAAAABMAcAAAAJMTAvNi8yMDI1CAAAAAoxMi8zMS8yMDI0CQAAAAEwOxqW+tsE3ghNzGZN3gTeCCFDSVEuSVEyOTA5Ni5JUV9SRVRVUk5fQVNTRVRTLjIwMDABAAAAqHEAAAIAAAAHMTYuNzkyNAEIAAAABQAAAAExAQAAAAstMTkzNDkyODI2NwMAAAADMTYwAgAAAAQ0MTc4BAAAAAEwBwAAAAkxMC82LzIwMjUIAAAACTYvMzAvMjAyNQkAAAABMDsalvrbBN4IhAFFENwE3ggfQ0lRLklRMjA3NjU0NjMuSVFfT1BFUl9JTkMuMjAwMAEAAAAX2zwBAgAAAAU3NzU1MQEIAAAABQAAAAExAQAAAAstMTkzNDA2MzY3OAMAAAADMTYwAgAAAAIyMQQAAAABMAcAAAAJMTAvNi8yMDI1CAAAAAk2LzMwLzIwMjUJAAAAATA7Gpb62wTeCDCeSRDcBN4IIUNJUS5JUTIwNzY1NDYzLklRX1RPVEFMX0RFQlQuMjAwMAEAAAAX2zwBAgAAAAU0OTU2MAEIAAAABQAAAAExAQAAAAstMTkzNDA2MzY3OAMAAAADMTYwAgAAAAQ0MTczBAAAAAEwBwAAAAkxMC82LzIwMjUIAAAACTYvMzAvMjAyNQkAAAABMDsalvrbBN4IMJ5JENwE3ggjQ0lRLklRMjA3NjU0NjMuSVFfVE9UQUxfRVFVSVRZLjIwMDABAAAAF9s8AQIAAAAGMTk1MDcwAQgAAAAFAAAAATEBAAAACy0xOTM0MDYzNjc4AwAAAAMxNjACAAAABDEyNzUEAAAAATAHAAAACTEwLzYvMjAyNQgAAAAJNi8zMC8yMDI1CQAAAAEwOxqW+tsE</t>
  </si>
  <si>
    <t>3ggwnkkQ3ATeCCFDSVEuSVEyMDc2NTQ2My5JUV9DQVNIX0VRVUlWLjIwMDABAAAAF9s8AQIAAAAFMTIwMDUBCAAAAAUAAAABMQEAAAALLTE5MzQwNjM2NzgDAAAAAzE2MAIAAAAEMTA5NgQAAAABMAcAAAAJMTAvNi8yMDI1CAAAAAk2LzMwLzIwMjUJAAAAATA7Gpb62wTeCDCeSRDcBN4IHUNJUS5JUTI2OTIzMS5JUV9PUEVSX0lOQy4yMDAwAQAAAK8bBAACAAAABDM0MjABCAAAAAUAAAABMQEAAAALLTE5MzMxMjY3ODcDAAAAAzE2MAIAAAACMjEEAAAAATAHAAAACTEwLzYvMjAyNQgAAAAJNi8zMC8yMDI1CQAAAAEwOxqW+tsE3ggUx0UQ3ATeCB9DSVEuSVEyNjkyMzEuSVFfVE9UQUxfREVCVC4yMDAwAQAAAK8bBAACAAAABTE0ODY5AQgAAAAFAAAAATEBAAAACy0xOTMzMTI2Nzg3AwAAAAMxNjACAAAABDQxNzMEAAAAATAHAAAACTEwLzYvMjAyNQgAAAAJNi8zMC8yMDI1CQAAAAEwOxqW+tsE3ggUx0UQ3ATeCCFDSVEuSVEyNjkyMzEuSVFfVE9UQUxfRVFVSVRZLjIwMDABAAAArxsEAAIAAAAFMTk4ODYBCAAAAAUAAAABMQEAAAALLTE5MzMxMjY3ODcDAAAAAzE2MAIAAAAEMTI3NQQAAAABMAcAAAAJMTAvNi8yMDI1CAAAAAk2LzMwLzIwMjUJAAAAATA7Gpb62wTeCBTHRRDcBN4IH0NJUS5JUTI2OTIzMS5JUV9DQVNIX0VRVUlWLjIwMDABAAAArxsEAAIAAAAEMjIxOQEIAAAABQAAAAExAQAAAAstMTkzMzEy</t>
  </si>
  <si>
    <t>Njc4NwMAAAADMTYwAgAAAAQxMDk2BAAAAAEwBwAAAAkxMC82LzIwMjUIAAAACTYvMzAvMjAyNQkAAAABMDsalvrbBN4IFMdFENwE3ggdQ0lRLklRMjg5MTk0LklRX09QRVJfSU5DLjIwMDABAAAAqmkEAAIAAAAENDc2NgEIAAAABQAAAAExAQAAAAstMTkzNTM0NzU0NgMAAAADMTYwAgAAAAIyMQQAAAABMAcAAAAJMTAvNi8yMDI1CAAAAAk2LzMwLzIwMjUJAAAAATA7Gpb62wTeCBWhZk3eBN4IH0NJUS5JUTI4OTE5NC5JUV9UT1RBTF9ERUJULjIwMDABAAAAqmkEAAIAAAAFMTM3ODIBCAAAAAUAAAABMQEAAAALLTE5MzUzNDc1NDYDAAAAAzE2MAIAAAAENDE3MwQAAAABMAcAAAAJMTAvNi8yMDI1CAAAAAk2LzMwLzIwMjUJAAAAATA7Gpb62wTeCBWhZk3eBN4IIUNJUS5JUTI4OTE5NC5JUV9UT1RBTF9FUVVJVFkuMjAwMAEAAACqaQQAAgAAAAQ0MzUxAQgAAAAFAAAAATEBAAAACy0xOTM1MzQ3NTQ2AwAAAAMxNjACAAAABDEyNzUEAAAAATAHAAAACTEwLzYvMjAyNQgAAAAJNi8zMC8yMDI1CQAAAAEwOxqW+tsE3ggVoWZN3gTeCB9DSVEuSVEyODkxOTQuSVFfQ0FTSF9FUVVJVi4yMDAwAQAAAKppBAACAAAABDM3MTIBCAAAAAUAAAABMQEAAAALLTE5MzUzNDc1NDYDAAAAAzE2MAIAAAAEMTA5NgQAAAABMAcAAAAJMTAvNi8yMDI1CAAAAAk2LzMwLzIwMjUJAAAAATA7Gpb62wTeCBWhZk3eBN4IHUNJUS5JUTE3</t>
  </si>
  <si>
    <t>NzAzMS5JUV9PUEVSX0lOQy4yMDAwAQAAAIezAgACAAAABDkxNTkBCAAAAAUAAAABMQEAAAALLTE5MzUyNzEzNTIDAAAAAzE2MAIAAAACMjEEAAAAATAHAAAACTEwLzYvMjAyNQgAAAAJNi8zMC8yMDI1CQAAAAEwOxqW+tsE3gj2+GJN3gTeCB9DSVEuSVExNzcwMzEuSVFfVE9UQUxfREVCVC4yMDAwAQAAAIezAgACAAAABTE5OTk3AQgAAAAFAAAAATEBAAAACy0xOTM1MjcxMzUyAwAAAAMxNjACAAAABDQxNzMEAAAAATAHAAAACTEwLzYvMjAyNQgAAAAJNi8zMC8yMDI1CQAAAAEwOxqW+tsE3gi+LmNN3gTeCCFDSVEuSVExNzcwMzEuSVFfVE9UQUxfRVFVSVRZLjIwMDABAAAAh7MCAAIAAAAFMTkzNDUBCAAAAAUAAAABMQEAAAALLTE5MzUyNzEzNTIDAAAAAzE2MAIAAAAEMTI3NQQAAAABMAcAAAAJMTAvNi8yMDI1CAAAAAk2LzMwLzIwMjUJAAAAATA7Gpb62wTeCL4uY03eBN4IH0NJUS5JUTE3NzAzMS5JUV9DQVNIX0VRVUlWLjIwMDABAAAAh7MCAAIAAAAFMTA0NjEBCAAAAAUAAAABMQEAAAALLTE5MzUyNzEzNTIDAAAAAzE2MAIAAAAEMTA5NgQAAAABMAcAAAAJMTAvNi8yMDI1CAAAAAk2LzMwLzIwMjUJAAAAATA7Gpb62wTeCL4uY03eBN4IHUNJUS5JUTE4MDg3MS5JUV9PUEVSX0lOQy4yMDAwAQAAAIfCAgACAAAABTEwNDY0AQgAAAAFAAAAATEBAAAACy0xOTI3MTI3MDgwAwAAAAMxNjACAAAAAjIxBAAA</t>
  </si>
  <si>
    <t>AAEwBwAAAAkxMC82LzIwMjUIAAAACDgvMS8yMDI1CQAAAAEwOxqW+tsE3gj1aUoQ3ATeCB9DSVEuSVExODA4NzEuSVFfVE9UQUxfREVCVC4yMDAwAQAAAIfCAgACAAAABTM5MDkwAQgAAAAFAAAAATEBAAAACy0xOTI3MTI3MDgwAwAAAAMxNjACAAAABDQxNzMEAAAAATAHAAAACTEwLzYvMjAyNQgAAAAIOC8xLzIwMjUJAAAAATA7Gpb62wTeCPVpShDcBN4IIUNJUS5JUTE4MDg3MS5JUV9UT1RBTF9FUVVJVFkuMjAwMAEAAACHwgIAAgAAAAYtMTE0MDABCAAAAAUAAAABMQEAAAALLTE5MjcxMjcwODADAAAAAzE2MAIAAAAEMTI3NQQAAAABMAcAAAAJMTAvNi8yMDI1CAAAAAg4LzEvMjAyNQkAAAABMDsalvrbBN4I9WlKENwE3ggfQ0lRLklRMTgwODcxLklRX0NBU0hfRVFVSVYuMjAwMAEAAACHwgIAAgAAAAQ0ODYwAQgAAAAFAAAAATEBAAAACy0xOTI3MTI3MDgwAwAAAAMxNjACAAAABDEwOTYEAAAAATAHAAAACTEwLzYvMjAyNQgAAAAIOC8xLzIwMjUJAAAAATA7Gpb62wTeCPVpShDcBN4IHENJUS5JUTk3MTk5LklRX09QRVJfSU5DLjIwMDABAAAAr3sBAAIAAAAENTAwNwEIAAAABQAAAAExAQAAAAstMTkzNTEzODQ3MQMAAAADMTYwAgAAAAIyMQQAAAABMAcAAAAJMTAvNi8yMDI1CAAAAAk2LzMwLzIwMjUJAAAAATA7Gpb62wTeCN+RShDcBN4IHkNJUS5JUTk3MTk5LklRX1RPVEFMX0RFQlQuMjAwMAEAAACv</t>
  </si>
  <si>
    <t>ewEAAgAAAAUxODA4NgEIAAAABQAAAAExAQAAAAstMTkzNTEzODQ3MQMAAAADMTYwAgAAAAQ0MTczBAAAAAEwBwAAAAkxMC82LzIwMjUIAAAACTYvMzAvMjAyNQkAAAABMDsalvrbBN4I35FKENwE3gggQ0lRLklROTcxOTkuSVFfVE9UQUxfRVFVSVRZLjIwMDABAAAAr3sBAAIAAAAFMTU0NzEBCAAAAAUAAAABMQEAAAALLTE5MzUxMzg0NzEDAAAAAzE2MAIAAAAEMTI3NQQAAAABMAcAAAAJMTAvNi8yMDI1CAAAAAk2LzMwLzIwMjUJAAAAATA7Gpb62wTeCN+RShDcBN4IHkNJUS5JUTk3MTk5LklRX0NBU0hfRVFVSVYuMjAwMAEAAACvewEAAgAAAAQxODk5AQgAAAAFAAAAATEBAAAACy0xOTM1MTM4NDcxAwAAAAMxNjACAAAABDEwOTYEAAAAATAHAAAACTEwLzYvMjAyNQgAAAAJNi8zMC8yMDI1CQAAAAEwOxqW+tsE3gjfkUoQ3ATeCB1DSVEuSVEyNzg2NzkuSVFfT1BFUl9JTkMuMjAwMAEAAACXQAQAAgAAAAUyMTYwMQEIAAAABQAAAAExAQAAAAstMTkyODE2NDk0OQMAAAADMTYwAgAAAAIyMQQAAAABMAcAAAAJMTAvNi8yMDI1CAAAAAg4LzMvMjAyNQkAAAABMDsalvrbBN4IvNlHENwE3ggfQ0lRLklRMjc4Njc5LklRX1RPVEFMX0RFQlQuMjAwMAEAAACXQAQAAgAAAAU2MTkyMAEIAAAABQAAAAExAQAAAAstMTkyODE2NDk0OQMAAAADMTYwAgAAAAQ0MTczBAAAAAEwBwAAAAkxMC82LzIwMjUIAAAACDgvMy8y</t>
  </si>
  <si>
    <t>MDI1CQAAAAEwOxqW+tsE3gimAkgQ3ATeCCFDSVEuSVEyNzg2NzkuSVFfVE9UQUxfRVFVSVRZLjIwMDABAAAAl0AEAAIAAAAFMTA2NjUBCAAAAAUAAAABMQEAAAALLTE5MjgxNjQ5NDkDAAAAAzE2MAIAAAAEMTI3NQQAAAABMAcAAAAJMTAvNi8yMDI1CAAAAAg4LzMvMjAyNQkAAAABMDsalvrbBN4IpgJIENwE3ggfQ0lRLklRMjc4Njc5LklRX0NBU0hfRVFVSVYuMjAwMAEAAACXQAQAAgAAAAQyODA0AQgAAAAFAAAAATEBAAAACy0xOTI4MTY0OTQ5AwAAAAMxNjACAAAABDEwOTYEAAAAATAHAAAACTEwLzYvMjAyNQgAAAAIOC8zLzIwMjUJAAAAATA7Gpb62wTeCKYCSBDcBN4IHENJUS5JUTIyNzUxLklRX09QRVJfSU5DLjIwMDABAAAA31gAAAIAAAAGMjA5NS40AQgAAAAFAAAAATEBAAAACy0xOTMzNjkzNjIwAwAAAAMxNjACAAAAAjIxBAAAAAEwBwAAAAkxMC82LzIwMjUIAAAACTYvMzAvMjAyNQkAAAABMDsalvrbBN4IuhRlTd4E3ggeQ0lRLklRMjI3NTEuSVFfVE9UQUxfREVCVC4yMDAwAQAAAN9YAAACAAAABDg4NTkBCAAAAAUAAAABMQEAAAALLTE5MzM2OTM2MjADAAAAAzE2MAIAAAAENDE3MwQAAAABMAcAAAAJMTAvNi8yMDI1CAAAAAk2LzMwLzIwMjUJAAAAATA7Gpb62wTeCLoUZU3eBN4IIENJUS5JUTIyNzUxLklRX1RPVEFMX0VRVUlUWS4yMDAwAQAAAN9YAAACAAAABzE5NjMzLjkBCAAAAAUAAAAB</t>
  </si>
  <si>
    <t>MQEAAAALLTE5MzM2OTM2MjADAAAAAzE2MAIAAAAEMTI3NQQAAAABMAcAAAAJMTAvNi8yMDI1CAAAAAk2LzMwLzIwMjUJAAAAATA7Gpb62wTeCLoUZU3eBN4IHkNJUS5JUTIyNzUxLklRX0NBU0hfRVFVSVYuMjAwMAEAAADfWAAAAgAAAAUyNDIuNAEIAAAABQAAAAExAQAAAAstMTkzMzY5MzYyMAMAAAADMTYwAgAAAAQxMDk2BAAAAAEwBwAAAAkxMC82LzIwMjUIAAAACTYvMzAvMjAyNQkAAAABMDsalvrbBN4IATxlTd4E3gggQ0lRLklRMjI0MDU1MjgzLklRX09QRVJfSU5DLjIwMDABAAAA889aDQIAAAAILTY1My42MDkBCAAAAAUAAAABMQEAAAALLTE5MzI4NzI5NDIDAAAAAzE2MAIAAAACMjEEAAAAATAHAAAACTEwLzYvMjAyNQgAAAAJNi8zMC8yMDI1CQAAAAEwOxqW+tsE3gj1uUoQ3ATeCCJDSVEuSVEyMjQwNTUyODMuSVFfVE9UQUxfREVCVC4yMDAwAQAAAPPPWg0CAAAACDQxOTEuOTk1AQgAAAAFAAAAATEBAAAACy0xOTMyODcyOTQyAwAAAAMxNjACAAAABDQxNzMEAAAAATAHAAAACTEwLzYvMjAyNQgAAAAJNi8zMC8yMDI1CQAAAAEwOxqW+tsE3gj1uUoQ3ATeCCRDSVEuSVEyMjQwNTUyODMuSVFfVE9UQUxfRVFVSVRZLjIwMDABAAAA889aDQIAAAAIMjA2OS4zNTcBCAAAAAUAAAABMQEAAAALLTE5MzI4NzI5NDIDAAAAAzE2MAIAAAAEMTI3NQQAAAABMAcAAAAJMTAvNi8yMDI1CAAAAAk2LzMwLzIw</t>
  </si>
  <si>
    <t>MjUJAAAAATA7Gpb62wTeCPW5ShDcBN4IIkNJUS5JUTIyNDA1NTI4My5JUV9DQVNIX0VRVUlWLjIwMDABAAAA889aDQIAAAAHOTI1Ljk3MwEIAAAABQAAAAExAQAAAAstMTkzMjg3Mjk0MgMAAAADMTYwAgAAAAQxMDk2BAAAAAEwBwAAAAkxMC82LzIwMjUIAAAACTYvMzAvMjAyNQkAAAABMDsalvrbBN4I9blKENwE3ggcQ0lRLklRMjkwOTYuSVFfT1BFUl9JTkMuMjAwMAEAAACocQAAAgAAAAYxMjMxNjYBCAAAAAUAAAABMQEAAAALLTE5MzQ5MjgyNjcDAAAAAzE2MAIAAAACMjEEAAAAATAHAAAACTEwLzYvMjAyNQgAAAAJNi8zMC8yMDI1CQAAAAEwOxqW+tsE3giOOEcQ3ATeCB5DSVEuSVEyOTA5Ni5JUV9UT1RBTF9ERUJULjIwMDABAAAAqHEAAAIAAAAFNDE2NjgBCAAAAAUAAAABMQEAAAALLTE5MzQ5MjgyNjcDAAAAAzE2MAIAAAAENDE3MwQAAAABMAcAAAAJMTAvNi8yMDI1CAAAAAk2LzMwLzIwMjUJAAAAATA7Gpb62wTeCI44RxDcBN4IIENJUS5JUTI5MDk2LklRX1RPVEFMX0VRVUlUWS4yMDAwAQAAAKhxAAACAAAABjM2MjkxNgEIAAAABQAAAAExAQAAAAstMTkzNDkyODI2NwMAAAADMTYwAgAAAAQxMjc1BAAAAAEwBwAAAAkxMC82LzIwMjUIAAAACTYvMzAvMjAyNQkAAAABMDsalvrbBN4IjjhHENwE3ggeQ0lRLklRMjkwOTYuSVFfQ0FTSF9FUVVJVi4yMDAwAQAAAKhxAAACAAAABTIxMDM2AQgAAAAF</t>
  </si>
  <si>
    <t>AAAAATEBAAAACy0xOTM0OTI4MjY3AwAAAAMxNjACAAAABDEwOTYEAAAAATAHAAAACTEwLzYvMjAyNQgAAAAJNi8zMC8yMDI1CQAAAAEwOxqW+tsE3giOOEcQ3ATeCB5DSVEuSVExMzQwNzQwLklRX09QRVJfSU5DLjIwMDABAAAARHUUAAIAAAAEODQ0NwEIAAAABQAAAAExAQAAAAstMTkzNDg3OTg0NgMAAAADMTYwAgAAAAIyMQQAAAABMAcAAAAJMTAvNi8yMDI1CAAAAAk2LzMwLzIwMjUJAAAAATA7Gpb62wTeCN//Y03eBN4IIENJUS5JUTEzNDA3NDAuSVFfVE9UQUxfREVCVC4yMDAwAQAAAER1FAACAAAABTM3NjQ4AQgAAAAFAAAAATEBAAAACy0xOTM0ODc5ODQ2AwAAAAMxNjACAAAABDQxNzMEAAAAATAHAAAACTEwLzYvMjAyNQgAAAAJNi8zMC8yMDI1CQAAAAEwOxqW+tsE3gjf/2NN3gTeCCJDSVEuSVExMzQwNzQwLklRX1RPVEFMX0VRVUlUWS4yMDAwAQAAAER1FAACAAAABTE2NjU0AQgAAAAFAAAAATEBAAAACy0xOTM0ODc5ODQ2AwAAAAMxNjACAAAABDEyNzUEAAAAATAHAAAACTEwLzYvMjAyNQgAAAAJNi8zMC8yMDI1CQAAAAEwOxqW+tsE3gjf/2NN3gTeCCBDSVEuSVExMzQwNzQwLklRX0NBU0hfRVFVSVYuMjAwMAEAAABEdRQAAgAAAAUxMDM0OQEIAAAABQAAAAExAQAAAAstMTkzNDg3OTg0NgMAAAADMTYwAgAAAAQxMDk2BAAAAAEwBwAAAAkxMC82LzIwMjUIAAAACTYvMzAvMjAyNQkAAAABMDsa</t>
  </si>
  <si>
    <t>lvrbBN4ISxdkTd4E3ggdQ0lRLklRMzcwODU3LklRX09QRVJfSU5DLjIwMDABAAAAqagFAAIAAAAFLTg4ODYBCAAAAAUAAAABMQEAAAALLTE5MzQ0MDc3MDQDAAAAAzE2MAIAAAACMjEEAAAAATAHAAAACTEwLzYvMjAyNQgAAAAJNi8zMC8yMDI1CQAAAAEwOxqW+tsE3ghLF2RN3gTeCB9DSVEuSVEzNzA4NTcuSVFfVE9UQUxfREVCVC4yMDAwAQAAAKmoBQACAAAABTU1NjQ3AQgAAAAFAAAAATEBAAAACy0xOTM0NDA3NzA0AwAAAAMxNjACAAAABDQxNzMEAAAAATAHAAAACTEwLzYvMjAyNQgAAAAJNi8zMC8yMDI1CQAAAAEwOxqW+tsE3gjxQWRN3gTeCCFDSVEuSVEzNzA4NTcuSVFfVE9UQUxfRVFVSVRZLjIwMDABAAAAqagFAAIAAAAFLTMyOTYBCAAAAAUAAAABMQEAAAALLTE5MzQ0MDc3MDQDAAAAAzE2MAIAAAAEMTI3NQQAAAABMAcAAAAJMTAvNi8yMDI1CAAAAAk2LzMwLzIwMjUJAAAAATA7Gpb62wTeCPFBZE3eBN4IH0NJUS5JUTM3MDg1Ny5JUV9DQVNIX0VRVUlWLjIwMDABAAAAqagFAAIAAAAENzA4NwEIAAAABQAAAAExAQAAAAstMTkzNDQwNzcwNAMAAAADMTYwAgAAAAQxMDk2BAAAAAEwBwAAAAkxMC82LzIwMjUIAAAACTYvMzAvMjAyNQkAAAABMDsalvrbBN4I8UFkTd4E3ggcQ0lRLklRMjE4MzUuSVFfT1BFUl9JTkMuMjAwMAEAAABLVQAAAgAAAAYxMjg1MjgBCAAAAAUAAAABMQEAAAALLTE5MzQy</t>
  </si>
  <si>
    <t>NDc3ODcDAAAAAzE2MAIAAAACMjEEAAAAATAHAAAACTEwLzYvMjAyNQgAAAAJNi8zMC8yMDI1CQAAAAEwOxqW+tsE3giqT0kQ3ATeCB5DSVEuSVEyMTgzNS5JUV9UT1RBTF9ERUJULjIwMDABAAAAS1UAAAIAAAAGMTEyMTg0AQgAAAAFAAAAATEBAAAACy0xOTM0MjQ3Nzg3AwAAAAMxNjACAAAABDQxNzMEAAAAATAHAAAACTEwLzYvMjAyNQgAAAAJNi8zMC8yMDI1CQAAAAEwOxqW+tsE3giqT0kQ3ATeCCBDSVEuSVEyMTgzNS5JUV9UT1RBTF9FUVVJVFkuMjAwMAEAAABLVQAAAgAAAAYzNDM0NzkBCAAAAAUAAAABMQEAAAALLTE5MzQyNDc3ODcDAAAAAzE2MAIAAAAEMTI3NQQAAAABMAcAAAAJMTAvNi8yMDI1CAAAAAk2LzMwLzIwMjUJAAAAATA7Gpb62wTeCKpPSRDcBN4IHkNJUS5JUTIxODM1LklRX0NBU0hfRVFVSVYuMjAwMAEAAABLVQAAAgAAAAUzMDI0MgEIAAAABQAAAAExAQAAAAstMTkzNDI0Nzc4NwMAAAADMTYwAgAAAAQxMDk2BAAAAAEwBwAAAAkxMC82LzIwMjUIAAAACTYvMzAvMjAyNQkAAAABMDsalvrbBN4Iqk9JENwE3ggdQ0lRLklRMzYzMjYzLklRX09QRVJfSU5DLjIwMDABAAAA/4oFAAIAAAADNjUzAQgAAAAFAAAAATEBAAAACy0xOTM0MDc0OTYxAwAAAAMxNjACAAAAAjIxBAAAAAEwBwAAAAkxMC82LzIwMjUIAAAACTYvMzAvMjAyNQkAAAABMDsalvrbBN4IATxlTd4E3ggfQ0lRLklRMzYz</t>
  </si>
  <si>
    <t>MjYzLklRX1RPVEFMX0RFQlQuMjAwMAEAAAD/igUAAgAAAAQyOTA5AQgAAAAFAAAAATEBAAAACy0xOTM0MDc0OTYxAwAAAAMxNjACAAAABDQxNzMEAAAAATAHAAAACTEwLzYvMjAyNQgAAAAJNi8zMC8yMDI1CQAAAAEwOxqW+tsE3ggBPGVN3gTeCCFDSVEuSVEzNjMyNjMuSVFfVE9UQUxfRVFVSVRZLjIwMDABAAAA/4oFAAIAAAAENDg4MgEIAAAABQAAAAExAQAAAAstMTkzNDA3NDk2MQMAAAADMTYwAgAAAAQxMjc1BAAAAAEwBwAAAAkxMC82LzIwMjUIAAAACTYvMzAvMjAyNQkAAAABMDsalvrbBN4IATxlTd4E3ggfQ0lRLklRMzYzMjYzLklRX0NBU0hfRVFVSVYuMjAwMAEAAAD/igUAAgAAAAMzNDMBCAAAAAUAAAABMQEAAAALLTE5MzQwNzQ5NjEDAAAAAzE2MAIAAAAEMTA5NgQAAAABMAcAAAAJMTAvNi8yMDI1CAAAAAk2LzMwLzIwMjUJAAAAATA7Gpb62wTeCAE8ZU3eBN4IHUNJUS5JUTI4NTgyNy5JUV9PUEVSX0lOQy4yMDAwAQAAAINcBAACAAAABDU4OTUBCAAAAAUAAAABMQEAAAALLTE5MzUwNzM0NTMDAAAAAzE2MAIAAAACMjEEAAAAATAHAAAACTEwLzYvMjAyNQgAAAAJNi8yOS8yMDI1CQAAAAEwOxqW+tsE3giuSmZN3gTeCB9DSVEuSVEyODU4MjcuSVFfVE9UQUxfREVCVC4yMDAwAQAAAINcBAACAAAABTIxNjM4AQgAAAAFAAAAATEBAAAACy0xOTM1MDczNDUzAwAAAAMxNjACAAAABDQxNzMEAAAA</t>
  </si>
  <si>
    <t>ATAHAAAACTEwLzYvMjAyNQgAAAAJNi8yOS8yMDI1CQAAAAEwOxqW+tsE3giuSmZN3gTeCCFDSVEuSVEyODU4MjcuSVFfVE9UQUxfRVFVSVRZLjIwMDABAAAAg1wEAAIAAAAENTMzNAEIAAAABQAAAAExAQAAAAstMTkzNTA3MzQ1MwMAAAADMTYwAgAAAAQxMjc1BAAAAAEwBwAAAAkxMC82LzIwMjUIAAAACTYvMjkvMjAyNQkAAAABMDsalvrbBN4IrkpmTd4E3ggfQ0lRLklRMjg1ODI3LklRX0NBU0hfRVFVSVYuMjAwMAEAAACDXAQAAgAAAAQxMjkzAQgAAAAFAAAAATEBAAAACy0xOTM1MDczNDUzAwAAAAMxNjACAAAABDEwOTYEAAAAATAHAAAACTEwLzYvMjAyNQgAAAAJNi8yOS8yMDI1CQAAAAEwOxqW+tsE3giuSmZN3gTeCB1DSVEuSVExNTkyMzAuSVFfT1BFUl9JTkMuMjAwMAEAAAD+bQIAAgAAAAQ5NzA2AQgAAAAFAAAAATEBAAAACy0xOTM1MTE4NTQyAwAAAAMxNjACAAAAAjIxBAAAAAEwBwAAAAkxMC82LzIwMjUIAAAACTYvMzAvMjAyNQkAAAABMDsalvrbBN4I2lxjTd4E3ggfQ0lRLklRMTU5MjMwLklRX1RPVEFMX0RFQlQuMjAwMAEAAAD+bQIAAgAAAAU0MzU5NQEIAAAABQAAAAExAQAAAAstMTkzNTExODU0MgMAAAADMTYwAgAAAAQ0MTczBAAAAAEwBwAAAAkxMC82LzIwMjUIAAAACTYvMzAvMjAyNQkAAAABMDsalvrbBN4I2lxjTd4E3gghQ0lRLklRMTU5MjMwLklRX1RPVEFMX0VRVUlUWS4yMDAw</t>
  </si>
  <si>
    <t>AQAAAP5tAgACAAAABTY0MjQ3AQgAAAAFAAAAATEBAAAACy0xOTM1MTE4NTQyAwAAAAMxNjACAAAABDEyNzUEAAAAATAHAAAACTEwLzYvMjAyNQgAAAAJNi8zMC8yMDI1CQAAAAEwOxqW+tsE3gjaXGNN3gTeCB9DSVEuSVExNTkyMzAuSVFfQ0FTSF9FUVVJVi4yMDAwAQAAAP5tAgACAAAABDQ3ODIBCAAAAAUAAAABMQEAAAALLTE5MzUxMTg1NDIDAAAAAzE2MAIAAAAEMTA5NgQAAAABMAcAAAAJMTAvNi8yMDI1CAAAAAk2LzMwLzIwMjUJAAAAATA7Gpb62wTeCNpcY03eBN4IHkNJUS5JUTIxODM1LklRX0VCSVREQV9FU1QuMTAwMQEAAABLVQAAAgAAAAwxOTA2MTUuNzQ2MDkBDgAAAAUAAAABMwEAAAABMAIAAAAKMTAwMTc5ODI2OQMAAAAGMTAwMTg3BAAAAAEyBgAAAAEwBwAAAAMxNjAIAAAAATAJAAAAATEKAAAAATALAAAACzE0NDkxMDQ2NDc1DAAAAAExDQAAAAkxMC83LzIwMjUQAAAACTEwLzYvMjAyNTsalvrbBN4IPt5LENwE3ggfQ0lRLklRMjE4MzUuSVFfUkVWRU5VRV9FU1QuMTAwMQEAAABLVQAAAgAAAAwzMjI5MzkuNjkxODkBDgAAAAUAAAABMwEAAAABMAIAAAAKMTAwMTc5ODI2OQMAAAAGMTAwMTgwBAAAAAEyBgAAAAEwBwAAAAMxNjAIAAAAATAJAAAAATEKAAAAATALAAAACzE0NDk1NTU1NjU4DAAAAAExDQAAAAkxMC83LzIwMjUQAAAACTEwLzYvMjAyNT9BlvrbBN4IPt5LENwE3gggQ0lRLklR</t>
  </si>
  <si>
    <t>Mjg1ODI3LklRX1JFVkVOVUVfRVNULjEwMDEBAAAAg1wEAAIAAAALNzQyNTEuODg2MjEBDgAAAAUAAAABMwEAAAABMAIAAAAKMTAwMjc5MTc0OAMAAAAGMTAwMTgwBAAAAAEyBgAAAAEwBwAAAAMxNjAIAAAAATAJAAAAATEKAAAAATALAAAACzE0NDk2MDc4MzI1DAAAAAExDQAAAAkxMC83LzIwMjUQAAAACTEwLzYvMjAyNT9BlvrbBN4I2JdkTd4E3ggfQ0lRLklRMTgwODcxLklRX0VCSVREQV9FU1QuMTAwMQEAAACHwgIAAgAAAAsxMjM2Ni44NjgwMgEOAAAABQAAAAEzAQAAAAEwAgAAAAoxMDAyMjY1NTA2AwAAAAYxMDAxODcEAAAAATIGAAAAATAHAAAAAzE2MAgAAAABMAkAAAABMQoAAAABMAsAAAALMTQ0OTUwOTUzNTAMAAAAATENAAAACTEwLzcvMjAyNRAAAAAJMTAvNi8yMDI1P0GW+tsE3gietksQ3ATeCCFDSVEuSVEyMDc2NTQ2My5JUV9FQklUREFfRVNULjEwMDEBAAAAF9s8AQIAAAAMMTE5OTA0LjU0NDU2AQ4AAAAFAAAAATMBAAAAATACAAAACjEwMDE1MzU2MjYDAAAABjEwMDE4NwQAAAABMgYAAAABMAcAAAADMTYwCAAAAAEwCQAAAAExCgAAAAEwCwAAAAsxNDQ5MTEzNjYzMQwAAAABMQ0AAAAJMTAvNy8yMDI1EAAAAAkxMC82LzIwMjU7Gpb62wTeCJ62SxDcBN4IIkNJUS5JUTIwNzY1NDYzLklRX1JFVkVOVUVfRVNULjEwMDEBAAAAF9s8AQIAAAAMMTk2MjA1LjY4MzQ3AQ4AAAAFAAAAATMBAAAA</t>
  </si>
  <si>
    <t>ATACAAAACjEwMDE1MzU2MjYDAAAABjEwMDE4MAQAAAABMgYAAAABMAcAAAADMTYwCAAAAAEwCQAAAAExCgAAAAEwCwAAAAsxNDQ5MTEzNjg2NQwAAAABMQ0AAAAJMTAvNy8yMDI1EAAAAAkxMC82LzIwMjU/QZb62wTeCJ62SxDcBN4IH0NJUS5JUTk3MTk5LklRX1JFVkVOVUVfRVNULjEwMDEBAAAAr3sBAAIAAAALNDIxOTkuODcwMTQBDgAAAAUAAAABMwEAAAABMAIAAAAKMTAwMjY3ODE3NQMAAAAGMTAwMTgwBAAAAAEyBgAAAAEwBwAAAAMxNjAIAAAAATAJAAAAATEKAAAAATALAAAACzE0NDk2MDg3MTExDAAAAAExDQAAAAkxMC83LzIwMjUQAAAACTEwLzYvMjAyNT9BlvrbBN4InrZLENwE3gggQ0lRLklRMjY5MjMxLklRX1JFVkVOVUVfRVNULjEwMDEBAAAArxsEAAIAAAALMTgwNzguNDM0NzcBDgAAAAUAAAABMwEAAAABMAIAAAAKMTAwMjE0MjMxNAMAAAAGMTAwMTgwBAAAAAEyBgAAAAEwBwAAAAMxNjAIAAAAATAJAAAAATEKAAAAATALAAAACzE0NDk2Mjk1ODYyDAAAAAExDQAAAAkxMC83LzIwMjUQAAAACTkvMzAvMjAyNT9BlvrbBN4InrZLENwE3ggbQ0lRLklRMjI3NTEuSVFfRVBTX0VTVC4xMDAxAQAAAN9YAAACAAAACDE5Ljk5OTY5AQ4AAAAFAAAAATMBAAAABzI2NDM2OTECAAAACjEwMDI1ODc4NDgDAAAABjEwMDE3MwQAAAABMgYAAAABMAcAAAADMTYwCAAAAAEwCQAAAAExCgAAAAEwCwAAAAsx</t>
  </si>
  <si>
    <t>NDQ5MTYzMDAwMgwAAAABMQ0AAAAJMTAvNy8yMDI1EAAAAAkxMC82LzIwMjU7Gpb62wTeCFtOZ03eBN4IIENJUS5JUTE4MDg3MS5JUV9SRVZFTlVFX0VTVC4xMDAxAQAAAIfCAgACAAAACjg1MDgzLjgyNTQBDgAAAAUAAAABMwEAAAABMAIAAAAKMTAwMjI2NTUwNgMAAAAGMTAwMTgwBAAAAAEyBgAAAAEwBwAAAAMxNjAIAAAAATAJAAAAATEKAAAAATALAAAACzE0NDk1MDk1MzY4DAAAAAExDQAAAAkxMC83LzIwMjUQAAAACTEwLzYvMjAyNT9BlvrbBN4INVpLENwE3ggcQ0lRLklRMTc3MDMxLklRX0VQU19FU1QuMTAwMQEAAACHswIAAgAAAAc1Ljg5NTY0AQ4AAAAFAAAAATMBAAAABzI2MTQ2MzICAAAACjEwMDQyNDg0MjgDAAAABjEwMDE3MwQAAAABMgYAAAABMAcAAAADMTYwCAAAAAEwCQAAAAExCgAAAAEwCwAAAAsxNDQ5NjA4MDg1NwwAAAABMQ0AAAAJMTAvNy8yMDI1EAAAAAkxMC82LzIwMjU7Gpb62wTeCLOtY03eBN4IHENJUS5JUTEzNDA3NDAuSVFfTklfRVNULjEwMDEBAAAARHUUAAIAAAAKNjgwMC4zMTkxMgEOAAAABQAAAAEzAQAAAAEwAgAAAAoxMDA0MjQwMjI3AwAAAAYxMDAyNTAEAAAAATIGAAAAATAHAAAAAzE2MAgAAAABMAkAAAABMQoAAAABMAsAAAALMTQ0OTYzMTc3MzYMAAAAATENAAAACTEwLzcvMjAyNRAAAAAJMTAvNi8yMDI1OxqW+tsE3gitH2ZN3gTeCB9DSVEuSVEyNjkyMzEuSVFf</t>
  </si>
  <si>
    <t>RUJJVERBX0VTVC4xMDAxAQAAAK8bBAACAAAACjUwNjUuMzY0ODEBDgAAAAUAAAABMwEAAAABMAIAAAAKMTAwMjE0MjMxNAMAAAAGMTAwMTg3BAAAAAEyBgAAAAEwBwAAAAMxNjAIAAAAATAJAAAAATEKAAAAATALAAAACzE0NDk1MTA2Mjc2DAAAAAExDQAAAAkxMC83LzIwMjUQAAAACTkvMzAvMjAyNTsalvrbBN4I2DFLENwE3ggfQ0lRLklRMjc4Njc5LklRX0VCSVREQV9FU1QuMTAwMQEAAACXQAQAAgAAAAsyNTQxOC41NzkyNQEOAAAABQAAAAEzAQAAAAEwAgAAAAoxMDA0MTc5MTE3AwAAAAYxMDAxODcEAAAAATIGAAAAATAHAAAAAzE2MAgAAAABMAkAAAABMQoAAAABMAsAAAALMTQ0OTExNjI0NDUMAAAAATENAAAACTEwLzcvMjAyNRAAAAAJMTAvNi8yMDI1OxqW+tsE3gjOCUsQ3ATeCBtDSVEuSVEyNjkyMzEuSVFfTklfRVNULjEwMDEBAAAArxsEAAIAAAAKMzM5OS41MjU4MQEOAAAABQAAAAEzAQAAAAEwAgAAAAoxMDAyMTQyMzE0AwAAAAYxMDAyNTAEAAAAATIGAAAAATAHAAAAAzE2MAgAAAABMAkAAAABMQoAAAABMAsAAAALMTQ0OTYyOTU5NjQMAAAAATENAAAACTEwLzcvMjAyNRAAAAAJOS8zMC8yMDI1P0GW+tsE3gjOCUsQ3ATeCBtDSVEuSVEyMTgzNS5JUV9FUFNfRVNULjEwMDEBAAAAS1UAAAIAAAAIMTUuNTQzNjkBDgAAAAUAAAABMwEAAAAHMjYzMDQxMwIAAAAKMTAwMTc5ODI2OQMAAAAGMTAw</t>
  </si>
  <si>
    <t>MTczBAAAAAEyBgAAAAEwBwAAAAMxNjAIAAAAATAJAAAAATEKAAAAATALAAAACzE0NDk1NTU1NzM0DAAAAAExDQAAAAkxMC83LzIwMjUQAAAACTEwLzYvMjAyNTsalvrbBN4I4uFKENwE3ggbQ0lRLklRMTc3MDMxLklRX05JX0VTVC4xMDAxAQAAAIezAgACAAAACjYzMjguNDU1OTYBDgAAAAUAAAABMwEAAAABMAIAAAAKMTAwNDI0ODQyOAMAAAAGMTAwMjUwBAAAAAEyBgAAAAEwBwAAAAMxNjAIAAAAATAJAAAAATEKAAAAATALAAAACzE0NDk2MDc1NDY2DAAAAAExDQAAAAkxMC83LzIwMjUQAAAACTEwLzYvMjAyNTsalvrbBN4Is61jTd4E3gghQ0lRLklRMTM0MDc0MC5JUV9SRVZFTlVFX0VTVC4xMDAxAQAAAER1FAACAAAACzQxMDA3LjQ3NTEzAQ4AAAAFAAAAATMBAAAAATACAAAACjEwMDQyNDAyMjcDAAAABjEwMDE4MAQAAAABMgYAAAABMAcAAAADMTYwCAAAAAEwCQAAAAExCgAAAAEwCwAAAAsxNDQ5NjMxNzk0MAwAAAABMQ0AAAAJMTAvNy8yMDI1EAAAAAkxMC82LzIwMjU/QZb62wTeCK5KZk3eBN4IGkNJUS5JUTIxODM1LklRX05JX0VTVC4xMDAxAQAAAEtVAAACAAAADDExNTg3NS4xMDUwNwEOAAAABQAAAAEzAQAAAAEwAgAAAAoxMDAxNzk4MjY5AwAAAAYxMDAyNTAEAAAAATIGAAAAATAHAAAAAzE2MAgAAAABMAkAAAABMQoAAAABMAsAAAALMTQ0OTU1NTU0MDAMAAAAATENAAAACTEwLzcvMjAyNRAA</t>
  </si>
  <si>
    <t>AAAJMTAvNi8yMDI1P0GW+tsE3gji4UoQ3ATeCBtDSVEuSVE5NzE5OS5JUV9FUFNfRVNULjEwMDEBAAAAr3sBAAIAAAAIMjUuMzY3ODIBDgAAAAUAAAABMwEAAAAHMjYzNDcyMQIAAAAKMTAwMjY3ODE3NQMAAAAGMTAwMTczBAAAAAEyBgAAAAEwBwAAAAMxNjAIAAAAATAJAAAAATEKAAAAATALAAAACzE0NDk2MDg4MTcyDAAAAAExDQAAAAkxMC83LzIwMjUQAAAACTEwLzYvMjAyNTsalvrbBN4I4uFKENwE3ggjQ0lRLklRMjI0MDU1MjgzLklRX1JFVkVOVUVfRVNULjEwMDEBAAAA889aDQIAAAAJNTg4OS45MDI2AQ4AAAAFAAAAATMBAAAAATACAAAACjEwMDM2MzE1NzMDAAAABjEwMDE4MAQAAAABMgYAAAABMAcAAAADMTYwCAAAAAEwCQAAAAExCgAAAAEwCwAAAAsxNDQ5MTA3NDgxOQwAAAABMQ0AAAAJMTAvNy8yMDI1EAAAAAkxMC82LzIwMjU/QZb62wTeCOLhShDcBN4IIENJUS5JUTEzNDA3NDAuSVFfRUJJVERBX0VTVC4xMDAxAQAAAER1FAACAAAACzEwNjQ1LjI1Njg3AQ4AAAAFAAAAATMBAAAAATACAAAACjEwMDQyNDAyMjcDAAAABjEwMDE4NwQAAAABMgYAAAABMAcAAAADMTYwCAAAAAEwCQAAAAExCgAAAAEwCwAAAAsxNDQ5MjcyODU0NwwAAAABMQ0AAAAJMTAvNy8yMDI1EAAAAAkxMC82LzIwMjU/QZb62wTeCK0fZk3eBN4IHENJUS5JUTM2MzI2My5JUV9FUFNfRVNULjEwMDEBAAAA/4oFAAIAAAAI</t>
  </si>
  <si>
    <t>MTQuOTE4NDIBDgAAAAUAAAABMwEAAAAJMTI4ODQ0NzMwAgAAAAoxMDA0MTAwNDcyAwAAAAYxMDAyNzgEAAAAATIGAAAAATAHAAAAAzE2MAgAAAABMAkAAAABMQoAAAABMAsAAAALMTQ0ODU2MDMzODkMAAAAATENAAAACTEwLzcvMjAyNRAAAAAJMTAvNi8yMDI1OxqW+tsE3gh6pGdN3gTeCCBDSVEuSVEyNzg2NzkuSVFfUkVWRU5VRV9FU1QuMTAwMQEAAACXQAQAAgAAAAwxNjQzNzMuODY4OTMBDgAAAAUAAAABMwEAAAABMAIAAAAKMTAwNDE3OTExNwMAAAAGMTAwMTgwBAAAAAEyBgAAAAEwBwAAAAMxNjAIAAAAATAJAAAAATEKAAAAATALAAAACzE0NDkyMjE3MDk3DAAAAAExDQAAAAkxMC83LzIwMjUQAAAACTEwLzYvMjAyNT9BlvrbBN4I9blKENwE3ggeQ0lRLklRMjI3NTEuSVFfRUJJVERBX0VTVC4xMDAxAQAAAN9YAAACAAAACjMxNDcuNjE2ODcBDgAAAAUAAAABMwEAAAABMAIAAAAKMTAwMjU4Nzg0OAMAAAAGMTAwMTg3BAAAAAEyBgAAAAEwBwAAAAMxNjAIAAAAATAJAAAAATEKAAAAATALAAAACzE0NDg5NTc4ODAwDAAAAAExDQAAAAkxMC83LzIwMjUQAAAACTEwLzYvMjAyNTsalvrbBN4IW05nTd4E3ggfQ0lRLklRMjI3NTEuSVFfUkVWRU5VRV9FU1QuMTAwMQEAAADfWAAAAgAAAAo3OTM1LjM5NTM5AQ4AAAAFAAAAATMBAAAAATACAAAACjEwMDI1ODc4NDgDAAAABjEwMDE4MAQAAAABMgYAAAABMAcA</t>
  </si>
  <si>
    <t>AAADMTYwCAAAAAEwCQAAAAExCgAAAAEwCwAAAAsxNDQ5MDYxODY2MAwAAAABMQ0AAAAJMTAvNy8yMDI1EAAAAAkxMC82LzIwMjU/QZb62wTeCFtOZ03eBN4IIENJUS5JUTE3NzAzMS5JUV9SRVZFTlVFX0VTVC4xMDAxAQAAAIezAgACAAAACzQwNjM1LjIwMzQzAQ4AAAAFAAAAATMBAAAAATACAAAACjEwMDQyNDg0MjgDAAAABjEwMDE4MAQAAAABMgYAAAABMAcAAAADMTYwCAAAAAEwCQAAAAExCgAAAAEwCwAAAAsxNDQ5NjA3ODMxOQwAAAABMQ0AAAAJMTAvNy8yMDI1EAAAAAkxMC82LzIwMjU7Gpb62wTeCLOtY03eBN4IG0NJUS5JUTI4OTE5NC5JUV9OSV9FU1QuMTAwMQEAAACqaQQAAgAAAAo0Mjg5Ljg4ODIyAQ4AAAAFAAAAATMBAAAAATACAAAACjEwMDAxOTM1NjUDAAAABjEwMDI1MAQAAAABMgYAAAABMAcAAAADMTYwCAAAAAEwCQAAAAExCgAAAAEwCwAAAAsxNDQ5NTgyMzg5OQwAAAABMQ0AAAAJMTAvNy8yMDI1EAAAAAkxMC82LzIwMjU/QZb62wTeCDH4Zk3eBN4IIENJUS5JUTI4OTE5NC5JUV9SRVZFTlVFX0VTVC4xMDAxAQAAAKppBAACAAAACzI0MTc2LjAyMTI5AQ4AAAAFAAAAATMBAAAAATACAAAACjEwMDAxOTM1NjUDAAAABjEwMDE4MAQAAAABMgYAAAABMAcAAAADMTYwCAAAAAEwCQAAAAExCgAAAAEwCwAAAAsxNDQ5NTc5MjY1MAwAAAABMQ0AAAAJMTAvNy8yMDI1EAAAAAkxMC82LzIwMjU/</t>
  </si>
  <si>
    <t>QZb62wTeCDH4Zk3eBN4IIENJUS5JUTM3MDg1Ny5JUV9SRVZFTlVFX0VTVC4xMDAxAQAAAKmoBQACAAAACzg2NTA3LjA0NTM5AQ4AAAAFAAAAATMBAAAAATACAAAACjEwMDI3Nzk5NjcDAAAABjEwMDE4MAQAAAABMgYAAAABMAcAAAADMTYwCAAAAAEwCQAAAAExCgAAAAEwCwAAAAsxNDQ5NTI1OTc5MgwAAAABMQ0AAAAJMTAvNy8yMDI1EAAAAAkxMC82LzIwMjU/QZb62wTeCCG/ZE3eBN4IHkNJUS5JUTk3MTk5LklRX0VCSVREQV9FU1QuMTAwMQEAAACvewEAAgAAAAo1ODQ2LjM0MTA4AQ4AAAAFAAAAATMBAAAAATACAAAACjEwMDI2NzgxNzUDAAAABjEwMDE4NwQAAAABMgYAAAABMAcAAAADMTYwCAAAAAEwCQAAAAExCgAAAAEwCwAAAAsxNDQ5NjA4Njc0NQwAAAABMQ0AAAAJMTAvNy8yMDI1EAAAAAkxMC82LzIwMjU7Gpb62wTeCP1BShDcBN4IG0NJUS5JUTM2MzI2My5JUV9OSV9FU1QuMTAwMQEAAAD/igUAAgAAAAk1ODMuOTc1NDYBDgAAAAUAAAABMwEAAAABMAIAAAAKMTAwNDEwMDQ3MgMAAAAGMTAwMjUwBAAAAAEyBgAAAAEwBwAAAAMxNjAIAAAAATAJAAAAATEKAAAAATALAAAACzE0NDUxNzgxNTczDAAAAAExDQAAAAkxMC83LzIwMjUQAAAACTEwLzYvMjAyNT9BlvrbBN4IpAJqTd4E3ggfQ0lRLklRMjI0MDU1MjgzLklRX0VQU19FU1QuMTAwMQEAAADzz1oNAgAAAAcwLjI2Mzk2AQ4AAAAFAAAAATMB</t>
  </si>
  <si>
    <t>AAAACTQxOTE1MTU0NAIAAAAKMTAwMzYzMTU3MwMAAAAGMTAwMTczBAAAAAEyBgAAAAEwBwAAAAMxNjAIAAAAATAJAAAAATEKAAAAATALAAAACzE0NDkwNDAwMzg3DAAAAAExDQAAAAkxMC83LzIwMjUQAAAACTEwLzYvMjAyNTsalvrbBN4I7hlKENwE3ggbQ0lRLklRMjkwOTYuSVFfRVBTX0VTVC4xMDAxAQAAAKhxAAACAAAABzkuOTQyMDkBDgAAAAUAAAABMwEAAAAIMTEzMTE2NjICAAAACjEwMDIwNDQxMDcDAAAABjEwMDE3MwQAAAABMgYAAAABMAcAAAADMTYwCAAAAAEwCQAAAAExCgAAAAEwCwAAAAsxNDQ5MjY1NzkxNAwAAAABMQ0AAAAJMTAvNy8yMDI1EAAAAAkxMC82LzIwMjU7Gpb62wTeCEDvSRDcBN4IHUNJUS5JUTIwNzY1NDYzLklRX05JX0VTVC4xMDAxAQAAABfbPAECAAAACjcxNjc1LjAzNTkBDgAAAAUAAAABMwEAAAABMAIAAAAKMTAwMTUzNTYyNgMAAAAGMTAwMjUwBAAAAAEyBgAAAAEwBwAAAAMxNjAIAAAAATAJAAAAATEKAAAAATALAAAACzE0NDkwMTcxNjY3DAAAAAExDQAAAAkxMC83LzIwMjUQAAAACTEwLzYvMjAyNTsalvrbBN4IQO9JENwE3ggbQ0lRLklRMTgwODcxLklRX05JX0VTVC4xMDAxAQAAAIfCAgACAAAACjY5MDcuMTg3MDEBDgAAAAUAAAABMwEAAAABMAIAAAAKMTAwMjI2NTUwNgMAAAAGMTAwMjUwBAAAAAEyBgAAAAEwBwAAAAMxNjAIAAAAATAJAAAAATEKAAAAATALAAAA</t>
  </si>
  <si>
    <t>CzE0NDg2NjE3OTg3DAAAAAExDQAAAAkxMC83LzIwMjUQAAAACTEwLzYvMjAyNT9BlvrbBN4IisVJENwE3ggbQ0lRLklRMjg1ODI3LklRX05JX0VTVC4xMDAxAQAAAINcBAACAAAACjUxMjkuNDEyNzgBDgAAAAUAAAABMwEAAAABMAIAAAAKMTAwMjc5MTc0OAMAAAAGMTAwMjUwBAAAAAEyBgAAAAEwBwAAAAMxNjAIAAAAATAJAAAAATEKAAAAATALAAAACzE0NDk1NjI4MjUzDAAAAAExDQAAAAkxMC83LzIwMjUQAAAACTEwLzYvMjAyNT9BlvrbBN4I2JdkTd4E3ggfQ0lRLklRMTU5MjMwLklRX0VCSVREQV9FU1QuMTAwMQEAAAD+bQIAAgAAAAoxNDAxMi44NDA5AQ4AAAAFAAAAATMBAAAAATACAAAACjEwMDI1NTQ5ODkDAAAABjEwMDE4NwQAAAABMgYAAAABMAcAAAADMTYwCAAAAAEwCQAAAAExCgAAAAEwCwAAAAsxNDQ5NjA4NTI2NgwAAAABMQ0AAAAJMTAvNy8yMDI1EAAAAAkxMC82LzIwMjU/QZb62wTeCObRYk3eBN4IIENJUS5JUTE1OTIzMC5JUV9SRVZFTlVFX0VTVC4xMDAxAQAAAP5tAgACAAAACzg1Njk5LjQxMzMzAQ4AAAAFAAAAATMBAAAAATACAAAACjEwMDI1NTQ5ODkDAAAABjEwMDE4MAQAAAABMgYAAAABMAcAAAADMTYwCAAAAAEwCQAAAAExCgAAAAEwCwAAAAsxNDQ5NjA4NTU2MgwAAAABMQ0AAAAJMTAvNy8yMDI1EAAAAAkxMC82LzIwMjU/QZb62wTeCObRYk3eBN4IG0NJUS5JUTI3ODY3OS5J</t>
  </si>
  <si>
    <t>UV9OSV9FU1QuMTAwMQEAAACXQAQAAgAAAAsxNDkwNi4zNjE0NwEOAAAABQAAAAEzAQAAAAEwAgAAAAoxMDA0MTc5MTE3AwAAAAYxMDAyNTAEAAAAATIGAAAAATAHAAAAAzE2MAgAAAABMAkAAAABMQoAAAABMAsAAAALMTQ0OTExNjIxNTcMAAAAATENAAAACTEwLzcvMjAyNRAAAAAJMTAvNi8yMDI1P0GW+tsE3ggfKEkQ3ATeCB9DSVEuSVExNzcwMzEuSVFfRUJJVERBX0VTVC4xMDAxAQAAAIezAgACAAAACjk3NjcuNTA0MTMBDgAAAAUAAAABMwEAAAABMAIAAAAKMTAwNDI0ODQyOAMAAAAGMTAwMTg3BAAAAAEyBgAAAAEwBwAAAAMxNjAIAAAAATAJAAAAATEKAAAAATALAAAACzE0NDk2MDc3MzQ0DAAAAAExDQAAAAkxMC83LzIwMjUQAAAACTEwLzYvMjAyNT9BlvrbBN4IVdhjTd4E3ggfQ0lRLklRMzcwODU3LklRX0VCSVREQV9FU1QuMTAwMQEAAACpqAUAAgAAAAozMDgxLjUyNDM4AQ4AAAAFAAAAATMBAAAAATACAAAACjEwMDI3Nzk5NjcDAAAABjEwMDE4NwQAAAABMgYAAAABMAcAAAADMTYwCAAAAAEwCQAAAAExCgAAAAEwCwAAAAsxNDQ5NTI1OTYzMAwAAAABMQ0AAAAJMTAvNy8yMDI1EAAAAAkxMC82LzIwMjU/QZb62wTeCCG/ZE3eBN4IH0NJUS5JUTI4NTgyNy5JUV9FQklUREFfRVNULjEwMDEBAAAAg1wEAAIAAAAKOTE3OS41MjAxOQEOAAAABQAAAAEzAQAAAAEwAgAAAAoxMDAyNzkxNzQ4AwAAAAYx</t>
  </si>
  <si>
    <t>MDAxODcEAAAAATIGAAAAATAHAAAAAzE2MAgAAAABMAkAAAABMQoAAAABMAsAAAALMTQ0OTYwNzc0MTYMAAAAATENAAAACTEwLzcvMjAyNRAAAAAJMTAvNi8yMDI1OxqW+tsE3gjYl2RN3gTeCB5DSVEuSVEyOTA5Ni5JUV9FQklUREFfRVNULjEwMDEBAAAAqHEAAAIAAAAMMTc2MTc4LjY2NjExAQ4AAAAFAAAAATMBAAAAATACAAAACjEwMDIwNDQxMDcDAAAABjEwMDE4NwQAAAABMgYAAAABMAcAAAADMTYwCAAAAAEwCQAAAAExCgAAAAEwCwAAAAsxNDQ5MjY1Nzc5MgwAAAABMQ0AAAAJMTAvNy8yMDI1EAAAAAkxMC82LzIwMjU/QZb62wTeCM6lSBDcBN4IH0NJUS5JUTI5MDk2LklRX1JFVkVOVUVfRVNULjEwMDEBAAAAqHEAAAIAAAAMMzk1MDAzLjc1NTI0AQ4AAAAFAAAAATMBAAAAATACAAAACjEwMDIwNDQxMDcDAAAABjEwMDE4MAQAAAABMgYAAAABMAcAAAADMTYwCAAAAAEwCQAAAAExCgAAAAEwCwAAAAsxNDQ5MjY1NzgyMgwAAAABMQ0AAAAJMTAvNy8yMDI1EAAAAAkxMC82LzIwMjU/QZb62wTeCM6lSBDcBN4IGkNJUS5JUTI5MDk2LklRX05JX0VTVC4xMDAxAQAAAKhxAAACAAAACzEyMDg2Ni4wOTQ1AQ4AAAAFAAAAATMBAAAAATACAAAACjEwMDIwNDQxMDcDAAAABjEwMDI1MAQAAAABMgYAAAABMAcAAAADMTYwCAAAAAEwCQAAAAExCgAAAAEwCwAAAAsxNDQ5MjY2NTI5OQwAAAABMQ0AAAAJMTAvNy8y</t>
  </si>
  <si>
    <t>MDI1EAAAAAkxMC82LzIwMjU/QZb62wTeCM6lSBDcBN4IHkNJUS5JUTIwNzY1NDYzLklRX0VQU19FU1QuMTAwMQEAAAAX2zwBAgAAAAgyNy45NzM4OQEOAAAABQAAAAEzAQAAAAkxMjY5MTAzMzcCAAAACjEwMDE1MzU2MjYDAAAABjEwMDE3MwQAAAABMgYAAAABMAcAAAADMTYwCAAAAAEwCQAAAAExCgAAAAEwCwAAAAsxNDQ5MDE3MDkzNAwAAAABMQ0AAAAJMTAvNy8yMDI1EAAAAAkxMC82LzIwMjU7Gpb62wTeCKt9SBDcBN4IHkNJUS5JUTIyNDA1NTI4My5JUV9OSV9FU1QuMTAwMQEAAADzz1oNAgAAAAk0NTUuMTYzODkBDgAAAAUAAAABMwEAAAABMAIAAAAKMTAwMzYzMTU3MwMAAAAGMTAwMjUwBAAAAAEyBgAAAAEwBwAAAAMxNjAIAAAAATAJAAAAATEKAAAAATALAAAACzE0NDkwNDAyNTAwDAAAAAExDQAAAAkxMC83LzIwMjUQAAAACTEwLzYvMjAyNT9BlvrbBN4IpgJIENwE3ggfQ0lRLklRMzYzMjYzLklRX0VCSVREQV9FU1QuMTAwMQEAAAD/igUAAgAAAAk5NzcuNDkxNTMBDgAAAAUAAAABMwEAAAABMAIAAAAKMTAwNDEwMDQ3MgMAAAAGMTAwMTg3BAAAAAEyBgAAAAEwBwAAAAMxNjAIAAAAATAJAAAAATEKAAAAATALAAAACzE0NDUxNzgyMDgyDAAAAAExDQAAAAkxMC83LzIwMjUQAAAACTEwLzYvMjAyNT9BlvrbBN4IpAJqTd4E3ggfQ0lRLklRMjg5MTk0LklRX0VCSVREQV9FU1QuMTAwMQEAAACqaQQA</t>
  </si>
  <si>
    <t>AgAAAAo2NzkzLjUxMzU2AQ4AAAAFAAAAATMBAAAAATACAAAACjEwMDAxOTM1NjUDAAAABjEwMDE4NwQAAAABMgYAAAABMAcAAAADMTYwCAAAAAEwCQAAAAExCgAAAAEwCwAAAAsxNDQ5NTgyMzk3MQwAAAABMQ0AAAAJMTAvNy8yMDI1EAAAAAkxMC82LzIwMjU/QZb62wTeCDH4Zk3eBN4IIkNJUS5JUTIyNDA1NTI4My5JUV9FQklUREFfRVNULjEwMDEBAAAA889aDQIAAAAJNTI5LjkwODcyAQ4AAAAFAAAAATMBAAAAATACAAAACjEwMDM2MzE1NzMDAAAABjEwMDE4NwQAAAABMgYAAAABMAcAAAADMTYwCAAAAAEwCQAAAAExCgAAAAEwCwAAAAsxNDQ5MTA3NDc3MQwAAAABMQ0AAAAJMTAvNy8yMDI1EAAAAAkxMC82LzIwMjU/QZb62wTeCI44RxDcBN4IHENJUS5JUTE4MDg3MS5JUV9FUFNfRVNULjEwMDEBAAAAh8ICAAIAAAAIMTIuMzE4NzcBDgAAAAUAAAABMwEAAAAHMjYyNzM1NgIAAAAKMTAwMjI2NTUwNgMAAAAGMTAwMTczBAAAAAEyBgAAAAEwBwAAAAMxNjAIAAAAATAJAAAAATEKAAAAATALAAAACzE0NDg2NjE3OTE1DAAAAAExDQAAAAkxMC83LzIwMjUQAAAACTEwLzYvMjAyNT9BlvrbBN4IIhFHENwE3ggaQ0lRLklROTcxOTkuSVFfTklfRVNULjEwMDEBAAAAr3sBAAIAAAAKMzYzNy43OTMxOQEOAAAABQAAAAEzAQAAAAEwAgAAAAoxMDAyNjc4MTc1AwAAAAYxMDAyNTAEAAAAATIGAAAAATAHAAAAAzE2</t>
  </si>
  <si>
    <t>MAgAAAABMAkAAAABMQoAAAABMAsAAAALMTQ0OTYwODUwNjQMAAAAATENAAAACTEwLzcvMjAyNRAAAAAJMTAvNi8yMDI1P0GW+tsE3ggiEUcQ3ATeCBtDSVEuSVExNTkyMzAuSVFfTklfRVNULjEwMDEBAAAA/m0CAAIAAAAKODA1My44MTMwMQEOAAAABQAAAAEzAQAAAAEwAgAAAAoxMDAyNTU0OTg5AwAAAAYxMDAyNTAEAAAAATIGAAAAATAHAAAAAzE2MAgAAAABMAkAAAABMQoAAAABMAsAAAALMTQ0OTYwODM3MTkMAAAAATENAAAACTEwLzcvMjAyNRAAAAAJMTAvNi8yMDI1P0GW+tsE3gjm0WJN3gTeCBxDSVEuSVEzNzA4NTcuSVFfRVBTX0VTVC4xMDAxAQAAAKmoBQACAAAACC0yLjcxMjI3AQ4AAAAFAAAAATMBAAAABzI1OTQ4ODQCAAAACjEwMDI3Nzk5NjcDAAAABjEwMDE3MwQAAAABMgYAAAABMAcAAAADMTYwCAAAAAEwCQAAAAExCgAAAAEwCwAAAAsxNDQ5NTI2MDQ5OAwAAAABMQ0AAAAJMTAvNy8yMDI1EAAAAAkxMC82LzIwMjU/QZb62wTeCCG/ZE3eBN4IHENJUS5JUTE1OTIzMC5JUV9FUFNfRVNULjEwMDEBAAAA/m0CAAIAAAAGNS45NDkxAQ4AAAAFAAAAATMBAAAABzI2NjEwMzUCAAAACjEwMDI1NTQ5ODkDAAAABjEwMDE3MwQAAAABMgYAAAABMAcAAAADMTYwCAAAAAEwCQAAAAExCgAAAAEwCwAAAAsxNDQ5NjA4NzE3MQwAAAABMQ0AAAAJMTAvNy8yMDI1EAAAAAkxMC82LzIwMjU/QZb62wTeCNSq</t>
  </si>
  <si>
    <t>Yk3eBN4IIENJUS5JUTM2MzI2My5JUV9SRVZFTlVFX0VTVC4xMDAxAQAAAP+KBQACAAAACzExOTY5LjQ5ODAzAQ4AAAAFAAAAATMBAAAAATACAAAACjEwMDQxMDA0NzIDAAAABjEwMDE4MAQAAAABMgYAAAABMAcAAAADMTYwCAAAAAEwCQAAAAExCgAAAAEwCwAAAAsxNDQ1MTc4MjE4NAwAAAABMQ0AAAAJMTAvNy8yMDI1EAAAAAkxMC82LzIwMjU/QZb62wTeCKQCak3eBN4IGkNJUS5JUTIyNzUxLklRX05JX0VTVC4xMDAxAQAAAN9YAAACAAAACjIxNzAuNTc3ODUBDgAAAAUAAAABMwEAAAABMAIAAAAKMTAwMjU4Nzg0OAMAAAAGMTAwMjUwBAAAAAEyBgAAAAEwBwAAAAMxNjAIAAAAATAJAAAAATEKAAAAATALAAAACzE0NDg5NTc5MTk1DAAAAAExDQAAAAkxMC83LzIwMjUQAAAACTEwLzYvMjAyNT9BlvrbBN4IW3lnTd4E3ggdQ0lRLklRMTM0MDc0MC5JUV9FUFNfRVNULjEwMDEBAAAARHUUAAIAAAAIMTAuNTY5MzcBDgAAAAUAAAABMwEAAAAHMjYxODk1MAIAAAAKMTAwNDI0MDIyNwMAAAAGMTAwMTczBAAAAAEyBgAAAAEwBwAAAAMxNjAIAAAAATAJAAAAATEKAAAAATALAAAACzE0NDk2MzE4MDE4DAAAAAExDQAAAAkxMC83LzIwMjUQAAAACTEwLzYvMjAyNT9BlvrbBN4IrR9mTd4E3ggcQ0lRLklRMjY5MjMxLklRX0VQU19FU1QuMTAwMQEAAACvGwQAAgAAAAc1Ljk5OTUzAQ4AAAAFAAAAATMBAAAABzI2MDkw</t>
  </si>
  <si>
    <t>NDQCAAAACjEwMDIxNDIzMTQDAAAABjEwMDE3MwQAAAABMgYAAAABMAcAAAADMTYwCAAAAAEwCQAAAAExCgAAAAEwCwAAAAsxNDQ5NjI5NjMxMwwAAAABMQ0AAAAJMTAvNy8yMDI1EAAAAAk5LzMwLzIwMjU/QZb62wTeCBTHRRDcBN4IG0NJUS5JUTM3MDg1Ny5JUV9OSV9FU1QuMTAwMQEAAACpqAUAAgAAAAstMjE4OS4zODQ3OQEOAAAABQAAAAEzAQAAAAEwAgAAAAoxMDAyNzc5OTY3AwAAAAYxMDAyNTAEAAAAATIGAAAAATAHAAAAAzE2MAgAAAABMAkAAAABMQoAAAABMAsAAAALMTQ0OTUzMjAyNDcMAAAAATENAAAACTEwLzcvMjAyNRAAAAAJMTAvNi8yMDI1P0GW+tsE3gie6WRN3gTeCBxDSVEuSVEyNzg2NzkuSVFfRVBTX0VTVC4xMDAxAQAAAJdABAACAAAABzE1LjAxNDYBDgAAAAUAAAABMwEAAAAHMjYxODgwMAIAAAAKMTAwNDE3OTExNwMAAAAGMTAwMTczBAAAAAEyBgAAAAEwBwAAAAMxNjAIAAAAATAJAAAAATEKAAAAATALAAAACzE0NDkyMjE2NTMzDAAAAAExDQAAAAkxMC83LzIwMjUQAAAACTEwLzYvMjAyNT9BlvrbBN4IyJ9FENwE3ggcQ0lRLklRMjg5MTk0LklRX0VQU19FU1QuMTAwMQEAAACqaQQAAgAAAAY3LjkwOTMBDgAAAAUAAAABMwEAAAAHMjY1Nzk5MgIAAAAKMTAwMDE5MzU2NQMAAAAGMTAwMTczBAAAAAEyBgAAAAEwBwAAAAMxNjAIAAAAATAJAAAAATEKAAAAATALAAAACzE0NDk1ODI0</t>
  </si>
  <si>
    <t>MDI1DAAAAAExDQAAAAkxMC83LzIwMjUQAAAACTEwLzYvMjAyNT9BlvrbBN4IMfhmTd4E3ggcQ0lRLklRMjg1ODI3LklRX0VQU19FU1QuMTAwMQEAAACDXAQAAgAAAAcyMS45MjQ5AQ4AAAAFAAAAATMBAAAABzI2MjcwNTACAAAACjEwMDI3OTE3NDgDAAAABjEwMDE3MwQAAAABMgYAAAABMAcAAAADMTYwCAAAAAEwCQAAAAExCgAAAAEwCwAAAAsxNDQ5NTYyNzA0OAwAAAABMQ0AAAAJMTAvNy8yMDI1EAAAAAkxMC82LzIwMjU/QZb62wTeCNiXZE3eBN4IOENJUVJBTkdFLkhMTkUuSVFfQ09NUEFOWV9OQU1FX1FVSUNLX01BVENILjEuNS4uLi4uLi5OQU1FBAAAAEtPASIFAAAAAwAAABpIYW1pbHRvbiBMYW5lIEluY29ycG9yYXRlZAMAAAARSEwgTmV3aGFsbCBJSSBMTEMDAAAAFEggJiBMIE5ldyBHdWxmLCBJbmMuAwAAAB9ILiBMLiBOZWxzb24gQ29uc3RydWN0aW9uLCBJbmMuAwAAABJIbCBOZWRlcndlZXJ0IEIuVi6MaQ8P3ATeCBVzTRDcBN4INENJUVJBTkdFLkhMTkUuSVFfQ09NUEFOWV9JRF9RVUlDS19NQVRDSC4xLjUuLi4uLi4uSUQEAAAAS08BIgUAAAADAAAACElRNzgwNjc1AwAAAApJUTI5ODA3OTY5AwAAAAtJUTMzNzM4MDMzNAMAAAALSVE0MTk4NzA5MDkDAAAAC0lRNTcwNTExMTc5jGkPD9wE3gi1mk0Q3ATeCB5DSVEuSVE3ODA2NzUuSVFfQ09NUEFOWV9USUNLRVIBAAAAg+kLAAMAAAANTmFz</t>
  </si>
  <si>
    <t>ZGFxR1M6SExORQAjR4IQ3ATeCDN2lhDcBN4IOUNJUVJBTkdFLlNURVBTVE9ORS5JUV9DT01QQU5ZX0lEX1FVSUNLX01BVENILjEuNS4uLi4uLi5JRAQAAABF5r5uBQAAAAMAAAAKSVEzNDIzMTkxNAMAAAALSVE3MDM1NTgxMjYDAAAAC0lRMjcxNjQ5MDQ0AwAAAApJUTExODY2NjU2AwAAAAxJUTE4NTgwMDQ1NDmmoKcY3ATeCBBVxRjcBN4IPUNJUVJBTkdFLlNURVBTVE9ORS5JUV9DT01QQU5ZX05BTUVfUVVJQ0tfTUFUQ0guMS41Li4uLi4uLk5BTUUEAAAARea+bgUAAAADAAAAFFN0ZXBTdG9uZSBHcm91cCBJbmMuAwAAABJTdGVwc3RvbmUgR3JvdXAgTFADAAAAD1N0ZXBzdG9uZSBHcm91cAMAAAAkVGhlIFN0ZXBzdG9uZSBHcm91cCBEZXV0c2NobGFuZCBHbWJIAwAAABhUaGUgU3RlcHN0b25lIEdyb3VwIEdtYkimoKcY3ATeCEJ+xRjcBN4IIENJUS5JUTM0MjMxOTE0LklRX0NPTVBBTllfVElDS0VSAQAAAGpWCgIDAAAADU5hc2RhcUdTOlNURVAAhHHaGNwE3gjRku4Y3ATeCDRDSVFSQU5HRS5BUkVTLklRX0NPTVBBTllfSURfUVVJQ0tfTUFUQ0guMS41Li4uLi4uLklEBAAAAJ4qWg0FAAAAAwAAAApJUTQ0NzA3MjM2AwAAAAlJUTk3NzEyMzgDAAAAB0lRMTg4NTEDAAAAC0lRMTQxOTQzNzQ1AwAAAAtJUTIyNDAxMjk1ONnEWh3cBN4Iud12HdwE3gg4Q0lRUkFOR0UuQVJFUy5JUV9DT01QQU5ZX05BTUVf</t>
  </si>
  <si>
    <t>UVVJQ0tfTUFUQ0guMS41Li4uLi4uLk5BTUUEAAAAnipaDQUAAAADAAAAG0FyZXMgTWFuYWdlbWVudCBDb3Jwb3JhdGlvbgMAAAAYQXJlcyBDYXBpdGFsIENvcnBvcmF0aW9uAwAAABNBcmVzIE1hbmFnZW1lbnQgTExDAwAAABtBcmVzIENhcGl0YWwgTWFuYWdlbWVudCBMTEMDAAAAF0FyZXMgTWFuYWdlbWVudCBMaW1pdGVk2cRaHdwE3gi53XYd3ATeCCBDSVEuSVE0NDcwNzIzNi5JUV9DT01QQU5ZX1RJQ0tFUgEAAACkLaoCAwAAAAlOWVNFOkFSRVMAbyWcHdwE3gg5ALId3ATeCDZDSVFSQU5HRS5CWC5JUV9DT01QQU5ZX05BTUVfUVVJQ0tfTUFUQ0guMS41Li4uLi4uLk5BTUUEAAAAQqmYAAUAAAADAAAAD0JsYWNrc3RvbmUgSW5jLgMAAAAJQlhQLCBJbmMuAwAAAB9CbGFja3N0b25lIFNlY3VyZWQgTGVuZGluZyBGdW5kAwAAAB9CbGFja3N0b25lIE1vcnRnYWdlIFRydXN0LCBJbmMuAwAAABZCbHVlTGlueCBIb2xkaW5ncyBJbmMuuOwfINwE3ggPmzkg3ATeCDJDSVFSQU5HRS5CWC5JUV9DT01QQU5ZX0lEX1FVSUNLX01BVENILjEuNS4uLi4uLi5JRAQAAABCqZgABQAAAAMAAAAISVE2NzE5ODADAAAACElRMzY4Mjc4AwAAAAtJUTU3NjIxMDAyMgMAAAAISVEyNTgyNzkDAAAACklRMTAwMDQ4MDK47B8g3ATeCA+bOSDcBN4IHkNJUS5JUTY3MTk4MC5JUV9DT01QQU5ZX1RJQ0tFUgEAAADsQAoAAwAAAAdO</t>
  </si>
  <si>
    <t>WVNFOkJYACT+ZSDcBN4IdsN5INwE3gg3Q0lRUkFOR0UuVFBHLklRX0NPTVBBTllfTkFNRV9RVUlDS19NQVRDSC4xLjUuLi4uLi4uTkFNRQQAAAD1RK0ABQAAAAMAAAAIVFBHIEluYy4DAAAAEVRQRyBDYXBpdGFsLCBMLlAuAwAAABpBbmdlbG8sIEdvcmRvbiAmIENvLiwgTC5QLgMAAAAPVFBHIEdsb2JhbCwgTExDAwAAABNUUEcgVGVsZWNvbSBMaW1pdGVkHmawJtwE3giAeMwm3ATeCDNDSVFSQU5HRS5UUEcuSVFfQ09NUEFOWV9JRF9RVUlDS19NQVRDSC4xLjUuLi4uLi4uSUQEAAAA9UStAAUAAAADAAAAC0lRNTM4MTkwMjU4AwAAAAdJUTIzMzA3AwAAAAlJUTE2ODkwODgDAAAAC0lRMTcyMDMzNzY0AwAAAApJUTExMzU1MzgxHmawJtwE3giAeMwm3ATeCCFDSVEuSVE1MzgxOTAyNTguSVFfQ09NUEFOWV9USUNLRVIBAAAAsiEUIAMAAAAMTmFzZGFxR1M6VFBHAPKm4ibcBN4IVyL9JtwE3ggvQ0lRLi5JUV9UT1RBTF9SRVZfMVlSX0FOTl9HUk9XVEguMjAwMC4xMC8yLzIwMjUFAAAAAAAAAAgAAAAUKEludmFsaWQgSWRlbnRpZmllcimGg+4x3ATeCKL6AyfeBN4IFENJUS4uSVFfRVBTX0VTVC4xMDAxBQAAAAAAAAAIAAAAFChJbnZhbGlkIElkZW50aWZpZXIphoPuMdwE3gii+gMn3gTeCB5DSVEuLklRX1RPVEFMX0RFQlRfRUJJVERBLjEwMDAFAAAAAAAAAAgAAAAUKEludmFsaWQgSWRlbnRpZmllcimGg+4x</t>
  </si>
  <si>
    <t>3ATeCKL6AyfeBN4IGkNJUS4uSVFfUkVUVVJOX0VRVUlUWS4yMDAwBQAAAAAAAAAIAAAAFChJbnZhbGlkIElkZW50aWZpZXIphoPuMdwE3gjX0QMn3gTeCBdDSVEuLklRX0VCSVREQV9JTlQuMTAwMAUAAAAAAAAACAAAABQoSW52YWxpZCBJZGVudGlmaWVyKYaD7jHcBN4IoysEJ94E3ggaQ0lRLi5JUV9URVZfVE9UQUxfUkVWLjIwMDAFAAAAAAAAAAgAAAAUKEludmFsaWQgSWRlbnRpZmllcimGg+4x3ATeCKMrBCfeBN4IGkNJUS4uSVFfRUJJVERBX01BUkdJTi4yMDAwBQAAAAAAAAAIAAAAFChJbnZhbGlkIElkZW50aWZpZXIphoPuMdwE3gjX0QMn3gTeCBpDSVEuLklRX1JFVFVSTl9BU1NFVFMuMjAwMAUAAAAAAAAACAAAABQoSW52YWxpZCBJZGVudGlmaWVyKYaD7jHcBN4I36kDJ94E3ggTQ0lRLi5JUV9OSV9FU1QuMTAwMQUAAAAAAAAACAAAABQoSW52YWxpZCBJZGVudGlmaWVyKYaD7jHcBN4I19EDJ94E3ggpQ0lRLi5JUV9FUFNfMVlSX0FOTl9HUk9XVEguMjAwMC4xMC8yLzIwMjUFAAAAAAAAAAgAAAAUKEludmFsaWQgSWRlbnRpZmllcimGg+4x3ATeCKL6AyfeBN4IHENJUS4uSVFfRUZGRUNUX1RBWF9SQVRFLjEwMDAFAAAAAAAAAAgAAAAUKEludmFsaWQgSWRlbnRpZmllcimGg+4x3ATeCKL6AyfeBN4IGENJUS4uSVFfUVVJQ0tfUkFUSU8uMTAwMAUAAAAAAAAACAAAABQoSW52YWxpZCBJZGVudGlm</t>
  </si>
  <si>
    <t>aWVyKYaD7jHcBN4IovoDJ94E3ggfQ0lRLi5JUV9UT1RBTF9ERUJUX0NBUElUQUwuMTAwMAUAAAAAAAAACAAAABQoSW52YWxpZCBJZGVudGlmaWVyKYaD7jHcBN4IoysEJ94E3ggbQ0lRLi5JUV9NQVJLRVRDQVAuMTAvMi8yMDI1BQAAAAAAAAAIAAAAFChJbnZhbGlkIElkZW50aWZpZXIphoPuMdwE3gjxowQn3gTeCB1DSVEuLklRX0VCSVREQV9DQVBFWF9JTlQuMTAwMAUAAAAAAAAACAAAABQoSW52YWxpZCBJZGVudGlmaWVyKYaD7jHcBN4I36kDJ94E3ggeQ0lRLi5JUV9UT1RBTF9ERUJUX0VRVUlUWS4xMDAwBQAAAAAAAAAIAAAAFChJbnZhbGlkIElkZW50aWZpZXIphoPuMdwE3gii+gMn3gTeCBdDSVEuLklRX0VCSVREQV9FU1QuMTAwMQUAAAAAAAAACAAAABQoSW52YWxpZCBJZGVudGlmaWVyKYaD7jHcBN4I19EDJ94E3ggaQ0lRLi5JUV9DVVJSRU5UX1JBVElPLjEwMDAFAAAAAAAAAAgAAAAUKEludmFsaWQgSWRlbnRpZmllcimGg+4x3ATeCIiBAyfeBN4IF0NJUS4uSVFfVEVWX0VCSVREQS4yMDAwBQAAAAAAAAAIAAAAFChJbnZhbGlkIElkZW50aWZpZXIphoPuMdwE3gjX0QMn3gTeCBZDSVEuLklRX05JX01BUkdJTi4yMDAwBQAAAAAAAAAIAAAAFChJbnZhbGlkIElkZW50aWZpZXIphoPuMdwE3gii+gMn3gTeCBVDSVEuLklRX1RFVi4xMC8yLzIwMjUFAAAAAAAAAAgAAAAUKEludmFsaWQgSWRlbnRp</t>
  </si>
  <si>
    <t>ZmllcimGg+4x3ATeCPGjBCfeBN4IFENJUS4uSVFfUEVfRVhDTC4yMDAwBQAAAAAAAAAIAAAAFChJbnZhbGlkIElkZW50aWZpZXIphoPuMdwE3gii+gMn3gTeCBhDSVEuLklRX1JFVkVOVUVfRVNULjEwMDEFAAAAAAAAAAgAAAAUKEludmFsaWQgSWRlbnRpZmllcimGg+4x3ATeCKMrBCfeBN4IFUNJUS4uSVFfRUJJVF9JTlQuMTAwMAUAAAAAAAAACAAAABQoSW52YWxpZCBJZGVudGlmaWVyKYaD7jHcBN4IovoDJ94E3gggQ0lRLi5JUV9ESVZJREVORF9ZSUVMRC4xMC8yLzIwMjUFAAAAAAAAAAgAAAAUKEludmFsaWQgSWRlbnRpZmllcimGg+4x3ATeCPGjBCfeBN4IGkNJUS4uSVFfQkVUQV81WVIuMTAvMi8yMDI1BQAAAAAAAAAIAAAAFChJbnZhbGlkIElkZW50aWZpZXIphoPuMdwE3gjxowQn3gTeCBlDSVEuLklRX1NQX09VVExPT0tfV0FUQ0guBQAAAAAAAAAIAAAAFChJbnZhbGlkIElkZW50aWZpZXIphoPuMdwE3gjxowQn3gTeCBFDSVEuLklRX1NQX0xDX0xULgUAAAAAAAAACAAAABQoSW52YWxpZCBJZGVudGlmaWVyKYaD7jHcBN4I8aMEJ94E3ggeQ0lRLi5JUV9DT01QQU5ZX05BTUUuMTAvMi8yMDI1BQAAAAAAAAAIAAAAFChJbnZhbGlkIElkZW50aWZpZXIphoPuMdwE3gjxowQn3gTeCCZDSVEuSVE3ODA2NzUuSVFfQ09NUEFOWV9OQU1FLjEwLzIvMjAyNQEAAACD6QsAAwAAABpIYW1pbHRvbiBMYW5l</t>
  </si>
  <si>
    <t>IEluY29ycG9yYXRlZACGg+4x3ATeCDH4Zk3eBN4IGUNJUS5JUTc4MDY3NS5JUV9TUF9MQ19MVC4BAAAAg+kLAAMAAAAAAIaD7jHcBN4IGvhlTd4E3gghQ0lRLklRNzgwNjc1LklRX1NQX09VVExPT0tfV0FUQ0guAQAAAIPpCwADAAAAAACGg+4x3ATeCGDMZU3eBN4IIkNJUS5JUTc4MDY3NS5JUV9CRVRBXzVZUi4xMC8yLzIwMjUBAAAAg+kLAAIAAAAQMS4yMTQyNTIyMzY5NjA1NABEru4x3ATeCGDMZU3eBN4IKENJUS5JUTc4MDY3NS5JUV9ESVZJREVORF9ZSUVMRC4xMC8yLzIwMjUBAAAAg+kLAAIAAAAGMS43MDY4AESu7jHcBN4IYMxlTd4E3ggdQ0lRLklRNzgwNjc1LklRX1RFVi4xMC8yLzIwMjUBAAAAg+kLAAIAAAALNTkwMy4xMjMyMDQBBgAAAAUAAAABMQEAAAALLTE5MzMyMzEyMzUDAAAAAzE2MAIAAAAGMTAwMDYwBAAAAAEwBwAAAAkxMC8yLzIwMjVEru4x3ATeCI3Yak3eBN4II0NJUS5JUTc4MDY3NS5JUV9NQVJLRVRDQVAuMTAvMi8yMDI1AQAAAIPpCwACAAAACzU1NTIuOTA4MjA0AQYAAAAFAAAAATEBAAAACy0xOTMzMjMxMjM1AwAAAAMxNjACAAAABjEwMDA1NAQAAAABMAcAAAAJMTAvMi8yMDI1RK7uMdwE3giN2GpN3gTeCCJDSVEuSVE3ODA2NzUuSVFfVEVWX1RPVEFMX1JFVi4yMDAwAQAAAIPpCwACAAAAEDguNTk0NzQ0Njg5MTc0OTQBBwAAAAUAAAABMQEAAAALLTE5MzMyMzA1MzgDAAAA</t>
  </si>
  <si>
    <t>ATACAAAABjEwMDA2MQQAAAABMAcAAAAJMTAvMy8yMDI1CAAAAAkxMC8zLzIwMjVEru4x3ATeCD6tak3eBN4IHENJUS5JUTc4MDY3NS5JUV9QRV9FWENMLjIwMDABAAAAg+kLAAIAAAAQMjQuNzg1NzgwNzMxNjk3MgEHAAAABQAAAAExAQAAAAstMTkzMzIzMDUzOAMAAAABMAIAAAAGMTAwMDY2BAAAAAEwBwAAAAkxMC8zLzIwMjUIAAAACTEwLzMvMjAyNUSu7jHcBN4IjdhqTd4E3ggfQ0lRLklRNzgwNjc1LklRX1RFVl9FQklUREEuMjAwMAEAAACD6QsAAgAAABAxNi42NDA2ODk2Nzg4NjEyAQcAAAAFAAAAATEBAAAACy0xOTMzMjMwNTM4AwAAAAEwAgAAAAYxMDAwNjMEAAAAATAHAAAACTEwLzMvMjAyNQgAAAAJMTAvMy8yMDI1RK7uMdwE3gg+rWpN3gTeCCJDSVEuSVE3ODA2NzUuSVFfUkVUVVJOX0VRVUlUWS4yMDAwAQAAAIPpCwACAAAABzM1LjA3NzYBCAAAAAUAAAABMQEAAAALLTE5MzMyMzA1MzgDAAAAAzE2MAIAAAAENDEyOAQAAAABMAcAAAAJMTAvNi8yMDI1CAAAAAk2LzMwLzIwMjUJAAAAATBEru4x3ATeCBr4ZU3eBN4IH0NJUS5JUTc4MDY3NS5JUV9FQklUREFfSU5ULjEwMDABAAAAg+kLAAIAAAAJMjUuMjgzMDAzAQgAAAAFAAAAATEBAAAACy0xOTQwMDAzMzE3AwAAAAMxNjACAAAABDQxOTAEAAAAATAHAAAACTEwLzYvMjAyNQgAAAAJMy8zMS8yMDI1CQAAAAEwRK7uMdwE3gga+GVN3gTeCCdD</t>
  </si>
  <si>
    <t>SVEuSVE3ODA2NzUuSVFfVE9UQUxfREVCVF9DQVBJVEFMLjEwMDABAAAAg+kLAAIAAAAHMjkuMTcxMQEIAAAABQAAAAExAQAAAAstMTk0MDAwMzMxNwMAAAADMTYwAgAAAAQ0MTg2BAAAAAEwBwAAAAkxMC82LzIwMjUIAAAACTMvMzEvMjAyNQkAAAABMESu7jHcBN4IGvhlTd4E3ggkQ0lRLklRNzgwNjc1LklRX0VGRkVDVF9UQVhfUkFURS4xMDAwAQAAAIPpCwACAAAABTEzLjM5AQgAAAAFAAAAATEBAAAACy0xOTQwMDAzMzE3AwAAAAMxNjACAAAABDQzNzYEAAAAATAHAAAACTEwLzYvMjAyNQgAAAAJMy8zMS8yMDI1CQAAAAEwRK7uMdwE3gga+GVN3gTeCB1DSVEuSVE3ODA2NzUuSVFfT1BFUl9JTkMuMjAwMAEAAACD6QsAAgAAAAczMDMuOTE2AQgAAAAFAAAAATEBAAAACy0xOTMzMjMwNTM4AwAAAAMxNjACAAAAAjIxBAAAAAEwBwAAAAkxMC82LzIwMjUIAAAACTYvMzAvMjAyNQkAAAABMESu7jHcBN4IGvhlTd4E3ggfQ0lRLklRNzgwNjc1LklRX1RPVEFMX0RFQlQuMjAwMAEAAACD6QsAAgAAAAczNzcuMzE3AQgAAAAFAAAAATEBAAAACy0xOTMzMjMwNTM4AwAAAAMxNjACAAAABDQxNzMEAAAAATAHAAAACTEwLzYvMjAyNQgAAAAJNi8zMC8yMDI1CQAAAAEwRK7uMdwE3gga+GVN3gTeCCFDSVEuSVE3ODA2NzUuSVFfVE9UQUxfRVFVSVRZLjIwMDABAAAAg+kLAAIAAAAHOTk1LjA0NgEIAAAABQAAAAExAQAA</t>
  </si>
  <si>
    <t>AAstMTkzMzIzMDUzOAMAAAADMTYwAgAAAAQxMjc1BAAAAAEwBwAAAAkxMC82LzIwMjUIAAAACTYvMzAvMjAyNQkAAAABMESu7jHcBN4IGvhlTd4E3ggfQ0lRLklRNzgwNjc1LklRX0NBU0hfRVFVSVYuMjAwMAEAAACD6QsAAgAAAAcyNjMuMzQ3AQgAAAAFAAAAATEBAAAACy0xOTMzMjMwNTM4AwAAAAMxNjACAAAABDEwOTYEAAAAATAHAAAACTEwLzYvMjAyNQgAAAAJNi8zMC8yMDI1CQAAAAEwRK7uMdwE3gga+GVN3gTeCCZDSVEuSVE3ODA2NzUuSVFfVE9UQUxfREVCVF9FUVVJVFkuMTAwMAEAAACD6QsAAgAAAAc0MS4xODU0AQgAAAAFAAAAATEBAAAACy0xOTQwMDAzMzE3AwAAAAMxNjACAAAABDQwMzQEAAAAATAHAAAACTEwLzYvMjAyNQgAAAAJMy8zMS8yMDI1CQAAAAEwRK7uMdwE3gga+GVN3gTeCB1DSVEuSVE3ODA2NzUuSVFfRUJJVF9JTlQuMTAwMAEAAACD6QsAAgAAAAkyMy43NDM3NzQBCAAAAAUAAAABMQEAAAALLTE5NDAwMDMzMTcDAAAAAzE2MAIAAAAENDE4OQQAAAABMAcAAAAJMTAvNi8yMDI1CAAAAAkzLzMxLzIwMjUJAAAAATBEru4x3ATeCBr4ZU3eBN4IJkNJUS5JUTc4MDY3NS5JUV9UT1RBTF9ERUJUX0VCSVREQS4xMDAwAQAAAIPpCwACAAAACDEuMTI4ODY1AQgAAAAFAAAAATEBAAAACy0xOTQwMDAzMzE3AwAAAAMxNjACAAAABDQxOTIEAAAAATAHAAAACTEwLzYvMjAyNQgAAAAJMy8z</t>
  </si>
  <si>
    <t>MS8yMDI1CQAAAAEwRK7uMdwE3gga+GVN3gTeCCJDSVEuSVE3ODA2NzUuSVFfQ1VSUkVOVF9SQVRJTy4xMDAwAQAAAIPpCwACAAAACDQuMDI5NTc5AQgAAAAFAAAAATEBAAAACy0xOTQwMDAzMzE3AwAAAAMxNjACAAAABDQwMzAEAAAAATAHAAAACTEwLzYvMjAyNQgAAAAJMy8zMS8yMDI1CQAAAAEwRK7uMdwE3gga+GVN3gTeCCVDSVEuSVE3ODA2NzUuSVFfRUJJVERBX0NBUEVYX0lOVC4xMDAwAQAAAIPpCwACAAAACTI0LjM3MTIxMgEIAAAABQAAAAExAQAAAAstMTk0MDAwMzMxNwMAAAADMTYwAgAAAAQ0MTkxBAAAAAEwBwAAAAkxMC82LzIwMjUIAAAACTMvMzEvMjAyNQkAAAABMESu7jHcBN4IGvhlTd4E3gggQ0lRLklRNzgwNjc1LklRX1FVSUNLX1JBVElPLjEwMDABAAAAg+kLAAIAAAAIMy44NzAwODQBCAAAAAUAAAABMQEAAAALLTE5NDAwMDMzMTcDAAAAAzE2MAIAAAAENDEyMQQAAAABMAcAAAAJMTAvNi8yMDI1CAAAAAkzLzMxLzIwMjUJAAAAATBEru4x3ATeCBr4ZU3eBN4IIkNJUS5JUTc4MDY3NS5JUV9SRVRVUk5fQVNTRVRTLjIwMDABAAAAg+kLAAIAAAAHMTEuOTY5MQEIAAAABQAAAAExAQAAAAstMTkzMzIzMDUzOAMAAAADMTYwAgAAAAQ0MTc4BAAAAAEwBwAAAAkxMC82LzIwMjUIAAAACTYvMzAvMjAyNQkAAAABMESu7jHcBN4IGvhlTd4E3gg3Q0lRLklRNzgwNjc1LklRX1RPVEFMX1JFVl8x</t>
  </si>
  <si>
    <t>WVJfQU5OX0dST1dUSC4yMDAwLjEwLzIvMjAyNQEAAACD6QsAAgAAAAcxMC42NTU1AQgAAAAFAAAAATEBAAAACy0xOTMzMjMwNTM4AwAAAAMxNjACAAAABDQxOTQEAAAAATAHAAAACTEwLzIvMjAyNQgAAAAJNi8zMC8yMDI1CQAAAAEwRK7uMdwE3giN2GpN3gTeCB5DSVEuSVE3ODA2NzUuSVFfVE9UQUxfUkVWLjEwMDABAAAAg+kLAAIAAAAHNzEyLjk2MwEIAAAABQAAAAExAQAAAAstMTk0MDAwMzMxNwMAAAADMTYwAgAAAAIyOAQAAAABMAcAAAAJMTAvNi8yMDI1CAAAAAkzLzMxLzIwMjUJAAAAATBEru4x3ATeCI3Yak3eBN4IHkNJUS5JUTc4MDY3NS5JUV9OSV9NQVJHSU4uMjAwMAEAAACD6QsAAgAAAAYzMC42NTYBCAAAAAUAAAABMQEAAAALLTE5MzMyMzA1MzgDAAAAAzE2MAIAAAAENDA5NAQAAAABMAcAAAAJMTAvNi8yMDI1CAAAAAk2LzMwLzIwMjUJAAAAATBEru4x3ATeCI3Yak3eBN4II0NJUS5JUTc4MDY3NS5JUV9ESUxVVF9FUFNfSU5DTC4xMDAwAQAAAIPpCwACAAAACDUuNDA3NDEyAQgAAAAFAAAAATEBAAAACy0xOTQwMDAzMzE3AwAAAAMxNjACAAAAATgEAAAAATAHAAAACTEwLzYvMjAyNQgAAAAJMy8zMS8yMDI1CQAAAAEwRK7uMdwE3giN2GpN3gTeCDFDSVEuSVE3ODA2NzUuSVFfRVBTXzFZUl9BTk5fR1JPV1RILjIwMDAuMTAvMi8yMDI1AQAAAIPpCwACAAAABjE4LjA3MwEIAAAABQAAAAEx</t>
  </si>
  <si>
    <t>AQAAAAstMTkzMzIzMDUzOAMAAAADMTYwAgAAAAQ0MjAwBAAAAAEwBwAAAAkxMC8yLzIwMjUIAAAACTYvMzAvMjAyNQkAAAABMESu7jHcBN4IPq1qTd4E3ggiQ0lRLklRNzgwNjc1LklRX0VCSVREQV9NQVJHSU4uMjAwMAEAAACD6QsAAgAAAAc0NS4yNzg4AQgAAAAFAAAAATEBAAAACy0xOTMzMjMwNTM4AwAAAAMxNjACAAAABDQwNDcEAAAAATAHAAAACTEwLzYvMjAyNQgAAAAJNi8zMC8yMDI1CQAAAAEwRK7uMdwE3gg+rWpN3gTeCCBDSVEuSVE3ODA2NzUuSVFfUkVWRU5VRV9FU1QuMTAwMQEAAACD6QsAAgAAAAk3MzMuMTYwNDgBDgAAAAUAAAABMwEAAAABMAIAAAAKMTAwNTM4MTIwMwMAAAAGMTAwMTgwBAAAAAEyBgAAAAEwBwAAAAMxNjAIAAAAATAJAAAAATEKAAAAATALAAAACzE0NDk0OTkxMDc0DAAAAAExDQAAAAkxMC83LzIwMjUQAAAACTEwLzYvMjAyNTvZ7jHcBN4IjdhqTd4E3ggfQ0lRLklRNzgwNjc1LklRX0VCSVREQV9FU1QuMTAwMQEAAACD6QsAAgAAAAkzMzAuMTYzOTEBDgAAAAUAAAABMwEAAAABMAIAAAAKMTAwNTM4MTIwMwMAAAAGMTAwMTg3BAAAAAEyBgAAAAEwBwAAAAMxNjAIAAAAATAJAAAAATEKAAAAATALAAAACzE0NDk0OTkwOTc4DAAAAAExDQAAAAkxMC83LzIwMjUQAAAACTEwLzYvMjAyNTvZ7jHcBN4IjdhqTd4E3ggbQ0lRLklRNzgwNjc1LklRX05JX0VTVC4xMDAxAQAAAIPp</t>
  </si>
  <si>
    <t>CwACAAAACTI3NC4zNjc0MQEOAAAABQAAAAEzAQAAAAEwAgAAAAoxMDA1MzgxMjAzAwAAAAYxMDAyNTAEAAAAATIGAAAAATAHAAAAAzE2MAgAAAABMAkAAAABMQoAAAABMAsAAAALMTQ0OTQ5OTA5MTgMAAAAATENAAAACTEwLzcvMjAyNRAAAAAJMTAvNi8yMDI1O9nuMdwE3giN2GpN3gTeCBxDSVEuSVE3ODA2NzUuSVFfRVBTX0VTVC4xMDAxAQAAAIPpCwACAAAABzUuMDczMzMBDgAAAAUAAAABMwEAAAAJNDIxMjUzMjc5AgAAAAoxMDA1MzgxMjAzAwAAAAYxMDAxNzMEAAAAATIGAAAAATAHAAAAAzE2MAgAAAABMAkAAAABMQoAAAABMAsAAAALMTQ0OTQ5OTEwOTgMAAAAATENAAAACTEwLzcvMjAyNRAAAAAJMTAvNi8yMDI1O9nuMdwE3giN2GpN3gTeCChDSVEuSVEzNDIzMTkxNC5JUV9DT01QQU5ZX05BTUUuMTAvMi8yMDI1AQAAAGpWCgIDAAAAFFN0ZXBTdG9uZSBHcm91cCBJbmMuAFjCUkXcBN4I2lxjTd4E3ggjQ0lRLklRMzQyMzE5MTQuSVFfU1BfT1VUTE9PS19XQVRDSC4BAAAAalYKAgMAAAACTlIAWMJSRdwE3gjxQWRN3gTeCBtDSVEuSVEzNDIzMTkxNC5JUV9TUF9MQ19MVC4BAAAAalYKAgMAAAACTlIAWMJSRdwE3gjxQWRN3gTeCCRDSVEuSVEzNDIzMTkxNC5JUV9CRVRBXzVZUi4xMC8yLzIwMjUBAAAAalYKAgIAAAAQMS4zNjE0NjQ2NzI0ODczMQBYwlJF3ATeCPFBZE3eBN4IHkNJUS5JUTM0MjMx</t>
  </si>
  <si>
    <t>OTE0LklRX1BFX0VYQ0wuMjAwMAEAAABqVgoCAwAAAAJOTQEHAAAABQAAAAExAQAAAAstMTkzMjcyMzI3NwMAAAABMAIAAAAGMTAwMDY2BAAAAAEwBwAAAAkxMC8zLzIwMjUIAAAACTEwLzMvMjAyNVjCUkXcBN4IsIRjTd4E3ggkQ0lRLklRMzQyMzE5MTQuSVFfVEVWX1RPVEFMX1JFVi4yMDAwAQAAAGpWCgICAAAAEDUuMTMxNDAyMjk1NDcwNzQBBwAAAAUAAAABMQEAAAALLTE5MzI3MjMyNzcDAAAAATACAAAABjEwMDA2MQQAAAABMAcAAAAJMTAvMy8yMDI1CAAAAAkxMC8zLzIwMjVYwlJF3ATeCLCEY03eBN4IIUNJUS5JUTM0MjMxOTE0LklRX1RFVl9FQklUREEuMjAwMAEAAABqVgoCAwAAAAJOTQEHAAAABQAAAAExAQAAAAstMTkzMjcyMzI3NwMAAAABMAIAAAAGMTAwMDYzBAAAAAEwBwAAAAkxMC8zLzIwMjUIAAAACTEwLzMvMjAyNVjCUkXcBN4IsIRjTd4E3ggqQ0lRLklRMzQyMzE5MTQuSVFfRElWSURFTkRfWUlFTEQuMTAvMi8yMDI1AQAAAGpWCgICAAAABjIuMzUwMwBYwlJF3ATeCPFBZE3eBN4IJUNJUS5JUTM0MjMxOTE0LklRX01BUktFVENBUC4xMC8yLzIwMjUBAAAAalYKAgIAAAALNTA4MC4wMTY4MTkBBgAAAAUAAAABMQEAAAALLTE5MzI3MjQxNTQDAAAAAzE2MAIAAAAGMTAwMDU0BAAAAAEwBwAAAAkxMC8yLzIwMjVYwlJF3ATeCLCEY03eBN4IH0NJUS5JUTM0MjMxOTE0LklRX1RFVi4xMC8y</t>
  </si>
  <si>
    <t>LzIwMjUBAAAAalYKAgIAAAALNjc2MS40NDM4MTkBBgAAAAUAAAABMQEAAAALLTE5MzI3MjQxNTQDAAAAAzE2MAIAAAAGMTAwMDYwBAAAAAEwBwAAAAkxMC8yLzIwMjVYwlJF3ATeCLCEY03eBN4IIUNJUS5JUTM0MjMxOTE0LklRX0VCSVREQV9FU1QuMTAwMQEAAABqVgoCAgAAAAk0NjIuNDEzNDkBDgAAAAUAAAABMwEAAAABMAIAAAAKMTAwNTcyNzc3OAMAAAAGMTAwMTg3BAAAAAEyBgAAAAEwBwAAAAMxNjAIAAAAATAJAAAAATEKAAAAATALAAAACzE0NDM2OTI2NjQ2DAAAAAExDQAAAAkxMC83LzIwMjUQAAAACTEwLzYvMjAyNVjCUkXcBN4IsIRjTd4E3ggiQ0lRLklRMzQyMzE5MTQuSVFfUkVWRU5VRV9FU1QuMTAwMQEAAABqVgoCAgAAAAkxMTMxLjAwMDEBDgAAAAUAAAABMwEAAAABMAIAAAAKMTAwNTcyNzc3OAMAAAAGMTAwMTgwBAAAAAEyBgAAAAEwBwAAAAMxNjAIAAAAATAJAAAAATEKAAAAATALAAAACzE0NDk0OTg5ODc4DAAAAAExDQAAAAkxMC83LzIwMjUQAAAACTEwLzYvMjAyNVjCUkXcBN4IsIRjTd4E3ggdQ0lRLklRMzQyMzE5MTQuSVFfTklfRVNULjEwMDEBAAAAalYKAgIAAAAJMjM3LjIyNzY3AQ4AAAAFAAAAATMBAAAAATACAAAACjEwMDU3Mjc3NzgDAAAABjEwMDI1MAQAAAABMgYAAAABMAcAAAADMTYwCAAAAAEwCQAAAAExCgAAAAEwCwAAAAsxNDQ5NDk4OTgxMgwAAAABMQ0AAAAJMTAv</t>
  </si>
  <si>
    <t>Ny8yMDI1EAAAAAkxMC82LzIwMjVYwlJF3ATeCLCEY03eBN4IHkNJUS5JUTM0MjMxOTE0LklRX0VQU19FU1QuMTAwMQEAAABqVgoCAgAAAAUxLjkyNQEOAAAABQAAAAEzAQAAAAk2NDM2ODE0OTYCAAAACjEwMDU3Mjc3NzgDAAAABjEwMDE3MwQAAAABMgYAAAABMAcAAAADMTYwCAAAAAEwCQAAAAExCgAAAAEwCwAAAAsxNDQ5NDk4OTk0NQwAAAABMQ0AAAAJMTAvNy8yMDI1EAAAAAkxMC82LzIwMjVYwlJF3ATeCLOtY03eBN4IIUNJUS5JUTM0MjMxOTE0LklRX0VCSVREQV9JTlQuMTAwMAEAAABqVgoCAwAAAAJOTQEIAAAABQAAAAExAQAAAAstMTk0MTMyNDkwMQMAAAADMTYwAgAAAAQ0MTkwBAAAAAEwBwAAAAkxMC82LzIwMjUIAAAACTMvMzEvMjAyNQkAAAABMFjCUkXcBN4I8UFkTd4E3ggfQ0lRLklRMzQyMzE5MTQuSVFfRUJJVF9JTlQuMTAwMAEAAABqVgoCAwAAAAJOTQEIAAAABQAAAAExAQAAAAstMTk0MTMyNDkwMQMAAAADMTYwAgAAAAQ0MTg5BAAAAAEwBwAAAAkxMC82LzIwMjUIAAAACTMvMzEvMjAyNQkAAAABMFjCUkXcBN4I8UFkTd4E3ggnQ0lRLklRMzQyMzE5MTQuSVFfRUJJVERBX0NBUEVYX0lOVC4xMDAwAQAAAGpWCgIDAAAAAk5NAQgAAAAFAAAAATEBAAAACy0xOTQxMzI0OTAxAwAAAAMxNjACAAAABDQxOTEEAAAAATAHAAAACTEwLzYvMjAyNQgAAAAJMy8zMS8yMDI1CQAAAAEwWMJSRdwE</t>
  </si>
  <si>
    <t>3gjxQWRN3gTeCCRDSVEuSVEzNDIzMTkxNC5JUV9DVVJSRU5UX1JBVElPLjEwMDABAAAAalYKAgIAAAAHMC45NTY3NAEIAAAABQAAAAExAQAAAAstMTk0MTMyNDkwMQMAAAADMTYwAgAAAAQ0MDMwBAAAAAEwBwAAAAkxMC82LzIwMjUIAAAACTMvMzEvMjAyNQkAAAABMFjCUkXcBN4I8UFkTd4E3ggpQ0lRLklRMzQyMzE5MTQuSVFfVE9UQUxfREVCVF9DQVBJVEFMLjEwMDABAAAAalYKAgIAAAAHMTcuNzQ0OQEIAAAABQAAAAExAQAAAAstMTk0MTMyNDkwMQMAAAADMTYwAgAAAAQ0MTg2BAAAAAEwBwAAAAkxMC82LzIwMjUIAAAACTMvMzEvMjAyNQkAAAABMFjCUkXcBN4I8UFkTd4E3ggkQ0lRLklRMzQyMzE5MTQuSVFfUkVUVVJOX0VRVUlUWS4yMDAwAQAAAGpWCgICAAAACC0xMi44MDY3AQgAAAAFAAAAATEBAAAACy0xOTMyNzIzMjc3AwAAAAMxNjACAAAABDQxMjgEAAAAATAHAAAACTEwLzYvMjAyNQgAAAAJNi8zMC8yMDI1CQAAAAEwWMJSRdwE3gjxQWRN3gTeCCZDSVEuSVEzNDIzMTkxNC5JUV9FRkZFQ1RfVEFYX1JBVEUuMTAwMAEAAABqVgoCAwAAAAJOTQEIAAAABQAAAAExAQAAAAstMTk0MTMyNDkwMQMAAAADMTYwAgAAAAQ0Mzc2BAAAAAEwBwAAAAkxMC82LzIwMjUIAAAACTMvMzEvMjAyNQkAAAABMFjCUkXcBN4I4EdrRdwE3ggfQ0lRLklRMzQyMzE5MTQuSVFfT1BFUl9JTkMuMjAwMAEAAABqVgoC</t>
  </si>
  <si>
    <t>AgAAAAgtMzU5LjY2MwEIAAAABQAAAAExAQAAAAstMTkzMjcyMzI3NwMAAAADMTYwAgAAAAIyMQQAAAABMAcAAAAJMTAvNi8yMDI1CAAAAAk2LzMwLzIwMjUJAAAAATBYwlJF3ATeCBtcYk3eBN4IIUNJUS5JUTM0MjMxOTE0LklRX1RPVEFMX0RFQlQuMjAwMAEAAABqVgoCAgAAAAczODIuMDc4AQgAAAAFAAAAATEBAAAACy0xOTMyNzIzMjc3AwAAAAMxNjACAAAABDQxNzMEAAAAATAHAAAACTEwLzYvMjAyNQgAAAAJNi8zMC8yMDI1CQAAAAEwWMJSRdwE3gjHg2JN3gTeCCNDSVEuSVEzNDIzMTkxNC5JUV9UT1RBTF9FUVVJVFkuMjAwMAEAAABqVgoCAgAAAAgxNjk3LjQxMgEIAAAABQAAAAExAQAAAAstMTkzMjcyMzI3NwMAAAADMTYwAgAAAAQxMjc1BAAAAAEwBwAAAAkxMC82LzIwMjUIAAAACTYvMzAvMjAyNQkAAAABMFjCUkXcBN4Ix4NiTd4E3gghQ0lRLklRMzQyMzE5MTQuSVFfQ0FTSF9FUVVJVi4yMDAwAQAAAGpWCgICAAAABzI0NC4xMzEBCAAAAAUAAAABMQEAAAALLTE5MzI3MjMyNzcDAAAAAzE2MAIAAAAEMTA5NgQAAAABMAcAAAAJMTAvNi8yMDI1CAAAAAk2LzMwLzIwMjUJAAAAATBYwlJF3ATeCMeDYk3eBN4IJENJUS5JUTM0MjMxOTE0LklRX1JFVFVSTl9BU1NFVFMuMjAwMAEAAABqVgoCAgAAAActNS4yMTc0AQgAAAAFAAAAATEBAAAACy0xOTMyNzIzMjc3AwAAAAMxNjACAAAABDQxNzgEAAAA</t>
  </si>
  <si>
    <t>ATAHAAAACTEwLzYvMjAyNQgAAAAJNi8zMC8yMDI1CQAAAAEwWMJSRdwE3gi4bGRN3gTeCCJDSVEuSVEzNDIzMTkxNC5JUV9RVUlDS19SQVRJTy4xMDAwAQAAAGpWCgICAAAACDAuOTQ5NjM5AQgAAAAFAAAAATEBAAAACy0xOTQxMzI0OTAxAwAAAAMxNjACAAAABDQxMjEEAAAAATAHAAAACTEwLzYvMjAyNQgAAAAJMy8zMS8yMDI1CQAAAAEwWMJSRdwE3gi4bGRN3gTeCChDSVEuSVEzNDIzMTkxNC5JUV9UT1RBTF9ERUJUX0VCSVREQS4xMDAwAQAAAGpWCgIDAAAAAk5NAQgAAAAFAAAAATEBAAAACy0xOTQxMzI0OTAxAwAAAAMxNjACAAAABDQxOTIEAAAAATAHAAAACTEwLzYvMjAyNQgAAAAJMy8zMS8yMDI1CQAAAAEwWMJSRdwE3gi4bGRN3gTeCChDSVEuSVEzNDIzMTkxNC5JUV9UT1RBTF9ERUJUX0VRVUlUWS4xMDAwAQAAAGpWCgICAAAABjIxLjU3MwEIAAAABQAAAAExAQAAAAstMTk0MTMyNDkwMQMAAAADMTYwAgAAAAQ0MDM0BAAAAAEwBwAAAAkxMC82LzIwMjUIAAAACTMvMzEvMjAyNQkAAAABMFjCUkXcBN4IuGxkTd4E3ggkQ0lRLklRMzQyMzE5MTQuSVFfRUJJVERBX01BUkdJTi4yMDAwAQAAAGpWCgICAAAACC0yMy4yMTg5AQgAAAAFAAAAATEBAAAACy0xOTMyNzIzMjc3AwAAAAMxNjACAAAABDQwNDcEAAAAATAHAAAACTEwLzYvMjAyNQgAAAAJNi8zMC8yMDI1CQAAAAEwWMJSRdwE3gjaXGNN3gTe</t>
  </si>
  <si>
    <t>CDlDSVEuSVEzNDIzMTkxNC5JUV9UT1RBTF9SRVZfMVlSX0FOTl9HUk9XVEguMjAwMC4xMC8yLzIwMjUBAAAAalYKAgIAAAAHODcuODcxNwEIAAAABQAAAAExAQAAAAstMTkzMjcyMzI3NwMAAAADMTYwAgAAAAQ0MTk0BAAAAAEwBwAAAAkxMC8yLzIwMjUIAAAACTYvMzAvMjAyNQkAAAABMFjCUkXcBN4IsIRjTd4E3gggQ0lRLklRMzQyMzE5MTQuSVFfTklfTUFSR0lOLjIwMDABAAAAalYKAgIAAAAFLTE3LjEBCAAAAAUAAAABMQEAAAALLTE5MzI3MjMyNzcDAAAAAzE2MAIAAAAENDA5NAQAAAABMAcAAAAJMTAvNi8yMDI1CAAAAAk2LzMwLzIwMjUJAAAAATBYwlJF3ATeCLCEY03eBN4IM0NJUS5JUTM0MjMxOTE0LklRX0VQU18xWVJfQU5OX0dST1dUSC4yMDAwLjEwLzIvMjAyNQEAAABqVgoCAwAAAAJOTQEIAAAABQAAAAExAQAAAAstMTkzMjcyMzI3NwMAAAADMTYwAgAAAAQ0MjAwBAAAAAEwBwAAAAkxMC8yLzIwMjUIAAAACTYvMzAvMjAyNQkAAAABMFjCUkXcBN4I0iBrRdwE3gggQ0lRLklRMzQyMzE5MTQuSVFfVE9UQUxfUkVWLjEwMDABAAAAalYKAgIAAAAHMTE3NC44MwEIAAAABQAAAAExAQAAAAstMTk0MTMyNDkwMQMAAAADMTYwAgAAAAIyOAQAAAABMAcAAAAJMTAvNi8yMDI1CAAAAAkzLzMxLzIwMjUJAAAAATBYwlJF3ATeCLCEY03eBN4IJUNJUS5JUTM0MjMxOTE0LklRX0RJTFVUX0VQU19JTkNM</t>
  </si>
  <si>
    <t>LjEwMDABAAAAalYKAgIAAAAJLTIuNTIzOTc1AQgAAAAFAAAAATEBAAAACy0xOTQxMzI0OTAxAwAAAAMxNjACAAAAATgEAAAAATAHAAAACTEwLzYvMjAyNQgAAAAJMy8zMS8yMDI1CQAAAAEwWMJSRdwE3gizrWNN3gTeCChDSVEuSVE0NDcwNzIzNi5JUV9DT01QQU5ZX05BTUUuMTAvMi8yMDI1AQAAAKQtqgIDAAAAG0FyZXMgTWFuYWdlbWVudCBDb3Jwb3JhdGlvbgCkRcJR3ATeCKQCak3eBN4IG0NJUS5JUTQ0NzA3MjM2LklRX1NQX0xDX0xULgEAAACkLaoCAwAAAARCQkIrAKRFwlHcBN4IEWNlTd4E3ggjQ0lRLklRNDQ3MDcyMzYuSVFfU1BfT1VUTE9PS19XQVRDSC4BAAAApC2qAgMAAAAGU3RhYmxlAKRFwlHcBN4IEWNlTd4E3ggeQ0lRLklRNDQ3MDcyMzYuSVFfUEVfRVhDTC4yMDAwAQAAAKQtqgICAAAAEDg2Ljc2MDUzNTc5NzU0NTEBBwAAAAUAAAABMQEAAAALLTE5MzI0Njg1NjQDAAAAATACAAAABjEwMDA2NgQAAAABMAcAAAAJMTAvMy8yMDI1CAAAAAkxMC8zLzIwMjWkRcJR3ATeCKQCak3eBN4IIUNJUS5JUTQ0NzA3MjM2LklRX1RFVl9FQklUREEuMjAwMAEAAACkLaoCAgAAABA0MC42NDE2NTk4NTUzODU4AQcAAAAFAAAAATEBAAAACy0xOTMyNDY4NTY0AwAAAAEwAgAAAAYxMDAwNjMEAAAAATAHAAAACTEwLzMvMjAyNQgAAAAJMTAvMy8yMDI1pEXCUdwE3gikAmpN3gTeCCRDSVEuSVE0NDcwNzIz</t>
  </si>
  <si>
    <t>Ni5JUV9URVZfVE9UQUxfUkVWLjIwMDABAAAApC2qAgIAAAAQMTAuNjI5NzY4NjYyNTk4OQEHAAAABQAAAAExAQAAAAstMTkzMjQ2ODU2NAMAAAABMAIAAAAGMTAwMDYxBAAAAAEwBwAAAAkxMC8zLzIwMjUIAAAACTEwLzMvMjAyNaRFwlHcBN4ItS1qTd4E3ggqQ0lRLklRNDQ3MDcyMzYuSVFfRElWSURFTkRfWUlFTEQuMTAvMi8yMDI1AQAAAKQtqgICAAAABjIuOTc0NQCkRcJR3ATeCBFjZU3eBN4IJUNJUS5JUTQ0NzA3MjM2LklRX01BUktFVENBUC4xMC8yLzIwMjUBAAAApC2qAgIAAAAMMzMwNDcuNTM5NjA4AQYAAAAFAAAAATEBAAAACy0xOTMyNDY4OTIzAwAAAAMxNjACAAAABjEwMDA1NAQAAAABMAcAAAAJMTAvMi8yMDI1pEXCUdwE3gikAmpN3gTeCB9DSVEuSVE0NDcwNzIzNi5JUV9URVYuMTAvMi8yMDI1AQAAAKQtqgICAAAADDUwOTI0LjIzNDYwOAEGAAAABQAAAAExAQAAAAstMTkzMjQ2ODkyMwMAAAADMTYwAgAAAAYxMDAwNjAEAAAAATAHAAAACTEwLzIvMjAyNaRFwlHcBN4ItS1qTd4E3ggkQ0lRLklRNDQ3MDcyMzYuSVFfQkVUQV81WVIuMTAvMi8yMDI1AQAAAKQtqgICAAAAEDEuNDQ3MjgzMzcwODgzMzIApEXCUdwE3ggRY2VN3gTeCCJDSVEuSVE0NDcwNzIzNi5JUV9RVUlDS19SQVRJTy4xMDAwAQAAAKQtqgICAAAACDAuODYwMDEzAQgAAAAFAAAAATEBAAAACy0xOTU3NTUzNTk4AwAAAAMx</t>
  </si>
  <si>
    <t>NjACAAAABDQxMjEEAAAAATAHAAAACTEwLzYvMjAyNQgAAAAKMTIvMzEvMjAyNAkAAAABMKRFwlHcBN4IEWNlTd4E3ggpQ0lRLklRNDQ3MDcyMzYuSVFfVE9UQUxfREVCVF9DQVBJVEFMLjEwMDABAAAApC2qAgIAAAAHNjMuOTkxNwEIAAAABQAAAAExAQAAAAstMTk1NzU1MzU5OAMAAAADMTYwAgAAAAQ0MTg2BAAAAAEwBwAAAAkxMC82LzIwMjUIAAAACjEyLzMxLzIwMjQJAAAAATCkRcJR3ATeCBFjZU3eBN4IJ0NJUS5JUTQ0NzA3MjM2LklRX0VCSVREQV9DQVBFWF9JTlQuMTAwMAEAAACkLaoCAgAAAAgxLjE1MjAxOAEIAAAABQAAAAExAQAAAAstMTk1NzU1MzU5OAMAAAADMTYwAgAAAAQ0MTkxBAAAAAEwBwAAAAkxMC82LzIwMjUIAAAACjEyLzMxLzIwMjQJAAAAATCkRcJR3ATeCBFjZU3eBN4IH0NJUS5JUTQ0NzA3MjM2LklRX0VCSVRfSU5ULjEwMDABAAAApC2qAgIAAAAIMS4wMTUxNjgBCAAAAAUAAAABMQEAAAALLTE5NTc1NTM1OTgDAAAAAzE2MAIAAAAENDE4OQQAAAABMAcAAAAJMTAvNi8yMDI1CAAAAAoxMi8zMS8yMDI0CQAAAAEwpEXCUdwE3ggRY2VN3gTeCCZDSVEuSVE0NDcwNzIzNi5JUV9FRkZFQ1RfVEFYX1JBVEUuMTAwMAEAAACkLaoCAgAAAAcxMi45MDc1AQgAAAAFAAAAATEBAAAACy0xOTU3NTUzNTk4AwAAAAMxNjACAAAABDQzNzYEAAAAATAHAAAACTEwLzYvMjAyNQgAAAAKMTIvMzEv</t>
  </si>
  <si>
    <t>MjAyNAkAAAABMKRFwlHcBN4IEWNlTd4E3ggfQ0lRLklRNDQ3MDcyMzYuSVFfT1BFUl9JTkMuMjAwMAEAAACkLaoCAgAAAAc5ODUuNjI0AQgAAAAFAAAAATEBAAAACy0xOTMyNDY4NTY0AwAAAAMxNjACAAAAAjIxBAAAAAEwBwAAAAkxMC82LzIwMjUIAAAACTYvMzAvMjAyNQkAAAABMKRFwlHcBN4IEWNlTd4E3gghQ0lRLklRNDQ3MDcyMzYuSVFfVE9UQUxfREVCVC4yMDAwAQAAAKQtqgICAAAACDEzNDcxLjEzAQgAAAAFAAAAATEBAAAACy0xOTMyNDY4NTY0AwAAAAMxNjACAAAABDQxNzMEAAAAATAHAAAACTEwLzYvMjAyNQgAAAAJNi8zMC8yMDI1CQAAAAEwpEXCUdwE3ggRY2VN3gTeCCNDSVEuSVE0NDcwNzIzNi5JUV9UT1RBTF9FUVVJVFkuMjAwMAEAAACkLaoCAgAAAAg4ODM5LjM4MwEIAAAABQAAAAExAQAAAAstMTkzMjQ2ODU2NAMAAAADMTYwAgAAAAQxMjc1BAAAAAEwBwAAAAkxMC82LzIwMjUIAAAACTYvMzAvMjAyNQkAAAABMKRFwlHcBN4IEWNlTd4E3gghQ0lRLklRNDQ3MDcyMzYuSVFfQ0FTSF9FUVVJVi4yMDAwAQAAAKQtqgICAAAACDE1MzEuOTA1AQgAAAAFAAAAATEBAAAACy0xOTMyNDY4NTY0AwAAAAMxNjACAAAABDEwOTYEAAAAATAHAAAACTEwLzYvMjAyNQgAAAAJNi8zMC8yMDI1CQAAAAEwpEXCUdwE3ggRY2VN3gTeCChDSVEuSVE0NDcwNzIzNi5JUV9UT1RBTF9ERUJUX0VCSVREQS4x</t>
  </si>
  <si>
    <t>MDAwAQAAAKQtqgICAAAACTEwLjc5MDAyMwEIAAAABQAAAAExAQAAAAstMTk1NzU1MzU5OAMAAAADMTYwAgAAAAQ0MTkyBAAAAAEwBwAAAAkxMC82LzIwMjUIAAAACjEyLzMxLzIwMjQJAAAAATCkRcJR3ATeCJCcZU3eBN4IIUNJUS5JUTQ0NzA3MjM2LklRX0VCSVREQV9JTlQuMTAwMAEAAACkLaoCAgAAAAgxLjI0NTU1NwEIAAAABQAAAAExAQAAAAstMTk1NzU1MzU5OAMAAAADMTYwAgAAAAQ0MTkwBAAAAAEwBwAAAAkxMC82LzIwMjUIAAAACjEyLzMxLzIwMjQJAAAAATCkRcJR3ATeCBFjZU3eBN4IJENJUS5JUTQ0NzA3MjM2LklRX1JFVFVSTl9FUVVJVFkuMjAwMAEAAACkLaoCAgAAAAUxMy40MwEIAAAABQAAAAExAQAAAAstMTkzMjQ2ODU2NAMAAAADMTYwAgAAAAQ0MTI4BAAAAAEwBwAAAAkxMC82LzIwMjUIAAAACTYvMzAvMjAyNQkAAAABMKRFwlHcBN4IEWNlTd4E3ggkQ0lRLklRNDQ3MDcyMzYuSVFfUkVUVVJOX0FTU0VUUy4yMDAwAQAAAKQtqgICAAAABjIuMzk0MgEIAAAABQAAAAExAQAAAAstMTkzMjQ2ODU2NAMAAAADMTYwAgAAAAQ0MTc4BAAAAAEwBwAAAAkxMC82LzIwMjUIAAAACTYvMzAvMjAyNQkAAAABMKRFwlHcBN4IkJxlTd4E3ggoQ0lRLklRNDQ3MDcyMzYuSVFfVE9UQUxfREVCVF9FUVVJVFkuMTAwMAEAAACkLaoCAgAAAAgxNzcuNzEzOQEIAAAABQAAAAExAQAAAAstMTk1NzU1MzU5</t>
  </si>
  <si>
    <t>OAMAAAADMTYwAgAAAAQ0MDM0BAAAAAEwBwAAAAkxMC82LzIwMjUIAAAACjEyLzMxLzIwMjQJAAAAATCkRcJR3ATeCJCcZU3eBN4IJENJUS5JUTQ0NzA3MjM2LklRX0NVUlJFTlRfUkFUSU8uMTAwMAEAAACkLaoCAgAAAAgwLjkxNDA1NgEIAAAABQAAAAExAQAAAAstMTk1NzU1MzU5OAMAAAADMTYwAgAAAAQ0MDMwBAAAAAEwBwAAAAkxMC82LzIwMjUIAAAACjEyLzMxLzIwMjQJAAAAATCkRcJR3ATeCJCcZU3eBN4IJUNJUS5JUTQ0NzA3MjM2LklRX0RJTFVUX0VQU19JTkNMLjEwMDABAAAApC2qAgIAAAAIMi4wNzExMjIBCAAAAAUAAAABMQEAAAALLTE5NTc1NTM1OTgDAAAAAzE2MAIAAAABOAQAAAABMAcAAAAJMTAvNi8yMDI1CAAAAAoxMi8zMS8yMDI0CQAAAAEwpEXCUdwE3gikAmpN3gTeCCBDSVEuSVE0NDcwNzIzNi5JUV9OSV9NQVJHSU4uMjAwMAEAAACkLaoCAgAAAAY5Ljk0MjgBCAAAAAUAAAABMQEAAAALLTE5MzI0Njg1NjQDAAAAAzE2MAIAAAAENDA5NAQAAAABMAcAAAAJMTAvNi8yMDI1CAAAAAk2LzMwLzIwMjUJAAAAATCkRcJR3ATeCLUtak3eBN4IM0NJUS5JUTQ0NzA3MjM2LklRX0VQU18xWVJfQU5OX0dST1dUSC4yMDAwLjEwLzIvMjAyNQEAAACkLaoCAgAAAActOS44MjA0AQgAAAAFAAAAATEBAAAACy0xOTMyNDY4NTY0AwAAAAMxNjACAAAABDQyMDAEAAAAATAHAAAACTEwLzIvMjAyNQgA</t>
  </si>
  <si>
    <t>AAAJNi8zMC8yMDI1CQAAAAEwpEXCUdwE3gi1LWpN3gTeCCBDSVEuSVE0NDcwNzIzNi5JUV9UT1RBTF9SRVYuMTAwMAEAAACkLaoCAgAAAAgzODg0Ljc4MQEIAAAABQAAAAExAQAAAAstMTk1NzU1MzU5OAMAAAADMTYwAgAAAAIyOAQAAAABMAcAAAAJMTAvNi8yMDI1CAAAAAoxMi8zMS8yMDI0CQAAAAEwpEXCUdwE3gi1LWpN3gTeCCRDSVEuSVE0NDcwNzIzNi5JUV9FQklUREFfTUFSR0lOLjIwMDABAAAApC2qAgIAAAAHMjQuNDk4NgEIAAAABQAAAAExAQAAAAstMTkzMjQ2ODU2NAMAAAADMTYwAgAAAAQ0MDQ3BAAAAAEwBwAAAAkxMC82LzIwMjUIAAAACTYvMzAvMjAyNQkAAAABMKRFwlHcBN4ItS1qTd4E3gg5Q0lRLklRNDQ3MDcyMzYuSVFfVE9UQUxfUkVWXzFZUl9BTk5fR1JPV1RILjIwMDAuMTAvMi8yMDI1AQAAAKQtqgICAAAABzQ5Ljg2NzkBCAAAAAUAAAABMQEAAAALLTE5MzI0Njg1NjQDAAAAAzE2MAIAAAAENDE5NAQAAAABMAcAAAAJMTAvMi8yMDI1CAAAAAk2LzMwLzIwMjUJAAAAATCkRcJR3ATeCLUtak3eBN4IIUNJUS5JUTQ0NzA3MjM2LklRX0VCSVREQV9FU1QuMTAwMQEAAACkLaoCAgAAAAcxOTQyLjY2AQ4AAAAFAAAAATMBAAAAATACAAAACjEwMDQxMzY4MTEDAAAABjEwMDE4NwQAAAABMgYAAAABMAcAAAADMTYwCAAAAAEwCQAAAAExCgAAAAEwCwAAAAsxNDQ5NDkyOTUxMAwAAAABMQ0A</t>
  </si>
  <si>
    <t>AAAJMTAvNy8yMDI1EAAAAAkxMC82LzIwMjWkRcJR3ATeCLUtak3eBN4IIkNJUS5JUTQ0NzA3MjM2LklRX1JFVkVOVUVfRVNULjEwMDEBAAAApC2qAgIAAAAKNDMwMC45MTc4NQEOAAAABQAAAAEzAQAAAAEwAgAAAAoxMDA0MTM2ODExAwAAAAYxMDAxODAEAAAAATIGAAAAATAHAAAAAzE2MAgAAAABMAkAAAABMQoAAAABMAsAAAALMTQ0OTQ5Mjk5MzAMAAAAATENAAAACTEwLzcvMjAyNRAAAAAJMTAvNi8yMDI1pEXCUdwE3gi1LWpN3gTeCB1DSVEuSVE0NDcwNzIzNi5JUV9OSV9FU1QuMTAwMQEAAACkLaoCAgAAAAoxMTc1LjExNjg2AQ4AAAAFAAAAATMBAAAAATACAAAACjEwMDQxMzY4MTEDAAAABjEwMDI1MAQAAAABMgYAAAABMAcAAAADMTYwCAAAAAEwCQAAAAExCgAAAAEwCwAAAAsxNDQ5NDkyODE4MwwAAAABMQ0AAAAJMTAvNy8yMDI1EAAAAAkxMC82LzIwMjWkRcJR3ATeCLUtak3eBN4IHkNJUS5JUTQ0NzA3MjM2LklRX0VQU19FU1QuMTAwMQEAAACkLaoCAgAAAAc1LjA1MTQ0AQ4AAAAFAAAAATMBAAAACTU5MjUzNjQ5MQIAAAAKMTAwNDEzNjgxMQMAAAAGMTAwMTczBAAAAAEyBgAAAAEwBwAAAAMxNjAIAAAAATAJAAAAATEKAAAAATALAAAACzE0NDk0OTMxMjExDAAAAAExDQAAAAkxMC83LzIwMjUQAAAACTEwLzYvMjAyNaRFwlHcBN4IpAJqTd4E3ggmQ0lRLklRNjcxOTgwLklRX0NPTVBBTllfTkFN</t>
  </si>
  <si>
    <t>RS4xMC8yLzIwMjUBAAAA7EAKAAMAAAAPQmxhY2tzdG9uZSBJbmMuALpQH2XcBN4IW3lnTd4E3ggZQ0lRLklRNjcxOTgwLklRX1NQX0xDX0xULgEAAADsQAoAAwAAAAJBKwC6UB9l3ATeCA12Zk3eBN4IIUNJUS5JUTY3MTk4MC5JUV9TUF9PVVRMT09LX1dBVENILgEAAADsQAoAAwAAAAZTdGFibGUAulAfZdwE3ggNdmZN3gTeCCJDSVEuSVE2NzE5ODAuSVFfQkVUQV81WVIuMTAvMi8yMDI1AQAAAOxACgACAAAAEDEuNzY0OTg2Njg1NjgwNzEAulAfZdwE3ggNdmZN3gTeCChDSVEuSVE2NzE5ODAuSVFfRElWSURFTkRfWUlFTEQuMTAvMi8yMDI1AQAAAOxACgACAAAABjIuMzcxMgC6UB9l3ATeCA12Zk3eBN4IHUNJUS5JUTY3MTk4MC5JUV9URVYuMTAvMi8yMDI1AQAAAOxACgADAAAAAAC6UB9l3ATeCFt5Z03eBN4II0NJUS5JUTY3MTk4MC5JUV9NQVJLRVRDQVAuMTAvMi8yMDI1AQAAAOxACgACAAAADTEzMDM2MC4wNzU4MjYBBgAAAAUAAAABMQEAAAALLTE5MzIyMTg4OTADAAAAAzE2MAIAAAAGMTAwMDU0BAAAAAEwBwAAAAkxMC8yLzIwMjW6UB9l3ATeCHqkZ03eBN4IH0NJUS5JUTY3MTk4MC5JUV9URVZfRUJJVERBLjIwMDABAAAA7EAKAAMAAAAAALpQH2XcBN4IW3lnTd4E3ggcQ0lRLklRNjcxOTgwLklRX1BFX0VYQ0wuMjAwMAEAAADsQAoAAgAAABA0NS41NDU2MzkxOTA5MzQyAQcAAAAFAAAAATEBAAAA</t>
  </si>
  <si>
    <t>Cy0xOTMyMjE0MDA4AwAAAAEwAgAAAAYxMDAwNjYEAAAAATAHAAAACTEwLzMvMjAyNQgAAAAJMTAvMy8yMDI1ulAfZdwE3ghbeWdN3gTeCCJDSVEuSVE2NzE5ODAuSVFfVEVWX1RPVEFMX1JFVi4yMDAwAQAAAOxACgADAAAAAAC6UB9l3ATeCHqkZ03eBN4IJ0NJUS5JUTY3MTk4MC5JUV9UT1RBTF9ERUJUX0NBUElUQUwuMTAwMAEAAADsQAoAAgAAAAc0MC42Njc5AQgAAAAFAAAAATEBAAAACy0xOTU3MzA3ODc2AwAAAAMxNjACAAAABDQxODYEAAAAATAHAAAACTEwLzYvMjAyNQgAAAAKMTIvMzEvMjAyNAkAAAABMLpQH2XcBN4IDXZmTd4E3ggmQ0lRLklRNjcxOTgwLklRX1RPVEFMX0RFQlRfRVFVSVRZLjEwMDABAAAA7EAKAAIAAAAHNjguNTQyOQEIAAAABQAAAAExAQAAAAstMTk1NzMwNzg3NgMAAAADMTYwAgAAAAQ0MDM0BAAAAAEwBwAAAAkxMC82LzIwMjUIAAAACjEyLzMxLzIwMjQJAAAAATC6UB9l3ATeCA12Zk3eBN4IHUNJUS5JUTY3MTk4MC5JUV9FQklUX0lOVC4xMDAwAQAAAOxACgADAAAAAk5BALpQH2XcBN4IDXZmTd4E3gglQ0lRLklRNjcxOTgwLklRX0VCSVREQV9DQVBFWF9JTlQuMTAwMAEAAADsQAoAAwAAAAJOQQC6UB9l3ATeCA12Zk3eBN4IH0NJUS5JUTY3MTk4MC5JUV9FQklUREFfSU5ULjEwMDABAAAA7EAKAAMAAAACTkEAulAfZdwE3ggNdmZN3gTeCCRDSVEuSVE2NzE5ODAuSVFfRUZG</t>
  </si>
  <si>
    <t>RUNUX1RBWF9SQVRFLjEwMDABAAAA7EAKAAIAAAAHMTUuODE2NgEIAAAABQAAAAExAQAAAAstMTk1NzMwNzg3NgMAAAADMTYwAgAAAAQ0Mzc2BAAAAAEwBwAAAAkxMC82LzIwMjUIAAAACjEyLzMxLzIwMjQJAAAAATC6UB9l3ATeCA12Zk3eBN4IHUNJUS5JUTY3MTk4MC5JUV9PUEVSX0lOQy4yMDAwAQAAAOxACgACAAAABjY3NjMuMwEIAAAABQAAAAExAQAAAAstMTkzMjIxNDAwOAMAAAADMTYwAgAAAAIyMQQAAAABMAcAAAAJMTAvNi8yMDI1CAAAAAk2LzMwLzIwMjUJAAAAATC6UB9l3ATeCA12Zk3eBN4IH0NJUS5JUTY3MTk4MC5JUV9UT1RBTF9ERUJULjIwMDABAAAA7EAKAAIAAAAJMTQxNDkuMjIyAQgAAAAFAAAAATEBAAAACy0xOTMyMjE0MDA4AwAAAAMxNjACAAAABDQxNzMEAAAAATAHAAAACTEwLzYvMjAyNQgAAAAJNi8zMC8yMDI1CQAAAAEwulAfZdwE3ggNdmZN3gTeCCFDSVEuSVE2NzE5ODAuSVFfVE9UQUxfRVFVSVRZLjIwMDABAAAA7EAKAAIAAAAIMjEwNzguODgBCAAAAAUAAAABMQEAAAALLTE5MzIyMTQwMDgDAAAAAzE2MAIAAAAEMTI3NQQAAAABMAcAAAAJMTAvNi8yMDI1CAAAAAk2LzMwLzIwMjUJAAAAATC6UB9l3ATeCA12Zk3eBN4IH0NJUS5JUTY3MTk4MC5JUV9DQVNIX0VRVUlWLjIwMDABAAAA7EAKAAIAAAAIMjIzNS40OTkBCAAAAAUAAAABMQEAAAALLTE5MzIyMTQwMDgDAAAAAzE2</t>
  </si>
  <si>
    <t>MAIAAAAEMTA5NgQAAAABMAcAAAAJMTAvNi8yMDI1CAAAAAk2LzMwLzIwMjUJAAAAATC6UB9l3ATeCA12Zk3eBN4IIkNJUS5JUTY3MTk4MC5JUV9DVVJSRU5UX1JBVElPLjEwMDABAAAA7EAKAAIAAAAIMC44OTg1MTcBCAAAAAUAAAABMQEAAAALLTE5NTczMDc4NzYDAAAAAzE2MAIAAAAENDAzMAQAAAABMAcAAAAJMTAvNi8yMDI1CAAAAAoxMi8zMS8yMDI0CQAAAAEwulAfZdwE3ggNdmZN3gTeCCJDSVEuSVE2NzE5ODAuSVFfUkVUVVJOX0FTU0VUUy4yMDAwAQAAAOxACgACAAAABzEzLjMyODIBCAAAAAUAAAABMQEAAAALLTE5MzIyMTQwMDgDAAAAAzE2MAIAAAAENDE3OAQAAAABMAcAAAAJMTAvNi8yMDI1CAAAAAk2LzMwLzIwMjUJAAAAATC6UB9l3ATeCA12Zk3eBN4IIkNJUS5JUTY3MTk4MC5JUV9SRVRVUk5fRVFVSVRZLjIwMDABAAAA7EAKAAIAAAAHMjguODE5NgEIAAAABQAAAAExAQAAAAstMTkzMjIxNDAwOAMAAAADMTYwAgAAAAQ0MTI4BAAAAAEwBwAAAAkxMC82LzIwMjUIAAAACTYvMzAvMjAyNQkAAAABMLpQH2XcBN4IFaFmTd4E3gggQ0lRLklRNjcxOTgwLklRX1FVSUNLX1JBVElPLjEwMDABAAAA7EAKAAIAAAAIMC44NTUwMTYBCAAAAAUAAAABMQEAAAALLTE5NTczMDc4NzYDAAAAAzE2MAIAAAAENDEyMQQAAAABMAcAAAAJMTAvNi8yMDI1CAAAAAoxMi8zMS8yMDI0CQAAAAEwulAfZdwE3ggV</t>
  </si>
  <si>
    <t>oWZN3gTeCCZDSVEuSVE2NzE5ODAuSVFfVE9UQUxfREVCVF9FQklUREEuMTAwMAEAAADsQAoAAwAAAAJOQQC6UB9l3ATeCBWhZk3eBN4IMUNJUS5JUTY3MTk4MC5JUV9FUFNfMVlSX0FOTl9HUk9XVEguMjAwMC4xMC8yLzIwMjUBAAAA7EAKAAIAAAAHNDEuMDkzMwEIAAAABQAAAAExAQAAAAstMTkzMjIxNDAwOAMAAAADMTYwAgAAAAQ0MjAwBAAAAAEwBwAAAAkxMC8yLzIwMjUIAAAACTYvMzAvMjAyNQkAAAABMLpQH2XcBN4IW3lnTd4E3ggjQ0lRLklRNjcxOTgwLklRX0RJTFVUX0VQU19JTkNMLjEwMDABAAAA7EAKAAIAAAAEMy42MgEIAAAABQAAAAExAQAAAAstMTk1NzMwNzg3NgMAAAADMTYwAgAAAAE4BAAAAAEwBwAAAAkxMC82LzIwMjUIAAAACjEyLzMxLzIwMjQJAAAAATC6UB9l3ATeCFt5Z03eBN4IN0NJUS5JUTY3MTk4MC5JUV9UT1RBTF9SRVZfMVlSX0FOTl9HUk9XVEguMjAwMC4xMC8yLzIwMjUBAAAA7EAKAAIAAAAHMzcuMDE2NAEIAAAABQAAAAExAQAAAAstMTkzMjIxNDAwOAMAAAADMTYwAgAAAAQ0MTk0BAAAAAEwBwAAAAkxMC8yLzIwMjUIAAAACTYvMzAvMjAyNQkAAAABMLpQH2XcBN4IW3lnTd4E3ggiQ0lRLklRNjcxOTgwLklRX0VCSVREQV9NQVJHSU4uMjAwMAEAAADsQAoAAwAAAAJOQQC6UB9l3ATeCOPDPGXcBN4IHkNJUS5JUTY3MTk4MC5JUV9UT1RBTF9SRVYuMTAwMAEAAADsQAoA</t>
  </si>
  <si>
    <t>AgAAAAkxMjY2Mi41ODcBCAAAAAUAAAABMQEAAAALLTE5NTczMDc4NzYDAAAAAzE2MAIAAAACMjgEAAAAATAHAAAACTEwLzYvMjAyNQgAAAAKMTIvMzEvMjAyNAkAAAABMLpQH2XcBN4IeqRnTd4E3ggeQ0lRLklRNjcxOTgwLklRX05JX01BUkdJTi4yMDAwAQAAAOxACgACAAAABzIxLjIwNDMBCAAAAAUAAAABMQEAAAALLTE5MzIyMTQwMDgDAAAAAzE2MAIAAAAENDA5NAQAAAABMAcAAAAJMTAvNi8yMDI1CAAAAAk2LzMwLzIwMjUJAAAAATC6UB9l3ATeCHqkZ03eBN4IH0NJUS5JUTY3MTk4MC5JUV9FQklUREFfRVNULjEwMDEBAAAA7EAKAAIAAAAENTk5NgEOAAAABQAAAAEzAQAAAAEwAgAAAAoxMDAwMjg1MjA0AwAAAAYxMDAxODcEAAAAATIGAAAAATAHAAAAAzE2MAgAAAABMAkAAAABMQoAAAABMAsAAAALMTQ0ODk0NzI4NTUMAAAAATENAAAACTEwLzcvMjAyNRAAAAAJMTAvNi8yMDI1ulAfZdwE3ghbeWdN3gTeCCBDSVEuSVE2NzE5ODAuSVFfUkVWRU5VRV9FU1QuMTAwMQEAAADsQAoAAgAAAAoxMjYwNC4yMTM5AQ4AAAAFAAAAATMBAAAAATACAAAACjEwMDAyODUyMDQDAAAABjEwMDE4MAQAAAABMgYAAAABMAcAAAADMTYwCAAAAAEwCQAAAAExCgAAAAEwCwAAAAsxNDQ5NDk0MjM0OQwAAAABMQ0AAAAJMTAvNy8yMDI1EAAAAAkxMC82LzIwMjW6UB9l3ATeCHqkZ03eBN4IHENJUS5JUTY3MTk4MC5JUV9F</t>
  </si>
  <si>
    <t>UFNfRVNULjEwMDEBAAAA7EAKAAIAAAAHNS4wMzI0NwEOAAAABQAAAAEzAQAAAAk2Mjk4OTI0MzACAAAACjEwMDAyODUyMDQDAAAABjEwMDE3MwQAAAABMgYAAAABMAcAAAADMTYwCAAAAAEwCQAAAAExCgAAAAEwCwAAAAsxNDQ5NDk0MjcxNgwAAAABMQ0AAAAJMTAvNy8yMDI1EAAAAAkxMC82LzIwMjW6UB9l3ATeCFt5Z03eBN4IG0NJUS5JUTY3MTk4MC5JUV9OSV9FU1QuMTAwMQEAAADsQAoAAgAAAAo2NTAzLjgwMjIzAQ4AAAAFAAAAATMBAAAAATACAAAACjEwMDAyODUyMDQDAAAABjEwMDI1MAQAAAABMgYAAAABMAcAAAADMTYwCAAAAAEwCQAAAAExCgAAAAEwCwAAAAsxNDQ5NDk0MTc5MQwAAAABMQ0AAAAJMTAvNy8yMDI1EAAAAAkxMC82LzIwMjW6UB9l3ATeCHqkZ03eBN4IKUNJUS5JUTUzODE5MDI1OC5JUV9DT01QQU5ZX05BTUUuMTAvMi8yMDI1AQAAALIhFCADAAAACFRQRyBJbmMuAPbeP3DcBN4I0IVqTd4E3ggrQ0lRLklRNTM4MTkwMjU4LklRX0RJVklERU5EX1lJRUxELjEwLzIvMjAyNQEAAACyIRQgAgAAAAUzLjA4NwD23j9w3ATeCObRYk3eBN4IIENJUS5JUTUzODE5MDI1OC5JUV9URVYuMTAvMi8yMDI1AQAAALIhFCACAAAADDEyMDc5LjY4MTk2OQEGAAAABQAAAAExAQAAAAstMTkzMzAxMTkyNQMAAAADMTYwAgAAAAYxMDAwNjAEAAAAATAHAAAACTEwLzIvMjAyNfbeP3DcBN4IPq1qTd4E</t>
  </si>
  <si>
    <t>3ggmQ0lRLklRNTM4MTkwMjU4LklRX01BUktFVENBUC4xMC8yLzIwMjUBAAAAsiEUIAIAAAAKODMyMS43NjU5NwEGAAAABQAAAAExAQAAAAstMTkzMzAxMTkyNQMAAAADMTYwAgAAAAYxMDAwNTQEAAAAATAHAAAACTEwLzIvMjAyNfbeP3DcBN4IPq1qTd4E3gglQ0lRLklRNTM4MTkwMjU4LklRX0JFVEFfNVlSLjEwLzIvMjAyNQEAAACyIRQgAgAAABAxLjUxODgzNzM2MTYxMDMzAPbeP3DcBN4I5tFiTd4E3gglQ0lRLklRNTM4MTkwMjU4LklRX1RFVl9UT1RBTF9SRVYuMjAwMAEAAACyIRQgAgAAABAzLjE4ODk5ODY0MjI1NDI1AQcAAAAFAAAAATEBAAAACy0xOTMzMDExNDIwAwAAAAEwAgAAAAYxMDAwNjEEAAAAATAHAAAACTEwLzMvMjAyNQgAAAAJMTAvMy8yMDI19t4/cNwE3gjQhWpN3gTeCCJDSVEuSVE1MzgxOTAyNTguSVFfVEVWX0VCSVREQS4yMDAwAQAAALIhFCACAAAAEDMxLjgzNDk1MjE0OTE4MDEBBwAAAAUAAAABMQEAAAALLTE5MzMwMTE0MjADAAAAATACAAAABjEwMDA2MwQAAAABMAcAAAAJMTAvMy8yMDI1CAAAAAkxMC8zLzIwMjX23j9w3ATeCNCFak3eBN4IH0NJUS5JUTUzODE5MDI1OC5JUV9QRV9FWENMLjIwMDABAAAAsiEUIAMAAAACTk0BBwAAAAUAAAABMQEAAAALLTE5MzMwMTE0MjADAAAAATACAAAABjEwMDA2NgQAAAABMAcAAAAJMTAvMy8yMDI1CAAAAAkxMC8zLzIwMjX23j9w3ATe</t>
  </si>
  <si>
    <t>CD6tak3eBN4IHENJUS5JUTUzODE5MDI1OC5JUV9TUF9MQ19MVC4BAAAAsiEUIAMAAAAAAPbeP3DcBN4Iw8xZcNwE3ggkQ0lRLklRNTM4MTkwMjU4LklRX1NQX09VVExPT0tfV0FUQ0guAQAAALIhFCADAAAAAAD23j9w3ATeCMPMWXDcBN4IKUNJUS5JUTUzODE5MDI1OC5JUV9UT1RBTF9ERUJUX0VCSVREQS4xMDAwAQAAALIhFCACAAAACDcuODMzMzY0AQgAAAAFAAAAATEBAAAACy0xOTU5MTU1NzM2AwAAAAMxNjACAAAABDQxOTIEAAAAATAHAAAACTEwLzYvMjAyNQgAAAAKMTIvMzEvMjAyNAkAAAABMPbeP3DcBN4I5tFiTd4E3ggoQ0lRLklRNTM4MTkwMjU4LklRX0VCSVREQV9DQVBFWF9JTlQuMTAwMAEAAACyIRQgAgAAAAgxLjk4ODI0MQEIAAAABQAAAAExAQAAAAstMTk1OTE1NTczNgMAAAADMTYwAgAAAAQ0MTkxBAAAAAEwBwAAAAkxMC82LzIwMjUIAAAACjEyLzMxLzIwMjQJAAAAATD23j9w3ATeCObRYk3eBN4IJUNJUS5JUTUzODE5MDI1OC5JUV9SRVRVUk5fQVNTRVRTLjIwMDABAAAAsiEUIAIAAAAGMS4wMTAyAQgAAAAFAAAAATEBAAAACy0xOTMzMDExNDIwAwAAAAMxNjACAAAABDQxNzgEAAAAATAHAAAACTEwLzYvMjAyNQgAAAAJNi8zMC8yMDI1CQAAAAEw9t4/cNwE3gjm0WJN3gTeCCdDSVEuSVE1MzgxOTAyNTguSVFfRUZGRUNUX1RBWF9SQVRFLjEwMDABAAAAsiEUIAMAAAACTk0BCAAAAAUA</t>
  </si>
  <si>
    <t>AAABMQEAAAALLTE5NTkxNTU3MzYDAAAAAzE2MAIAAAAENDM3NgQAAAABMAcAAAAJMTAvNi8yMDI1CAAAAAoxMi8zMS8yMDI0CQAAAAEw9t4/cNwE3gjDzFlw3ATeCCBDSVEuSVE1MzgxOTAyNTguSVFfT1BFUl9JTkMuMjAwMAEAAACyIRQgAgAAAAcxNzguMTE0AQgAAAAFAAAAATEBAAAACy0xOTMzMDExNDIwAwAAAAMxNjACAAAAAjIxBAAAAAEwBwAAAAkxMC82LzIwMjUIAAAACTYvMzAvMjAyNQkAAAABMPbeP3DcBN4Ix4NiTd4E3ggiQ0lRLklRNTM4MTkwMjU4LklRX1RPVEFMX0RFQlQuMjAwMAEAAACyIRQgAgAAAAgyMzAyLjM2MgEIAAAABQAAAAExAQAAAAstMTkzMzAxMTQyMAMAAAADMTYwAgAAAAQ0MTczBAAAAAEwBwAAAAkxMC82LzIwMjUIAAAACTYvMzAvMjAyNQkAAAABMPbeP3DcBN4Ix4NiTd4E3ggkQ0lRLklRNTM4MTkwMjU4LklRX1RPVEFMX0VRVUlUWS4yMDAwAQAAALIhFCACAAAACDM1NTkuNDU2AQgAAAAFAAAAATEBAAAACy0xOTMzMDExNDIwAwAAAAMxNjACAAAABDEyNzUEAAAAATAHAAAACTEwLzYvMjAyNQgAAAAJNi8zMC8yMDI1CQAAAAEw9t4/cNwE3gjHg2JN3gTeCCJDSVEuSVE1MzgxOTAyNTguSVFfQ0FTSF9FUVVJVi4yMDAwAQAAALIhFCACAAAACDExMTIuMDI3AQgAAAAFAAAAATEBAAAACy0xOTMzMDExNDIwAwAAAAMxNjACAAAABDEwOTYEAAAAATAHAAAACTEwLzYvMjAyNQgA</t>
  </si>
  <si>
    <t>AAAJNi8zMC8yMDI1CQAAAAEw9t4/cNwE3gjHg2JN3gTeCCpDSVEuSVE1MzgxOTAyNTguSVFfVE9UQUxfREVCVF9DQVBJVEFMLjEwMDABAAAAsiEUIAIAAAAHMzAuNTkzNgEIAAAABQAAAAExAQAAAAstMTk1OTE1NTczNgMAAAADMTYwAgAAAAQ0MTg2BAAAAAEwBwAAAAkxMC82LzIwMjUIAAAACjEyLzMxLzIwMjQJAAAAATD23j9w3ATeCPb4Yk3eBN4IIkNJUS5JUTUzODE5MDI1OC5JUV9FQklUREFfSU5ULjEwMDABAAAAsiEUIAIAAAAIMi4zMDk2OTgBCAAAAAUAAAABMQEAAAALLTE5NTkxNTU3MzYDAAAAAzE2MAIAAAAENDE5MAQAAAABMAcAAAAJMTAvNi8yMDI1CAAAAAoxMi8zMS8yMDI0CQAAAAEw9t4/cNwE3gj2+GJN3gTeCClDSVEuSVE1MzgxOTAyNTguSVFfVE9UQUxfREVCVF9FUVVJVFkuMTAwMAEAAACyIRQgAgAAAAc0NC4wNzg5AQgAAAAFAAAAATEBAAAACy0xOTU5MTU1NzM2AwAAAAMxNjACAAAABDQwMzQEAAAAATAHAAAACTEwLzYvMjAyNQgAAAAKMTIvMzEvMjAyNAkAAAABMPbeP3DcBN4I5tFiTd4E3gggQ0lRLklRNTM4MTkwMjU4LklRX0VCSVRfSU5ULjEwMDABAAAAsiEUIAIAAAAIMC4xMDU5MjkBCAAAAAUAAAABMQEAAAALLTE5NTkxNTU3MzYDAAAAAzE2MAIAAAAENDE4OQQAAAABMAcAAAAJMTAvNi8yMDI1CAAAAAoxMi8zMS8yMDI0CQAAAAEw9t4/cNwE3gjm0WJN3gTeCCVDSVEuSVE1</t>
  </si>
  <si>
    <t>MzgxOTAyNTguSVFfUkVUVVJOX0VRVUlUWS4yMDAwAQAAALIhFCACAAAABjMuMTM0NgEIAAAABQAAAAExAQAAAAstMTkzMzAxMTQyMAMAAAADMTYwAgAAAAQ0MTI4BAAAAAEwBwAAAAkxMC82LzIwMjUIAAAACTYvMzAvMjAyNQkAAAABMPbeP3DcBN4I9vhiTd4E3gglQ0lRLklRNTM4MTkwMjU4LklRX0NVUlJFTlRfUkFUSU8uMTAwMAEAAACyIRQgAgAAAAg1LjQyMTU5NAEIAAAABQAAAAExAQAAAAstMTk1OTE1NTczNgMAAAADMTYwAgAAAAQ0MDMwBAAAAAEwBwAAAAkxMC82LzIwMjUIAAAACjEyLzMxLzIwMjQJAAAAATD23j9w3ATeCPb4Yk3eBN4II0NJUS5JUTUzODE5MDI1OC5JUV9RVUlDS19SQVRJTy4xMDAwAQAAALIhFCACAAAABzQuODk2ODkBCAAAAAUAAAABMQEAAAALLTE5NTkxNTU3MzYDAAAAAzE2MAIAAAAENDEyMQQAAAABMAcAAAAJMTAvNi8yMDI1CAAAAAoxMi8zMS8yMDI0CQAAAAEw9t4/cNwE3gj2+GJN3gTeCCFDSVEuSVE1MzgxOTAyNTguSVFfVE9UQUxfUkVWLjEwMDABAAAAsiEUIAIAAAAIMzUwMC4wODIBCAAAAAUAAAABMQEAAAALLTE5NTkxNTU3MzYDAAAAAzE2MAIAAAACMjgEAAAAATAHAAAACTEwLzYvMjAyNQgAAAAKMTIvMzEvMjAyNAkAAAABMPbeP3DcBN4I0IVqTd4E3gghQ0lRLklRNTM4MTkwMjU4LklRX05JX01BUkdJTi4yMDAwAQAAALIhFCACAAAABTEuNjAyAQgAAAAFAAAA</t>
  </si>
  <si>
    <t>ATEBAAAACy0xOTMzMDExNDIwAwAAAAMxNjACAAAABDQwOTQEAAAAATAHAAAACTEwLzYvMjAyNQgAAAAJNi8zMC8yMDI1CQAAAAEw9t4/cNwE3gjQhWpN3gTeCDpDSVEuSVE1MzgxOTAyNTguSVFfVE9UQUxfUkVWXzFZUl9BTk5fR1JPV1RILjIwMDAuMTAvMi8yMDI1AQAAALIhFCACAAAABzQzLjM0NzIBCAAAAAUAAAABMQEAAAALLTE5MzMwMTE0MjADAAAAAzE2MAIAAAAENDE5NAQAAAABMAcAAAAJMTAvMi8yMDI1CAAAAAk2LzMwLzIwMjUJAAAAATD23j9w3ATeCNCFak3eBN4INENJUS5JUTUzODE5MDI1OC5JUV9FUFNfMVlSX0FOTl9HUk9XVEguMjAwMC4xMC8yLzIwMjUBAAAAsiEUIAMAAAACTk0BCAAAAAUAAAABMQEAAAALLTE5MzMwMTE0MjADAAAAAzE2MAIAAAAENDIwMAQAAAABMAcAAAAJMTAvMi8yMDI1CAAAAAk2LzMwLzIwMjUJAAAAATD23j9w3ATeCEd+WXDcBN4IJkNJUS5JUTUzODE5MDI1OC5JUV9ESUxVVF9FUFNfSU5DTC4xMDAwAQAAALIhFCACAAAACS0wLjQyNDQ1NgEIAAAABQAAAAExAQAAAAstMTk1OTE1NTczNgMAAAADMTYwAgAAAAE4BAAAAAEwBwAAAAkxMC82LzIwMjUIAAAACjEyLzMxLzIwMjQJAAAAATD23j9w3ATeCNCFak3eBN4IJUNJUS5JUTUzODE5MDI1OC5JUV9FQklUREFfTUFSR0lOLjIwMDABAAAAsiEUIAIAAAAGNy45OTE0AQgAAAAFAAAAATEBAAAACy0xOTMzMDExNDIw</t>
  </si>
  <si>
    <t>AwAAAAMxNjACAAAABDQwNDcEAAAAATAHAAAACTEwLzYvMjAyNQgAAAAJNi8zMC8yMDI1CQAAAAEw9t4/cNwE3gg+rWpN3gTeCCNDSVEuSVE1MzgxOTAyNTguSVFfUkVWRU5VRV9FU1QuMTAwMQEAAACyIRQgAgAAAAoyMDQ0Ljc3NTE3AQ4AAAAFAAAAATMBAAAAATACAAAACjEwMDUyODY3ODMDAAAABjEwMDE4MAQAAAABMgYAAAABMAcAAAADMTYwCAAAAAEwCQAAAAExCgAAAAEwCwAAAAsxNDQ5NjM0OTYxMAwAAAABMQ0AAAAJMTAvNy8yMDI1EAAAAAkxMC82LzIwMjX23j9w3ATeCD6tak3eBN4IH0NJUS5JUTUzODE5MDI1OC5JUV9FUFNfRVNULjEwMDEBAAAAsiEUIAIAAAAHMi40MzgwNwEOAAAABQAAAAEzAQAAAAoxNzYxODY1MjE4AgAAAAoxMDA1Mjg2NzgzAwAAAAYxMDAxNzMEAAAAATIGAAAAATAHAAAAAzE2MAgAAAABMAkAAAABMQoAAAABMAsAAAALMTQ0OTYzNDk2NTgMAAAAATENAAAACTEwLzcvMjAyNRAAAAAJMTAvNi8yMDI19t4/cNwE3gjQhWpN3gTeCB5DSVEuSVE1MzgxOTAyNTguSVFfTklfRVNULjEwMDEBAAAAsiEUIAIAAAAJOTYyLjcxMDg2AQ4AAAAFAAAAATMBAAAAATACAAAACjEwMDUyODY3ODMDAAAABjEwMDI1MAQAAAABMgYAAAABMAcAAAADMTYwCAAAAAEwCQAAAAExCgAAAAEwCwAAAAsxNDQ5NjM3Nzk3NQwAAAABMQ0AAAAJMTAvNy8yMDI1EAAAAAkxMC82LzIwMjX23j9w3ATeCD6t</t>
  </si>
  <si>
    <t>ak3eBN4IIkNJUS5JUTUzODE5MDI1OC5JUV9FQklUREFfRVNULjEwMDEBAAAAsiEUIAIAAAAEMTE1NAEOAAAABQAAAAEzAQAAAAEwAgAAAAoxMDA1Mjg2NzgzAwAAAAYxMDAxODcEAAAAATIGAAAAATAHAAAAAzE2MAgAAAABMAkAAAABMQoAAAABMAsAAAALMTQ0OTYzNDk1OTIMAAAAATENAAAACTEwLzcvMjAyNRAAAAAJMTAvNi8yMDI19t4/cNwE3gg+rWpN3gTeCBVDSVEuLklRX09QRVJfSU5DLjIwMDAFAAAAAAAAAAgAAAAUKEludmFsaWQgSWRlbnRpZmllcinyGEgn3gTeCC1Y/ijeBN4I</t>
  </si>
  <si>
    <t>StepStone</t>
  </si>
  <si>
    <t>Ares</t>
  </si>
  <si>
    <t>Report</t>
  </si>
  <si>
    <t>Total Company D&amp;A</t>
  </si>
  <si>
    <t>Total Company EBITDA</t>
  </si>
  <si>
    <t>Total Company EBITDA Mix</t>
  </si>
  <si>
    <t>1Q</t>
  </si>
  <si>
    <t>The Carlyle Group Inc.</t>
  </si>
  <si>
    <t>CG</t>
  </si>
  <si>
    <t>Affiliated Managers Group, Inc.</t>
  </si>
  <si>
    <t>AMG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</si>
</sst>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_);[Red]\(&quot;$&quot;#,##0.0\)"/>
    <numFmt numFmtId="165" formatCode="_(* #,##0.0_);_(* \(#,##0.0\);_(* &quot;-&quot;?_);_(@_)"/>
    <numFmt numFmtId="166" formatCode="#,##0.0%_);\(#,##0.0%\)"/>
    <numFmt numFmtId="167" formatCode="#,##0.0%_);\(#,##0.0%_)"/>
    <numFmt numFmtId="168" formatCode="#,##0.0_);\(#,##0.0\)"/>
    <numFmt numFmtId="169" formatCode="0.0%"/>
    <numFmt numFmtId="170" formatCode="yyyy&quot;A&quot;"/>
    <numFmt numFmtId="171" formatCode="yyyy&quot;E&quot;"/>
    <numFmt numFmtId="172" formatCode="0.0\x_);\(0.0\x\)"/>
    <numFmt numFmtId="173" formatCode="&quot;$&quot;#,##0.00"/>
    <numFmt numFmtId="174" formatCode="0.0&quot;x&quot;"/>
    <numFmt numFmtId="175" formatCode="_([$$-409]* #,##0_);_([$$-409]* \(#,##0\);_([$$-409]* &quot;-&quot;??_);_(@_)"/>
    <numFmt numFmtId="176" formatCode="_(&quot;$&quot;* #,##0.0_);_(&quot;$&quot;* \(#,##0.0\);_(&quot;$&quot;* &quot;-&quot;?_);_(@_)"/>
    <numFmt numFmtId="177" formatCode="_(* #,##0.00_);_(* \(#,##0.00\);_(* &quot;-&quot;?_);_(@_)"/>
    <numFmt numFmtId="178" formatCode="&quot;Check!&quot;;&quot;Check!&quot;;&quot;OK!&quot;"/>
    <numFmt numFmtId="179" formatCode="&quot;$&quot;#,##0.0_);\(&quot;$&quot;#,##0.0\)"/>
    <numFmt numFmtId="180" formatCode="0.0%;\(0.0%\)"/>
    <numFmt numFmtId="181" formatCode="_(* #,##0.0_);_(* \(#,##0.0\);_(* &quot;-&quot;??_);_(@_)"/>
    <numFmt numFmtId="182" formatCode="0.00\x;\(0.00\x\)"/>
    <numFmt numFmtId="183" formatCode="0.0\x;\(0.0\x\)"/>
    <numFmt numFmtId="184" formatCode="0.0;\(0.0\)"/>
    <numFmt numFmtId="185" formatCode="#.#;\(#.#\)"/>
    <numFmt numFmtId="186" formatCode="#,##0.0;\(#,##0.0\)"/>
    <numFmt numFmtId="187" formatCode="&quot;$&quot;#,##0.00_);\(&quot;$&quot;#,##0.00\);&quot;OK!&quot;"/>
    <numFmt numFmtId="188" formatCode="#.#\x;\(#.#\x\)"/>
    <numFmt numFmtId="189" formatCode="#,##0.000000_);\(#,##0.000000\)"/>
    <numFmt numFmtId="190" formatCode="0.00%;\(0.00%\)"/>
    <numFmt numFmtId="191" formatCode="&quot;$&quot;#,##0.0"/>
    <numFmt numFmtId="192" formatCode="#,##0.0%_);\(#,##0.0%\);_(@_)"/>
    <numFmt numFmtId="193" formatCode="#,##0.0%_);\(#,##0.0\)%"/>
    <numFmt numFmtId="194" formatCode="[$-409]d\-mmm"/>
    <numFmt numFmtId="195" formatCode="0.0\x"/>
    <numFmt numFmtId="196" formatCode="0.00_);\(0.00\)"/>
    <numFmt numFmtId="197" formatCode="#,##0.0\x_);\(#,##0.0\x_)"/>
    <numFmt numFmtId="198" formatCode="_(0.0%_);\(0.0%\);_(&quot;-&quot;_)_%"/>
    <numFmt numFmtId="199" formatCode="0.0"/>
    <numFmt numFmtId="200" formatCode="&quot;&quot;"/>
    <numFmt numFmtId="201" formatCode="#,##0.00%_);\(#,##0.00%\)"/>
    <numFmt numFmtId="202" formatCode="&quot;$&quot;#,##0"/>
    <numFmt numFmtId="203" formatCode="#,##0.00%_);\(#,##0.00%_)"/>
    <numFmt numFmtId="204" formatCode="0.0\ \x"/>
    <numFmt numFmtId="205" formatCode="#,##0.0%_);\(#,##0.0%\);* &quot;-&quot;;_(@_)"/>
    <numFmt numFmtId="206" formatCode="0.00%_);\(0.00%\)"/>
    <numFmt numFmtId="207" formatCode="_(&quot;$&quot;* #,##0.0_);_(&quot;$&quot;* \(#,##0.0\);_(&quot;$&quot;* &quot;-&quot;??_);_(@_)"/>
    <numFmt numFmtId="208" formatCode="#,##0.0%_);\(#,##0.0%\);&quot;-&quot;"/>
    <numFmt numFmtId="209" formatCode="_(&quot;$&quot;* #,##0_);_(&quot;$&quot;* \(#,##0\);_(&quot;$&quot;* &quot;-&quot;??_);_(@_)"/>
    <numFmt numFmtId="210" formatCode="yyyy"/>
    <numFmt numFmtId="211" formatCode="#,##0.0\x_);\(#,##0.0\x\);&quot;-&quot;"/>
    <numFmt numFmtId="212" formatCode="0.0%;\ \(0.0%\)"/>
  </numFmts>
  <fonts count="73">
    <font>
      <sz val="11"/>
      <color theme="1"/>
      <name val="Calibri"/>
      <scheme val="minor"/>
    </font>
    <font>
      <sz val="11"/>
      <color theme="1"/>
      <name val="Calibri"/>
      <family val="2"/>
      <scheme val="minor"/>
    </font>
    <font>
      <sz val="11"/>
      <color rgb="FFC8C8C8"/>
      <name val="Abadi"/>
      <family val="2"/>
    </font>
    <font>
      <sz val="11"/>
      <color theme="1"/>
      <name val="Abadi"/>
      <family val="2"/>
    </font>
    <font>
      <sz val="10"/>
      <color rgb="FF000000"/>
      <name val="Abadi"/>
      <family val="2"/>
    </font>
    <font>
      <sz val="11"/>
      <color theme="0"/>
      <name val="Abadi"/>
      <family val="2"/>
    </font>
    <font>
      <sz val="11"/>
      <name val="Calibri"/>
      <family val="2"/>
    </font>
    <font>
      <sz val="10"/>
      <color theme="1"/>
      <name val="Abadi"/>
      <family val="2"/>
    </font>
    <font>
      <u/>
      <sz val="11"/>
      <color theme="1"/>
      <name val="Abadi"/>
      <family val="2"/>
    </font>
    <font>
      <u/>
      <sz val="14"/>
      <color theme="1"/>
      <name val="Abadi"/>
      <family val="2"/>
    </font>
    <font>
      <i/>
      <sz val="11"/>
      <color theme="1"/>
      <name val="Abadi"/>
      <family val="2"/>
    </font>
    <font>
      <sz val="11"/>
      <color rgb="FF0000FF"/>
      <name val="Abadi"/>
      <family val="2"/>
    </font>
    <font>
      <sz val="10"/>
      <color rgb="FFC8C8C8"/>
      <name val="Abadi"/>
      <family val="2"/>
    </font>
    <font>
      <sz val="10"/>
      <color theme="0"/>
      <name val="Abadi"/>
      <family val="2"/>
    </font>
    <font>
      <sz val="10"/>
      <color rgb="FF008000"/>
      <name val="Abadi"/>
      <family val="2"/>
    </font>
    <font>
      <sz val="11"/>
      <color rgb="FF008000"/>
      <name val="Abadi"/>
      <family val="2"/>
    </font>
    <font>
      <sz val="10"/>
      <color rgb="FF0000FF"/>
      <name val="Abadi"/>
      <family val="2"/>
    </font>
    <font>
      <u/>
      <sz val="11"/>
      <color theme="10"/>
      <name val="Abadi"/>
      <family val="2"/>
    </font>
    <font>
      <sz val="10"/>
      <color rgb="FF0000FF"/>
      <name val="Arial"/>
      <family val="2"/>
    </font>
    <font>
      <sz val="10"/>
      <color rgb="FF7F7F7F"/>
      <name val="Abadi"/>
      <family val="2"/>
    </font>
    <font>
      <sz val="10"/>
      <color rgb="FFC00000"/>
      <name val="Abadi"/>
      <family val="2"/>
    </font>
    <font>
      <sz val="11"/>
      <color theme="0"/>
      <name val="Garamond"/>
      <family val="1"/>
    </font>
    <font>
      <i/>
      <sz val="10"/>
      <color theme="1"/>
      <name val="Abadi"/>
      <family val="2"/>
    </font>
    <font>
      <sz val="16"/>
      <color theme="1"/>
      <name val="Abadi"/>
      <family val="2"/>
    </font>
    <font>
      <sz val="1"/>
      <color theme="1"/>
      <name val="Abadi"/>
      <family val="2"/>
    </font>
    <font>
      <sz val="1"/>
      <color theme="0"/>
      <name val="Abadi"/>
      <family val="2"/>
    </font>
    <font>
      <u/>
      <sz val="11"/>
      <color theme="1"/>
      <name val="Abadi"/>
      <family val="2"/>
    </font>
    <font>
      <sz val="10"/>
      <color rgb="FFB4B4B4"/>
      <name val="Abadi"/>
      <family val="2"/>
    </font>
    <font>
      <u/>
      <sz val="11"/>
      <color theme="1"/>
      <name val="Abadi"/>
      <family val="2"/>
    </font>
    <font>
      <sz val="11"/>
      <color rgb="FF000000"/>
      <name val="Abadi"/>
      <family val="2"/>
    </font>
    <font>
      <u/>
      <sz val="10"/>
      <color theme="1"/>
      <name val="Abadi"/>
      <family val="2"/>
    </font>
    <font>
      <sz val="10"/>
      <color rgb="FFD8D8D8"/>
      <name val="Abadi"/>
      <family val="2"/>
    </font>
    <font>
      <sz val="10"/>
      <color rgb="FFFFFFFF"/>
      <name val="Abadi"/>
      <family val="2"/>
    </font>
    <font>
      <sz val="10"/>
      <color rgb="FF002060"/>
      <name val="Abadi"/>
      <family val="2"/>
    </font>
    <font>
      <i/>
      <sz val="10"/>
      <color rgb="FFD8D8D8"/>
      <name val="Abadi Extra Light"/>
      <family val="2"/>
    </font>
    <font>
      <i/>
      <sz val="10"/>
      <color theme="1"/>
      <name val="Abadi Extra Light"/>
      <family val="2"/>
    </font>
    <font>
      <i/>
      <sz val="10"/>
      <color rgb="FF000000"/>
      <name val="Abadi"/>
      <family val="2"/>
    </font>
    <font>
      <i/>
      <sz val="10"/>
      <color rgb="FF008000"/>
      <name val="Abadi Extra Light"/>
      <family val="2"/>
    </font>
    <font>
      <i/>
      <sz val="10"/>
      <color rgb="FFD8D8D8"/>
      <name val="Abadi"/>
      <family val="2"/>
    </font>
    <font>
      <i/>
      <sz val="10"/>
      <color rgb="FF008000"/>
      <name val="Abadi"/>
      <family val="2"/>
    </font>
    <font>
      <i/>
      <sz val="10"/>
      <color rgb="FF0000FF"/>
      <name val="Abadi"/>
      <family val="2"/>
    </font>
    <font>
      <u/>
      <sz val="11"/>
      <color rgb="FFD8D8D8"/>
      <name val="Abadi"/>
      <family val="2"/>
    </font>
    <font>
      <sz val="11"/>
      <color rgb="FFD8D8D8"/>
      <name val="Abadi"/>
      <family val="2"/>
    </font>
    <font>
      <u/>
      <sz val="10"/>
      <color theme="0"/>
      <name val="Abadi"/>
      <family val="2"/>
    </font>
    <font>
      <u/>
      <sz val="10"/>
      <color rgb="FFFFFFFF"/>
      <name val="Abadi"/>
      <family val="2"/>
    </font>
    <font>
      <u/>
      <sz val="10"/>
      <color theme="1"/>
      <name val="Abadi"/>
      <family val="2"/>
    </font>
    <font>
      <u/>
      <sz val="10"/>
      <color theme="1"/>
      <name val="Abadi"/>
      <family val="2"/>
    </font>
    <font>
      <u/>
      <sz val="10"/>
      <color rgb="FF000000"/>
      <name val="Abadi"/>
      <family val="2"/>
    </font>
    <font>
      <i/>
      <sz val="10"/>
      <color theme="0"/>
      <name val="Abadi"/>
      <family val="2"/>
    </font>
    <font>
      <b/>
      <sz val="24"/>
      <color rgb="FFFFFFFF"/>
      <name val="Abadi"/>
      <family val="2"/>
    </font>
    <font>
      <b/>
      <sz val="10"/>
      <color theme="1"/>
      <name val="Abadi"/>
      <family val="2"/>
    </font>
    <font>
      <sz val="10"/>
      <color rgb="FF00355F"/>
      <name val="Abadi"/>
      <family val="2"/>
    </font>
    <font>
      <i/>
      <sz val="11"/>
      <color theme="1"/>
      <name val="Garamond"/>
      <family val="1"/>
    </font>
    <font>
      <u/>
      <sz val="14"/>
      <color rgb="FF000000"/>
      <name val="Abadi"/>
      <family val="2"/>
    </font>
    <font>
      <sz val="11"/>
      <color rgb="FFFF0000"/>
      <name val="Abadi"/>
      <family val="2"/>
    </font>
    <font>
      <sz val="10"/>
      <color rgb="FF760000"/>
      <name val="Abadi"/>
      <family val="2"/>
    </font>
    <font>
      <sz val="10"/>
      <color rgb="FFB40000"/>
      <name val="Abadi"/>
      <family val="2"/>
    </font>
    <font>
      <sz val="10"/>
      <color rgb="FFFF0000"/>
      <name val="Abadi"/>
      <family val="2"/>
    </font>
    <font>
      <sz val="9"/>
      <color indexed="81"/>
      <name val="Tahoma"/>
      <family val="2"/>
    </font>
    <font>
      <b/>
      <sz val="9"/>
      <color indexed="81"/>
      <name val="Tahoma"/>
      <family val="2"/>
    </font>
    <font>
      <sz val="10"/>
      <name val="Abadi"/>
      <family val="2"/>
    </font>
    <font>
      <sz val="11"/>
      <color theme="1"/>
      <name val="Calibri"/>
      <family val="2"/>
      <scheme val="minor"/>
    </font>
    <font>
      <i/>
      <sz val="10"/>
      <color rgb="FF0000FF"/>
      <name val="Abadi"/>
      <family val="2"/>
    </font>
    <font>
      <i/>
      <sz val="10"/>
      <name val="Abadi"/>
      <family val="2"/>
    </font>
    <font>
      <sz val="10"/>
      <color indexed="8"/>
      <name val="Abadi"/>
      <family val="2"/>
    </font>
    <font>
      <sz val="9"/>
      <color indexed="81"/>
      <name val="Tahoma"/>
      <charset val="1"/>
    </font>
    <font>
      <b/>
      <sz val="9"/>
      <color indexed="81"/>
      <name val="Tahoma"/>
      <charset val="1"/>
    </font>
    <font>
      <sz val="10"/>
      <color theme="1"/>
      <name val="Abadi ExtraLight"/>
      <family val="2"/>
    </font>
    <font>
      <sz val="10"/>
      <color rgb="FF00B050"/>
      <name val="Abadi"/>
      <family val="2"/>
    </font>
    <font>
      <u/>
      <sz val="11"/>
      <color theme="1"/>
      <name val="Abadi ExtraLight"/>
      <family val="2"/>
    </font>
    <font>
      <sz val="11"/>
      <color theme="1"/>
      <name val="Abadi ExtraLight"/>
      <family val="2"/>
    </font>
    <font>
      <sz val="10"/>
      <color rgb="FF008000"/>
      <name val="Abadi ExtraLight"/>
      <family val="2"/>
    </font>
    <font>
      <sz val="11"/>
      <name val="Abadi"/>
      <family val="2"/>
    </font>
  </fonts>
  <fills count="3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theme="2" tint="-0.14999847407452621"/>
        <bgColor indexed="64"/>
      </patternFill>
    </fill>
    <fill>
      <patternFill patternType="solid">
        <fgColor theme="2" tint="-0.14999847407452621"/>
        <bgColor rgb="FFD8D8D8"/>
      </patternFill>
    </fill>
    <fill>
      <patternFill patternType="solid">
        <fgColor theme="2" tint="-0.14999847407452621"/>
        <bgColor rgb="FFD7D7D7"/>
      </patternFill>
    </fill>
    <fill>
      <patternFill patternType="solid">
        <fgColor theme="6" tint="0.79998168889431442"/>
        <bgColor rgb="FFEBEBEB"/>
      </patternFill>
    </fill>
    <fill>
      <patternFill patternType="solid">
        <fgColor theme="6" tint="0.79998168889431442"/>
        <bgColor indexed="64"/>
      </patternFill>
    </fill>
    <fill>
      <patternFill patternType="solid">
        <fgColor rgb="FF00355F"/>
        <bgColor indexed="64"/>
      </patternFill>
    </fill>
    <fill>
      <patternFill patternType="solid">
        <fgColor theme="0" tint="-0.14999847407452621"/>
        <bgColor indexed="64"/>
      </patternFill>
    </fill>
    <fill>
      <patternFill patternType="solid">
        <fgColor theme="7" tint="0.79998168889431442"/>
        <bgColor indexed="64"/>
      </patternFill>
    </fill>
  </fills>
  <borders count="143">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diagonal/>
    </border>
    <border>
      <left/>
      <right/>
      <top/>
      <bottom/>
      <diagonal/>
    </border>
    <border>
      <left/>
      <right/>
      <top/>
      <bottom/>
      <diagonal/>
    </border>
    <border>
      <left/>
      <right/>
      <top/>
      <bottom/>
      <diagonal/>
    </border>
    <border>
      <left/>
      <right/>
      <top/>
      <bottom style="medium">
        <color theme="0"/>
      </bottom>
      <diagonal/>
    </border>
    <border>
      <left/>
      <right/>
      <top/>
      <bottom style="medium">
        <color theme="0"/>
      </bottom>
      <diagonal/>
    </border>
    <border>
      <left/>
      <right/>
      <top/>
      <bottom style="medium">
        <color theme="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dotted">
        <color rgb="FF000000"/>
      </top>
      <bottom style="dotted">
        <color rgb="FF000000"/>
      </bottom>
      <diagonal/>
    </border>
    <border>
      <left/>
      <right/>
      <top/>
      <bottom style="dotted">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thin">
        <color rgb="FF000000"/>
      </top>
      <bottom/>
      <diagonal/>
    </border>
    <border>
      <left/>
      <right/>
      <top style="thin">
        <color rgb="FF000000"/>
      </top>
      <bottom/>
      <diagonal/>
    </border>
    <border>
      <left style="hair">
        <color rgb="FF000000"/>
      </left>
      <right/>
      <top style="thin">
        <color rgb="FF000000"/>
      </top>
      <bottom/>
      <diagonal/>
    </border>
    <border>
      <left/>
      <right style="hair">
        <color rgb="FF000000"/>
      </right>
      <top style="thin">
        <color rgb="FF000000"/>
      </top>
      <bottom/>
      <diagonal/>
    </border>
    <border>
      <left style="hair">
        <color rgb="FF000000"/>
      </left>
      <right/>
      <top/>
      <bottom/>
      <diagonal/>
    </border>
    <border>
      <left/>
      <right style="hair">
        <color rgb="FF000000"/>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right/>
      <top style="thin">
        <color rgb="FF000000"/>
      </top>
      <bottom style="thin">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medium">
        <color theme="0"/>
      </left>
      <right/>
      <top/>
      <bottom/>
      <diagonal/>
    </border>
    <border>
      <left style="medium">
        <color rgb="FF000000"/>
      </left>
      <right/>
      <top/>
      <bottom/>
      <diagonal/>
    </border>
    <border>
      <left style="medium">
        <color rgb="FF000000"/>
      </left>
      <right/>
      <top/>
      <bottom style="medium">
        <color rgb="FF000000"/>
      </bottom>
      <diagonal/>
    </border>
    <border>
      <left/>
      <right/>
      <top/>
      <bottom style="thin">
        <color indexed="64"/>
      </bottom>
      <diagonal/>
    </border>
    <border>
      <left style="medium">
        <color indexed="64"/>
      </left>
      <right/>
      <top style="medium">
        <color auto="1"/>
      </top>
      <bottom style="medium">
        <color indexed="64"/>
      </bottom>
      <diagonal/>
    </border>
    <border>
      <left/>
      <right/>
      <top style="medium">
        <color auto="1"/>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dashed">
        <color auto="1"/>
      </bottom>
      <diagonal/>
    </border>
    <border>
      <left/>
      <right style="thin">
        <color indexed="64"/>
      </right>
      <top/>
      <bottom style="dashed">
        <color indexed="64"/>
      </bottom>
      <diagonal/>
    </border>
    <border>
      <left/>
      <right/>
      <top style="dashed">
        <color indexed="64"/>
      </top>
      <bottom/>
      <diagonal/>
    </border>
    <border>
      <left/>
      <right style="thin">
        <color indexed="64"/>
      </right>
      <top style="dashed">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dashed">
        <color indexed="64"/>
      </bottom>
      <diagonal/>
    </border>
    <border>
      <left style="thin">
        <color indexed="64"/>
      </left>
      <right/>
      <top/>
      <bottom style="thin">
        <color indexed="64"/>
      </bottom>
      <diagonal/>
    </border>
    <border>
      <left/>
      <right/>
      <top style="thin">
        <color indexed="64"/>
      </top>
      <bottom style="medium">
        <color theme="0"/>
      </bottom>
      <diagonal/>
    </border>
    <border>
      <left/>
      <right style="thin">
        <color indexed="64"/>
      </right>
      <top style="thin">
        <color indexed="64"/>
      </top>
      <bottom style="medium">
        <color theme="0"/>
      </bottom>
      <diagonal/>
    </border>
    <border>
      <left style="thin">
        <color indexed="64"/>
      </left>
      <right style="thin">
        <color indexed="64"/>
      </right>
      <top style="thin">
        <color indexed="64"/>
      </top>
      <bottom style="medium">
        <color theme="0"/>
      </bottom>
      <diagonal/>
    </border>
    <border>
      <left style="thin">
        <color indexed="64"/>
      </left>
      <right style="thin">
        <color indexed="64"/>
      </right>
      <top/>
      <bottom style="thin">
        <color indexed="64"/>
      </bottom>
      <diagonal/>
    </border>
    <border>
      <left/>
      <right style="medium">
        <color auto="1"/>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right style="thin">
        <color indexed="64"/>
      </right>
      <top style="thin">
        <color rgb="FF000000"/>
      </top>
      <bottom style="thin">
        <color rgb="FF000000"/>
      </bottom>
      <diagonal/>
    </border>
  </borders>
  <cellStyleXfs count="3">
    <xf numFmtId="0" fontId="0" fillId="0" borderId="0"/>
    <xf numFmtId="9" fontId="61" fillId="0" borderId="0" applyFont="0" applyFill="0" applyBorder="0" applyAlignment="0" applyProtection="0"/>
    <xf numFmtId="0" fontId="1" fillId="0" borderId="37"/>
  </cellStyleXfs>
  <cellXfs count="1051">
    <xf numFmtId="0" fontId="0" fillId="0" borderId="0" xfId="0"/>
    <xf numFmtId="0" fontId="2" fillId="0" borderId="0" xfId="0" applyFont="1"/>
    <xf numFmtId="0" fontId="3" fillId="0" borderId="0" xfId="0" applyFont="1"/>
    <xf numFmtId="0" fontId="4" fillId="0" borderId="0" xfId="0" applyFont="1"/>
    <xf numFmtId="0" fontId="8" fillId="0" borderId="0" xfId="0" applyFont="1"/>
    <xf numFmtId="0" fontId="9" fillId="0" borderId="0" xfId="0" applyFont="1"/>
    <xf numFmtId="0" fontId="5" fillId="2" borderId="4" xfId="0" applyFont="1" applyFill="1" applyBorder="1" applyAlignment="1">
      <alignment horizontal="center"/>
    </xf>
    <xf numFmtId="0" fontId="10" fillId="0" borderId="0" xfId="0" applyFont="1"/>
    <xf numFmtId="0" fontId="11" fillId="3" borderId="4" xfId="0" applyFont="1" applyFill="1" applyBorder="1" applyAlignment="1">
      <alignment horizontal="center"/>
    </xf>
    <xf numFmtId="0" fontId="7" fillId="0" borderId="0" xfId="0" applyFont="1"/>
    <xf numFmtId="0" fontId="12" fillId="0" borderId="0" xfId="0" applyFont="1"/>
    <xf numFmtId="0" fontId="13" fillId="2" borderId="5" xfId="0" applyFont="1" applyFill="1" applyBorder="1"/>
    <xf numFmtId="0" fontId="13" fillId="2" borderId="6" xfId="0" applyFont="1" applyFill="1" applyBorder="1"/>
    <xf numFmtId="0" fontId="13" fillId="2" borderId="7" xfId="0" applyFont="1" applyFill="1" applyBorder="1"/>
    <xf numFmtId="0" fontId="3" fillId="0" borderId="9" xfId="0" applyFont="1" applyBorder="1"/>
    <xf numFmtId="164" fontId="14" fillId="0" borderId="10" xfId="0" applyNumberFormat="1" applyFont="1" applyBorder="1"/>
    <xf numFmtId="0" fontId="3" fillId="0" borderId="11" xfId="0" applyFont="1" applyBorder="1" applyAlignment="1">
      <alignment horizontal="center"/>
    </xf>
    <xf numFmtId="0" fontId="3" fillId="0" borderId="12" xfId="0" applyFont="1" applyBorder="1" applyAlignment="1">
      <alignment horizontal="center"/>
    </xf>
    <xf numFmtId="165" fontId="14" fillId="0" borderId="10" xfId="0" applyNumberFormat="1" applyFont="1" applyBorder="1"/>
    <xf numFmtId="0" fontId="3" fillId="0" borderId="10" xfId="0" applyFont="1" applyBorder="1"/>
    <xf numFmtId="0" fontId="15" fillId="0" borderId="10" xfId="0" applyFont="1" applyBorder="1"/>
    <xf numFmtId="6" fontId="14" fillId="0" borderId="0" xfId="0" applyNumberFormat="1" applyFont="1"/>
    <xf numFmtId="166" fontId="14" fillId="0" borderId="10" xfId="0" applyNumberFormat="1" applyFont="1" applyBorder="1"/>
    <xf numFmtId="0" fontId="3" fillId="0" borderId="13" xfId="0" applyFont="1" applyBorder="1"/>
    <xf numFmtId="0" fontId="3" fillId="0" borderId="14" xfId="0" applyFont="1" applyBorder="1"/>
    <xf numFmtId="5" fontId="14" fillId="0" borderId="15" xfId="0" applyNumberFormat="1" applyFont="1" applyBorder="1"/>
    <xf numFmtId="0" fontId="10" fillId="0" borderId="16" xfId="0" applyFont="1" applyBorder="1" applyAlignment="1">
      <alignment horizontal="left"/>
    </xf>
    <xf numFmtId="0" fontId="3" fillId="0" borderId="17" xfId="0" applyFont="1" applyBorder="1"/>
    <xf numFmtId="166" fontId="14" fillId="0" borderId="18" xfId="0" applyNumberFormat="1" applyFont="1" applyBorder="1"/>
    <xf numFmtId="0" fontId="3" fillId="0" borderId="16" xfId="0" applyFont="1" applyBorder="1"/>
    <xf numFmtId="6" fontId="14" fillId="0" borderId="17" xfId="0" applyNumberFormat="1" applyFont="1" applyBorder="1"/>
    <xf numFmtId="0" fontId="16" fillId="5" borderId="4" xfId="0" applyFont="1" applyFill="1" applyBorder="1" applyAlignment="1">
      <alignment horizontal="center"/>
    </xf>
    <xf numFmtId="0" fontId="16" fillId="0" borderId="0" xfId="0" applyFont="1" applyAlignment="1">
      <alignment horizontal="center"/>
    </xf>
    <xf numFmtId="0" fontId="7" fillId="3" borderId="5" xfId="0" applyFont="1" applyFill="1" applyBorder="1"/>
    <xf numFmtId="0" fontId="7" fillId="3" borderId="6" xfId="0" applyFont="1" applyFill="1" applyBorder="1"/>
    <xf numFmtId="0" fontId="7" fillId="3" borderId="7" xfId="0" applyFont="1" applyFill="1" applyBorder="1" applyAlignment="1">
      <alignment horizontal="center"/>
    </xf>
    <xf numFmtId="0" fontId="5" fillId="2" borderId="5" xfId="0" applyFont="1" applyFill="1" applyBorder="1"/>
    <xf numFmtId="0" fontId="13" fillId="0" borderId="0" xfId="0" applyFont="1"/>
    <xf numFmtId="0" fontId="7" fillId="0" borderId="0" xfId="0" applyFont="1" applyAlignment="1">
      <alignment vertical="center"/>
    </xf>
    <xf numFmtId="14" fontId="16" fillId="5" borderId="4" xfId="0" applyNumberFormat="1" applyFont="1" applyFill="1" applyBorder="1" applyAlignment="1">
      <alignment horizontal="center"/>
    </xf>
    <xf numFmtId="0" fontId="17" fillId="0" borderId="0" xfId="0" applyFont="1" applyAlignment="1">
      <alignment horizontal="left"/>
    </xf>
    <xf numFmtId="14" fontId="7" fillId="5" borderId="4" xfId="0" applyNumberFormat="1" applyFont="1" applyFill="1" applyBorder="1" applyAlignment="1">
      <alignment horizontal="center"/>
    </xf>
    <xf numFmtId="0" fontId="18" fillId="5" borderId="4" xfId="0" applyFont="1" applyFill="1" applyBorder="1" applyAlignment="1">
      <alignment horizontal="center"/>
    </xf>
    <xf numFmtId="7" fontId="16" fillId="5" borderId="4" xfId="0" applyNumberFormat="1" applyFont="1" applyFill="1" applyBorder="1" applyAlignment="1">
      <alignment horizontal="center"/>
    </xf>
    <xf numFmtId="167" fontId="14" fillId="5" borderId="4" xfId="0" applyNumberFormat="1" applyFont="1" applyFill="1" applyBorder="1" applyAlignment="1">
      <alignment horizontal="center"/>
    </xf>
    <xf numFmtId="168" fontId="14" fillId="5" borderId="4" xfId="0" applyNumberFormat="1" applyFont="1" applyFill="1" applyBorder="1" applyAlignment="1">
      <alignment horizontal="center"/>
    </xf>
    <xf numFmtId="0" fontId="19" fillId="0" borderId="0" xfId="0" applyFont="1" applyAlignment="1">
      <alignment horizontal="center"/>
    </xf>
    <xf numFmtId="43" fontId="7" fillId="0" borderId="0" xfId="0" applyNumberFormat="1" applyFont="1"/>
    <xf numFmtId="43" fontId="7" fillId="0" borderId="0" xfId="0" applyNumberFormat="1" applyFont="1" applyAlignment="1">
      <alignment horizontal="center"/>
    </xf>
    <xf numFmtId="43" fontId="16" fillId="0" borderId="0" xfId="0" applyNumberFormat="1" applyFont="1" applyAlignment="1">
      <alignment horizontal="center"/>
    </xf>
    <xf numFmtId="0" fontId="13" fillId="2" borderId="5" xfId="0" applyFont="1" applyFill="1" applyBorder="1" applyAlignment="1">
      <alignment horizontal="left"/>
    </xf>
    <xf numFmtId="0" fontId="13" fillId="2" borderId="6" xfId="0" applyFont="1" applyFill="1" applyBorder="1" applyAlignment="1">
      <alignment horizontal="center"/>
    </xf>
    <xf numFmtId="0" fontId="13" fillId="2" borderId="7" xfId="0" applyFont="1" applyFill="1" applyBorder="1" applyAlignment="1">
      <alignment horizontal="center"/>
    </xf>
    <xf numFmtId="43" fontId="7" fillId="3" borderId="21" xfId="0" applyNumberFormat="1" applyFont="1" applyFill="1" applyBorder="1"/>
    <xf numFmtId="43" fontId="7" fillId="3" borderId="22" xfId="0" applyNumberFormat="1" applyFont="1" applyFill="1" applyBorder="1" applyAlignment="1">
      <alignment horizontal="center"/>
    </xf>
    <xf numFmtId="43" fontId="7" fillId="3" borderId="23" xfId="0" applyNumberFormat="1" applyFont="1" applyFill="1" applyBorder="1" applyAlignment="1">
      <alignment horizontal="center"/>
    </xf>
    <xf numFmtId="43" fontId="7" fillId="0" borderId="24" xfId="0" applyNumberFormat="1" applyFont="1" applyBorder="1"/>
    <xf numFmtId="43" fontId="7" fillId="0" borderId="25" xfId="0" applyNumberFormat="1" applyFont="1" applyBorder="1" applyAlignment="1">
      <alignment horizontal="center"/>
    </xf>
    <xf numFmtId="4" fontId="16" fillId="0" borderId="26" xfId="0" applyNumberFormat="1" applyFont="1" applyBorder="1" applyAlignment="1">
      <alignment horizontal="center"/>
    </xf>
    <xf numFmtId="43" fontId="7" fillId="0" borderId="19" xfId="0" applyNumberFormat="1" applyFont="1" applyBorder="1"/>
    <xf numFmtId="4" fontId="16" fillId="0" borderId="20" xfId="0" applyNumberFormat="1" applyFont="1" applyBorder="1" applyAlignment="1">
      <alignment horizontal="center"/>
    </xf>
    <xf numFmtId="43" fontId="7" fillId="0" borderId="27" xfId="0" applyNumberFormat="1" applyFont="1" applyBorder="1"/>
    <xf numFmtId="43" fontId="7" fillId="0" borderId="28" xfId="0" applyNumberFormat="1" applyFont="1" applyBorder="1" applyAlignment="1">
      <alignment horizontal="center"/>
    </xf>
    <xf numFmtId="4" fontId="16" fillId="0" borderId="29" xfId="0" applyNumberFormat="1" applyFont="1" applyBorder="1" applyAlignment="1">
      <alignment horizontal="center"/>
    </xf>
    <xf numFmtId="0" fontId="7" fillId="0" borderId="0" xfId="0" applyFont="1" applyAlignment="1">
      <alignment horizontal="center"/>
    </xf>
    <xf numFmtId="169" fontId="16" fillId="0" borderId="0" xfId="0" applyNumberFormat="1" applyFont="1" applyAlignment="1">
      <alignment horizontal="center"/>
    </xf>
    <xf numFmtId="0" fontId="7" fillId="0" borderId="28" xfId="0" applyFont="1" applyBorder="1"/>
    <xf numFmtId="0" fontId="7" fillId="0" borderId="32" xfId="0" applyFont="1" applyBorder="1" applyAlignment="1">
      <alignment horizontal="center"/>
    </xf>
    <xf numFmtId="0" fontId="13" fillId="0" borderId="33" xfId="0" applyFont="1" applyBorder="1" applyAlignment="1">
      <alignment horizontal="center"/>
    </xf>
    <xf numFmtId="0" fontId="7" fillId="0" borderId="33" xfId="0" applyFont="1" applyBorder="1" applyAlignment="1">
      <alignment horizontal="center"/>
    </xf>
    <xf numFmtId="0" fontId="7" fillId="0" borderId="33" xfId="0" applyFont="1" applyBorder="1"/>
    <xf numFmtId="0" fontId="5" fillId="2" borderId="5" xfId="0" applyFont="1" applyFill="1" applyBorder="1" applyAlignment="1">
      <alignment horizontal="left"/>
    </xf>
    <xf numFmtId="0" fontId="21" fillId="2" borderId="6" xfId="0" applyFont="1" applyFill="1" applyBorder="1" applyAlignment="1">
      <alignment horizontal="center"/>
    </xf>
    <xf numFmtId="0" fontId="21" fillId="2" borderId="7" xfId="0" applyFont="1" applyFill="1" applyBorder="1" applyAlignment="1">
      <alignment horizontal="center"/>
    </xf>
    <xf numFmtId="0" fontId="22" fillId="3" borderId="6" xfId="0" applyFont="1" applyFill="1" applyBorder="1"/>
    <xf numFmtId="0" fontId="7" fillId="3" borderId="6" xfId="0" applyFont="1" applyFill="1" applyBorder="1" applyAlignment="1">
      <alignment horizontal="center"/>
    </xf>
    <xf numFmtId="0" fontId="13" fillId="2" borderId="34" xfId="0" applyFont="1" applyFill="1" applyBorder="1"/>
    <xf numFmtId="0" fontId="13" fillId="2" borderId="41" xfId="0" applyFont="1" applyFill="1" applyBorder="1" applyAlignment="1">
      <alignment horizontal="center"/>
    </xf>
    <xf numFmtId="0" fontId="13" fillId="2" borderId="34" xfId="0" applyFont="1" applyFill="1" applyBorder="1" applyAlignment="1">
      <alignment horizontal="center"/>
    </xf>
    <xf numFmtId="0" fontId="7" fillId="0" borderId="42" xfId="0" applyFont="1" applyBorder="1"/>
    <xf numFmtId="5" fontId="7" fillId="0" borderId="0" xfId="0" applyNumberFormat="1" applyFont="1"/>
    <xf numFmtId="5" fontId="7" fillId="0" borderId="43" xfId="0" applyNumberFormat="1" applyFont="1" applyBorder="1"/>
    <xf numFmtId="5" fontId="7" fillId="0" borderId="44" xfId="0" applyNumberFormat="1" applyFont="1" applyBorder="1"/>
    <xf numFmtId="166" fontId="22" fillId="0" borderId="45" xfId="0" applyNumberFormat="1" applyFont="1" applyBorder="1" applyAlignment="1">
      <alignment horizontal="center"/>
    </xf>
    <xf numFmtId="0" fontId="22" fillId="0" borderId="0" xfId="0" applyFont="1" applyAlignment="1">
      <alignment horizontal="left"/>
    </xf>
    <xf numFmtId="166" fontId="22" fillId="0" borderId="0" xfId="0" applyNumberFormat="1" applyFont="1"/>
    <xf numFmtId="166" fontId="22" fillId="0" borderId="43" xfId="0" applyNumberFormat="1" applyFont="1" applyBorder="1"/>
    <xf numFmtId="166" fontId="22" fillId="0" borderId="44" xfId="0" applyNumberFormat="1" applyFont="1" applyBorder="1"/>
    <xf numFmtId="0" fontId="7" fillId="0" borderId="43" xfId="0" applyFont="1" applyBorder="1"/>
    <xf numFmtId="0" fontId="7" fillId="0" borderId="44" xfId="0" applyFont="1" applyBorder="1"/>
    <xf numFmtId="167" fontId="22" fillId="0" borderId="45" xfId="0" applyNumberFormat="1" applyFont="1" applyBorder="1" applyAlignment="1">
      <alignment horizontal="center"/>
    </xf>
    <xf numFmtId="7" fontId="7" fillId="0" borderId="0" xfId="0" applyNumberFormat="1" applyFont="1"/>
    <xf numFmtId="7" fontId="7" fillId="0" borderId="43" xfId="0" applyNumberFormat="1" applyFont="1" applyBorder="1"/>
    <xf numFmtId="7" fontId="7" fillId="0" borderId="44" xfId="0" applyNumberFormat="1" applyFont="1" applyBorder="1"/>
    <xf numFmtId="0" fontId="7" fillId="0" borderId="46" xfId="0" applyFont="1" applyBorder="1"/>
    <xf numFmtId="0" fontId="7" fillId="0" borderId="17" xfId="0" applyFont="1" applyBorder="1"/>
    <xf numFmtId="0" fontId="7" fillId="0" borderId="25" xfId="0" applyFont="1" applyBorder="1"/>
    <xf numFmtId="0" fontId="7" fillId="0" borderId="47" xfId="0" applyFont="1" applyBorder="1"/>
    <xf numFmtId="0" fontId="7" fillId="0" borderId="48" xfId="0" applyFont="1" applyBorder="1"/>
    <xf numFmtId="167" fontId="22" fillId="0" borderId="49" xfId="0" applyNumberFormat="1" applyFont="1" applyBorder="1" applyAlignment="1">
      <alignment horizontal="center"/>
    </xf>
    <xf numFmtId="37" fontId="7" fillId="0" borderId="0" xfId="0" applyNumberFormat="1" applyFont="1"/>
    <xf numFmtId="37" fontId="7" fillId="0" borderId="43" xfId="0" applyNumberFormat="1" applyFont="1" applyBorder="1"/>
    <xf numFmtId="37" fontId="7" fillId="0" borderId="44" xfId="0" applyNumberFormat="1" applyFont="1" applyBorder="1"/>
    <xf numFmtId="0" fontId="7" fillId="0" borderId="0" xfId="0" applyFont="1" applyAlignment="1">
      <alignment horizontal="left"/>
    </xf>
    <xf numFmtId="37" fontId="7" fillId="0" borderId="25" xfId="0" applyNumberFormat="1" applyFont="1" applyBorder="1"/>
    <xf numFmtId="37" fontId="7" fillId="0" borderId="48" xfId="0" applyNumberFormat="1" applyFont="1" applyBorder="1"/>
    <xf numFmtId="37" fontId="7" fillId="0" borderId="47" xfId="0" applyNumberFormat="1" applyFont="1" applyBorder="1"/>
    <xf numFmtId="165" fontId="7" fillId="0" borderId="0" xfId="0" applyNumberFormat="1" applyFont="1"/>
    <xf numFmtId="165" fontId="7" fillId="0" borderId="43" xfId="0" applyNumberFormat="1" applyFont="1" applyBorder="1"/>
    <xf numFmtId="165" fontId="7" fillId="0" borderId="44" xfId="0" applyNumberFormat="1" applyFont="1" applyBorder="1"/>
    <xf numFmtId="6" fontId="7" fillId="0" borderId="25" xfId="0" applyNumberFormat="1" applyFont="1" applyBorder="1"/>
    <xf numFmtId="6" fontId="7" fillId="0" borderId="48" xfId="0" applyNumberFormat="1" applyFont="1" applyBorder="1"/>
    <xf numFmtId="6" fontId="7" fillId="0" borderId="47" xfId="0" applyNumberFormat="1" applyFont="1" applyBorder="1"/>
    <xf numFmtId="6" fontId="7" fillId="0" borderId="0" xfId="0" applyNumberFormat="1" applyFont="1"/>
    <xf numFmtId="37" fontId="7" fillId="0" borderId="17" xfId="0" applyNumberFormat="1" applyFont="1" applyBorder="1"/>
    <xf numFmtId="170" fontId="13" fillId="0" borderId="0" xfId="0" applyNumberFormat="1" applyFont="1" applyAlignment="1">
      <alignment horizontal="center"/>
    </xf>
    <xf numFmtId="171" fontId="13" fillId="0" borderId="0" xfId="0" applyNumberFormat="1" applyFont="1" applyAlignment="1">
      <alignment horizontal="center"/>
    </xf>
    <xf numFmtId="166" fontId="7" fillId="0" borderId="0" xfId="0" applyNumberFormat="1" applyFont="1"/>
    <xf numFmtId="166" fontId="7" fillId="0" borderId="43" xfId="0" applyNumberFormat="1" applyFont="1" applyBorder="1"/>
    <xf numFmtId="166" fontId="7" fillId="0" borderId="44" xfId="0" applyNumberFormat="1" applyFont="1" applyBorder="1"/>
    <xf numFmtId="172" fontId="7" fillId="0" borderId="0" xfId="0" applyNumberFormat="1" applyFont="1" applyAlignment="1">
      <alignment horizontal="right"/>
    </xf>
    <xf numFmtId="172" fontId="7" fillId="0" borderId="43" xfId="0" applyNumberFormat="1" applyFont="1" applyBorder="1" applyAlignment="1">
      <alignment horizontal="right"/>
    </xf>
    <xf numFmtId="172" fontId="7" fillId="0" borderId="44" xfId="0" applyNumberFormat="1" applyFont="1" applyBorder="1" applyAlignment="1">
      <alignment horizontal="right"/>
    </xf>
    <xf numFmtId="172" fontId="7" fillId="0" borderId="44" xfId="0" applyNumberFormat="1" applyFont="1" applyBorder="1"/>
    <xf numFmtId="172" fontId="7" fillId="0" borderId="0" xfId="0" applyNumberFormat="1" applyFont="1"/>
    <xf numFmtId="172" fontId="7" fillId="0" borderId="43" xfId="0" applyNumberFormat="1" applyFont="1" applyBorder="1"/>
    <xf numFmtId="168" fontId="7" fillId="0" borderId="0" xfId="0" applyNumberFormat="1" applyFont="1"/>
    <xf numFmtId="168" fontId="7" fillId="0" borderId="43" xfId="0" applyNumberFormat="1" applyFont="1" applyBorder="1"/>
    <xf numFmtId="168" fontId="7" fillId="0" borderId="44" xfId="0" applyNumberFormat="1" applyFont="1" applyBorder="1"/>
    <xf numFmtId="10" fontId="3" fillId="0" borderId="0" xfId="0" applyNumberFormat="1" applyFont="1"/>
    <xf numFmtId="0" fontId="23" fillId="0" borderId="0" xfId="0" applyFont="1"/>
    <xf numFmtId="0" fontId="3" fillId="0" borderId="0" xfId="0" applyFont="1" applyAlignment="1">
      <alignment horizontal="right"/>
    </xf>
    <xf numFmtId="0" fontId="7" fillId="0" borderId="0" xfId="0" applyFont="1" applyAlignment="1">
      <alignment horizontal="right"/>
    </xf>
    <xf numFmtId="173" fontId="7" fillId="0" borderId="0" xfId="0" applyNumberFormat="1" applyFont="1" applyAlignment="1">
      <alignment horizontal="right"/>
    </xf>
    <xf numFmtId="0" fontId="7" fillId="0" borderId="9" xfId="0" applyFont="1" applyBorder="1"/>
    <xf numFmtId="0" fontId="7" fillId="0" borderId="10" xfId="0" applyFont="1" applyBorder="1"/>
    <xf numFmtId="0" fontId="7" fillId="0" borderId="53" xfId="0" applyFont="1" applyBorder="1"/>
    <xf numFmtId="0" fontId="7" fillId="0" borderId="16" xfId="0" applyFont="1" applyBorder="1"/>
    <xf numFmtId="0" fontId="13" fillId="2" borderId="55" xfId="0" applyFont="1" applyFill="1" applyBorder="1" applyAlignment="1">
      <alignment horizontal="center"/>
    </xf>
    <xf numFmtId="0" fontId="13" fillId="0" borderId="0" xfId="0" applyFont="1" applyAlignment="1">
      <alignment horizontal="center"/>
    </xf>
    <xf numFmtId="0" fontId="13" fillId="2" borderId="22" xfId="0" applyFont="1" applyFill="1" applyBorder="1" applyAlignment="1">
      <alignment horizontal="center"/>
    </xf>
    <xf numFmtId="0" fontId="13" fillId="2" borderId="23"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6" fontId="22" fillId="0" borderId="0" xfId="0" applyNumberFormat="1" applyFont="1" applyAlignment="1">
      <alignment horizontal="center"/>
    </xf>
    <xf numFmtId="0" fontId="7" fillId="0" borderId="17" xfId="0" applyFont="1" applyBorder="1" applyAlignment="1">
      <alignment horizontal="center"/>
    </xf>
    <xf numFmtId="174" fontId="7" fillId="0" borderId="0" xfId="0" applyNumberFormat="1" applyFont="1" applyAlignment="1">
      <alignment horizontal="center"/>
    </xf>
    <xf numFmtId="175" fontId="7" fillId="0" borderId="0" xfId="0" applyNumberFormat="1" applyFont="1"/>
    <xf numFmtId="169" fontId="7" fillId="0" borderId="0" xfId="0" applyNumberFormat="1" applyFont="1"/>
    <xf numFmtId="0" fontId="26" fillId="0" borderId="0" xfId="0" applyFont="1" applyAlignment="1">
      <alignment horizontal="center"/>
    </xf>
    <xf numFmtId="0" fontId="27" fillId="0" borderId="0" xfId="0" applyFont="1"/>
    <xf numFmtId="0" fontId="27" fillId="0" borderId="0" xfId="0" applyFont="1" applyAlignment="1">
      <alignment horizontal="center"/>
    </xf>
    <xf numFmtId="44" fontId="7" fillId="0" borderId="0" xfId="0" applyNumberFormat="1" applyFont="1"/>
    <xf numFmtId="176" fontId="7" fillId="0" borderId="0" xfId="0" applyNumberFormat="1" applyFont="1"/>
    <xf numFmtId="39" fontId="14" fillId="0" borderId="0" xfId="0" applyNumberFormat="1" applyFont="1"/>
    <xf numFmtId="177" fontId="7" fillId="0" borderId="0" xfId="0" applyNumberFormat="1" applyFont="1"/>
    <xf numFmtId="177" fontId="14" fillId="0" borderId="0" xfId="0" applyNumberFormat="1" applyFont="1"/>
    <xf numFmtId="0" fontId="7" fillId="0" borderId="30" xfId="0" applyFont="1" applyBorder="1"/>
    <xf numFmtId="0" fontId="3" fillId="0" borderId="0" xfId="0" applyFont="1" applyAlignment="1">
      <alignment horizontal="center"/>
    </xf>
    <xf numFmtId="0" fontId="5" fillId="2" borderId="34" xfId="0" applyFont="1" applyFill="1" applyBorder="1"/>
    <xf numFmtId="0" fontId="5" fillId="2" borderId="34" xfId="0" applyFont="1" applyFill="1" applyBorder="1" applyAlignment="1">
      <alignment horizontal="center"/>
    </xf>
    <xf numFmtId="0" fontId="3" fillId="3" borderId="5" xfId="0" applyFont="1" applyFill="1" applyBorder="1"/>
    <xf numFmtId="0" fontId="3" fillId="3" borderId="6" xfId="0" applyFont="1" applyFill="1" applyBorder="1" applyAlignment="1">
      <alignment horizontal="center"/>
    </xf>
    <xf numFmtId="0" fontId="3" fillId="3" borderId="7" xfId="0" applyFont="1" applyFill="1" applyBorder="1"/>
    <xf numFmtId="0" fontId="10" fillId="0" borderId="0" xfId="0" applyFont="1" applyAlignment="1">
      <alignment horizontal="left"/>
    </xf>
    <xf numFmtId="178" fontId="10" fillId="0" borderId="0" xfId="0" applyNumberFormat="1" applyFont="1" applyAlignment="1">
      <alignment horizontal="center"/>
    </xf>
    <xf numFmtId="0" fontId="3" fillId="0" borderId="0" xfId="0" applyFont="1" applyAlignment="1">
      <alignment horizontal="left"/>
    </xf>
    <xf numFmtId="0" fontId="28" fillId="0" borderId="0" xfId="0" applyFont="1" applyAlignment="1">
      <alignment horizontal="left"/>
    </xf>
    <xf numFmtId="0" fontId="3" fillId="3" borderId="6"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29" fillId="0" borderId="0" xfId="0" applyNumberFormat="1" applyFont="1" applyAlignment="1">
      <alignment horizontal="left"/>
    </xf>
    <xf numFmtId="0" fontId="29" fillId="0" borderId="0" xfId="0" applyFont="1"/>
    <xf numFmtId="0" fontId="29" fillId="0" borderId="0" xfId="0" applyFont="1" applyAlignment="1">
      <alignment horizontal="left" vertical="top" wrapText="1"/>
    </xf>
    <xf numFmtId="0" fontId="29"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0" fillId="0" borderId="0" xfId="0" applyFont="1"/>
    <xf numFmtId="0" fontId="31" fillId="0" borderId="0" xfId="0" applyFont="1" applyAlignment="1">
      <alignment horizontal="center"/>
    </xf>
    <xf numFmtId="0" fontId="13" fillId="0" borderId="17" xfId="0" applyFont="1" applyBorder="1"/>
    <xf numFmtId="0" fontId="13" fillId="2" borderId="4" xfId="0" applyFont="1" applyFill="1" applyBorder="1" applyAlignment="1">
      <alignment horizontal="center"/>
    </xf>
    <xf numFmtId="0" fontId="16" fillId="3" borderId="4" xfId="0" applyFont="1" applyFill="1" applyBorder="1" applyAlignment="1">
      <alignment horizontal="center"/>
    </xf>
    <xf numFmtId="0" fontId="32" fillId="2" borderId="4" xfId="0" applyFont="1" applyFill="1" applyBorder="1" applyAlignment="1">
      <alignment horizontal="center"/>
    </xf>
    <xf numFmtId="0" fontId="33" fillId="0" borderId="0" xfId="0" applyFont="1"/>
    <xf numFmtId="0" fontId="33" fillId="2" borderId="54" xfId="0" applyFont="1" applyFill="1" applyBorder="1"/>
    <xf numFmtId="0" fontId="33" fillId="2" borderId="55" xfId="0" applyFont="1" applyFill="1" applyBorder="1"/>
    <xf numFmtId="0" fontId="33" fillId="2" borderId="62" xfId="0" applyFont="1" applyFill="1" applyBorder="1"/>
    <xf numFmtId="0" fontId="13" fillId="2" borderId="21" xfId="0" applyFont="1" applyFill="1" applyBorder="1" applyAlignment="1">
      <alignment horizontal="left"/>
    </xf>
    <xf numFmtId="0" fontId="13" fillId="2" borderId="22" xfId="0" applyFont="1" applyFill="1" applyBorder="1"/>
    <xf numFmtId="0" fontId="32" fillId="2" borderId="22" xfId="0" applyFont="1" applyFill="1" applyBorder="1" applyAlignment="1">
      <alignment horizontal="center"/>
    </xf>
    <xf numFmtId="0" fontId="31" fillId="0" borderId="0" xfId="0" applyFont="1"/>
    <xf numFmtId="0" fontId="13" fillId="2" borderId="21" xfId="0" applyFont="1" applyFill="1" applyBorder="1" applyAlignment="1">
      <alignment horizontal="center"/>
    </xf>
    <xf numFmtId="179" fontId="14" fillId="12" borderId="34" xfId="0" applyNumberFormat="1" applyFont="1" applyFill="1" applyBorder="1"/>
    <xf numFmtId="179" fontId="14" fillId="0" borderId="0" xfId="0" applyNumberFormat="1" applyFont="1"/>
    <xf numFmtId="179" fontId="7" fillId="13" borderId="34" xfId="0" applyNumberFormat="1" applyFont="1" applyFill="1" applyBorder="1"/>
    <xf numFmtId="179" fontId="7" fillId="0" borderId="0" xfId="0" applyNumberFormat="1" applyFont="1"/>
    <xf numFmtId="0" fontId="7" fillId="0" borderId="52" xfId="0" applyFont="1" applyBorder="1"/>
    <xf numFmtId="179" fontId="14" fillId="12" borderId="34" xfId="0" applyNumberFormat="1" applyFont="1" applyFill="1" applyBorder="1" applyAlignment="1">
      <alignment horizontal="right"/>
    </xf>
    <xf numFmtId="179" fontId="14" fillId="0" borderId="0" xfId="0" applyNumberFormat="1" applyFont="1" applyAlignment="1">
      <alignment horizontal="right"/>
    </xf>
    <xf numFmtId="179" fontId="7" fillId="13" borderId="34" xfId="0" applyNumberFormat="1" applyFont="1" applyFill="1" applyBorder="1" applyAlignment="1">
      <alignment horizontal="right"/>
    </xf>
    <xf numFmtId="179" fontId="7" fillId="0" borderId="0" xfId="0" applyNumberFormat="1" applyFont="1" applyAlignment="1">
      <alignment horizontal="right"/>
    </xf>
    <xf numFmtId="180" fontId="22" fillId="0" borderId="9" xfId="0" applyNumberFormat="1" applyFont="1" applyBorder="1" applyAlignment="1">
      <alignment horizontal="center"/>
    </xf>
    <xf numFmtId="180" fontId="22" fillId="0" borderId="10" xfId="0" applyNumberFormat="1" applyFont="1" applyBorder="1" applyAlignment="1">
      <alignment horizontal="center"/>
    </xf>
    <xf numFmtId="0" fontId="34" fillId="0" borderId="0" xfId="0" applyFont="1" applyAlignment="1">
      <alignment horizontal="center"/>
    </xf>
    <xf numFmtId="0" fontId="35" fillId="0" borderId="0" xfId="0" applyFont="1"/>
    <xf numFmtId="0" fontId="36" fillId="0" borderId="0" xfId="0" applyFont="1" applyAlignment="1">
      <alignment horizontal="left"/>
    </xf>
    <xf numFmtId="169" fontId="37" fillId="12" borderId="34" xfId="0" applyNumberFormat="1" applyFont="1" applyFill="1" applyBorder="1" applyAlignment="1">
      <alignment horizontal="right"/>
    </xf>
    <xf numFmtId="180" fontId="37" fillId="12" borderId="34" xfId="0" applyNumberFormat="1" applyFont="1" applyFill="1" applyBorder="1" applyAlignment="1">
      <alignment horizontal="right"/>
    </xf>
    <xf numFmtId="180" fontId="37" fillId="0" borderId="0" xfId="0" applyNumberFormat="1" applyFont="1" applyAlignment="1">
      <alignment horizontal="right"/>
    </xf>
    <xf numFmtId="180" fontId="35" fillId="13" borderId="34" xfId="0" applyNumberFormat="1" applyFont="1" applyFill="1" applyBorder="1" applyAlignment="1">
      <alignment horizontal="right"/>
    </xf>
    <xf numFmtId="180" fontId="35" fillId="0" borderId="0" xfId="0" applyNumberFormat="1" applyFont="1" applyAlignment="1">
      <alignment horizontal="right"/>
    </xf>
    <xf numFmtId="0" fontId="35" fillId="0" borderId="9" xfId="0" applyFont="1" applyBorder="1" applyAlignment="1">
      <alignment horizontal="center"/>
    </xf>
    <xf numFmtId="0" fontId="35" fillId="0" borderId="10" xfId="0" applyFont="1" applyBorder="1" applyAlignment="1">
      <alignment horizontal="center"/>
    </xf>
    <xf numFmtId="0" fontId="38" fillId="0" borderId="0" xfId="0" applyFont="1" applyAlignment="1">
      <alignment horizontal="center"/>
    </xf>
    <xf numFmtId="0" fontId="22" fillId="0" borderId="0" xfId="0" applyFont="1"/>
    <xf numFmtId="169" fontId="39" fillId="12" borderId="34" xfId="0" applyNumberFormat="1" applyFont="1" applyFill="1" applyBorder="1" applyAlignment="1">
      <alignment horizontal="right"/>
    </xf>
    <xf numFmtId="180" fontId="22" fillId="13" borderId="34" xfId="0" applyNumberFormat="1" applyFont="1" applyFill="1" applyBorder="1" applyAlignment="1">
      <alignment horizontal="right"/>
    </xf>
    <xf numFmtId="180" fontId="22" fillId="0" borderId="0" xfId="0" applyNumberFormat="1" applyFont="1" applyAlignment="1">
      <alignment horizontal="right"/>
    </xf>
    <xf numFmtId="0" fontId="22" fillId="0" borderId="9" xfId="0" applyFont="1" applyBorder="1"/>
    <xf numFmtId="0" fontId="22" fillId="0" borderId="10" xfId="0" applyFont="1" applyBorder="1"/>
    <xf numFmtId="180" fontId="39" fillId="12" borderId="34" xfId="0" applyNumberFormat="1" applyFont="1" applyFill="1" applyBorder="1" applyAlignment="1">
      <alignment horizontal="right"/>
    </xf>
    <xf numFmtId="180" fontId="39" fillId="0" borderId="0" xfId="0" applyNumberFormat="1" applyFont="1" applyAlignment="1">
      <alignment horizontal="right"/>
    </xf>
    <xf numFmtId="0" fontId="22" fillId="0" borderId="16" xfId="0" applyFont="1" applyBorder="1"/>
    <xf numFmtId="0" fontId="22" fillId="0" borderId="18" xfId="0" applyFont="1" applyBorder="1"/>
    <xf numFmtId="0" fontId="32" fillId="2" borderId="6" xfId="0" applyFont="1" applyFill="1" applyBorder="1" applyAlignment="1">
      <alignment horizontal="center"/>
    </xf>
    <xf numFmtId="0" fontId="32" fillId="2" borderId="7" xfId="0" applyFont="1" applyFill="1" applyBorder="1" applyAlignment="1">
      <alignment horizontal="center"/>
    </xf>
    <xf numFmtId="0" fontId="7" fillId="12" borderId="34" xfId="0" applyFont="1" applyFill="1" applyBorder="1"/>
    <xf numFmtId="0" fontId="7" fillId="13" borderId="34" xfId="0" applyFont="1" applyFill="1" applyBorder="1"/>
    <xf numFmtId="179" fontId="7" fillId="12" borderId="34" xfId="0" applyNumberFormat="1" applyFont="1" applyFill="1" applyBorder="1" applyAlignment="1">
      <alignment horizontal="right"/>
    </xf>
    <xf numFmtId="180" fontId="22" fillId="12" borderId="34" xfId="0" applyNumberFormat="1" applyFont="1" applyFill="1" applyBorder="1" applyAlignment="1">
      <alignment horizontal="right"/>
    </xf>
    <xf numFmtId="0" fontId="7" fillId="12" borderId="34" xfId="0" applyFont="1" applyFill="1" applyBorder="1" applyAlignment="1">
      <alignment horizontal="right"/>
    </xf>
    <xf numFmtId="180" fontId="40" fillId="13" borderId="34" xfId="0" applyNumberFormat="1" applyFont="1" applyFill="1" applyBorder="1" applyAlignment="1">
      <alignment horizontal="right"/>
    </xf>
    <xf numFmtId="180" fontId="40" fillId="0" borderId="0" xfId="0" applyNumberFormat="1" applyFont="1" applyAlignment="1">
      <alignment horizontal="right"/>
    </xf>
    <xf numFmtId="0" fontId="7" fillId="13" borderId="34" xfId="0" applyFont="1" applyFill="1" applyBorder="1" applyAlignment="1">
      <alignment horizontal="right"/>
    </xf>
    <xf numFmtId="0" fontId="22" fillId="12" borderId="34" xfId="0" applyFont="1" applyFill="1" applyBorder="1" applyAlignment="1">
      <alignment horizontal="right"/>
    </xf>
    <xf numFmtId="0" fontId="22" fillId="0" borderId="0" xfId="0" applyFont="1" applyAlignment="1">
      <alignment horizontal="right"/>
    </xf>
    <xf numFmtId="181" fontId="7" fillId="12" borderId="34" xfId="0" applyNumberFormat="1" applyFont="1" applyFill="1" applyBorder="1" applyAlignment="1">
      <alignment horizontal="right"/>
    </xf>
    <xf numFmtId="181" fontId="7" fillId="0" borderId="0" xfId="0" applyNumberFormat="1" applyFont="1" applyAlignment="1">
      <alignment horizontal="right"/>
    </xf>
    <xf numFmtId="181" fontId="7" fillId="13" borderId="34" xfId="0" applyNumberFormat="1" applyFont="1" applyFill="1" applyBorder="1" applyAlignment="1">
      <alignment horizontal="right"/>
    </xf>
    <xf numFmtId="181" fontId="7" fillId="12" borderId="34" xfId="0" applyNumberFormat="1" applyFont="1" applyFill="1" applyBorder="1"/>
    <xf numFmtId="181" fontId="7" fillId="0" borderId="0" xfId="0" applyNumberFormat="1" applyFont="1"/>
    <xf numFmtId="181" fontId="7" fillId="13" borderId="34" xfId="0" applyNumberFormat="1" applyFont="1" applyFill="1" applyBorder="1"/>
    <xf numFmtId="181" fontId="16" fillId="12" borderId="34" xfId="0" applyNumberFormat="1" applyFont="1" applyFill="1" applyBorder="1" applyAlignment="1">
      <alignment horizontal="right"/>
    </xf>
    <xf numFmtId="182" fontId="7" fillId="12" borderId="34" xfId="0" applyNumberFormat="1" applyFont="1" applyFill="1" applyBorder="1" applyAlignment="1">
      <alignment horizontal="right"/>
    </xf>
    <xf numFmtId="182" fontId="7" fillId="0" borderId="0" xfId="0" applyNumberFormat="1" applyFont="1" applyAlignment="1">
      <alignment horizontal="right"/>
    </xf>
    <xf numFmtId="182" fontId="7" fillId="13" borderId="34" xfId="0" applyNumberFormat="1" applyFont="1" applyFill="1" applyBorder="1" applyAlignment="1">
      <alignment horizontal="right"/>
    </xf>
    <xf numFmtId="182" fontId="22" fillId="12" borderId="34" xfId="0" applyNumberFormat="1" applyFont="1" applyFill="1" applyBorder="1" applyAlignment="1">
      <alignment horizontal="right"/>
    </xf>
    <xf numFmtId="182" fontId="22" fillId="0" borderId="0" xfId="0" applyNumberFormat="1" applyFont="1" applyAlignment="1">
      <alignment horizontal="right"/>
    </xf>
    <xf numFmtId="182" fontId="40" fillId="13" borderId="34" xfId="0" applyNumberFormat="1" applyFont="1" applyFill="1" applyBorder="1" applyAlignment="1">
      <alignment horizontal="right"/>
    </xf>
    <xf numFmtId="182" fontId="40" fillId="0" borderId="0" xfId="0" applyNumberFormat="1" applyFont="1" applyAlignment="1">
      <alignment horizontal="right"/>
    </xf>
    <xf numFmtId="183" fontId="7" fillId="12" borderId="34" xfId="0" applyNumberFormat="1" applyFont="1" applyFill="1" applyBorder="1" applyAlignment="1">
      <alignment horizontal="right"/>
    </xf>
    <xf numFmtId="183" fontId="7" fillId="0" borderId="0" xfId="0" applyNumberFormat="1" applyFont="1" applyAlignment="1">
      <alignment horizontal="right"/>
    </xf>
    <xf numFmtId="180" fontId="40" fillId="13" borderId="34" xfId="0" applyNumberFormat="1" applyFont="1" applyFill="1" applyBorder="1"/>
    <xf numFmtId="180" fontId="40" fillId="0" borderId="0" xfId="0" applyNumberFormat="1" applyFont="1"/>
    <xf numFmtId="0" fontId="41" fillId="0" borderId="0" xfId="0" applyFont="1" applyAlignment="1">
      <alignment horizontal="center"/>
    </xf>
    <xf numFmtId="0" fontId="42" fillId="0" borderId="0" xfId="0" applyFont="1" applyAlignment="1">
      <alignment horizontal="center"/>
    </xf>
    <xf numFmtId="0" fontId="4" fillId="0" borderId="0" xfId="0" applyFont="1" applyAlignment="1">
      <alignment horizontal="center"/>
    </xf>
    <xf numFmtId="0" fontId="16" fillId="0" borderId="25" xfId="0" applyFont="1" applyBorder="1" applyAlignment="1">
      <alignment horizontal="center"/>
    </xf>
    <xf numFmtId="0" fontId="7" fillId="0" borderId="42" xfId="0" applyFont="1" applyBorder="1" applyAlignment="1">
      <alignment horizontal="left"/>
    </xf>
    <xf numFmtId="0" fontId="7" fillId="0" borderId="45" xfId="0" applyFont="1" applyBorder="1" applyAlignment="1">
      <alignment horizontal="left"/>
    </xf>
    <xf numFmtId="0" fontId="7" fillId="0" borderId="49" xfId="0" applyFont="1" applyBorder="1" applyAlignment="1">
      <alignment horizontal="left"/>
    </xf>
    <xf numFmtId="0" fontId="13" fillId="2" borderId="54" xfId="0" applyFont="1" applyFill="1" applyBorder="1" applyAlignment="1">
      <alignment horizontal="left"/>
    </xf>
    <xf numFmtId="0" fontId="32" fillId="2" borderId="55" xfId="0" applyFont="1" applyFill="1" applyBorder="1" applyAlignment="1">
      <alignment horizontal="center"/>
    </xf>
    <xf numFmtId="0" fontId="13" fillId="2" borderId="62" xfId="0" applyFont="1" applyFill="1" applyBorder="1" applyAlignment="1">
      <alignment horizontal="center"/>
    </xf>
    <xf numFmtId="179" fontId="7" fillId="12" borderId="34" xfId="0" applyNumberFormat="1" applyFont="1" applyFill="1" applyBorder="1"/>
    <xf numFmtId="168" fontId="16" fillId="12" borderId="22" xfId="0" applyNumberFormat="1" applyFont="1" applyFill="1" applyBorder="1"/>
    <xf numFmtId="168" fontId="7" fillId="0" borderId="17" xfId="0" applyNumberFormat="1" applyFont="1" applyBorder="1"/>
    <xf numFmtId="168" fontId="7" fillId="13" borderId="22" xfId="0" applyNumberFormat="1" applyFont="1" applyFill="1" applyBorder="1"/>
    <xf numFmtId="184" fontId="7" fillId="12" borderId="34" xfId="0" applyNumberFormat="1" applyFont="1" applyFill="1" applyBorder="1"/>
    <xf numFmtId="168" fontId="16" fillId="12" borderId="34" xfId="0" applyNumberFormat="1" applyFont="1" applyFill="1" applyBorder="1"/>
    <xf numFmtId="168" fontId="7" fillId="13" borderId="34" xfId="0" applyNumberFormat="1" applyFont="1" applyFill="1" applyBorder="1"/>
    <xf numFmtId="184" fontId="7" fillId="13" borderId="34" xfId="0" applyNumberFormat="1" applyFont="1" applyFill="1" applyBorder="1"/>
    <xf numFmtId="168" fontId="14" fillId="13" borderId="34" xfId="0" applyNumberFormat="1" applyFont="1" applyFill="1" applyBorder="1"/>
    <xf numFmtId="168" fontId="14" fillId="0" borderId="0" xfId="0" applyNumberFormat="1" applyFont="1"/>
    <xf numFmtId="185" fontId="7" fillId="12" borderId="34" xfId="0" applyNumberFormat="1" applyFont="1" applyFill="1" applyBorder="1"/>
    <xf numFmtId="185" fontId="7" fillId="13" borderId="34" xfId="0" applyNumberFormat="1" applyFont="1" applyFill="1" applyBorder="1"/>
    <xf numFmtId="168" fontId="16" fillId="13" borderId="34" xfId="0" applyNumberFormat="1" applyFont="1" applyFill="1" applyBorder="1"/>
    <xf numFmtId="168" fontId="16" fillId="0" borderId="0" xfId="0" applyNumberFormat="1" applyFont="1"/>
    <xf numFmtId="168" fontId="16" fillId="4" borderId="22" xfId="0" applyNumberFormat="1" applyFont="1" applyFill="1" applyBorder="1"/>
    <xf numFmtId="168" fontId="16" fillId="13" borderId="22" xfId="0" applyNumberFormat="1" applyFont="1" applyFill="1" applyBorder="1"/>
    <xf numFmtId="168" fontId="16" fillId="0" borderId="17" xfId="0" applyNumberFormat="1" applyFont="1" applyBorder="1"/>
    <xf numFmtId="7" fontId="7" fillId="12" borderId="34" xfId="0" applyNumberFormat="1" applyFont="1" applyFill="1" applyBorder="1"/>
    <xf numFmtId="7" fontId="7" fillId="13" borderId="34" xfId="0" applyNumberFormat="1" applyFont="1" applyFill="1" applyBorder="1"/>
    <xf numFmtId="168" fontId="7" fillId="12" borderId="22" xfId="0" applyNumberFormat="1" applyFont="1" applyFill="1" applyBorder="1"/>
    <xf numFmtId="0" fontId="13" fillId="2" borderId="55" xfId="0" applyFont="1" applyFill="1" applyBorder="1"/>
    <xf numFmtId="0" fontId="7" fillId="3" borderId="21" xfId="0" applyFont="1" applyFill="1" applyBorder="1"/>
    <xf numFmtId="0" fontId="7" fillId="3" borderId="22" xfId="0" applyFont="1" applyFill="1" applyBorder="1"/>
    <xf numFmtId="0" fontId="7" fillId="3" borderId="23" xfId="0" applyFont="1" applyFill="1" applyBorder="1"/>
    <xf numFmtId="180" fontId="7" fillId="12" borderId="34" xfId="0" applyNumberFormat="1" applyFont="1" applyFill="1" applyBorder="1" applyAlignment="1">
      <alignment horizontal="right"/>
    </xf>
    <xf numFmtId="180" fontId="7" fillId="0" borderId="0" xfId="0" applyNumberFormat="1" applyFont="1" applyAlignment="1">
      <alignment horizontal="right"/>
    </xf>
    <xf numFmtId="180" fontId="7" fillId="13" borderId="34" xfId="0" applyNumberFormat="1" applyFont="1" applyFill="1" applyBorder="1" applyAlignment="1">
      <alignment horizontal="right"/>
    </xf>
    <xf numFmtId="180" fontId="14" fillId="13" borderId="34" xfId="0" applyNumberFormat="1" applyFont="1" applyFill="1" applyBorder="1" applyAlignment="1">
      <alignment horizontal="right"/>
    </xf>
    <xf numFmtId="180" fontId="14" fillId="0" borderId="0" xfId="0" applyNumberFormat="1" applyFont="1" applyAlignment="1">
      <alignment horizontal="right"/>
    </xf>
    <xf numFmtId="186" fontId="7" fillId="12" borderId="34" xfId="0" applyNumberFormat="1" applyFont="1" applyFill="1" applyBorder="1"/>
    <xf numFmtId="186" fontId="7" fillId="13" borderId="34" xfId="0" applyNumberFormat="1" applyFont="1" applyFill="1" applyBorder="1"/>
    <xf numFmtId="168" fontId="7" fillId="12" borderId="34" xfId="0" applyNumberFormat="1" applyFont="1" applyFill="1" applyBorder="1"/>
    <xf numFmtId="168" fontId="14" fillId="13" borderId="22" xfId="0" applyNumberFormat="1" applyFont="1" applyFill="1" applyBorder="1"/>
    <xf numFmtId="0" fontId="7" fillId="0" borderId="20" xfId="0" applyFont="1" applyBorder="1"/>
    <xf numFmtId="0" fontId="7" fillId="0" borderId="33" xfId="0" applyFont="1" applyBorder="1" applyAlignment="1">
      <alignment horizontal="left"/>
    </xf>
    <xf numFmtId="179" fontId="7" fillId="12" borderId="65" xfId="0" applyNumberFormat="1" applyFont="1" applyFill="1" applyBorder="1"/>
    <xf numFmtId="179" fontId="7" fillId="0" borderId="33" xfId="0" applyNumberFormat="1" applyFont="1" applyBorder="1"/>
    <xf numFmtId="179" fontId="7" fillId="13" borderId="65" xfId="0" applyNumberFormat="1" applyFont="1" applyFill="1" applyBorder="1"/>
    <xf numFmtId="168" fontId="14" fillId="0" borderId="17" xfId="0" applyNumberFormat="1" applyFont="1" applyBorder="1"/>
    <xf numFmtId="179" fontId="16" fillId="12" borderId="34" xfId="0" applyNumberFormat="1" applyFont="1" applyFill="1" applyBorder="1"/>
    <xf numFmtId="179" fontId="4" fillId="12" borderId="34" xfId="0" applyNumberFormat="1" applyFont="1" applyFill="1" applyBorder="1"/>
    <xf numFmtId="168" fontId="4" fillId="12" borderId="22" xfId="0" applyNumberFormat="1" applyFont="1" applyFill="1" applyBorder="1"/>
    <xf numFmtId="179" fontId="16" fillId="0" borderId="0" xfId="0" applyNumberFormat="1" applyFont="1"/>
    <xf numFmtId="0" fontId="7" fillId="3" borderId="7" xfId="0" applyFont="1" applyFill="1" applyBorder="1"/>
    <xf numFmtId="180" fontId="7" fillId="12" borderId="34" xfId="0" applyNumberFormat="1" applyFont="1" applyFill="1" applyBorder="1"/>
    <xf numFmtId="180" fontId="7" fillId="0" borderId="0" xfId="0" applyNumberFormat="1" applyFont="1"/>
    <xf numFmtId="180" fontId="7" fillId="13" borderId="34" xfId="0" applyNumberFormat="1" applyFont="1" applyFill="1" applyBorder="1"/>
    <xf numFmtId="0" fontId="22" fillId="0" borderId="33" xfId="0" applyFont="1" applyBorder="1" applyAlignment="1">
      <alignment horizontal="left"/>
    </xf>
    <xf numFmtId="0" fontId="22" fillId="0" borderId="33" xfId="0" applyFont="1" applyBorder="1"/>
    <xf numFmtId="187" fontId="22" fillId="12" borderId="65" xfId="0" applyNumberFormat="1" applyFont="1" applyFill="1" applyBorder="1" applyAlignment="1">
      <alignment horizontal="right"/>
    </xf>
    <xf numFmtId="187" fontId="22" fillId="0" borderId="33" xfId="0" applyNumberFormat="1" applyFont="1" applyBorder="1" applyAlignment="1">
      <alignment horizontal="right"/>
    </xf>
    <xf numFmtId="187" fontId="22" fillId="13" borderId="65" xfId="0" applyNumberFormat="1" applyFont="1" applyFill="1" applyBorder="1" applyAlignment="1">
      <alignment horizontal="right"/>
    </xf>
    <xf numFmtId="187" fontId="22" fillId="0" borderId="31" xfId="0" applyNumberFormat="1" applyFont="1" applyBorder="1" applyAlignment="1">
      <alignment horizontal="right"/>
    </xf>
    <xf numFmtId="0" fontId="7" fillId="0" borderId="30" xfId="0" applyFont="1" applyBorder="1" applyAlignment="1">
      <alignment horizontal="left"/>
    </xf>
    <xf numFmtId="179" fontId="7" fillId="0" borderId="31" xfId="0" applyNumberFormat="1" applyFont="1" applyBorder="1"/>
    <xf numFmtId="0" fontId="7" fillId="12" borderId="66" xfId="0" applyFont="1" applyFill="1" applyBorder="1"/>
    <xf numFmtId="0" fontId="7" fillId="13" borderId="66" xfId="0" applyFont="1" applyFill="1" applyBorder="1"/>
    <xf numFmtId="169" fontId="7" fillId="12" borderId="34" xfId="0" applyNumberFormat="1" applyFont="1" applyFill="1" applyBorder="1"/>
    <xf numFmtId="169" fontId="14" fillId="13" borderId="34" xfId="0" applyNumberFormat="1" applyFont="1" applyFill="1" applyBorder="1"/>
    <xf numFmtId="169" fontId="14" fillId="0" borderId="0" xfId="0" applyNumberFormat="1" applyFont="1"/>
    <xf numFmtId="181" fontId="16" fillId="12" borderId="34" xfId="0" applyNumberFormat="1" applyFont="1" applyFill="1" applyBorder="1"/>
    <xf numFmtId="181" fontId="7" fillId="0" borderId="17" xfId="0" applyNumberFormat="1" applyFont="1" applyBorder="1"/>
    <xf numFmtId="169" fontId="7" fillId="13" borderId="34" xfId="0" applyNumberFormat="1" applyFont="1" applyFill="1" applyBorder="1"/>
    <xf numFmtId="179" fontId="16" fillId="4" borderId="34" xfId="0" applyNumberFormat="1" applyFont="1" applyFill="1" applyBorder="1"/>
    <xf numFmtId="181" fontId="16" fillId="13" borderId="34" xfId="0" applyNumberFormat="1" applyFont="1" applyFill="1" applyBorder="1"/>
    <xf numFmtId="180" fontId="14" fillId="13" borderId="34" xfId="0" applyNumberFormat="1" applyFont="1" applyFill="1" applyBorder="1"/>
    <xf numFmtId="180" fontId="14" fillId="0" borderId="0" xfId="0" applyNumberFormat="1" applyFont="1"/>
    <xf numFmtId="179" fontId="22" fillId="12" borderId="34" xfId="0" applyNumberFormat="1" applyFont="1" applyFill="1" applyBorder="1"/>
    <xf numFmtId="179" fontId="22" fillId="0" borderId="0" xfId="0" applyNumberFormat="1" applyFont="1"/>
    <xf numFmtId="179" fontId="22" fillId="13" borderId="34" xfId="0" applyNumberFormat="1" applyFont="1" applyFill="1" applyBorder="1"/>
    <xf numFmtId="188" fontId="7" fillId="12" borderId="34" xfId="0" applyNumberFormat="1" applyFont="1" applyFill="1" applyBorder="1"/>
    <xf numFmtId="183" fontId="7" fillId="12" borderId="34" xfId="0" applyNumberFormat="1" applyFont="1" applyFill="1" applyBorder="1"/>
    <xf numFmtId="183" fontId="7" fillId="0" borderId="0" xfId="0" applyNumberFormat="1" applyFont="1"/>
    <xf numFmtId="183" fontId="7" fillId="13" borderId="34" xfId="0" applyNumberFormat="1" applyFont="1" applyFill="1" applyBorder="1"/>
    <xf numFmtId="7" fontId="16" fillId="12" borderId="34" xfId="0" applyNumberFormat="1" applyFont="1" applyFill="1" applyBorder="1"/>
    <xf numFmtId="7" fontId="16" fillId="4" borderId="34" xfId="0" applyNumberFormat="1" applyFont="1" applyFill="1" applyBorder="1"/>
    <xf numFmtId="7" fontId="16" fillId="0" borderId="0" xfId="0" applyNumberFormat="1" applyFont="1"/>
    <xf numFmtId="168" fontId="7" fillId="4" borderId="34" xfId="0" applyNumberFormat="1" applyFont="1" applyFill="1" applyBorder="1"/>
    <xf numFmtId="168" fontId="16" fillId="4" borderId="34" xfId="0" applyNumberFormat="1" applyFont="1" applyFill="1" applyBorder="1"/>
    <xf numFmtId="189" fontId="7" fillId="12" borderId="34" xfId="0" applyNumberFormat="1" applyFont="1" applyFill="1" applyBorder="1"/>
    <xf numFmtId="7" fontId="7" fillId="4" borderId="34" xfId="0" applyNumberFormat="1" applyFont="1" applyFill="1" applyBorder="1"/>
    <xf numFmtId="0" fontId="7" fillId="4" borderId="34" xfId="0" applyFont="1" applyFill="1" applyBorder="1"/>
    <xf numFmtId="39" fontId="7" fillId="12" borderId="34" xfId="0" applyNumberFormat="1" applyFont="1" applyFill="1" applyBorder="1"/>
    <xf numFmtId="179" fontId="7" fillId="4" borderId="34" xfId="0" applyNumberFormat="1" applyFont="1" applyFill="1" applyBorder="1"/>
    <xf numFmtId="169" fontId="22" fillId="12" borderId="34" xfId="0" applyNumberFormat="1" applyFont="1" applyFill="1" applyBorder="1"/>
    <xf numFmtId="169" fontId="22" fillId="0" borderId="0" xfId="0" applyNumberFormat="1" applyFont="1"/>
    <xf numFmtId="169" fontId="22" fillId="4" borderId="34" xfId="0" applyNumberFormat="1" applyFont="1" applyFill="1" applyBorder="1"/>
    <xf numFmtId="168" fontId="7" fillId="4" borderId="22" xfId="0" applyNumberFormat="1" applyFont="1" applyFill="1" applyBorder="1"/>
    <xf numFmtId="8" fontId="7" fillId="13" borderId="34" xfId="0" applyNumberFormat="1" applyFont="1" applyFill="1" applyBorder="1"/>
    <xf numFmtId="8" fontId="7" fillId="0" borderId="0" xfId="0" applyNumberFormat="1" applyFont="1"/>
    <xf numFmtId="184" fontId="7" fillId="0" borderId="0" xfId="0" applyNumberFormat="1" applyFont="1"/>
    <xf numFmtId="184" fontId="16" fillId="12" borderId="34" xfId="0" applyNumberFormat="1" applyFont="1" applyFill="1" applyBorder="1"/>
    <xf numFmtId="184" fontId="16" fillId="0" borderId="0" xfId="0" applyNumberFormat="1" applyFont="1"/>
    <xf numFmtId="184" fontId="16" fillId="12" borderId="22" xfId="0" applyNumberFormat="1" applyFont="1" applyFill="1" applyBorder="1"/>
    <xf numFmtId="184" fontId="16" fillId="0" borderId="17" xfId="0" applyNumberFormat="1" applyFont="1" applyBorder="1"/>
    <xf numFmtId="184" fontId="7" fillId="13" borderId="22" xfId="0" applyNumberFormat="1" applyFont="1" applyFill="1" applyBorder="1"/>
    <xf numFmtId="184" fontId="7" fillId="0" borderId="17" xfId="0" applyNumberFormat="1" applyFont="1" applyBorder="1"/>
    <xf numFmtId="181" fontId="14" fillId="13" borderId="34" xfId="0" applyNumberFormat="1" applyFont="1" applyFill="1" applyBorder="1"/>
    <xf numFmtId="0" fontId="14" fillId="0" borderId="0" xfId="0" applyFont="1"/>
    <xf numFmtId="181" fontId="14" fillId="0" borderId="0" xfId="0" applyNumberFormat="1" applyFont="1"/>
    <xf numFmtId="180" fontId="22" fillId="12" borderId="34" xfId="0" applyNumberFormat="1" applyFont="1" applyFill="1" applyBorder="1"/>
    <xf numFmtId="180" fontId="22" fillId="0" borderId="0" xfId="0" applyNumberFormat="1" applyFont="1"/>
    <xf numFmtId="180" fontId="22" fillId="13" borderId="34" xfId="0" applyNumberFormat="1" applyFont="1" applyFill="1" applyBorder="1"/>
    <xf numFmtId="190" fontId="40" fillId="13" borderId="34" xfId="0" applyNumberFormat="1" applyFont="1" applyFill="1" applyBorder="1"/>
    <xf numFmtId="190" fontId="40" fillId="0" borderId="0" xfId="0" applyNumberFormat="1" applyFont="1"/>
    <xf numFmtId="0" fontId="7" fillId="12" borderId="65" xfId="0" applyFont="1" applyFill="1" applyBorder="1"/>
    <xf numFmtId="168" fontId="16" fillId="12" borderId="34" xfId="0" applyNumberFormat="1" applyFont="1" applyFill="1" applyBorder="1" applyAlignment="1">
      <alignment horizontal="right"/>
    </xf>
    <xf numFmtId="168" fontId="7" fillId="0" borderId="0" xfId="0" applyNumberFormat="1" applyFont="1" applyAlignment="1">
      <alignment horizontal="right"/>
    </xf>
    <xf numFmtId="168" fontId="14" fillId="13" borderId="34" xfId="0" applyNumberFormat="1" applyFont="1" applyFill="1" applyBorder="1" applyAlignment="1">
      <alignment horizontal="right"/>
    </xf>
    <xf numFmtId="168" fontId="14" fillId="0" borderId="0" xfId="0" applyNumberFormat="1" applyFont="1" applyAlignment="1">
      <alignment horizontal="right"/>
    </xf>
    <xf numFmtId="168" fontId="7" fillId="12" borderId="34" xfId="0" applyNumberFormat="1" applyFont="1" applyFill="1" applyBorder="1" applyAlignment="1">
      <alignment horizontal="right"/>
    </xf>
    <xf numFmtId="169" fontId="7" fillId="12" borderId="34" xfId="0" applyNumberFormat="1" applyFont="1" applyFill="1" applyBorder="1" applyAlignment="1">
      <alignment horizontal="right"/>
    </xf>
    <xf numFmtId="169" fontId="7" fillId="13" borderId="34" xfId="0" applyNumberFormat="1" applyFont="1" applyFill="1" applyBorder="1" applyAlignment="1">
      <alignment horizontal="right"/>
    </xf>
    <xf numFmtId="0" fontId="16" fillId="0" borderId="0" xfId="0" applyFont="1" applyAlignment="1">
      <alignment horizontal="left"/>
    </xf>
    <xf numFmtId="168" fontId="16" fillId="13" borderId="34" xfId="0" applyNumberFormat="1" applyFont="1" applyFill="1" applyBorder="1" applyAlignment="1">
      <alignment horizontal="right"/>
    </xf>
    <xf numFmtId="168" fontId="16" fillId="0" borderId="0" xfId="0" applyNumberFormat="1" applyFont="1" applyAlignment="1">
      <alignment horizontal="right"/>
    </xf>
    <xf numFmtId="169" fontId="7" fillId="0" borderId="0" xfId="0" applyNumberFormat="1" applyFont="1" applyAlignment="1">
      <alignment horizontal="right"/>
    </xf>
    <xf numFmtId="168" fontId="7" fillId="13" borderId="34" xfId="0" applyNumberFormat="1" applyFont="1" applyFill="1" applyBorder="1" applyAlignment="1">
      <alignment horizontal="right"/>
    </xf>
    <xf numFmtId="186" fontId="16" fillId="12" borderId="34" xfId="0" applyNumberFormat="1" applyFont="1" applyFill="1" applyBorder="1" applyAlignment="1">
      <alignment horizontal="right"/>
    </xf>
    <xf numFmtId="186" fontId="16" fillId="13" borderId="34" xfId="0" applyNumberFormat="1" applyFont="1" applyFill="1" applyBorder="1" applyAlignment="1">
      <alignment horizontal="right"/>
    </xf>
    <xf numFmtId="187" fontId="22" fillId="12" borderId="34" xfId="0" applyNumberFormat="1" applyFont="1" applyFill="1" applyBorder="1" applyAlignment="1">
      <alignment horizontal="right"/>
    </xf>
    <xf numFmtId="187" fontId="22" fillId="0" borderId="0" xfId="0" applyNumberFormat="1" applyFont="1" applyAlignment="1">
      <alignment horizontal="right"/>
    </xf>
    <xf numFmtId="187" fontId="22" fillId="13" borderId="34" xfId="0" applyNumberFormat="1" applyFont="1" applyFill="1" applyBorder="1" applyAlignment="1">
      <alignment horizontal="right"/>
    </xf>
    <xf numFmtId="179" fontId="14" fillId="13" borderId="34" xfId="0" applyNumberFormat="1" applyFont="1" applyFill="1" applyBorder="1" applyAlignment="1">
      <alignment horizontal="right"/>
    </xf>
    <xf numFmtId="168" fontId="4" fillId="0" borderId="0" xfId="0" applyNumberFormat="1" applyFont="1" applyAlignment="1">
      <alignment horizontal="right"/>
    </xf>
    <xf numFmtId="168" fontId="4" fillId="13" borderId="34" xfId="0" applyNumberFormat="1" applyFont="1" applyFill="1" applyBorder="1" applyAlignment="1">
      <alignment horizontal="right"/>
    </xf>
    <xf numFmtId="187" fontId="39" fillId="12" borderId="34" xfId="0" applyNumberFormat="1" applyFont="1" applyFill="1" applyBorder="1" applyAlignment="1">
      <alignment horizontal="right"/>
    </xf>
    <xf numFmtId="187" fontId="22" fillId="14" borderId="34" xfId="0" applyNumberFormat="1" applyFont="1" applyFill="1" applyBorder="1" applyAlignment="1">
      <alignment horizontal="right"/>
    </xf>
    <xf numFmtId="0" fontId="4" fillId="0" borderId="0" xfId="0" applyFont="1" applyAlignment="1">
      <alignment horizontal="left"/>
    </xf>
    <xf numFmtId="180" fontId="4" fillId="0" borderId="0" xfId="0" applyNumberFormat="1" applyFont="1" applyAlignment="1">
      <alignment horizontal="right"/>
    </xf>
    <xf numFmtId="179" fontId="7" fillId="14" borderId="34" xfId="0" applyNumberFormat="1" applyFont="1" applyFill="1" applyBorder="1" applyAlignment="1">
      <alignment horizontal="right"/>
    </xf>
    <xf numFmtId="186" fontId="7" fillId="0" borderId="0" xfId="0" applyNumberFormat="1" applyFont="1" applyAlignment="1">
      <alignment horizontal="right"/>
    </xf>
    <xf numFmtId="0" fontId="7" fillId="3" borderId="6" xfId="0" applyFont="1" applyFill="1" applyBorder="1" applyAlignment="1">
      <alignment horizontal="right"/>
    </xf>
    <xf numFmtId="0" fontId="7" fillId="3" borderId="7" xfId="0" applyFont="1" applyFill="1" applyBorder="1" applyAlignment="1">
      <alignment horizontal="right"/>
    </xf>
    <xf numFmtId="164" fontId="7" fillId="12" borderId="34" xfId="0" applyNumberFormat="1" applyFont="1" applyFill="1" applyBorder="1" applyAlignment="1">
      <alignment horizontal="right"/>
    </xf>
    <xf numFmtId="164" fontId="7" fillId="13" borderId="34" xfId="0" applyNumberFormat="1" applyFont="1" applyFill="1" applyBorder="1" applyAlignment="1">
      <alignment horizontal="right"/>
    </xf>
    <xf numFmtId="164" fontId="7" fillId="0" borderId="0" xfId="0" applyNumberFormat="1" applyFont="1" applyAlignment="1">
      <alignment horizontal="right"/>
    </xf>
    <xf numFmtId="184" fontId="7" fillId="12" borderId="34" xfId="0" applyNumberFormat="1" applyFont="1" applyFill="1" applyBorder="1" applyAlignment="1">
      <alignment horizontal="right"/>
    </xf>
    <xf numFmtId="184" fontId="7" fillId="13" borderId="34" xfId="0" applyNumberFormat="1" applyFont="1" applyFill="1" applyBorder="1" applyAlignment="1">
      <alignment horizontal="right"/>
    </xf>
    <xf numFmtId="184" fontId="7" fillId="0" borderId="0" xfId="0" applyNumberFormat="1" applyFont="1" applyAlignment="1">
      <alignment horizontal="right"/>
    </xf>
    <xf numFmtId="0" fontId="16" fillId="12" borderId="34" xfId="0" applyFont="1" applyFill="1" applyBorder="1" applyAlignment="1">
      <alignment horizontal="right"/>
    </xf>
    <xf numFmtId="0" fontId="16" fillId="13" borderId="34" xfId="0" applyFont="1" applyFill="1" applyBorder="1" applyAlignment="1">
      <alignment horizontal="right"/>
    </xf>
    <xf numFmtId="0" fontId="16" fillId="0" borderId="0" xfId="0" applyFont="1" applyAlignment="1">
      <alignment horizontal="right"/>
    </xf>
    <xf numFmtId="0" fontId="7" fillId="3" borderId="21" xfId="0" applyFont="1" applyFill="1" applyBorder="1" applyAlignment="1">
      <alignment horizontal="left"/>
    </xf>
    <xf numFmtId="0" fontId="13" fillId="3" borderId="22" xfId="0" applyFont="1" applyFill="1" applyBorder="1"/>
    <xf numFmtId="0" fontId="32" fillId="3" borderId="22" xfId="0" applyFont="1" applyFill="1" applyBorder="1" applyAlignment="1">
      <alignment horizontal="center"/>
    </xf>
    <xf numFmtId="0" fontId="13" fillId="3" borderId="22" xfId="0" applyFont="1" applyFill="1" applyBorder="1" applyAlignment="1">
      <alignment horizontal="center"/>
    </xf>
    <xf numFmtId="0" fontId="13" fillId="3" borderId="23" xfId="0" applyFont="1" applyFill="1" applyBorder="1" applyAlignment="1">
      <alignment horizontal="center"/>
    </xf>
    <xf numFmtId="0" fontId="7" fillId="3" borderId="5" xfId="0" applyFont="1" applyFill="1" applyBorder="1" applyAlignment="1">
      <alignment horizontal="left"/>
    </xf>
    <xf numFmtId="0" fontId="13" fillId="3" borderId="6" xfId="0" applyFont="1" applyFill="1" applyBorder="1"/>
    <xf numFmtId="0" fontId="32" fillId="3" borderId="6" xfId="0" applyFont="1" applyFill="1" applyBorder="1" applyAlignment="1">
      <alignment horizontal="right"/>
    </xf>
    <xf numFmtId="0" fontId="13" fillId="3" borderId="6" xfId="0" applyFont="1" applyFill="1" applyBorder="1" applyAlignment="1">
      <alignment horizontal="right"/>
    </xf>
    <xf numFmtId="0" fontId="13" fillId="3" borderId="7" xfId="0" applyFont="1" applyFill="1" applyBorder="1" applyAlignment="1">
      <alignment horizontal="right"/>
    </xf>
    <xf numFmtId="181" fontId="16" fillId="13" borderId="34" xfId="0" applyNumberFormat="1" applyFont="1" applyFill="1" applyBorder="1" applyAlignment="1">
      <alignment horizontal="right"/>
    </xf>
    <xf numFmtId="181" fontId="16" fillId="0" borderId="0" xfId="0" applyNumberFormat="1" applyFont="1" applyAlignment="1">
      <alignment horizontal="right"/>
    </xf>
    <xf numFmtId="0" fontId="32" fillId="3" borderId="22" xfId="0" applyFont="1" applyFill="1" applyBorder="1" applyAlignment="1">
      <alignment horizontal="right"/>
    </xf>
    <xf numFmtId="0" fontId="13" fillId="3" borderId="22" xfId="0" applyFont="1" applyFill="1" applyBorder="1" applyAlignment="1">
      <alignment horizontal="right"/>
    </xf>
    <xf numFmtId="0" fontId="13" fillId="3" borderId="23" xfId="0" applyFont="1" applyFill="1" applyBorder="1" applyAlignment="1">
      <alignment horizontal="right"/>
    </xf>
    <xf numFmtId="180" fontId="14" fillId="12" borderId="34" xfId="0" applyNumberFormat="1" applyFont="1" applyFill="1" applyBorder="1" applyAlignment="1">
      <alignment horizontal="right"/>
    </xf>
    <xf numFmtId="181" fontId="40" fillId="13" borderId="34" xfId="0" applyNumberFormat="1" applyFont="1" applyFill="1" applyBorder="1" applyAlignment="1">
      <alignment horizontal="right"/>
    </xf>
    <xf numFmtId="181" fontId="40" fillId="0" borderId="0" xfId="0" applyNumberFormat="1" applyFont="1" applyAlignment="1">
      <alignment horizontal="right"/>
    </xf>
    <xf numFmtId="191" fontId="7" fillId="13" borderId="34" xfId="0" applyNumberFormat="1" applyFont="1" applyFill="1" applyBorder="1" applyAlignment="1">
      <alignment horizontal="right"/>
    </xf>
    <xf numFmtId="191" fontId="40" fillId="13" borderId="34" xfId="0" applyNumberFormat="1" applyFont="1" applyFill="1" applyBorder="1" applyAlignment="1">
      <alignment horizontal="right"/>
    </xf>
    <xf numFmtId="191" fontId="40" fillId="0" borderId="0" xfId="0" applyNumberFormat="1" applyFont="1" applyAlignment="1">
      <alignment horizontal="right"/>
    </xf>
    <xf numFmtId="173" fontId="40" fillId="0" borderId="0" xfId="0" applyNumberFormat="1" applyFont="1" applyAlignment="1">
      <alignment horizontal="right"/>
    </xf>
    <xf numFmtId="179" fontId="40" fillId="13" borderId="34" xfId="0" applyNumberFormat="1" applyFont="1" applyFill="1" applyBorder="1" applyAlignment="1">
      <alignment horizontal="right"/>
    </xf>
    <xf numFmtId="179" fontId="40" fillId="0" borderId="0" xfId="0" applyNumberFormat="1" applyFont="1" applyAlignment="1">
      <alignment horizontal="right"/>
    </xf>
    <xf numFmtId="0" fontId="5" fillId="0" borderId="0" xfId="0" applyFont="1"/>
    <xf numFmtId="0" fontId="43" fillId="0" borderId="0" xfId="0" applyFont="1" applyAlignment="1">
      <alignment horizontal="center"/>
    </xf>
    <xf numFmtId="0" fontId="32" fillId="0" borderId="0" xfId="0" applyFont="1" applyAlignment="1">
      <alignment horizontal="center"/>
    </xf>
    <xf numFmtId="0" fontId="44" fillId="0" borderId="0" xfId="0" applyFont="1" applyAlignment="1">
      <alignment horizontal="center"/>
    </xf>
    <xf numFmtId="0" fontId="45" fillId="0" borderId="0" xfId="0" applyFont="1" applyAlignment="1">
      <alignment horizontal="center"/>
    </xf>
    <xf numFmtId="171" fontId="46" fillId="0" borderId="0" xfId="0" applyNumberFormat="1" applyFont="1" applyAlignment="1">
      <alignment horizontal="center"/>
    </xf>
    <xf numFmtId="9" fontId="7" fillId="0" borderId="0" xfId="0" applyNumberFormat="1" applyFont="1" applyAlignment="1">
      <alignment horizontal="center"/>
    </xf>
    <xf numFmtId="5" fontId="13" fillId="2" borderId="6" xfId="0" applyNumberFormat="1" applyFont="1" applyFill="1" applyBorder="1" applyAlignment="1">
      <alignment horizontal="center"/>
    </xf>
    <xf numFmtId="192" fontId="13" fillId="2" borderId="6" xfId="0" applyNumberFormat="1" applyFont="1" applyFill="1" applyBorder="1" applyAlignment="1">
      <alignment horizontal="center"/>
    </xf>
    <xf numFmtId="172" fontId="13" fillId="2" borderId="6" xfId="0" applyNumberFormat="1" applyFont="1" applyFill="1" applyBorder="1" applyAlignment="1">
      <alignment horizontal="center"/>
    </xf>
    <xf numFmtId="172" fontId="13" fillId="2" borderId="7" xfId="0" applyNumberFormat="1" applyFont="1" applyFill="1" applyBorder="1" applyAlignment="1">
      <alignment horizontal="center"/>
    </xf>
    <xf numFmtId="193" fontId="13" fillId="2" borderId="6" xfId="0" applyNumberFormat="1" applyFont="1" applyFill="1" applyBorder="1" applyAlignment="1">
      <alignment horizontal="center"/>
    </xf>
    <xf numFmtId="194" fontId="7" fillId="0" borderId="0" xfId="0" applyNumberFormat="1" applyFont="1" applyAlignment="1">
      <alignment horizontal="center"/>
    </xf>
    <xf numFmtId="193" fontId="7" fillId="0" borderId="0" xfId="0" applyNumberFormat="1" applyFont="1" applyAlignment="1">
      <alignment horizontal="center"/>
    </xf>
    <xf numFmtId="195" fontId="7" fillId="0" borderId="0" xfId="0" applyNumberFormat="1" applyFont="1" applyAlignment="1">
      <alignment horizontal="center"/>
    </xf>
    <xf numFmtId="37" fontId="7" fillId="0" borderId="0" xfId="0" applyNumberFormat="1" applyFont="1" applyAlignment="1">
      <alignment horizontal="center"/>
    </xf>
    <xf numFmtId="192" fontId="7" fillId="0" borderId="0" xfId="0" applyNumberFormat="1" applyFont="1" applyAlignment="1">
      <alignment horizontal="center"/>
    </xf>
    <xf numFmtId="172" fontId="7" fillId="0" borderId="0" xfId="0" applyNumberFormat="1" applyFont="1" applyAlignment="1">
      <alignment horizontal="center"/>
    </xf>
    <xf numFmtId="166" fontId="7" fillId="0" borderId="0" xfId="0" applyNumberFormat="1" applyFont="1" applyAlignment="1">
      <alignment horizontal="center"/>
    </xf>
    <xf numFmtId="0" fontId="7" fillId="4" borderId="67" xfId="0" applyFont="1" applyFill="1" applyBorder="1"/>
    <xf numFmtId="0" fontId="7" fillId="4" borderId="68" xfId="0" applyFont="1" applyFill="1" applyBorder="1"/>
    <xf numFmtId="0" fontId="7" fillId="4" borderId="68" xfId="0" applyFont="1" applyFill="1" applyBorder="1" applyAlignment="1">
      <alignment horizontal="center"/>
    </xf>
    <xf numFmtId="5" fontId="7" fillId="4" borderId="68" xfId="0" applyNumberFormat="1" applyFont="1" applyFill="1" applyBorder="1" applyAlignment="1">
      <alignment horizontal="center"/>
    </xf>
    <xf numFmtId="192" fontId="7" fillId="4" borderId="68" xfId="0" applyNumberFormat="1" applyFont="1" applyFill="1" applyBorder="1" applyAlignment="1">
      <alignment horizontal="center"/>
    </xf>
    <xf numFmtId="195" fontId="7" fillId="4" borderId="68" xfId="0" applyNumberFormat="1" applyFont="1" applyFill="1" applyBorder="1" applyAlignment="1">
      <alignment horizontal="center"/>
    </xf>
    <xf numFmtId="172" fontId="7" fillId="4" borderId="68" xfId="0" applyNumberFormat="1" applyFont="1" applyFill="1" applyBorder="1" applyAlignment="1">
      <alignment horizontal="center"/>
    </xf>
    <xf numFmtId="172" fontId="7" fillId="4" borderId="69" xfId="0" applyNumberFormat="1" applyFont="1" applyFill="1" applyBorder="1" applyAlignment="1">
      <alignment horizontal="center"/>
    </xf>
    <xf numFmtId="193" fontId="7" fillId="4" borderId="68" xfId="0" applyNumberFormat="1" applyFont="1" applyFill="1" applyBorder="1" applyAlignment="1">
      <alignment horizontal="center"/>
    </xf>
    <xf numFmtId="0" fontId="7" fillId="4" borderId="70" xfId="0" applyFont="1" applyFill="1" applyBorder="1"/>
    <xf numFmtId="0" fontId="7" fillId="4" borderId="34" xfId="0" applyFont="1" applyFill="1" applyBorder="1" applyAlignment="1">
      <alignment horizontal="center"/>
    </xf>
    <xf numFmtId="37" fontId="7" fillId="4" borderId="34" xfId="0" applyNumberFormat="1" applyFont="1" applyFill="1" applyBorder="1" applyAlignment="1">
      <alignment horizontal="center"/>
    </xf>
    <xf numFmtId="192" fontId="7" fillId="4" borderId="34" xfId="0" applyNumberFormat="1" applyFont="1" applyFill="1" applyBorder="1" applyAlignment="1">
      <alignment horizontal="center"/>
    </xf>
    <xf numFmtId="195" fontId="7" fillId="4" borderId="34" xfId="0" applyNumberFormat="1" applyFont="1" applyFill="1" applyBorder="1" applyAlignment="1">
      <alignment horizontal="center"/>
    </xf>
    <xf numFmtId="172" fontId="7" fillId="4" borderId="34" xfId="0" applyNumberFormat="1" applyFont="1" applyFill="1" applyBorder="1" applyAlignment="1">
      <alignment horizontal="center"/>
    </xf>
    <xf numFmtId="172" fontId="7" fillId="4" borderId="71" xfId="0" applyNumberFormat="1" applyFont="1" applyFill="1" applyBorder="1" applyAlignment="1">
      <alignment horizontal="center"/>
    </xf>
    <xf numFmtId="193" fontId="7" fillId="4" borderId="34" xfId="0" applyNumberFormat="1" applyFont="1" applyFill="1" applyBorder="1" applyAlignment="1">
      <alignment horizontal="center"/>
    </xf>
    <xf numFmtId="0" fontId="7" fillId="4" borderId="72" xfId="0" applyFont="1" applyFill="1" applyBorder="1"/>
    <xf numFmtId="0" fontId="7" fillId="4" borderId="73" xfId="0" applyFont="1" applyFill="1" applyBorder="1"/>
    <xf numFmtId="37" fontId="7" fillId="4" borderId="73" xfId="0" applyNumberFormat="1" applyFont="1" applyFill="1" applyBorder="1" applyAlignment="1">
      <alignment horizontal="center"/>
    </xf>
    <xf numFmtId="192" fontId="7" fillId="4" borderId="73" xfId="0" applyNumberFormat="1" applyFont="1" applyFill="1" applyBorder="1" applyAlignment="1">
      <alignment horizontal="center"/>
    </xf>
    <xf numFmtId="195" fontId="7" fillId="4" borderId="73" xfId="0" applyNumberFormat="1" applyFont="1" applyFill="1" applyBorder="1" applyAlignment="1">
      <alignment horizontal="center"/>
    </xf>
    <xf numFmtId="172" fontId="7" fillId="4" borderId="73" xfId="0" applyNumberFormat="1" applyFont="1" applyFill="1" applyBorder="1" applyAlignment="1">
      <alignment horizontal="center"/>
    </xf>
    <xf numFmtId="172" fontId="7" fillId="4" borderId="74" xfId="0" applyNumberFormat="1" applyFont="1" applyFill="1" applyBorder="1" applyAlignment="1">
      <alignment horizontal="center"/>
    </xf>
    <xf numFmtId="193" fontId="7" fillId="4" borderId="73" xfId="0" applyNumberFormat="1" applyFont="1" applyFill="1" applyBorder="1" applyAlignment="1">
      <alignment horizontal="center"/>
    </xf>
    <xf numFmtId="0" fontId="47" fillId="0" borderId="0" xfId="0" applyFont="1" applyAlignment="1">
      <alignment horizontal="center"/>
    </xf>
    <xf numFmtId="196" fontId="13" fillId="2" borderId="6" xfId="0" applyNumberFormat="1" applyFont="1" applyFill="1" applyBorder="1" applyAlignment="1">
      <alignment horizontal="center"/>
    </xf>
    <xf numFmtId="197" fontId="7" fillId="0" borderId="0" xfId="0" applyNumberFormat="1" applyFont="1" applyAlignment="1">
      <alignment horizontal="center"/>
    </xf>
    <xf numFmtId="196" fontId="7" fillId="0" borderId="0" xfId="0" applyNumberFormat="1" applyFont="1" applyAlignment="1">
      <alignment horizontal="center"/>
    </xf>
    <xf numFmtId="167" fontId="7" fillId="0" borderId="0" xfId="0" applyNumberFormat="1" applyFont="1" applyAlignment="1">
      <alignment horizontal="center"/>
    </xf>
    <xf numFmtId="39" fontId="7" fillId="4" borderId="68" xfId="0" applyNumberFormat="1" applyFont="1" applyFill="1" applyBorder="1" applyAlignment="1">
      <alignment horizontal="center"/>
    </xf>
    <xf numFmtId="0" fontId="7" fillId="4" borderId="69" xfId="0" applyFont="1" applyFill="1" applyBorder="1" applyAlignment="1">
      <alignment horizontal="center"/>
    </xf>
    <xf numFmtId="39" fontId="7" fillId="4" borderId="34" xfId="0" applyNumberFormat="1" applyFont="1" applyFill="1" applyBorder="1" applyAlignment="1">
      <alignment horizontal="center"/>
    </xf>
    <xf numFmtId="0" fontId="7" fillId="4" borderId="71" xfId="0" applyFont="1" applyFill="1" applyBorder="1" applyAlignment="1">
      <alignment horizontal="center"/>
    </xf>
    <xf numFmtId="39" fontId="7" fillId="4" borderId="73" xfId="0" applyNumberFormat="1" applyFont="1" applyFill="1" applyBorder="1" applyAlignment="1">
      <alignment horizontal="center"/>
    </xf>
    <xf numFmtId="0" fontId="7" fillId="4" borderId="73" xfId="0" applyFont="1" applyFill="1" applyBorder="1" applyAlignment="1">
      <alignment horizontal="center"/>
    </xf>
    <xf numFmtId="0" fontId="7" fillId="4" borderId="74" xfId="0" applyFont="1" applyFill="1" applyBorder="1" applyAlignment="1">
      <alignment horizontal="center"/>
    </xf>
    <xf numFmtId="0" fontId="7" fillId="0" borderId="1" xfId="0" applyFont="1" applyBorder="1"/>
    <xf numFmtId="198" fontId="7" fillId="0" borderId="1" xfId="0" applyNumberFormat="1" applyFont="1" applyBorder="1" applyAlignment="1">
      <alignment horizontal="center"/>
    </xf>
    <xf numFmtId="0" fontId="7" fillId="0" borderId="1" xfId="0" applyFont="1" applyBorder="1" applyAlignment="1">
      <alignment horizontal="center"/>
    </xf>
    <xf numFmtId="172" fontId="7" fillId="0" borderId="1" xfId="0" applyNumberFormat="1" applyFont="1" applyBorder="1" applyAlignment="1">
      <alignment horizontal="center"/>
    </xf>
    <xf numFmtId="195" fontId="7" fillId="0" borderId="1" xfId="0" applyNumberFormat="1" applyFont="1" applyBorder="1" applyAlignment="1">
      <alignment horizontal="center"/>
    </xf>
    <xf numFmtId="198" fontId="7" fillId="0" borderId="0" xfId="0" applyNumberFormat="1" applyFont="1" applyAlignment="1">
      <alignment horizontal="center"/>
    </xf>
    <xf numFmtId="0" fontId="7" fillId="5" borderId="5" xfId="0" applyFont="1" applyFill="1" applyBorder="1"/>
    <xf numFmtId="0" fontId="7" fillId="5" borderId="7" xfId="0" applyFont="1" applyFill="1" applyBorder="1"/>
    <xf numFmtId="0" fontId="48" fillId="0" borderId="0" xfId="0" applyFont="1"/>
    <xf numFmtId="0" fontId="15" fillId="0" borderId="0" xfId="0" applyFont="1"/>
    <xf numFmtId="0" fontId="7" fillId="15" borderId="5" xfId="0" applyFont="1" applyFill="1" applyBorder="1"/>
    <xf numFmtId="0" fontId="7" fillId="15" borderId="6" xfId="0" applyFont="1" applyFill="1" applyBorder="1"/>
    <xf numFmtId="0" fontId="7" fillId="15" borderId="6" xfId="0" applyFont="1" applyFill="1" applyBorder="1" applyAlignment="1">
      <alignment horizontal="center"/>
    </xf>
    <xf numFmtId="5" fontId="7" fillId="15" borderId="6" xfId="0" applyNumberFormat="1" applyFont="1" applyFill="1" applyBorder="1" applyAlignment="1">
      <alignment horizontal="center"/>
    </xf>
    <xf numFmtId="193" fontId="7" fillId="15" borderId="6" xfId="0" applyNumberFormat="1" applyFont="1" applyFill="1" applyBorder="1" applyAlignment="1">
      <alignment horizontal="center"/>
    </xf>
    <xf numFmtId="172" fontId="7" fillId="15" borderId="6" xfId="0" applyNumberFormat="1" applyFont="1" applyFill="1" applyBorder="1" applyAlignment="1">
      <alignment horizontal="center"/>
    </xf>
    <xf numFmtId="172" fontId="7" fillId="15" borderId="7" xfId="0" applyNumberFormat="1" applyFont="1" applyFill="1" applyBorder="1" applyAlignment="1">
      <alignment horizontal="center"/>
    </xf>
    <xf numFmtId="169" fontId="7" fillId="0" borderId="0" xfId="0" applyNumberFormat="1" applyFont="1" applyAlignment="1">
      <alignment horizontal="center"/>
    </xf>
    <xf numFmtId="0" fontId="13" fillId="2" borderId="75" xfId="0" applyFont="1" applyFill="1" applyBorder="1"/>
    <xf numFmtId="0" fontId="13" fillId="2" borderId="76" xfId="0" applyFont="1" applyFill="1" applyBorder="1"/>
    <xf numFmtId="0" fontId="13" fillId="2" borderId="76" xfId="0" applyFont="1" applyFill="1" applyBorder="1" applyAlignment="1">
      <alignment horizontal="center"/>
    </xf>
    <xf numFmtId="5" fontId="13" fillId="2" borderId="76" xfId="0" applyNumberFormat="1" applyFont="1" applyFill="1" applyBorder="1" applyAlignment="1">
      <alignment horizontal="center"/>
    </xf>
    <xf numFmtId="193" fontId="13" fillId="2" borderId="76" xfId="0" applyNumberFormat="1" applyFont="1" applyFill="1" applyBorder="1" applyAlignment="1">
      <alignment horizontal="center"/>
    </xf>
    <xf numFmtId="195" fontId="13" fillId="2" borderId="76" xfId="0" applyNumberFormat="1" applyFont="1" applyFill="1" applyBorder="1" applyAlignment="1">
      <alignment horizontal="center"/>
    </xf>
    <xf numFmtId="172" fontId="13" fillId="2" borderId="76" xfId="0" applyNumberFormat="1" applyFont="1" applyFill="1" applyBorder="1" applyAlignment="1">
      <alignment horizontal="center"/>
    </xf>
    <xf numFmtId="172" fontId="13" fillId="2" borderId="77" xfId="0" applyNumberFormat="1" applyFont="1" applyFill="1" applyBorder="1" applyAlignment="1">
      <alignment horizontal="center"/>
    </xf>
    <xf numFmtId="0" fontId="13" fillId="2" borderId="78" xfId="0" applyFont="1" applyFill="1" applyBorder="1"/>
    <xf numFmtId="0" fontId="13" fillId="2" borderId="65" xfId="0" applyFont="1" applyFill="1" applyBorder="1"/>
    <xf numFmtId="0" fontId="13" fillId="2" borderId="65" xfId="0" applyFont="1" applyFill="1" applyBorder="1" applyAlignment="1">
      <alignment horizontal="center"/>
    </xf>
    <xf numFmtId="37" fontId="13" fillId="2" borderId="65" xfId="0" applyNumberFormat="1" applyFont="1" applyFill="1" applyBorder="1" applyAlignment="1">
      <alignment horizontal="center"/>
    </xf>
    <xf numFmtId="193"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172" fontId="13" fillId="2" borderId="65" xfId="0" applyNumberFormat="1" applyFont="1" applyFill="1" applyBorder="1" applyAlignment="1">
      <alignment horizontal="center"/>
    </xf>
    <xf numFmtId="172" fontId="13" fillId="2" borderId="79" xfId="0" applyNumberFormat="1" applyFont="1" applyFill="1" applyBorder="1" applyAlignment="1">
      <alignment horizontal="center"/>
    </xf>
    <xf numFmtId="0" fontId="13" fillId="2" borderId="80" xfId="0" applyFont="1" applyFill="1" applyBorder="1"/>
    <xf numFmtId="0" fontId="13" fillId="2" borderId="81" xfId="0" applyFont="1" applyFill="1" applyBorder="1"/>
    <xf numFmtId="37" fontId="13" fillId="2" borderId="81" xfId="0" applyNumberFormat="1" applyFont="1" applyFill="1" applyBorder="1" applyAlignment="1">
      <alignment horizontal="center"/>
    </xf>
    <xf numFmtId="193" fontId="13" fillId="2" borderId="81" xfId="0" applyNumberFormat="1" applyFont="1" applyFill="1" applyBorder="1" applyAlignment="1">
      <alignment horizontal="center"/>
    </xf>
    <xf numFmtId="199" fontId="13" fillId="2" borderId="81" xfId="0" applyNumberFormat="1" applyFont="1" applyFill="1" applyBorder="1" applyAlignment="1">
      <alignment horizontal="center"/>
    </xf>
    <xf numFmtId="172" fontId="13" fillId="2" borderId="81" xfId="0" applyNumberFormat="1" applyFont="1" applyFill="1" applyBorder="1" applyAlignment="1">
      <alignment horizontal="center"/>
    </xf>
    <xf numFmtId="172" fontId="13" fillId="2" borderId="82" xfId="0" applyNumberFormat="1" applyFont="1" applyFill="1" applyBorder="1" applyAlignment="1">
      <alignment horizontal="center"/>
    </xf>
    <xf numFmtId="196" fontId="7" fillId="15" borderId="6" xfId="0" applyNumberFormat="1" applyFont="1" applyFill="1" applyBorder="1" applyAlignment="1">
      <alignment horizontal="center"/>
    </xf>
    <xf numFmtId="0" fontId="7" fillId="15" borderId="7" xfId="0" applyFont="1" applyFill="1" applyBorder="1" applyAlignment="1">
      <alignment horizontal="center"/>
    </xf>
    <xf numFmtId="176" fontId="7" fillId="0" borderId="0" xfId="0" applyNumberFormat="1" applyFont="1" applyAlignment="1">
      <alignment horizontal="center"/>
    </xf>
    <xf numFmtId="2" fontId="13" fillId="2" borderId="76" xfId="0" applyNumberFormat="1" applyFont="1" applyFill="1" applyBorder="1" applyAlignment="1">
      <alignment horizontal="center"/>
    </xf>
    <xf numFmtId="2" fontId="13" fillId="2" borderId="65" xfId="0" applyNumberFormat="1" applyFont="1" applyFill="1" applyBorder="1" applyAlignment="1">
      <alignment horizontal="center"/>
    </xf>
    <xf numFmtId="174" fontId="13" fillId="2" borderId="65" xfId="0" applyNumberFormat="1" applyFont="1" applyFill="1" applyBorder="1" applyAlignment="1">
      <alignment horizontal="center"/>
    </xf>
    <xf numFmtId="2" fontId="13" fillId="2" borderId="81" xfId="0" applyNumberFormat="1" applyFont="1" applyFill="1" applyBorder="1" applyAlignment="1">
      <alignment horizontal="center"/>
    </xf>
    <xf numFmtId="174" fontId="13" fillId="2" borderId="81" xfId="0" applyNumberFormat="1" applyFont="1" applyFill="1" applyBorder="1" applyAlignment="1">
      <alignment horizontal="center"/>
    </xf>
    <xf numFmtId="0" fontId="7" fillId="15" borderId="73" xfId="0" applyFont="1" applyFill="1" applyBorder="1"/>
    <xf numFmtId="0" fontId="16" fillId="0" borderId="25" xfId="0" applyFont="1" applyBorder="1"/>
    <xf numFmtId="0" fontId="16" fillId="0" borderId="0" xfId="0" applyFont="1"/>
    <xf numFmtId="0" fontId="16" fillId="0" borderId="18" xfId="0" applyFont="1" applyBorder="1"/>
    <xf numFmtId="0" fontId="7" fillId="0" borderId="18" xfId="0" applyFont="1" applyBorder="1"/>
    <xf numFmtId="0" fontId="16" fillId="0" borderId="17" xfId="0" applyFont="1" applyBorder="1"/>
    <xf numFmtId="0" fontId="16" fillId="0" borderId="52" xfId="0" applyFont="1" applyBorder="1"/>
    <xf numFmtId="0" fontId="16" fillId="0" borderId="10" xfId="0" applyFont="1" applyBorder="1"/>
    <xf numFmtId="0" fontId="16" fillId="0" borderId="52" xfId="0" quotePrefix="1" applyFont="1" applyBorder="1"/>
    <xf numFmtId="0" fontId="16" fillId="0" borderId="25" xfId="0" quotePrefix="1" applyFont="1" applyBorder="1"/>
    <xf numFmtId="0" fontId="32" fillId="0" borderId="0" xfId="0" applyFont="1"/>
    <xf numFmtId="200" fontId="13" fillId="0" borderId="0" xfId="0" applyNumberFormat="1" applyFont="1" applyAlignment="1">
      <alignment horizontal="left"/>
    </xf>
    <xf numFmtId="0" fontId="49" fillId="16" borderId="34" xfId="0" applyFont="1" applyFill="1" applyBorder="1"/>
    <xf numFmtId="0" fontId="32" fillId="16" borderId="34" xfId="0" applyFont="1" applyFill="1" applyBorder="1"/>
    <xf numFmtId="0" fontId="50" fillId="0" borderId="0" xfId="0" applyFont="1"/>
    <xf numFmtId="0" fontId="50" fillId="0" borderId="17" xfId="0" applyFont="1" applyBorder="1"/>
    <xf numFmtId="0" fontId="12" fillId="0" borderId="17" xfId="0" applyFont="1" applyBorder="1"/>
    <xf numFmtId="0" fontId="7" fillId="3" borderId="4" xfId="0" applyFont="1" applyFill="1" applyBorder="1" applyAlignment="1">
      <alignment horizontal="center"/>
    </xf>
    <xf numFmtId="201" fontId="7" fillId="0" borderId="0" xfId="0" applyNumberFormat="1" applyFont="1"/>
    <xf numFmtId="5" fontId="7" fillId="0" borderId="0" xfId="0" applyNumberFormat="1" applyFont="1" applyAlignment="1">
      <alignment horizontal="center"/>
    </xf>
    <xf numFmtId="166" fontId="4" fillId="0" borderId="0" xfId="0" applyNumberFormat="1" applyFont="1" applyAlignment="1">
      <alignment horizontal="center"/>
    </xf>
    <xf numFmtId="37" fontId="16" fillId="0" borderId="0" xfId="0" applyNumberFormat="1" applyFont="1" applyAlignment="1">
      <alignment horizontal="center"/>
    </xf>
    <xf numFmtId="202" fontId="7" fillId="0" borderId="25" xfId="0" applyNumberFormat="1" applyFont="1" applyBorder="1" applyAlignment="1">
      <alignment horizontal="center"/>
    </xf>
    <xf numFmtId="166" fontId="7" fillId="0" borderId="25" xfId="0" applyNumberFormat="1" applyFont="1" applyBorder="1" applyAlignment="1">
      <alignment horizontal="center"/>
    </xf>
    <xf numFmtId="167" fontId="16" fillId="0" borderId="0" xfId="0" applyNumberFormat="1" applyFont="1"/>
    <xf numFmtId="0" fontId="7" fillId="0" borderId="2" xfId="0" applyFont="1" applyBorder="1"/>
    <xf numFmtId="0" fontId="7" fillId="0" borderId="8" xfId="0" applyFont="1" applyBorder="1"/>
    <xf numFmtId="201" fontId="7" fillId="0" borderId="3" xfId="0" applyNumberFormat="1" applyFont="1" applyBorder="1" applyAlignment="1">
      <alignment horizontal="center"/>
    </xf>
    <xf numFmtId="201" fontId="7" fillId="0" borderId="25" xfId="0" applyNumberFormat="1" applyFont="1" applyBorder="1"/>
    <xf numFmtId="178" fontId="22" fillId="0" borderId="0" xfId="0" applyNumberFormat="1" applyFont="1" applyAlignment="1">
      <alignment horizontal="center"/>
    </xf>
    <xf numFmtId="44" fontId="13" fillId="0" borderId="0" xfId="0" applyNumberFormat="1" applyFont="1"/>
    <xf numFmtId="166" fontId="7" fillId="0" borderId="17" xfId="0" applyNumberFormat="1" applyFont="1" applyBorder="1" applyAlignment="1">
      <alignment horizontal="center"/>
    </xf>
    <xf numFmtId="166" fontId="16" fillId="0" borderId="17" xfId="0" applyNumberFormat="1" applyFont="1" applyBorder="1" applyAlignment="1">
      <alignment horizontal="center"/>
    </xf>
    <xf numFmtId="39" fontId="7" fillId="0" borderId="17" xfId="0" applyNumberFormat="1" applyFont="1" applyBorder="1"/>
    <xf numFmtId="166" fontId="7" fillId="0" borderId="10" xfId="0" applyNumberFormat="1" applyFont="1" applyBorder="1" applyAlignment="1">
      <alignment horizontal="center"/>
    </xf>
    <xf numFmtId="201" fontId="7" fillId="0" borderId="53" xfId="0" applyNumberFormat="1" applyFont="1" applyBorder="1" applyAlignment="1">
      <alignment horizontal="center"/>
    </xf>
    <xf numFmtId="201" fontId="7" fillId="0" borderId="25" xfId="0" applyNumberFormat="1" applyFont="1" applyBorder="1" applyAlignment="1">
      <alignment horizontal="center"/>
    </xf>
    <xf numFmtId="201" fontId="7" fillId="0" borderId="52" xfId="0" applyNumberFormat="1" applyFont="1" applyBorder="1" applyAlignment="1">
      <alignment horizontal="center"/>
    </xf>
    <xf numFmtId="201" fontId="7" fillId="0" borderId="9" xfId="0" applyNumberFormat="1" applyFont="1" applyBorder="1" applyAlignment="1">
      <alignment horizontal="center"/>
    </xf>
    <xf numFmtId="201" fontId="13" fillId="2" borderId="34" xfId="0" applyNumberFormat="1" applyFont="1" applyFill="1" applyBorder="1" applyAlignment="1">
      <alignment horizontal="center"/>
    </xf>
    <xf numFmtId="201" fontId="7" fillId="0" borderId="10" xfId="0" applyNumberFormat="1" applyFont="1" applyBorder="1" applyAlignment="1">
      <alignment horizontal="center"/>
    </xf>
    <xf numFmtId="166" fontId="16" fillId="0" borderId="10" xfId="0" applyNumberFormat="1" applyFont="1" applyBorder="1" applyAlignment="1">
      <alignment horizontal="center"/>
    </xf>
    <xf numFmtId="201" fontId="7" fillId="0" borderId="16" xfId="0" applyNumberFormat="1" applyFont="1" applyBorder="1" applyAlignment="1">
      <alignment horizontal="center"/>
    </xf>
    <xf numFmtId="201" fontId="7" fillId="0" borderId="17" xfId="0" applyNumberFormat="1" applyFont="1" applyBorder="1" applyAlignment="1">
      <alignment horizontal="center"/>
    </xf>
    <xf numFmtId="201" fontId="7" fillId="0" borderId="18" xfId="0" applyNumberFormat="1" applyFont="1" applyBorder="1" applyAlignment="1">
      <alignment horizontal="center"/>
    </xf>
    <xf numFmtId="167" fontId="14" fillId="0" borderId="0" xfId="0" applyNumberFormat="1" applyFont="1"/>
    <xf numFmtId="39" fontId="7" fillId="0" borderId="0" xfId="0" applyNumberFormat="1" applyFont="1"/>
    <xf numFmtId="39" fontId="14" fillId="0" borderId="0" xfId="0" applyNumberFormat="1" applyFont="1" applyAlignment="1">
      <alignment horizontal="center"/>
    </xf>
    <xf numFmtId="195" fontId="14" fillId="0" borderId="0" xfId="0" applyNumberFormat="1" applyFont="1" applyAlignment="1">
      <alignment horizontal="center"/>
    </xf>
    <xf numFmtId="166" fontId="14" fillId="0" borderId="0" xfId="0" applyNumberFormat="1" applyFont="1" applyAlignment="1">
      <alignment horizontal="center"/>
    </xf>
    <xf numFmtId="39" fontId="7" fillId="0" borderId="0" xfId="0" applyNumberFormat="1" applyFont="1" applyAlignment="1">
      <alignment horizontal="center"/>
    </xf>
    <xf numFmtId="201" fontId="7" fillId="5" borderId="4" xfId="0" applyNumberFormat="1" applyFont="1" applyFill="1" applyBorder="1" applyAlignment="1">
      <alignment horizontal="center"/>
    </xf>
    <xf numFmtId="166" fontId="16" fillId="5" borderId="4" xfId="0" applyNumberFormat="1" applyFont="1" applyFill="1" applyBorder="1" applyAlignment="1">
      <alignment horizontal="center"/>
    </xf>
    <xf numFmtId="166" fontId="7" fillId="5" borderId="4" xfId="0" applyNumberFormat="1" applyFont="1" applyFill="1" applyBorder="1" applyAlignment="1">
      <alignment horizontal="center"/>
    </xf>
    <xf numFmtId="39" fontId="14" fillId="0" borderId="17" xfId="0" applyNumberFormat="1" applyFont="1" applyBorder="1" applyAlignment="1">
      <alignment horizontal="center"/>
    </xf>
    <xf numFmtId="195" fontId="14" fillId="0" borderId="17" xfId="0" applyNumberFormat="1" applyFont="1" applyBorder="1" applyAlignment="1">
      <alignment horizontal="center"/>
    </xf>
    <xf numFmtId="167" fontId="14" fillId="0" borderId="17" xfId="0" applyNumberFormat="1" applyFont="1" applyBorder="1" applyAlignment="1">
      <alignment horizontal="center"/>
    </xf>
    <xf numFmtId="39" fontId="7" fillId="0" borderId="17" xfId="0" applyNumberFormat="1" applyFont="1" applyBorder="1" applyAlignment="1">
      <alignment horizontal="center"/>
    </xf>
    <xf numFmtId="39" fontId="7" fillId="0" borderId="33" xfId="0" applyNumberFormat="1" applyFont="1" applyBorder="1" applyAlignment="1">
      <alignment horizontal="center"/>
    </xf>
    <xf numFmtId="195" fontId="14" fillId="0" borderId="33" xfId="0" applyNumberFormat="1" applyFont="1" applyBorder="1" applyAlignment="1">
      <alignment horizontal="center"/>
    </xf>
    <xf numFmtId="166" fontId="7" fillId="0" borderId="33" xfId="0" applyNumberFormat="1" applyFont="1" applyBorder="1" applyAlignment="1">
      <alignment horizontal="center"/>
    </xf>
    <xf numFmtId="39" fontId="7" fillId="0" borderId="31" xfId="0" applyNumberFormat="1" applyFont="1" applyBorder="1" applyAlignment="1">
      <alignment horizontal="center"/>
    </xf>
    <xf numFmtId="39" fontId="7" fillId="0" borderId="33" xfId="0" applyNumberFormat="1" applyFont="1" applyBorder="1"/>
    <xf numFmtId="203" fontId="7" fillId="0" borderId="33" xfId="0" applyNumberFormat="1" applyFont="1" applyBorder="1"/>
    <xf numFmtId="39" fontId="14" fillId="0" borderId="31" xfId="0" applyNumberFormat="1" applyFont="1" applyBorder="1" applyAlignment="1">
      <alignment horizontal="center"/>
    </xf>
    <xf numFmtId="0" fontId="7" fillId="17" borderId="34" xfId="0" applyFont="1" applyFill="1" applyBorder="1"/>
    <xf numFmtId="0" fontId="7" fillId="17" borderId="34" xfId="0" applyFont="1" applyFill="1" applyBorder="1" applyAlignment="1">
      <alignment horizontal="center"/>
    </xf>
    <xf numFmtId="0" fontId="7"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199" fontId="14" fillId="0" borderId="0" xfId="0" applyNumberFormat="1" applyFont="1" applyAlignment="1">
      <alignment horizontal="center"/>
    </xf>
    <xf numFmtId="8" fontId="14" fillId="0" borderId="0" xfId="0" applyNumberFormat="1" applyFont="1" applyAlignment="1">
      <alignment horizontal="center"/>
    </xf>
    <xf numFmtId="164" fontId="7" fillId="0" borderId="0" xfId="0" applyNumberFormat="1" applyFont="1" applyAlignment="1">
      <alignment horizontal="center"/>
    </xf>
    <xf numFmtId="6" fontId="22" fillId="0" borderId="0" xfId="0" applyNumberFormat="1" applyFont="1" applyAlignment="1">
      <alignment horizontal="center"/>
    </xf>
    <xf numFmtId="0" fontId="13" fillId="0" borderId="0" xfId="0" applyFont="1" applyAlignment="1">
      <alignment shrinkToFit="1"/>
    </xf>
    <xf numFmtId="166" fontId="40" fillId="0" borderId="0" xfId="0" applyNumberFormat="1" applyFont="1" applyAlignment="1">
      <alignment horizontal="center"/>
    </xf>
    <xf numFmtId="0" fontId="7" fillId="3" borderId="22" xfId="0" applyFont="1" applyFill="1" applyBorder="1" applyAlignment="1">
      <alignment horizontal="center"/>
    </xf>
    <xf numFmtId="0" fontId="4" fillId="3" borderId="22" xfId="0" applyFont="1" applyFill="1" applyBorder="1" applyAlignment="1">
      <alignment horizontal="center"/>
    </xf>
    <xf numFmtId="183" fontId="7" fillId="13" borderId="54" xfId="0" applyNumberFormat="1" applyFont="1" applyFill="1" applyBorder="1" applyAlignment="1">
      <alignment horizontal="center"/>
    </xf>
    <xf numFmtId="183" fontId="7" fillId="13" borderId="62" xfId="0" applyNumberFormat="1" applyFont="1" applyFill="1" applyBorder="1" applyAlignment="1">
      <alignment horizontal="center"/>
    </xf>
    <xf numFmtId="183" fontId="7" fillId="0" borderId="0" xfId="0" applyNumberFormat="1" applyFont="1" applyAlignment="1">
      <alignment horizontal="center"/>
    </xf>
    <xf numFmtId="183" fontId="7" fillId="13" borderId="21" xfId="0" applyNumberFormat="1" applyFont="1" applyFill="1" applyBorder="1" applyAlignment="1">
      <alignment horizontal="center"/>
    </xf>
    <xf numFmtId="183" fontId="7" fillId="13" borderId="23" xfId="0" applyNumberFormat="1" applyFont="1" applyFill="1" applyBorder="1" applyAlignment="1">
      <alignment horizontal="center"/>
    </xf>
    <xf numFmtId="0" fontId="7" fillId="3" borderId="23" xfId="0" applyFont="1" applyFill="1" applyBorder="1" applyAlignment="1">
      <alignment horizontal="center"/>
    </xf>
    <xf numFmtId="0" fontId="22" fillId="0" borderId="17" xfId="0" applyFont="1" applyBorder="1"/>
    <xf numFmtId="6" fontId="22" fillId="0" borderId="17" xfId="0" applyNumberFormat="1" applyFont="1" applyBorder="1" applyAlignment="1">
      <alignment horizontal="center"/>
    </xf>
    <xf numFmtId="166" fontId="22" fillId="0" borderId="17" xfId="0" applyNumberFormat="1" applyFont="1" applyBorder="1" applyAlignment="1">
      <alignment horizontal="center"/>
    </xf>
    <xf numFmtId="6" fontId="22" fillId="0" borderId="0" xfId="0" applyNumberFormat="1" applyFont="1"/>
    <xf numFmtId="0" fontId="40" fillId="0" borderId="0" xfId="0" applyFont="1" applyAlignment="1">
      <alignment horizontal="center"/>
    </xf>
    <xf numFmtId="0" fontId="13" fillId="2" borderId="88" xfId="0" applyFont="1" applyFill="1" applyBorder="1" applyAlignment="1">
      <alignment horizontal="center"/>
    </xf>
    <xf numFmtId="0" fontId="13" fillId="2" borderId="89"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21" xfId="0" applyFont="1" applyFill="1" applyBorder="1" applyAlignment="1">
      <alignment horizontal="left"/>
    </xf>
    <xf numFmtId="0" fontId="51" fillId="2" borderId="22" xfId="0" applyFont="1" applyFill="1" applyBorder="1"/>
    <xf numFmtId="4" fontId="51" fillId="2" borderId="22" xfId="0" applyNumberFormat="1" applyFont="1" applyFill="1" applyBorder="1" applyAlignment="1">
      <alignment horizontal="center"/>
    </xf>
    <xf numFmtId="4" fontId="51" fillId="2" borderId="23" xfId="0" applyNumberFormat="1" applyFont="1" applyFill="1" applyBorder="1" applyAlignment="1">
      <alignment horizontal="center"/>
    </xf>
    <xf numFmtId="0" fontId="7" fillId="14" borderId="90" xfId="0" applyFont="1" applyFill="1" applyBorder="1"/>
    <xf numFmtId="0" fontId="7" fillId="14" borderId="34" xfId="0" applyFont="1" applyFill="1" applyBorder="1"/>
    <xf numFmtId="0" fontId="7" fillId="14" borderId="91" xfId="0" applyFont="1" applyFill="1" applyBorder="1"/>
    <xf numFmtId="179" fontId="7" fillId="14" borderId="90" xfId="0" applyNumberFormat="1" applyFont="1" applyFill="1" applyBorder="1"/>
    <xf numFmtId="179" fontId="7" fillId="14" borderId="34" xfId="0" applyNumberFormat="1" applyFont="1" applyFill="1" applyBorder="1"/>
    <xf numFmtId="179" fontId="7" fillId="14" borderId="91" xfId="0" applyNumberFormat="1" applyFont="1" applyFill="1" applyBorder="1"/>
    <xf numFmtId="181" fontId="7" fillId="14" borderId="90" xfId="0" applyNumberFormat="1" applyFont="1" applyFill="1" applyBorder="1"/>
    <xf numFmtId="181" fontId="7" fillId="14" borderId="34" xfId="0" applyNumberFormat="1" applyFont="1" applyFill="1" applyBorder="1"/>
    <xf numFmtId="181" fontId="7" fillId="14" borderId="91" xfId="0" applyNumberFormat="1" applyFont="1" applyFill="1" applyBorder="1"/>
    <xf numFmtId="181" fontId="7" fillId="14" borderId="92" xfId="0" applyNumberFormat="1" applyFont="1" applyFill="1" applyBorder="1"/>
    <xf numFmtId="181" fontId="7" fillId="14" borderId="22" xfId="0" applyNumberFormat="1" applyFont="1" applyFill="1" applyBorder="1"/>
    <xf numFmtId="181" fontId="7" fillId="14" borderId="93" xfId="0" applyNumberFormat="1" applyFont="1" applyFill="1" applyBorder="1"/>
    <xf numFmtId="180" fontId="7" fillId="14" borderId="90" xfId="0" applyNumberFormat="1" applyFont="1" applyFill="1" applyBorder="1"/>
    <xf numFmtId="180" fontId="7" fillId="14" borderId="34" xfId="0" applyNumberFormat="1" applyFont="1" applyFill="1" applyBorder="1"/>
    <xf numFmtId="180" fontId="7" fillId="14" borderId="91" xfId="0" applyNumberFormat="1" applyFont="1" applyFill="1" applyBorder="1"/>
    <xf numFmtId="179" fontId="7" fillId="14" borderId="94" xfId="0" applyNumberFormat="1" applyFont="1" applyFill="1" applyBorder="1"/>
    <xf numFmtId="179" fontId="7" fillId="14" borderId="65" xfId="0" applyNumberFormat="1" applyFont="1" applyFill="1" applyBorder="1"/>
    <xf numFmtId="179" fontId="7" fillId="14" borderId="95" xfId="0" applyNumberFormat="1" applyFont="1" applyFill="1" applyBorder="1"/>
    <xf numFmtId="4" fontId="22" fillId="0" borderId="0" xfId="0" applyNumberFormat="1" applyFont="1" applyAlignment="1">
      <alignment horizontal="right"/>
    </xf>
    <xf numFmtId="179" fontId="7" fillId="0" borderId="10" xfId="0" applyNumberFormat="1" applyFont="1" applyBorder="1"/>
    <xf numFmtId="5" fontId="7" fillId="0" borderId="10" xfId="0" applyNumberFormat="1" applyFont="1" applyBorder="1"/>
    <xf numFmtId="204" fontId="7" fillId="0" borderId="4" xfId="0" applyNumberFormat="1" applyFont="1" applyBorder="1"/>
    <xf numFmtId="205" fontId="7" fillId="0" borderId="4" xfId="0" applyNumberFormat="1" applyFont="1" applyBorder="1"/>
    <xf numFmtId="37" fontId="7" fillId="0" borderId="10" xfId="0" applyNumberFormat="1" applyFont="1" applyBorder="1"/>
    <xf numFmtId="5" fontId="7" fillId="0" borderId="52" xfId="0" applyNumberFormat="1" applyFont="1" applyBorder="1"/>
    <xf numFmtId="37" fontId="14" fillId="0" borderId="10" xfId="0" applyNumberFormat="1" applyFont="1" applyBorder="1"/>
    <xf numFmtId="37" fontId="16" fillId="0" borderId="10" xfId="0" applyNumberFormat="1" applyFont="1" applyBorder="1"/>
    <xf numFmtId="168" fontId="14" fillId="0" borderId="10" xfId="0" applyNumberFormat="1" applyFont="1" applyBorder="1"/>
    <xf numFmtId="168" fontId="7" fillId="0" borderId="10" xfId="0" applyNumberFormat="1" applyFont="1" applyBorder="1"/>
    <xf numFmtId="7" fontId="7" fillId="0" borderId="52" xfId="0" applyNumberFormat="1" applyFont="1" applyBorder="1"/>
    <xf numFmtId="0" fontId="22" fillId="0" borderId="16" xfId="0" applyFont="1" applyBorder="1" applyAlignment="1">
      <alignment horizontal="left"/>
    </xf>
    <xf numFmtId="166" fontId="22" fillId="0" borderId="18" xfId="0" applyNumberFormat="1" applyFont="1" applyBorder="1"/>
    <xf numFmtId="204" fontId="7" fillId="5" borderId="4" xfId="0" applyNumberFormat="1" applyFont="1" applyFill="1" applyBorder="1" applyAlignment="1">
      <alignment horizontal="center"/>
    </xf>
    <xf numFmtId="205" fontId="7" fillId="5" borderId="4" xfId="0" applyNumberFormat="1" applyFont="1" applyFill="1" applyBorder="1" applyAlignment="1">
      <alignment horizontal="center"/>
    </xf>
    <xf numFmtId="10" fontId="14" fillId="0" borderId="0" xfId="0" applyNumberFormat="1" applyFont="1" applyAlignment="1">
      <alignment horizontal="center"/>
    </xf>
    <xf numFmtId="183" fontId="16" fillId="0" borderId="0" xfId="0" applyNumberFormat="1" applyFont="1" applyAlignment="1">
      <alignment horizontal="center"/>
    </xf>
    <xf numFmtId="169" fontId="14" fillId="0" borderId="0" xfId="0" applyNumberFormat="1" applyFont="1" applyAlignment="1">
      <alignment horizontal="center"/>
    </xf>
    <xf numFmtId="10" fontId="16" fillId="0" borderId="0" xfId="0" applyNumberFormat="1" applyFont="1" applyAlignment="1">
      <alignment horizontal="center"/>
    </xf>
    <xf numFmtId="167" fontId="7" fillId="5" borderId="4" xfId="0" applyNumberFormat="1" applyFont="1" applyFill="1" applyBorder="1" applyAlignment="1">
      <alignment horizontal="center"/>
    </xf>
    <xf numFmtId="204" fontId="16" fillId="5" borderId="4" xfId="0" applyNumberFormat="1" applyFont="1" applyFill="1" applyBorder="1" applyAlignment="1">
      <alignment horizontal="center"/>
    </xf>
    <xf numFmtId="167" fontId="16" fillId="5" borderId="4" xfId="0" applyNumberFormat="1" applyFont="1" applyFill="1" applyBorder="1" applyAlignment="1">
      <alignment horizontal="center"/>
    </xf>
    <xf numFmtId="206" fontId="16" fillId="0" borderId="0" xfId="0" applyNumberFormat="1" applyFont="1"/>
    <xf numFmtId="7" fontId="13" fillId="0" borderId="0" xfId="0" applyNumberFormat="1" applyFont="1"/>
    <xf numFmtId="195" fontId="7" fillId="0" borderId="17" xfId="0" applyNumberFormat="1" applyFont="1" applyBorder="1" applyAlignment="1">
      <alignment horizontal="center"/>
    </xf>
    <xf numFmtId="195" fontId="16" fillId="0" borderId="17" xfId="0" applyNumberFormat="1" applyFont="1" applyBorder="1" applyAlignment="1">
      <alignment horizontal="center"/>
    </xf>
    <xf numFmtId="166" fontId="13" fillId="0" borderId="0" xfId="0" applyNumberFormat="1" applyFont="1"/>
    <xf numFmtId="166" fontId="7" fillId="0" borderId="10" xfId="0" applyNumberFormat="1" applyFont="1" applyBorder="1"/>
    <xf numFmtId="8" fontId="7" fillId="0" borderId="53" xfId="0" applyNumberFormat="1" applyFont="1" applyBorder="1" applyAlignment="1">
      <alignment horizontal="center"/>
    </xf>
    <xf numFmtId="8" fontId="7" fillId="0" borderId="25" xfId="0" applyNumberFormat="1" applyFont="1" applyBorder="1" applyAlignment="1">
      <alignment horizontal="center"/>
    </xf>
    <xf numFmtId="8" fontId="7" fillId="0" borderId="52" xfId="0" applyNumberFormat="1" applyFont="1" applyBorder="1" applyAlignment="1">
      <alignment horizontal="center"/>
    </xf>
    <xf numFmtId="166" fontId="7" fillId="0" borderId="53" xfId="0" applyNumberFormat="1" applyFont="1" applyBorder="1" applyAlignment="1">
      <alignment horizontal="center"/>
    </xf>
    <xf numFmtId="166" fontId="7" fillId="0" borderId="52" xfId="0" applyNumberFormat="1" applyFont="1" applyBorder="1" applyAlignment="1">
      <alignment horizontal="center"/>
    </xf>
    <xf numFmtId="8" fontId="7" fillId="0" borderId="9" xfId="0" applyNumberFormat="1" applyFont="1" applyBorder="1" applyAlignment="1">
      <alignment horizontal="center"/>
    </xf>
    <xf numFmtId="8" fontId="13" fillId="2" borderId="34" xfId="0" applyNumberFormat="1" applyFont="1" applyFill="1" applyBorder="1" applyAlignment="1">
      <alignment horizontal="center"/>
    </xf>
    <xf numFmtId="8" fontId="7" fillId="0" borderId="10" xfId="0" applyNumberFormat="1" applyFont="1" applyBorder="1" applyAlignment="1">
      <alignment horizontal="center"/>
    </xf>
    <xf numFmtId="166" fontId="7" fillId="0" borderId="9" xfId="0" applyNumberFormat="1" applyFont="1" applyBorder="1" applyAlignment="1">
      <alignment horizontal="center"/>
    </xf>
    <xf numFmtId="166" fontId="16" fillId="0" borderId="97" xfId="0" applyNumberFormat="1" applyFont="1" applyBorder="1"/>
    <xf numFmtId="8" fontId="7" fillId="0" borderId="0" xfId="0" applyNumberFormat="1" applyFont="1" applyAlignment="1">
      <alignment horizontal="center"/>
    </xf>
    <xf numFmtId="8" fontId="7" fillId="0" borderId="16" xfId="0" applyNumberFormat="1" applyFont="1" applyBorder="1" applyAlignment="1">
      <alignment horizontal="center"/>
    </xf>
    <xf numFmtId="8" fontId="7" fillId="0" borderId="17" xfId="0" applyNumberFormat="1" applyFont="1" applyBorder="1" applyAlignment="1">
      <alignment horizontal="center"/>
    </xf>
    <xf numFmtId="8" fontId="7" fillId="0" borderId="18" xfId="0" applyNumberFormat="1" applyFont="1" applyBorder="1" applyAlignment="1">
      <alignment horizontal="center"/>
    </xf>
    <xf numFmtId="166" fontId="7" fillId="0" borderId="16" xfId="0" applyNumberFormat="1" applyFont="1" applyBorder="1" applyAlignment="1">
      <alignment horizontal="center"/>
    </xf>
    <xf numFmtId="166" fontId="7" fillId="0" borderId="18" xfId="0" applyNumberFormat="1" applyFont="1" applyBorder="1" applyAlignment="1">
      <alignment horizontal="center"/>
    </xf>
    <xf numFmtId="166" fontId="16" fillId="0" borderId="98" xfId="0" applyNumberFormat="1" applyFont="1" applyBorder="1" applyAlignment="1">
      <alignment horizontal="center"/>
    </xf>
    <xf numFmtId="166" fontId="16" fillId="0" borderId="10" xfId="0" applyNumberFormat="1" applyFont="1" applyBorder="1"/>
    <xf numFmtId="183" fontId="7" fillId="0" borderId="10" xfId="0" applyNumberFormat="1" applyFont="1" applyBorder="1"/>
    <xf numFmtId="166" fontId="22" fillId="0" borderId="10" xfId="0" applyNumberFormat="1" applyFont="1" applyBorder="1"/>
    <xf numFmtId="166" fontId="22" fillId="0" borderId="10" xfId="0" applyNumberFormat="1" applyFont="1" applyBorder="1" applyAlignment="1">
      <alignment horizontal="right"/>
    </xf>
    <xf numFmtId="166" fontId="40" fillId="0" borderId="10" xfId="0" applyNumberFormat="1" applyFont="1" applyBorder="1"/>
    <xf numFmtId="8" fontId="7" fillId="0" borderId="10" xfId="0" applyNumberFormat="1" applyFont="1" applyBorder="1"/>
    <xf numFmtId="0" fontId="4" fillId="0" borderId="9" xfId="0" applyFont="1" applyBorder="1"/>
    <xf numFmtId="6" fontId="7" fillId="0" borderId="10" xfId="0" applyNumberFormat="1" applyFont="1" applyBorder="1"/>
    <xf numFmtId="164" fontId="7" fillId="0" borderId="10" xfId="0" applyNumberFormat="1" applyFont="1" applyBorder="1"/>
    <xf numFmtId="37" fontId="4" fillId="0" borderId="10" xfId="0" applyNumberFormat="1" applyFont="1" applyBorder="1"/>
    <xf numFmtId="8" fontId="7" fillId="0" borderId="52" xfId="0" applyNumberFormat="1" applyFont="1" applyBorder="1"/>
    <xf numFmtId="8" fontId="7" fillId="0" borderId="18" xfId="0" applyNumberFormat="1" applyFont="1" applyBorder="1"/>
    <xf numFmtId="37" fontId="7" fillId="0" borderId="18" xfId="0" applyNumberFormat="1" applyFont="1" applyBorder="1"/>
    <xf numFmtId="7" fontId="4" fillId="5" borderId="4" xfId="0" applyNumberFormat="1" applyFont="1" applyFill="1" applyBorder="1" applyAlignment="1">
      <alignment horizontal="center"/>
    </xf>
    <xf numFmtId="178" fontId="36" fillId="0" borderId="0" xfId="0" applyNumberFormat="1" applyFont="1" applyAlignment="1">
      <alignment horizontal="center"/>
    </xf>
    <xf numFmtId="178" fontId="52" fillId="0" borderId="0" xfId="0" applyNumberFormat="1" applyFont="1" applyAlignment="1">
      <alignment horizontal="center"/>
    </xf>
    <xf numFmtId="5" fontId="4" fillId="5" borderId="4" xfId="0" applyNumberFormat="1" applyFont="1" applyFill="1" applyBorder="1" applyAlignment="1">
      <alignment horizontal="center"/>
    </xf>
    <xf numFmtId="4" fontId="7" fillId="0" borderId="0" xfId="0" applyNumberFormat="1" applyFont="1"/>
    <xf numFmtId="167" fontId="16" fillId="0" borderId="0" xfId="0" applyNumberFormat="1" applyFont="1" applyAlignment="1">
      <alignment horizontal="center"/>
    </xf>
    <xf numFmtId="7" fontId="7" fillId="0" borderId="10" xfId="0" applyNumberFormat="1" applyFont="1" applyBorder="1"/>
    <xf numFmtId="7" fontId="16" fillId="0" borderId="10" xfId="0" applyNumberFormat="1" applyFont="1" applyBorder="1"/>
    <xf numFmtId="5" fontId="16" fillId="0" borderId="10" xfId="0" applyNumberFormat="1" applyFont="1" applyBorder="1"/>
    <xf numFmtId="181" fontId="14" fillId="0" borderId="10" xfId="0" applyNumberFormat="1" applyFont="1" applyBorder="1"/>
    <xf numFmtId="181" fontId="7" fillId="0" borderId="10" xfId="0" applyNumberFormat="1" applyFont="1" applyBorder="1"/>
    <xf numFmtId="0" fontId="7" fillId="0" borderId="0" xfId="0" applyFont="1" applyAlignment="1">
      <alignment horizontal="center" vertical="center" wrapText="1"/>
    </xf>
    <xf numFmtId="5" fontId="14" fillId="0" borderId="0" xfId="0" applyNumberFormat="1" applyFont="1"/>
    <xf numFmtId="195" fontId="16" fillId="0" borderId="0" xfId="0" applyNumberFormat="1" applyFont="1" applyAlignment="1">
      <alignment horizontal="center"/>
    </xf>
    <xf numFmtId="0" fontId="13" fillId="3" borderId="6" xfId="0" applyFont="1" applyFill="1" applyBorder="1" applyAlignment="1">
      <alignment horizontal="center"/>
    </xf>
    <xf numFmtId="0" fontId="13" fillId="3" borderId="7" xfId="0" applyFont="1" applyFill="1" applyBorder="1" applyAlignment="1">
      <alignment horizontal="center"/>
    </xf>
    <xf numFmtId="0" fontId="13" fillId="2" borderId="34" xfId="0" applyFont="1" applyFill="1" applyBorder="1" applyAlignment="1">
      <alignment horizontal="left"/>
    </xf>
    <xf numFmtId="0" fontId="53" fillId="0" borderId="0" xfId="0" applyFont="1"/>
    <xf numFmtId="0" fontId="54" fillId="0" borderId="0" xfId="0" applyFont="1" applyAlignment="1">
      <alignment horizontal="center"/>
    </xf>
    <xf numFmtId="0" fontId="14" fillId="0" borderId="0" xfId="0" applyFont="1" applyAlignment="1">
      <alignment horizontal="center"/>
    </xf>
    <xf numFmtId="0" fontId="4" fillId="3" borderId="100" xfId="0" applyFont="1" applyFill="1" applyBorder="1" applyAlignment="1">
      <alignment horizontal="center"/>
    </xf>
    <xf numFmtId="0" fontId="4" fillId="3" borderId="34" xfId="0" applyFont="1" applyFill="1" applyBorder="1" applyAlignment="1">
      <alignment horizontal="center"/>
    </xf>
    <xf numFmtId="9" fontId="4" fillId="3" borderId="101" xfId="0" applyNumberFormat="1" applyFont="1" applyFill="1" applyBorder="1" applyAlignment="1">
      <alignment horizontal="center"/>
    </xf>
    <xf numFmtId="0" fontId="4" fillId="3" borderId="101" xfId="0" applyFont="1" applyFill="1" applyBorder="1" applyAlignment="1">
      <alignment horizontal="center"/>
    </xf>
    <xf numFmtId="0" fontId="7" fillId="3" borderId="34" xfId="0" applyFont="1" applyFill="1" applyBorder="1"/>
    <xf numFmtId="183" fontId="16" fillId="0" borderId="9" xfId="0" applyNumberFormat="1" applyFont="1" applyBorder="1" applyAlignment="1">
      <alignment horizontal="center"/>
    </xf>
    <xf numFmtId="183" fontId="16" fillId="0" borderId="10" xfId="0" applyNumberFormat="1" applyFont="1" applyBorder="1" applyAlignment="1">
      <alignment horizontal="center"/>
    </xf>
    <xf numFmtId="0" fontId="4" fillId="0" borderId="10" xfId="0" applyFont="1" applyBorder="1" applyAlignment="1">
      <alignment horizontal="center"/>
    </xf>
    <xf numFmtId="14" fontId="7" fillId="0" borderId="0" xfId="0" applyNumberFormat="1" applyFont="1"/>
    <xf numFmtId="0" fontId="7" fillId="0" borderId="8" xfId="0" applyFont="1" applyBorder="1" applyAlignment="1">
      <alignment horizontal="center"/>
    </xf>
    <xf numFmtId="0" fontId="7" fillId="0" borderId="3" xfId="0" applyFont="1" applyBorder="1" applyAlignment="1">
      <alignment horizontal="center"/>
    </xf>
    <xf numFmtId="171" fontId="7" fillId="0" borderId="0" xfId="0" applyNumberFormat="1" applyFont="1"/>
    <xf numFmtId="0" fontId="7" fillId="0" borderId="45" xfId="0" applyFont="1" applyBorder="1"/>
    <xf numFmtId="166" fontId="39" fillId="0" borderId="0" xfId="0" applyNumberFormat="1" applyFont="1"/>
    <xf numFmtId="207" fontId="16" fillId="0" borderId="0" xfId="0" applyNumberFormat="1" applyFont="1"/>
    <xf numFmtId="0" fontId="7" fillId="0" borderId="49" xfId="0" applyFont="1" applyBorder="1"/>
    <xf numFmtId="208" fontId="39" fillId="0" borderId="0" xfId="0" applyNumberFormat="1" applyFont="1"/>
    <xf numFmtId="0" fontId="14" fillId="0" borderId="45" xfId="0" applyFont="1" applyBorder="1"/>
    <xf numFmtId="208" fontId="40" fillId="0" borderId="0" xfId="0" applyNumberFormat="1" applyFont="1"/>
    <xf numFmtId="208" fontId="22" fillId="0" borderId="0" xfId="0" applyNumberFormat="1" applyFont="1"/>
    <xf numFmtId="7" fontId="14" fillId="0" borderId="0" xfId="0" applyNumberFormat="1" applyFont="1"/>
    <xf numFmtId="5" fontId="16" fillId="0" borderId="0" xfId="0" applyNumberFormat="1" applyFont="1"/>
    <xf numFmtId="0" fontId="14" fillId="0" borderId="8" xfId="0" applyFont="1" applyBorder="1" applyAlignment="1">
      <alignment horizontal="center"/>
    </xf>
    <xf numFmtId="0" fontId="14" fillId="0" borderId="3" xfId="0" applyFont="1" applyBorder="1" applyAlignment="1">
      <alignment horizontal="center"/>
    </xf>
    <xf numFmtId="9" fontId="39" fillId="0" borderId="25" xfId="0" applyNumberFormat="1" applyFont="1" applyBorder="1"/>
    <xf numFmtId="9" fontId="39" fillId="0" borderId="0" xfId="0" applyNumberFormat="1" applyFont="1"/>
    <xf numFmtId="0" fontId="7" fillId="0" borderId="0" xfId="0" quotePrefix="1" applyFont="1" applyAlignment="1">
      <alignment horizontal="right"/>
    </xf>
    <xf numFmtId="169" fontId="22" fillId="0" borderId="4" xfId="0" applyNumberFormat="1" applyFont="1" applyBorder="1"/>
    <xf numFmtId="0" fontId="7" fillId="0" borderId="0" xfId="0" quotePrefix="1" applyFont="1"/>
    <xf numFmtId="209" fontId="16" fillId="0" borderId="0" xfId="0" applyNumberFormat="1" applyFont="1"/>
    <xf numFmtId="1" fontId="16" fillId="0" borderId="8" xfId="0" applyNumberFormat="1" applyFont="1" applyBorder="1" applyAlignment="1">
      <alignment horizontal="center"/>
    </xf>
    <xf numFmtId="1" fontId="7" fillId="0" borderId="8"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0" fontId="13" fillId="2" borderId="34" xfId="0" quotePrefix="1" applyFont="1" applyFill="1" applyBorder="1"/>
    <xf numFmtId="210" fontId="16" fillId="0" borderId="8" xfId="0" applyNumberFormat="1" applyFont="1" applyBorder="1" applyAlignment="1">
      <alignment horizontal="center" vertical="center" wrapText="1"/>
    </xf>
    <xf numFmtId="210" fontId="7" fillId="0" borderId="8" xfId="0" applyNumberFormat="1" applyFont="1" applyBorder="1" applyAlignment="1">
      <alignment horizontal="center" vertical="center" wrapText="1"/>
    </xf>
    <xf numFmtId="210" fontId="7" fillId="0" borderId="3" xfId="0" applyNumberFormat="1" applyFont="1" applyBorder="1" applyAlignment="1">
      <alignment horizontal="center" vertical="center" wrapText="1"/>
    </xf>
    <xf numFmtId="14" fontId="16" fillId="0" borderId="0" xfId="0" applyNumberFormat="1" applyFont="1"/>
    <xf numFmtId="43" fontId="16" fillId="0" borderId="0" xfId="0" applyNumberFormat="1" applyFont="1"/>
    <xf numFmtId="170" fontId="7" fillId="0" borderId="52" xfId="0" applyNumberFormat="1" applyFont="1" applyBorder="1" applyAlignment="1">
      <alignment horizontal="center"/>
    </xf>
    <xf numFmtId="171" fontId="7" fillId="0" borderId="10" xfId="0" applyNumberFormat="1" applyFont="1" applyBorder="1" applyAlignment="1">
      <alignment horizontal="center"/>
    </xf>
    <xf numFmtId="171" fontId="7" fillId="0" borderId="18" xfId="0" applyNumberFormat="1" applyFont="1" applyBorder="1" applyAlignment="1">
      <alignment horizontal="center"/>
    </xf>
    <xf numFmtId="0" fontId="55" fillId="0" borderId="0" xfId="0" applyFont="1"/>
    <xf numFmtId="208" fontId="14" fillId="0" borderId="0" xfId="0" applyNumberFormat="1" applyFont="1"/>
    <xf numFmtId="208" fontId="56" fillId="0" borderId="0" xfId="0" applyNumberFormat="1" applyFont="1"/>
    <xf numFmtId="208" fontId="7" fillId="0" borderId="0" xfId="0" applyNumberFormat="1" applyFont="1"/>
    <xf numFmtId="208" fontId="51" fillId="0" borderId="0" xfId="0" applyNumberFormat="1" applyFont="1"/>
    <xf numFmtId="0" fontId="51" fillId="0" borderId="0" xfId="0" applyFont="1" applyAlignment="1">
      <alignment horizontal="right"/>
    </xf>
    <xf numFmtId="211" fontId="14" fillId="0" borderId="0" xfId="0" applyNumberFormat="1" applyFont="1"/>
    <xf numFmtId="211" fontId="56" fillId="0" borderId="0" xfId="0" applyNumberFormat="1" applyFont="1"/>
    <xf numFmtId="211" fontId="7" fillId="0" borderId="0" xfId="0" applyNumberFormat="1" applyFont="1"/>
    <xf numFmtId="211" fontId="51" fillId="0" borderId="0" xfId="0" applyNumberFormat="1" applyFont="1"/>
    <xf numFmtId="0" fontId="14" fillId="5" borderId="4" xfId="0" applyFont="1" applyFill="1" applyBorder="1" applyAlignment="1">
      <alignment horizontal="center"/>
    </xf>
    <xf numFmtId="0" fontId="7" fillId="5" borderId="4" xfId="0" applyFont="1" applyFill="1" applyBorder="1" applyAlignment="1">
      <alignment horizontal="center"/>
    </xf>
    <xf numFmtId="0" fontId="13" fillId="2" borderId="102" xfId="0" applyFont="1" applyFill="1" applyBorder="1" applyAlignment="1">
      <alignment horizontal="center"/>
    </xf>
    <xf numFmtId="179" fontId="14" fillId="0" borderId="0" xfId="0" applyNumberFormat="1" applyFont="1" applyAlignment="1">
      <alignment horizontal="center"/>
    </xf>
    <xf numFmtId="179" fontId="16" fillId="0" borderId="0" xfId="0" applyNumberFormat="1" applyFont="1" applyAlignment="1">
      <alignment horizontal="center"/>
    </xf>
    <xf numFmtId="198" fontId="7" fillId="0" borderId="103" xfId="0" applyNumberFormat="1" applyFont="1" applyBorder="1" applyAlignment="1">
      <alignment horizontal="center"/>
    </xf>
    <xf numFmtId="168" fontId="14" fillId="0" borderId="0" xfId="0" applyNumberFormat="1" applyFont="1" applyAlignment="1">
      <alignment horizontal="center"/>
    </xf>
    <xf numFmtId="168" fontId="16" fillId="0" borderId="0" xfId="0" applyNumberFormat="1" applyFont="1" applyAlignment="1">
      <alignment horizontal="center"/>
    </xf>
    <xf numFmtId="169" fontId="39" fillId="0" borderId="0" xfId="0" applyNumberFormat="1" applyFont="1" applyAlignment="1">
      <alignment horizontal="center"/>
    </xf>
    <xf numFmtId="169" fontId="40" fillId="0" borderId="0" xfId="0" applyNumberFormat="1" applyFont="1" applyAlignment="1">
      <alignment horizontal="center"/>
    </xf>
    <xf numFmtId="198" fontId="22" fillId="0" borderId="103" xfId="0" applyNumberFormat="1" applyFont="1" applyBorder="1" applyAlignment="1">
      <alignment horizontal="center"/>
    </xf>
    <xf numFmtId="198" fontId="22" fillId="0" borderId="0" xfId="0" applyNumberFormat="1" applyFont="1" applyAlignment="1">
      <alignment horizontal="center"/>
    </xf>
    <xf numFmtId="169" fontId="22" fillId="0" borderId="0" xfId="0" applyNumberFormat="1" applyFont="1" applyAlignment="1">
      <alignment horizontal="center"/>
    </xf>
    <xf numFmtId="7" fontId="14" fillId="0" borderId="0" xfId="0" applyNumberFormat="1" applyFont="1" applyAlignment="1">
      <alignment horizontal="center"/>
    </xf>
    <xf numFmtId="7" fontId="16" fillId="0" borderId="0" xfId="0" applyNumberFormat="1" applyFont="1" applyAlignment="1">
      <alignment horizontal="center"/>
    </xf>
    <xf numFmtId="168" fontId="14" fillId="0" borderId="1" xfId="0" applyNumberFormat="1" applyFont="1" applyBorder="1" applyAlignment="1">
      <alignment horizontal="center"/>
    </xf>
    <xf numFmtId="168" fontId="16" fillId="0" borderId="1" xfId="0" applyNumberFormat="1" applyFont="1" applyBorder="1" applyAlignment="1">
      <alignment horizontal="center"/>
    </xf>
    <xf numFmtId="198" fontId="7" fillId="0" borderId="104" xfId="0" applyNumberFormat="1" applyFont="1" applyBorder="1" applyAlignment="1">
      <alignment horizontal="center"/>
    </xf>
    <xf numFmtId="181" fontId="14" fillId="0" borderId="1" xfId="0" applyNumberFormat="1" applyFont="1" applyBorder="1" applyAlignment="1">
      <alignment horizontal="center"/>
    </xf>
    <xf numFmtId="181" fontId="16" fillId="0" borderId="1" xfId="0" applyNumberFormat="1" applyFont="1" applyBorder="1" applyAlignment="1">
      <alignment horizontal="center"/>
    </xf>
    <xf numFmtId="0" fontId="57" fillId="0" borderId="0" xfId="0" applyFont="1" applyAlignment="1">
      <alignment horizontal="center"/>
    </xf>
    <xf numFmtId="198" fontId="7" fillId="0" borderId="50" xfId="0" applyNumberFormat="1" applyFont="1" applyBorder="1" applyAlignment="1">
      <alignment horizontal="center"/>
    </xf>
    <xf numFmtId="198" fontId="7" fillId="0" borderId="51" xfId="0" applyNumberFormat="1" applyFont="1" applyBorder="1" applyAlignment="1">
      <alignment horizontal="center"/>
    </xf>
    <xf numFmtId="0" fontId="7" fillId="19" borderId="0" xfId="0" applyFont="1" applyFill="1"/>
    <xf numFmtId="179" fontId="7" fillId="19" borderId="0" xfId="0" applyNumberFormat="1" applyFont="1" applyFill="1"/>
    <xf numFmtId="0" fontId="7" fillId="19" borderId="0" xfId="0" applyFont="1" applyFill="1" applyAlignment="1">
      <alignment horizontal="left"/>
    </xf>
    <xf numFmtId="169" fontId="7" fillId="12" borderId="37" xfId="0" applyNumberFormat="1" applyFont="1" applyFill="1" applyBorder="1"/>
    <xf numFmtId="180" fontId="60" fillId="0" borderId="0" xfId="0" applyNumberFormat="1" applyFont="1"/>
    <xf numFmtId="180" fontId="60" fillId="13" borderId="34" xfId="0" applyNumberFormat="1" applyFont="1" applyFill="1" applyBorder="1"/>
    <xf numFmtId="0" fontId="4" fillId="0" borderId="0" xfId="0" applyFont="1" applyAlignment="1">
      <alignment horizontal="right"/>
    </xf>
    <xf numFmtId="169" fontId="7" fillId="12" borderId="34" xfId="1" applyNumberFormat="1" applyFont="1" applyFill="1" applyBorder="1"/>
    <xf numFmtId="180" fontId="7" fillId="12" borderId="37" xfId="0" applyNumberFormat="1" applyFont="1" applyFill="1" applyBorder="1" applyAlignment="1">
      <alignment horizontal="right"/>
    </xf>
    <xf numFmtId="180" fontId="40" fillId="13" borderId="37" xfId="0" applyNumberFormat="1" applyFont="1" applyFill="1" applyBorder="1" applyAlignment="1">
      <alignment horizontal="right"/>
    </xf>
    <xf numFmtId="169" fontId="7" fillId="13" borderId="34" xfId="1" applyNumberFormat="1" applyFont="1" applyFill="1" applyBorder="1"/>
    <xf numFmtId="179" fontId="16" fillId="12" borderId="105" xfId="0" applyNumberFormat="1" applyFont="1" applyFill="1" applyBorder="1"/>
    <xf numFmtId="179" fontId="7" fillId="0" borderId="105" xfId="0" applyNumberFormat="1" applyFont="1" applyBorder="1"/>
    <xf numFmtId="168" fontId="16" fillId="12" borderId="105" xfId="0" applyNumberFormat="1" applyFont="1" applyFill="1" applyBorder="1"/>
    <xf numFmtId="179" fontId="7" fillId="13" borderId="105" xfId="0" applyNumberFormat="1" applyFont="1" applyFill="1" applyBorder="1"/>
    <xf numFmtId="181" fontId="7" fillId="12" borderId="37" xfId="0" applyNumberFormat="1" applyFont="1" applyFill="1" applyBorder="1" applyAlignment="1">
      <alignment horizontal="right"/>
    </xf>
    <xf numFmtId="9" fontId="7" fillId="0" borderId="0" xfId="1" applyFont="1"/>
    <xf numFmtId="169" fontId="7" fillId="12" borderId="34" xfId="1" applyNumberFormat="1" applyFont="1" applyFill="1" applyBorder="1" applyAlignment="1">
      <alignment horizontal="right"/>
    </xf>
    <xf numFmtId="169" fontId="7" fillId="0" borderId="0" xfId="1" applyNumberFormat="1" applyFont="1"/>
    <xf numFmtId="180" fontId="62" fillId="13" borderId="34" xfId="0" applyNumberFormat="1" applyFont="1" applyFill="1" applyBorder="1" applyAlignment="1">
      <alignment horizontal="right"/>
    </xf>
    <xf numFmtId="180" fontId="14" fillId="0" borderId="34" xfId="0" applyNumberFormat="1" applyFont="1" applyBorder="1"/>
    <xf numFmtId="168" fontId="14" fillId="0" borderId="22" xfId="0" applyNumberFormat="1" applyFont="1" applyBorder="1"/>
    <xf numFmtId="179" fontId="16" fillId="12" borderId="37" xfId="0" applyNumberFormat="1" applyFont="1" applyFill="1" applyBorder="1"/>
    <xf numFmtId="168" fontId="16" fillId="12" borderId="37" xfId="0" applyNumberFormat="1" applyFont="1" applyFill="1" applyBorder="1"/>
    <xf numFmtId="0" fontId="7" fillId="22" borderId="34" xfId="0" applyFont="1" applyFill="1" applyBorder="1"/>
    <xf numFmtId="179" fontId="16" fillId="23" borderId="34" xfId="0" applyNumberFormat="1" applyFont="1" applyFill="1" applyBorder="1"/>
    <xf numFmtId="179" fontId="7" fillId="24" borderId="34" xfId="0" applyNumberFormat="1" applyFont="1" applyFill="1" applyBorder="1"/>
    <xf numFmtId="181" fontId="7" fillId="24" borderId="34" xfId="0" applyNumberFormat="1" applyFont="1" applyFill="1" applyBorder="1"/>
    <xf numFmtId="181" fontId="16" fillId="24" borderId="22" xfId="0" applyNumberFormat="1" applyFont="1" applyFill="1" applyBorder="1"/>
    <xf numFmtId="179" fontId="7" fillId="22" borderId="34" xfId="0" applyNumberFormat="1" applyFont="1" applyFill="1" applyBorder="1"/>
    <xf numFmtId="181" fontId="7" fillId="22" borderId="34" xfId="0" applyNumberFormat="1" applyFont="1" applyFill="1" applyBorder="1"/>
    <xf numFmtId="181" fontId="16" fillId="22" borderId="22" xfId="0" applyNumberFormat="1" applyFont="1" applyFill="1" applyBorder="1"/>
    <xf numFmtId="181" fontId="16" fillId="0" borderId="34" xfId="0" applyNumberFormat="1" applyFont="1" applyBorder="1"/>
    <xf numFmtId="181" fontId="7" fillId="0" borderId="34" xfId="0" applyNumberFormat="1" applyFont="1" applyBorder="1"/>
    <xf numFmtId="181" fontId="16" fillId="0" borderId="22" xfId="0" applyNumberFormat="1" applyFont="1" applyBorder="1"/>
    <xf numFmtId="179" fontId="7" fillId="25" borderId="34" xfId="0" applyNumberFormat="1" applyFont="1" applyFill="1" applyBorder="1"/>
    <xf numFmtId="179" fontId="7" fillId="0" borderId="34" xfId="0" applyNumberFormat="1" applyFont="1" applyBorder="1"/>
    <xf numFmtId="179" fontId="7" fillId="24" borderId="105" xfId="0" applyNumberFormat="1" applyFont="1" applyFill="1" applyBorder="1"/>
    <xf numFmtId="0" fontId="22" fillId="24" borderId="34" xfId="0" applyFont="1" applyFill="1" applyBorder="1"/>
    <xf numFmtId="179" fontId="22" fillId="24" borderId="34" xfId="0" applyNumberFormat="1" applyFont="1" applyFill="1" applyBorder="1"/>
    <xf numFmtId="179" fontId="7" fillId="22" borderId="105" xfId="0" applyNumberFormat="1" applyFont="1" applyFill="1" applyBorder="1"/>
    <xf numFmtId="179" fontId="22" fillId="22" borderId="34" xfId="0" applyNumberFormat="1" applyFont="1" applyFill="1" applyBorder="1"/>
    <xf numFmtId="168" fontId="7" fillId="22" borderId="22" xfId="0" applyNumberFormat="1" applyFont="1" applyFill="1" applyBorder="1"/>
    <xf numFmtId="0" fontId="22" fillId="22" borderId="34" xfId="0" applyFont="1" applyFill="1" applyBorder="1"/>
    <xf numFmtId="179" fontId="7" fillId="26" borderId="34" xfId="0" applyNumberFormat="1" applyFont="1" applyFill="1" applyBorder="1"/>
    <xf numFmtId="179" fontId="7" fillId="25" borderId="105" xfId="0" applyNumberFormat="1" applyFont="1" applyFill="1" applyBorder="1"/>
    <xf numFmtId="179" fontId="22" fillId="25" borderId="34" xfId="0" applyNumberFormat="1" applyFont="1" applyFill="1" applyBorder="1"/>
    <xf numFmtId="0" fontId="7" fillId="25" borderId="34" xfId="0" applyFont="1" applyFill="1" applyBorder="1"/>
    <xf numFmtId="168" fontId="7" fillId="25" borderId="22" xfId="0" applyNumberFormat="1" applyFont="1" applyFill="1" applyBorder="1"/>
    <xf numFmtId="179" fontId="7" fillId="26" borderId="105" xfId="0" applyNumberFormat="1" applyFont="1" applyFill="1" applyBorder="1"/>
    <xf numFmtId="179" fontId="22" fillId="26" borderId="34" xfId="0" applyNumberFormat="1" applyFont="1" applyFill="1" applyBorder="1"/>
    <xf numFmtId="0" fontId="7" fillId="26" borderId="34" xfId="0" applyFont="1" applyFill="1" applyBorder="1"/>
    <xf numFmtId="168" fontId="7" fillId="26" borderId="22" xfId="0" applyNumberFormat="1" applyFont="1" applyFill="1" applyBorder="1"/>
    <xf numFmtId="168" fontId="7" fillId="0" borderId="22" xfId="0" applyNumberFormat="1" applyFont="1" applyBorder="1"/>
    <xf numFmtId="7" fontId="16" fillId="25" borderId="34" xfId="0" applyNumberFormat="1" applyFont="1" applyFill="1" applyBorder="1"/>
    <xf numFmtId="7" fontId="14" fillId="25" borderId="34" xfId="0" applyNumberFormat="1" applyFont="1" applyFill="1" applyBorder="1"/>
    <xf numFmtId="169" fontId="40" fillId="25" borderId="34" xfId="0" applyNumberFormat="1" applyFont="1" applyFill="1" applyBorder="1"/>
    <xf numFmtId="168" fontId="16" fillId="25" borderId="22" xfId="0" applyNumberFormat="1" applyFont="1" applyFill="1" applyBorder="1"/>
    <xf numFmtId="168" fontId="7" fillId="25" borderId="34" xfId="0" applyNumberFormat="1" applyFont="1" applyFill="1" applyBorder="1"/>
    <xf numFmtId="181" fontId="7" fillId="25" borderId="34" xfId="0" applyNumberFormat="1" applyFont="1" applyFill="1" applyBorder="1"/>
    <xf numFmtId="168" fontId="14" fillId="25" borderId="22" xfId="0" applyNumberFormat="1" applyFont="1" applyFill="1" applyBorder="1"/>
    <xf numFmtId="169" fontId="40" fillId="0" borderId="0" xfId="0" applyNumberFormat="1" applyFont="1"/>
    <xf numFmtId="180" fontId="40" fillId="0" borderId="34" xfId="0" applyNumberFormat="1" applyFont="1" applyBorder="1" applyAlignment="1">
      <alignment horizontal="right"/>
    </xf>
    <xf numFmtId="180" fontId="7" fillId="0" borderId="34" xfId="0" applyNumberFormat="1" applyFont="1" applyBorder="1" applyAlignment="1">
      <alignment horizontal="right"/>
    </xf>
    <xf numFmtId="180" fontId="7" fillId="20" borderId="34" xfId="0" applyNumberFormat="1" applyFont="1" applyFill="1" applyBorder="1" applyAlignment="1">
      <alignment horizontal="right"/>
    </xf>
    <xf numFmtId="180" fontId="7" fillId="19" borderId="0" xfId="0" applyNumberFormat="1" applyFont="1" applyFill="1" applyAlignment="1">
      <alignment horizontal="right"/>
    </xf>
    <xf numFmtId="180" fontId="7" fillId="21" borderId="34" xfId="0" applyNumberFormat="1" applyFont="1" applyFill="1" applyBorder="1" applyAlignment="1">
      <alignment horizontal="right"/>
    </xf>
    <xf numFmtId="180" fontId="40" fillId="21" borderId="34" xfId="0" applyNumberFormat="1" applyFont="1" applyFill="1" applyBorder="1" applyAlignment="1">
      <alignment horizontal="right"/>
    </xf>
    <xf numFmtId="180" fontId="40" fillId="19" borderId="0" xfId="0" applyNumberFormat="1" applyFont="1" applyFill="1" applyAlignment="1">
      <alignment horizontal="right"/>
    </xf>
    <xf numFmtId="180" fontId="7" fillId="0" borderId="37" xfId="0" applyNumberFormat="1" applyFont="1" applyBorder="1" applyAlignment="1">
      <alignment horizontal="right"/>
    </xf>
    <xf numFmtId="168" fontId="7" fillId="12" borderId="37" xfId="0" applyNumberFormat="1" applyFont="1" applyFill="1" applyBorder="1"/>
    <xf numFmtId="168" fontId="7" fillId="13" borderId="37" xfId="0" applyNumberFormat="1" applyFont="1" applyFill="1" applyBorder="1"/>
    <xf numFmtId="0" fontId="0" fillId="0" borderId="112" xfId="0" applyBorder="1"/>
    <xf numFmtId="0" fontId="0" fillId="0" borderId="113" xfId="0" applyBorder="1"/>
    <xf numFmtId="0" fontId="3" fillId="0" borderId="113" xfId="0" applyFont="1" applyBorder="1"/>
    <xf numFmtId="0" fontId="7" fillId="0" borderId="119" xfId="0" applyFont="1" applyBorder="1"/>
    <xf numFmtId="0" fontId="7" fillId="0" borderId="105" xfId="0" applyFont="1" applyBorder="1"/>
    <xf numFmtId="0" fontId="7" fillId="0" borderId="112" xfId="0" applyFont="1" applyBorder="1"/>
    <xf numFmtId="0" fontId="7" fillId="0" borderId="113" xfId="0" applyFont="1" applyBorder="1"/>
    <xf numFmtId="0" fontId="7" fillId="0" borderId="124" xfId="0" applyFont="1" applyBorder="1"/>
    <xf numFmtId="0" fontId="7" fillId="0" borderId="117" xfId="0" applyFont="1" applyBorder="1"/>
    <xf numFmtId="0" fontId="7" fillId="0" borderId="125" xfId="0" applyFont="1" applyBorder="1"/>
    <xf numFmtId="0" fontId="7" fillId="0" borderId="126" xfId="0" applyFont="1" applyBorder="1"/>
    <xf numFmtId="0" fontId="13" fillId="27" borderId="124" xfId="0" applyFont="1" applyFill="1" applyBorder="1"/>
    <xf numFmtId="0" fontId="13" fillId="27" borderId="117" xfId="0" applyFont="1" applyFill="1" applyBorder="1" applyAlignment="1">
      <alignment horizontal="center"/>
    </xf>
    <xf numFmtId="0" fontId="13" fillId="27" borderId="129" xfId="0" applyFont="1" applyFill="1" applyBorder="1" applyAlignment="1">
      <alignment horizontal="center"/>
    </xf>
    <xf numFmtId="0" fontId="13" fillId="27" borderId="126" xfId="0" applyFont="1" applyFill="1" applyBorder="1"/>
    <xf numFmtId="0" fontId="13" fillId="27" borderId="105" xfId="0" applyFont="1" applyFill="1" applyBorder="1" applyAlignment="1">
      <alignment horizontal="center"/>
    </xf>
    <xf numFmtId="0" fontId="13" fillId="27" borderId="123" xfId="0" applyFont="1" applyFill="1" applyBorder="1" applyAlignment="1">
      <alignment horizontal="center"/>
    </xf>
    <xf numFmtId="0" fontId="13" fillId="27" borderId="130" xfId="0" applyFont="1" applyFill="1" applyBorder="1" applyAlignment="1">
      <alignment horizontal="center"/>
    </xf>
    <xf numFmtId="5" fontId="60" fillId="0" borderId="0" xfId="0" applyNumberFormat="1" applyFont="1"/>
    <xf numFmtId="5" fontId="60" fillId="0" borderId="131" xfId="0" applyNumberFormat="1" applyFont="1" applyBorder="1"/>
    <xf numFmtId="166" fontId="22" fillId="0" borderId="132" xfId="0" applyNumberFormat="1" applyFont="1" applyBorder="1" applyAlignment="1">
      <alignment horizontal="center"/>
    </xf>
    <xf numFmtId="0" fontId="7" fillId="29" borderId="133" xfId="0" applyFont="1" applyFill="1" applyBorder="1" applyAlignment="1">
      <alignment horizontal="center"/>
    </xf>
    <xf numFmtId="0" fontId="22" fillId="0" borderId="0" xfId="0" applyFont="1" applyAlignment="1">
      <alignment horizontal="left" indent="1"/>
    </xf>
    <xf numFmtId="166" fontId="63" fillId="0" borderId="0" xfId="0" applyNumberFormat="1" applyFont="1"/>
    <xf numFmtId="166" fontId="63" fillId="0" borderId="131" xfId="0" applyNumberFormat="1" applyFont="1" applyBorder="1"/>
    <xf numFmtId="166" fontId="22" fillId="0" borderId="134" xfId="0" applyNumberFormat="1" applyFont="1" applyBorder="1" applyAlignment="1">
      <alignment horizontal="center"/>
    </xf>
    <xf numFmtId="5" fontId="7" fillId="0" borderId="131" xfId="0" applyNumberFormat="1" applyFont="1" applyBorder="1"/>
    <xf numFmtId="0" fontId="3" fillId="0" borderId="131" xfId="0" applyFont="1" applyBorder="1"/>
    <xf numFmtId="0" fontId="7" fillId="0" borderId="105" xfId="0" applyFont="1" applyBorder="1" applyAlignment="1">
      <alignment horizontal="center"/>
    </xf>
    <xf numFmtId="174" fontId="60" fillId="0" borderId="117" xfId="0" applyNumberFormat="1" applyFont="1" applyBorder="1" applyAlignment="1">
      <alignment horizontal="center"/>
    </xf>
    <xf numFmtId="174" fontId="7" fillId="0" borderId="117" xfId="0" applyNumberFormat="1" applyFont="1" applyBorder="1" applyAlignment="1">
      <alignment horizontal="center"/>
    </xf>
    <xf numFmtId="7" fontId="60" fillId="0" borderId="0" xfId="0" applyNumberFormat="1" applyFont="1"/>
    <xf numFmtId="7" fontId="60" fillId="0" borderId="131" xfId="0" applyNumberFormat="1" applyFont="1" applyBorder="1"/>
    <xf numFmtId="0" fontId="3" fillId="0" borderId="134" xfId="0" applyFont="1" applyBorder="1"/>
    <xf numFmtId="0" fontId="3" fillId="0" borderId="130" xfId="0" applyFont="1" applyBorder="1"/>
    <xf numFmtId="1" fontId="25" fillId="27" borderId="117" xfId="0" applyNumberFormat="1" applyFont="1" applyFill="1" applyBorder="1" applyAlignment="1">
      <alignment horizontal="right"/>
    </xf>
    <xf numFmtId="1" fontId="25" fillId="27" borderId="105" xfId="0" applyNumberFormat="1" applyFont="1" applyFill="1" applyBorder="1" applyAlignment="1">
      <alignment horizontal="right"/>
    </xf>
    <xf numFmtId="172" fontId="7" fillId="0" borderId="131" xfId="0" applyNumberFormat="1" applyFont="1" applyBorder="1" applyAlignment="1">
      <alignment horizontal="right"/>
    </xf>
    <xf numFmtId="172" fontId="22" fillId="0" borderId="132" xfId="0" applyNumberFormat="1" applyFont="1" applyBorder="1" applyAlignment="1">
      <alignment horizontal="center"/>
    </xf>
    <xf numFmtId="172" fontId="22" fillId="0" borderId="134" xfId="0" applyNumberFormat="1" applyFont="1" applyBorder="1" applyAlignment="1">
      <alignment horizontal="center"/>
    </xf>
    <xf numFmtId="0" fontId="3" fillId="0" borderId="105" xfId="0" applyFont="1" applyBorder="1"/>
    <xf numFmtId="166" fontId="7" fillId="0" borderId="131" xfId="0" applyNumberFormat="1" applyFont="1" applyBorder="1"/>
    <xf numFmtId="5" fontId="63" fillId="0" borderId="134" xfId="0" applyNumberFormat="1" applyFont="1" applyBorder="1" applyAlignment="1">
      <alignment horizontal="center"/>
    </xf>
    <xf numFmtId="37" fontId="60" fillId="0" borderId="0" xfId="0" applyNumberFormat="1" applyFont="1"/>
    <xf numFmtId="37" fontId="60" fillId="0" borderId="131" xfId="0" applyNumberFormat="1" applyFont="1" applyBorder="1"/>
    <xf numFmtId="37" fontId="63" fillId="0" borderId="134" xfId="0" applyNumberFormat="1" applyFont="1" applyBorder="1" applyAlignment="1">
      <alignment horizontal="center"/>
    </xf>
    <xf numFmtId="172" fontId="7" fillId="0" borderId="131" xfId="0" applyNumberFormat="1" applyFont="1" applyBorder="1"/>
    <xf numFmtId="168" fontId="7" fillId="0" borderId="131" xfId="0" applyNumberFormat="1" applyFont="1" applyBorder="1"/>
    <xf numFmtId="168" fontId="22" fillId="0" borderId="134" xfId="0" applyNumberFormat="1" applyFont="1" applyBorder="1" applyAlignment="1">
      <alignment horizontal="center"/>
    </xf>
    <xf numFmtId="168" fontId="22" fillId="0" borderId="130" xfId="0" applyNumberFormat="1" applyFont="1" applyBorder="1" applyAlignment="1">
      <alignment horizontal="center"/>
    </xf>
    <xf numFmtId="0" fontId="8" fillId="0" borderId="0" xfId="0" applyFont="1" applyAlignment="1">
      <alignment horizontal="center"/>
    </xf>
    <xf numFmtId="0" fontId="64" fillId="0" borderId="0" xfId="0" applyFont="1"/>
    <xf numFmtId="0" fontId="13" fillId="27" borderId="0" xfId="0" applyFont="1" applyFill="1"/>
    <xf numFmtId="0" fontId="13" fillId="27" borderId="56" xfId="0" applyFont="1" applyFill="1" applyBorder="1" applyAlignment="1">
      <alignment horizontal="center"/>
    </xf>
    <xf numFmtId="0" fontId="13" fillId="27" borderId="57" xfId="0" applyFont="1" applyFill="1" applyBorder="1" applyAlignment="1">
      <alignment horizontal="center"/>
    </xf>
    <xf numFmtId="0" fontId="13" fillId="27" borderId="58" xfId="0" applyFont="1" applyFill="1" applyBorder="1" applyAlignment="1">
      <alignment horizontal="center"/>
    </xf>
    <xf numFmtId="0" fontId="7" fillId="0" borderId="135" xfId="0" applyFont="1" applyBorder="1"/>
    <xf numFmtId="0" fontId="7" fillId="0" borderId="136" xfId="0" applyFont="1" applyBorder="1"/>
    <xf numFmtId="7" fontId="7" fillId="0" borderId="136" xfId="0" applyNumberFormat="1" applyFont="1" applyBorder="1"/>
    <xf numFmtId="7" fontId="7" fillId="0" borderId="137" xfId="0" applyNumberFormat="1" applyFont="1" applyBorder="1"/>
    <xf numFmtId="0" fontId="7" fillId="0" borderId="59" xfId="0" applyFont="1" applyBorder="1" applyAlignment="1">
      <alignment horizontal="centerContinuous"/>
    </xf>
    <xf numFmtId="0" fontId="7" fillId="0" borderId="60" xfId="0" applyFont="1" applyBorder="1" applyAlignment="1">
      <alignment horizontal="centerContinuous"/>
    </xf>
    <xf numFmtId="0" fontId="7" fillId="0" borderId="61" xfId="0" applyFont="1" applyBorder="1" applyAlignment="1">
      <alignment horizontal="centerContinuous"/>
    </xf>
    <xf numFmtId="0" fontId="13" fillId="27" borderId="106" xfId="0" applyFont="1" applyFill="1" applyBorder="1" applyAlignment="1">
      <alignment horizontal="center"/>
    </xf>
    <xf numFmtId="0" fontId="13" fillId="27" borderId="107" xfId="0" applyFont="1" applyFill="1" applyBorder="1" applyAlignment="1">
      <alignment horizontal="center"/>
    </xf>
    <xf numFmtId="0" fontId="13" fillId="27" borderId="108" xfId="0" applyFont="1" applyFill="1" applyBorder="1" applyAlignment="1">
      <alignment horizontal="center"/>
    </xf>
    <xf numFmtId="0" fontId="13" fillId="27" borderId="127" xfId="0" applyFont="1" applyFill="1" applyBorder="1" applyAlignment="1">
      <alignment horizontal="center"/>
    </xf>
    <xf numFmtId="0" fontId="13" fillId="27" borderId="128" xfId="0" applyFont="1" applyFill="1" applyBorder="1" applyAlignment="1">
      <alignment horizontal="center"/>
    </xf>
    <xf numFmtId="166" fontId="40" fillId="19" borderId="0" xfId="0" applyNumberFormat="1" applyFont="1" applyFill="1" applyAlignment="1">
      <alignment horizontal="center"/>
    </xf>
    <xf numFmtId="0" fontId="35" fillId="0" borderId="138" xfId="0" applyFont="1" applyBorder="1" applyAlignment="1">
      <alignment horizontal="center"/>
    </xf>
    <xf numFmtId="0" fontId="35" fillId="0" borderId="139" xfId="0" applyFont="1" applyBorder="1" applyAlignment="1">
      <alignment horizontal="center"/>
    </xf>
    <xf numFmtId="0" fontId="35" fillId="0" borderId="112" xfId="0" applyFont="1" applyBorder="1" applyAlignment="1">
      <alignment horizontal="center"/>
    </xf>
    <xf numFmtId="0" fontId="35" fillId="0" borderId="113" xfId="0" applyFont="1" applyBorder="1" applyAlignment="1">
      <alignment horizontal="center"/>
    </xf>
    <xf numFmtId="181" fontId="16" fillId="24" borderId="105" xfId="0" applyNumberFormat="1" applyFont="1" applyFill="1" applyBorder="1"/>
    <xf numFmtId="181" fontId="7" fillId="0" borderId="105" xfId="0" applyNumberFormat="1" applyFont="1" applyBorder="1"/>
    <xf numFmtId="181" fontId="16" fillId="12" borderId="105" xfId="0" applyNumberFormat="1" applyFont="1" applyFill="1" applyBorder="1"/>
    <xf numFmtId="181" fontId="7" fillId="13" borderId="105" xfId="0" applyNumberFormat="1" applyFont="1" applyFill="1" applyBorder="1"/>
    <xf numFmtId="0" fontId="7" fillId="0" borderId="105" xfId="0" applyFont="1" applyBorder="1" applyAlignment="1">
      <alignment horizontal="left"/>
    </xf>
    <xf numFmtId="166" fontId="40" fillId="0" borderId="105" xfId="0" applyNumberFormat="1" applyFont="1" applyBorder="1" applyAlignment="1">
      <alignment horizontal="center"/>
    </xf>
    <xf numFmtId="0" fontId="22" fillId="0" borderId="105" xfId="0" applyFont="1" applyBorder="1" applyAlignment="1">
      <alignment horizontal="left"/>
    </xf>
    <xf numFmtId="6" fontId="22" fillId="0" borderId="105" xfId="0" applyNumberFormat="1" applyFont="1" applyBorder="1" applyAlignment="1">
      <alignment horizontal="center"/>
    </xf>
    <xf numFmtId="166" fontId="22" fillId="0" borderId="105" xfId="0" applyNumberFormat="1" applyFont="1" applyBorder="1" applyAlignment="1">
      <alignment horizontal="center"/>
    </xf>
    <xf numFmtId="183" fontId="7" fillId="13" borderId="140" xfId="0" applyNumberFormat="1" applyFont="1" applyFill="1" applyBorder="1" applyAlignment="1">
      <alignment horizontal="center"/>
    </xf>
    <xf numFmtId="183" fontId="7" fillId="13" borderId="141" xfId="0" applyNumberFormat="1" applyFont="1" applyFill="1" applyBorder="1" applyAlignment="1">
      <alignment horizontal="center"/>
    </xf>
    <xf numFmtId="212" fontId="16" fillId="0" borderId="0" xfId="0" applyNumberFormat="1" applyFont="1"/>
    <xf numFmtId="37" fontId="68" fillId="0" borderId="0" xfId="0" applyNumberFormat="1" applyFont="1"/>
    <xf numFmtId="1" fontId="7" fillId="0" borderId="37" xfId="0" applyNumberFormat="1" applyFont="1" applyBorder="1" applyAlignment="1">
      <alignment horizontal="center"/>
    </xf>
    <xf numFmtId="1" fontId="7" fillId="0" borderId="142" xfId="0" applyNumberFormat="1" applyFont="1" applyBorder="1" applyAlignment="1">
      <alignment horizontal="center"/>
    </xf>
    <xf numFmtId="0" fontId="69" fillId="0" borderId="0" xfId="0" applyFont="1"/>
    <xf numFmtId="0" fontId="70" fillId="0" borderId="0" xfId="0" applyFont="1"/>
    <xf numFmtId="0" fontId="67" fillId="0" borderId="0" xfId="0" applyFont="1"/>
    <xf numFmtId="5" fontId="71" fillId="0" borderId="0" xfId="0" applyNumberFormat="1" applyFont="1"/>
    <xf numFmtId="179" fontId="16" fillId="0" borderId="34" xfId="0" applyNumberFormat="1" applyFont="1" applyBorder="1"/>
    <xf numFmtId="0" fontId="3" fillId="3" borderId="2" xfId="0" applyFont="1" applyFill="1" applyBorder="1" applyAlignment="1">
      <alignment horizontal="center"/>
    </xf>
    <xf numFmtId="0" fontId="6" fillId="0" borderId="8" xfId="0" applyFont="1" applyBorder="1"/>
    <xf numFmtId="0" fontId="6" fillId="0" borderId="3" xfId="0" applyFont="1" applyBorder="1"/>
    <xf numFmtId="0" fontId="3" fillId="4" borderId="2" xfId="0" applyFont="1" applyFill="1" applyBorder="1" applyAlignment="1">
      <alignment horizontal="center"/>
    </xf>
    <xf numFmtId="0" fontId="16" fillId="0" borderId="19" xfId="0" applyFont="1" applyBorder="1" applyAlignment="1">
      <alignment horizontal="center"/>
    </xf>
    <xf numFmtId="0" fontId="0" fillId="0" borderId="0" xfId="0"/>
    <xf numFmtId="0" fontId="6" fillId="0" borderId="20" xfId="0" applyFont="1" applyBorder="1"/>
    <xf numFmtId="0" fontId="7" fillId="0" borderId="19" xfId="0" applyFont="1" applyBorder="1" applyAlignment="1">
      <alignment horizontal="center"/>
    </xf>
    <xf numFmtId="0" fontId="14" fillId="0" borderId="19" xfId="0" applyFont="1" applyBorder="1" applyAlignment="1">
      <alignment horizontal="center"/>
    </xf>
    <xf numFmtId="0" fontId="20" fillId="0" borderId="27" xfId="0" applyFont="1" applyBorder="1" applyAlignment="1">
      <alignment horizontal="center"/>
    </xf>
    <xf numFmtId="0" fontId="6" fillId="0" borderId="28" xfId="0" applyFont="1" applyBorder="1"/>
    <xf numFmtId="0" fontId="6" fillId="0" borderId="29" xfId="0" applyFont="1" applyBorder="1"/>
    <xf numFmtId="0" fontId="13" fillId="6" borderId="30" xfId="0" applyFont="1" applyFill="1" applyBorder="1" applyAlignment="1">
      <alignment horizontal="center"/>
    </xf>
    <xf numFmtId="0" fontId="6" fillId="0" borderId="31" xfId="0" applyFont="1" applyBorder="1"/>
    <xf numFmtId="0" fontId="13" fillId="2" borderId="30" xfId="0" applyFont="1" applyFill="1" applyBorder="1" applyAlignment="1">
      <alignment horizontal="center"/>
    </xf>
    <xf numFmtId="0" fontId="7" fillId="3" borderId="30" xfId="0" applyFont="1" applyFill="1" applyBorder="1" applyAlignment="1">
      <alignment horizontal="center"/>
    </xf>
    <xf numFmtId="0" fontId="13" fillId="7" borderId="30" xfId="0" applyFont="1" applyFill="1" applyBorder="1" applyAlignment="1">
      <alignment horizontal="center"/>
    </xf>
    <xf numFmtId="0" fontId="13" fillId="11" borderId="30" xfId="0" applyFont="1" applyFill="1" applyBorder="1" applyAlignment="1">
      <alignment horizontal="center"/>
    </xf>
    <xf numFmtId="0" fontId="7" fillId="12" borderId="30" xfId="0" applyFont="1" applyFill="1" applyBorder="1" applyAlignment="1">
      <alignment horizontal="center"/>
    </xf>
    <xf numFmtId="0" fontId="7" fillId="13" borderId="30" xfId="0" applyFont="1" applyFill="1" applyBorder="1" applyAlignment="1">
      <alignment horizontal="center"/>
    </xf>
    <xf numFmtId="0" fontId="7" fillId="0" borderId="30" xfId="0" applyFont="1" applyBorder="1" applyAlignment="1">
      <alignment horizontal="center"/>
    </xf>
    <xf numFmtId="0" fontId="7" fillId="8" borderId="30" xfId="0" applyFont="1" applyFill="1" applyBorder="1" applyAlignment="1">
      <alignment horizontal="center"/>
    </xf>
    <xf numFmtId="0" fontId="13" fillId="2" borderId="2" xfId="0" applyFont="1" applyFill="1" applyBorder="1" applyAlignment="1">
      <alignment horizontal="center"/>
    </xf>
    <xf numFmtId="0" fontId="13" fillId="9" borderId="30" xfId="0" applyFont="1" applyFill="1" applyBorder="1" applyAlignment="1">
      <alignment horizontal="center"/>
    </xf>
    <xf numFmtId="0" fontId="7" fillId="10" borderId="30" xfId="0" applyFont="1" applyFill="1" applyBorder="1" applyAlignment="1">
      <alignment horizontal="center"/>
    </xf>
    <xf numFmtId="0" fontId="7" fillId="5" borderId="30" xfId="0" applyFont="1" applyFill="1" applyBorder="1" applyAlignment="1">
      <alignment horizontal="center"/>
    </xf>
    <xf numFmtId="0" fontId="13" fillId="2" borderId="35" xfId="0" applyFont="1" applyFill="1" applyBorder="1" applyAlignment="1">
      <alignment horizontal="center"/>
    </xf>
    <xf numFmtId="0" fontId="6" fillId="0" borderId="36" xfId="0" applyFont="1" applyBorder="1"/>
    <xf numFmtId="0" fontId="6" fillId="0" borderId="37" xfId="0" applyFont="1" applyBorder="1"/>
    <xf numFmtId="0" fontId="13" fillId="2" borderId="38" xfId="0" applyFont="1" applyFill="1" applyBorder="1" applyAlignment="1">
      <alignment horizontal="center"/>
    </xf>
    <xf numFmtId="0" fontId="6" fillId="0" borderId="39" xfId="0" applyFont="1" applyBorder="1"/>
    <xf numFmtId="0" fontId="6" fillId="0" borderId="40" xfId="0" applyFont="1" applyBorder="1"/>
    <xf numFmtId="0" fontId="7" fillId="28" borderId="114" xfId="0" applyFont="1" applyFill="1" applyBorder="1" applyAlignment="1">
      <alignment horizontal="center"/>
    </xf>
    <xf numFmtId="0" fontId="7" fillId="28" borderId="115" xfId="0" applyFont="1" applyFill="1" applyBorder="1" applyAlignment="1">
      <alignment horizontal="center"/>
    </xf>
    <xf numFmtId="0" fontId="7" fillId="28" borderId="116" xfId="0" applyFont="1" applyFill="1" applyBorder="1" applyAlignment="1">
      <alignment horizontal="center"/>
    </xf>
    <xf numFmtId="0" fontId="13" fillId="27" borderId="109" xfId="0" applyFont="1" applyFill="1" applyBorder="1" applyAlignment="1">
      <alignment horizontal="center"/>
    </xf>
    <xf numFmtId="0" fontId="13" fillId="27" borderId="110" xfId="0" applyFont="1" applyFill="1" applyBorder="1" applyAlignment="1">
      <alignment horizontal="center"/>
    </xf>
    <xf numFmtId="0" fontId="13" fillId="27" borderId="111" xfId="0" applyFont="1" applyFill="1" applyBorder="1" applyAlignment="1">
      <alignment horizontal="center"/>
    </xf>
    <xf numFmtId="0" fontId="7" fillId="0" borderId="0" xfId="0" applyFont="1" applyAlignment="1">
      <alignment horizontal="left"/>
    </xf>
    <xf numFmtId="0" fontId="7" fillId="0" borderId="0" xfId="0" applyFont="1" applyAlignment="1">
      <alignment horizontal="right"/>
    </xf>
    <xf numFmtId="0" fontId="7" fillId="0" borderId="0" xfId="0" applyFont="1"/>
    <xf numFmtId="0" fontId="7" fillId="0" borderId="105" xfId="0" applyFont="1" applyBorder="1"/>
    <xf numFmtId="14" fontId="7" fillId="0" borderId="37" xfId="0" applyNumberFormat="1" applyFont="1" applyBorder="1" applyAlignment="1">
      <alignment horizontal="left"/>
    </xf>
    <xf numFmtId="3" fontId="7" fillId="0" borderId="119" xfId="0" applyNumberFormat="1" applyFont="1" applyBorder="1" applyAlignment="1">
      <alignment horizontal="right"/>
    </xf>
    <xf numFmtId="3" fontId="7" fillId="0" borderId="120" xfId="0" applyNumberFormat="1" applyFont="1" applyBorder="1" applyAlignment="1">
      <alignment horizontal="right"/>
    </xf>
    <xf numFmtId="5" fontId="7" fillId="0" borderId="121" xfId="0" applyNumberFormat="1" applyFont="1" applyBorder="1"/>
    <xf numFmtId="5" fontId="7" fillId="0" borderId="122" xfId="0" applyNumberFormat="1" applyFont="1" applyBorder="1"/>
    <xf numFmtId="166" fontId="7" fillId="0" borderId="105" xfId="0" applyNumberFormat="1" applyFont="1" applyBorder="1"/>
    <xf numFmtId="166" fontId="7" fillId="0" borderId="123" xfId="0" applyNumberFormat="1" applyFont="1" applyBorder="1"/>
    <xf numFmtId="5" fontId="60" fillId="0" borderId="117" xfId="0" applyNumberFormat="1" applyFont="1" applyBorder="1" applyAlignment="1">
      <alignment wrapText="1"/>
    </xf>
    <xf numFmtId="5" fontId="60" fillId="0" borderId="118" xfId="0" applyNumberFormat="1" applyFont="1" applyBorder="1" applyAlignment="1">
      <alignment wrapText="1"/>
    </xf>
    <xf numFmtId="0" fontId="13" fillId="2" borderId="63" xfId="0" applyFont="1" applyFill="1" applyBorder="1" applyAlignment="1">
      <alignment horizontal="center"/>
    </xf>
    <xf numFmtId="0" fontId="6" fillId="0" borderId="64" xfId="0" applyFont="1" applyBorder="1"/>
    <xf numFmtId="0" fontId="45" fillId="0" borderId="0" xfId="0" applyFont="1" applyAlignment="1">
      <alignment horizontal="center"/>
    </xf>
    <xf numFmtId="0" fontId="32" fillId="2" borderId="2" xfId="0" applyFont="1" applyFill="1" applyBorder="1" applyAlignment="1">
      <alignment horizontal="center"/>
    </xf>
    <xf numFmtId="0" fontId="7" fillId="0" borderId="0" xfId="0" applyFont="1" applyAlignment="1">
      <alignment horizontal="left" vertical="top" wrapText="1"/>
    </xf>
    <xf numFmtId="0" fontId="7" fillId="0" borderId="1" xfId="0" applyFont="1" applyBorder="1" applyAlignment="1">
      <alignment horizontal="center"/>
    </xf>
    <xf numFmtId="0" fontId="6" fillId="0" borderId="1" xfId="0" applyFont="1" applyBorder="1"/>
    <xf numFmtId="0" fontId="7" fillId="0" borderId="83" xfId="0" applyFont="1" applyBorder="1" applyAlignment="1">
      <alignment horizontal="center" vertical="center" wrapText="1"/>
    </xf>
    <xf numFmtId="0" fontId="6" fillId="0" borderId="84" xfId="0" applyFont="1" applyBorder="1"/>
    <xf numFmtId="0" fontId="6" fillId="0" borderId="85" xfId="0" applyFont="1" applyBorder="1"/>
    <xf numFmtId="0" fontId="7" fillId="3" borderId="2" xfId="0" applyFont="1" applyFill="1" applyBorder="1" applyAlignment="1">
      <alignment horizontal="center"/>
    </xf>
    <xf numFmtId="0" fontId="6" fillId="0" borderId="99" xfId="0" applyFont="1" applyBorder="1"/>
    <xf numFmtId="183" fontId="7" fillId="0" borderId="0" xfId="0" applyNumberFormat="1" applyFont="1" applyAlignment="1">
      <alignment horizontal="center"/>
    </xf>
    <xf numFmtId="0" fontId="13" fillId="2" borderId="96" xfId="0" applyFont="1" applyFill="1" applyBorder="1" applyAlignment="1">
      <alignment horizontal="center"/>
    </xf>
    <xf numFmtId="0" fontId="32" fillId="2" borderId="63" xfId="0" applyFont="1" applyFill="1" applyBorder="1" applyAlignment="1">
      <alignment horizontal="center"/>
    </xf>
    <xf numFmtId="0" fontId="6" fillId="0" borderId="86" xfId="0" applyFont="1" applyBorder="1"/>
    <xf numFmtId="0" fontId="6" fillId="0" borderId="87" xfId="0" applyFont="1" applyBorder="1"/>
    <xf numFmtId="0" fontId="7" fillId="0" borderId="17" xfId="0" applyFont="1" applyBorder="1" applyAlignment="1">
      <alignment horizontal="center"/>
    </xf>
    <xf numFmtId="0" fontId="6" fillId="0" borderId="17" xfId="0" applyFont="1" applyBorder="1"/>
    <xf numFmtId="0" fontId="32" fillId="18" borderId="35" xfId="0" applyFont="1" applyFill="1" applyBorder="1" applyAlignment="1">
      <alignment horizontal="center"/>
    </xf>
    <xf numFmtId="0" fontId="13" fillId="18" borderId="35" xfId="0" applyFont="1" applyFill="1" applyBorder="1" applyAlignment="1">
      <alignment horizontal="center"/>
    </xf>
    <xf numFmtId="0" fontId="7" fillId="0" borderId="0" xfId="0" applyFont="1" applyAlignment="1">
      <alignment horizontal="center"/>
    </xf>
    <xf numFmtId="0" fontId="3" fillId="0" borderId="0" xfId="0" applyFont="1"/>
    <xf numFmtId="0" fontId="7" fillId="0" borderId="59" xfId="0" applyFont="1" applyBorder="1" applyAlignment="1">
      <alignment horizontal="center"/>
    </xf>
    <xf numFmtId="0" fontId="72" fillId="0" borderId="60" xfId="0" applyFont="1" applyBorder="1"/>
    <xf numFmtId="0" fontId="72" fillId="0" borderId="61" xfId="0" applyFont="1" applyBorder="1"/>
    <xf numFmtId="0" fontId="7" fillId="3" borderId="35" xfId="0" applyFont="1" applyFill="1" applyBorder="1" applyAlignment="1">
      <alignment horizontal="center"/>
    </xf>
  </cellXfs>
  <cellStyles count="3">
    <cellStyle name="Normal" xfId="0" builtinId="0"/>
    <cellStyle name="Normal 2" xfId="2" xr:uid="{F90CC661-63A8-4620-9BE3-493A3F073752}"/>
    <cellStyle name="Percent" xfId="1" builtinId="5"/>
  </cellStyles>
  <dxfs count="147">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border>
    </dxf>
    <dxf>
      <font>
        <color theme="1"/>
      </font>
      <fill>
        <patternFill patternType="none"/>
      </fill>
    </dxf>
    <dxf>
      <fill>
        <patternFill patternType="none"/>
      </fill>
    </dxf>
    <dxf>
      <font>
        <b/>
        <color rgb="FFFF0000"/>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theme="1"/>
      </font>
      <fill>
        <patternFill patternType="none"/>
      </fill>
    </dxf>
    <dxf>
      <font>
        <color rgb="FF9C0006"/>
      </font>
      <fill>
        <patternFill>
          <bgColor rgb="FFFFC7CE"/>
        </patternFill>
      </fill>
    </dxf>
    <dxf>
      <font>
        <color theme="0"/>
      </font>
    </dxf>
    <dxf>
      <font>
        <color theme="0"/>
      </font>
    </dxf>
    <dxf>
      <font>
        <color theme="0"/>
      </font>
    </dxf>
    <dxf>
      <font>
        <color theme="0"/>
      </font>
    </dxf>
    <dxf>
      <font>
        <color theme="0"/>
      </font>
    </dxf>
    <dxf>
      <font>
        <color theme="1"/>
      </font>
    </dxf>
    <dxf>
      <font>
        <color theme="1"/>
      </font>
    </dxf>
    <dxf>
      <font>
        <color theme="1"/>
      </font>
    </dxf>
    <dxf>
      <font>
        <color theme="1"/>
      </font>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s>
  <tableStyles count="0" defaultTableStyle="TableStyleMedium2" defaultPivotStyle="PivotStyleLight16"/>
  <colors>
    <mruColors>
      <color rgb="FF00355F"/>
      <color rgb="FF7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1500508608672719"/>
          <c:y val="5.555544833852414E-2"/>
          <c:w val="0.8272054151125845"/>
          <c:h val="0.84190288713910766"/>
        </c:manualLayout>
      </c:layout>
      <c:barChart>
        <c:barDir val="col"/>
        <c:grouping val="clustered"/>
        <c:varyColors val="1"/>
        <c:ser>
          <c:idx val="0"/>
          <c:order val="0"/>
          <c:spPr>
            <a:solidFill>
              <a:srgbClr val="00355F"/>
            </a:solidFill>
            <a:ln cmpd="sng">
              <a:solidFill>
                <a:srgbClr val="000000"/>
              </a:solidFill>
            </a:ln>
          </c:spPr>
          <c:invertIfNegative val="1"/>
          <c:dPt>
            <c:idx val="3"/>
            <c:invertIfNegative val="1"/>
            <c:bubble3D val="0"/>
            <c:spPr>
              <a:solidFill>
                <a:srgbClr val="760000"/>
              </a:solidFill>
              <a:ln cmpd="sng">
                <a:solidFill>
                  <a:srgbClr val="000000"/>
                </a:solidFill>
              </a:ln>
            </c:spPr>
            <c:extLst>
              <c:ext xmlns:c16="http://schemas.microsoft.com/office/drawing/2014/chart" uri="{C3380CC4-5D6E-409C-BE32-E72D297353CC}">
                <c16:uniqueId val="{00000001-FB3E-4C8C-AD2F-8112D36F5236}"/>
              </c:ext>
            </c:extLst>
          </c:dPt>
          <c:dPt>
            <c:idx val="4"/>
            <c:invertIfNegative val="1"/>
            <c:bubble3D val="0"/>
            <c:spPr>
              <a:solidFill>
                <a:srgbClr val="760000"/>
              </a:solidFill>
              <a:ln cmpd="sng">
                <a:solidFill>
                  <a:srgbClr val="000000"/>
                </a:solidFill>
              </a:ln>
            </c:spPr>
            <c:extLst>
              <c:ext xmlns:c16="http://schemas.microsoft.com/office/drawing/2014/chart" uri="{C3380CC4-5D6E-409C-BE32-E72D297353CC}">
                <c16:uniqueId val="{00000003-FB3E-4C8C-AD2F-8112D36F5236}"/>
              </c:ext>
            </c:extLst>
          </c:dPt>
          <c:dLbls>
            <c:spPr>
              <a:noFill/>
              <a:ln>
                <a:noFill/>
              </a:ln>
              <a:effectLst/>
            </c:spPr>
            <c:txPr>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'Model Output'!$R$24:$R$28</c:f>
              <c:strCache>
                <c:ptCount val="5"/>
                <c:pt idx="0">
                  <c:v>Entry Multiple</c:v>
                </c:pt>
                <c:pt idx="1">
                  <c:v>2026e</c:v>
                </c:pt>
                <c:pt idx="2">
                  <c:v>2030e</c:v>
                </c:pt>
                <c:pt idx="3">
                  <c:v>Exit Multiple</c:v>
                </c:pt>
                <c:pt idx="4">
                  <c:v>Implied PGM </c:v>
                </c:pt>
              </c:strCache>
            </c:strRef>
          </c:cat>
          <c:val>
            <c:numRef>
              <c:f>'Model Output'!$U$24:$U$28</c:f>
              <c:numCache>
                <c:formatCode>0.0"x"</c:formatCode>
                <c:ptCount val="5"/>
                <c:pt idx="0">
                  <c:v>25.0589159465829</c:v>
                </c:pt>
                <c:pt idx="1">
                  <c:v>18.816316162085847</c:v>
                </c:pt>
                <c:pt idx="2">
                  <c:v>13.154112729939378</c:v>
                </c:pt>
                <c:pt idx="3">
                  <c:v>18.609234533056302</c:v>
                </c:pt>
                <c:pt idx="4">
                  <c:v>11.257115191817554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FB3E-4C8C-AD2F-8112D36F5236}"/>
            </c:ext>
          </c:extLst>
        </c:ser>
        <c:dLbls>
          <c:showLegendKey val="0"/>
          <c:showVal val="0"/>
          <c:showCatName val="0"/>
          <c:showSerName val="0"/>
          <c:showPercent val="0"/>
          <c:showBubbleSize val="0"/>
        </c:dLbls>
        <c:gapWidth val="150"/>
        <c:axId val="478365835"/>
        <c:axId val="669285093"/>
      </c:barChart>
      <c:catAx>
        <c:axId val="478365835"/>
        <c:scaling>
          <c:orientation val="minMax"/>
        </c:scaling>
        <c:delete val="0"/>
        <c:axPos val="b"/>
        <c:title>
          <c:tx>
            <c:rich>
              <a:bodyPr/>
              <a:lstStyle/>
              <a:p>
                <a:pPr>
                  <a:defRPr/>
                </a:pPr>
                <a:endParaRPr lang="en-US"/>
              </a:p>
            </c:rich>
          </c:tx>
          <c:overlay val="0"/>
        </c:title>
        <c:numFmt formatCode="General" sourceLinked="1"/>
        <c:majorTickMark val="out"/>
        <c:minorTickMark val="none"/>
        <c:tickLblPos val="nextTo"/>
        <c:txPr>
          <a:bodyPr/>
          <a:lstStyle/>
          <a:p>
            <a:pPr>
              <a:defRPr sz="800"/>
            </a:pPr>
            <a:endParaRPr lang="en-US"/>
          </a:p>
        </c:txPr>
        <c:crossAx val="669285093"/>
        <c:crosses val="autoZero"/>
        <c:auto val="1"/>
        <c:lblAlgn val="ctr"/>
        <c:lblOffset val="100"/>
        <c:noMultiLvlLbl val="1"/>
      </c:catAx>
      <c:valAx>
        <c:axId val="669285093"/>
        <c:scaling>
          <c:orientation val="minMax"/>
          <c:max val="40"/>
          <c:min val="0"/>
        </c:scaling>
        <c:delete val="0"/>
        <c:axPos val="l"/>
        <c:title>
          <c:tx>
            <c:rich>
              <a:bodyPr/>
              <a:lstStyle/>
              <a:p>
                <a:pPr>
                  <a:defRPr/>
                </a:pPr>
                <a:endParaRPr lang="en-US"/>
              </a:p>
            </c:rich>
          </c:tx>
          <c:overlay val="0"/>
        </c:title>
        <c:numFmt formatCode="0.0&quot;x&quot;" sourceLinked="1"/>
        <c:majorTickMark val="out"/>
        <c:minorTickMark val="none"/>
        <c:tickLblPos val="nextTo"/>
        <c:spPr>
          <a:ln/>
        </c:spPr>
        <c:txPr>
          <a:bodyPr/>
          <a:lstStyle/>
          <a:p>
            <a:pPr>
              <a:defRPr sz="800"/>
            </a:pPr>
            <a:endParaRPr lang="en-US"/>
          </a:p>
        </c:txPr>
        <c:crossAx val="478365835"/>
        <c:crosses val="autoZero"/>
        <c:crossBetween val="between"/>
        <c:majorUnit val="40"/>
      </c:valAx>
    </c:plotArea>
    <c:plotVisOnly val="1"/>
    <c:dispBlanksAs val="zero"/>
    <c:showDLblsOverMax val="1"/>
  </c:chart>
  <c:spPr>
    <a:solidFill>
      <a:schemeClr val="bg1"/>
    </a:solidFill>
    <a:ln>
      <a:solidFill>
        <a:schemeClr val="bg1"/>
      </a:solidFill>
    </a:ln>
  </c:spPr>
  <c:txPr>
    <a:bodyPr/>
    <a:lstStyle/>
    <a:p>
      <a:pPr>
        <a:defRPr sz="1000">
          <a:latin typeface="Abadi ExtraLight" panose="020B0204020104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"Hamilton Lane Inc. - Football Field: Base Case"</c:f>
          <c:strCache>
            <c:ptCount val="1"/>
            <c:pt idx="0">
              <c:v>Hamilton Lane Inc. - Football Field: Base Case</c:v>
            </c:pt>
          </c:strCache>
        </c:strRef>
      </c:tx>
      <c:layout>
        <c:manualLayout>
          <c:xMode val="edge"/>
          <c:yMode val="edge"/>
          <c:x val="0.40119148936170212"/>
          <c:y val="2.19679602201178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manualLayout>
          <c:layoutTarget val="inner"/>
          <c:xMode val="edge"/>
          <c:yMode val="edge"/>
          <c:x val="0.49798600690964351"/>
          <c:y val="0.12025753593051831"/>
          <c:w val="0.46579378827291745"/>
          <c:h val="0.79810132464249017"/>
        </c:manualLayout>
      </c:layout>
      <c:barChart>
        <c:barDir val="bar"/>
        <c:grouping val="stacked"/>
        <c:varyColors val="0"/>
        <c:ser>
          <c:idx val="0"/>
          <c:order val="0"/>
          <c:spPr>
            <a:solidFill>
              <a:schemeClr val="accent1"/>
            </a:solidFill>
            <a:ln>
              <a:noFill/>
            </a:ln>
            <a:effectLst/>
          </c:spPr>
          <c:invertIfNegative val="0"/>
          <c:cat>
            <c:strLit>
              <c:ptCount val="15"/>
              <c:pt idx="0">
                <c:v>8.0% - 9.0% WACC &amp; 1.5% - 2.5% PGR</c:v>
              </c:pt>
              <c:pt idx="1">
                <c:v>8.0% - 9.0% WACC &amp; 24.0x - 26.0x Exit Multiple</c:v>
              </c:pt>
              <c:pt idx="3">
                <c:v>NTM EV/EBITDA Spread to Comps: 29.3x - 31.3x</c:v>
              </c:pt>
              <c:pt idx="4">
                <c:v>NTM EV/EBITDA: 21.5x - 23.5x</c:v>
              </c:pt>
              <c:pt idx="5">
                <c:v>NTM P/E Spread to Comps: 33.2x - 35.2x</c:v>
              </c:pt>
              <c:pt idx="6">
                <c:v>NTM P/E: 26.9x - 28.9x</c:v>
              </c:pt>
              <c:pt idx="8">
                <c:v>2009-2018 Early Cycle EV/EBITDA Spread to Comps: 17.7x - 19.7x</c:v>
              </c:pt>
              <c:pt idx="9">
                <c:v>2009-2018 Early Cycle EV/EBITDA: 10.8x - 12.8x</c:v>
              </c:pt>
              <c:pt idx="10">
                <c:v>2009-2018 Early Cycle P/E Spread to Comps: 42.9x - 44.9x</c:v>
              </c:pt>
              <c:pt idx="11">
                <c:v>2009-2018 Early Cycle P/E: 19.7x - 21.7x</c:v>
              </c:pt>
              <c:pt idx="13">
                <c:v>52-Week Price Range:</c:v>
              </c:pt>
              <c:pt idx="14">
                <c:v>Median Value:</c:v>
              </c:pt>
            </c:strLit>
          </c:cat>
          <c:val>
            <c:numLit>
              <c:formatCode>General</c:formatCode>
              <c:ptCount val="15"/>
            </c:numLit>
          </c:val>
          <c:extLst>
            <c:ext xmlns:c16="http://schemas.microsoft.com/office/drawing/2014/chart" uri="{C3380CC4-5D6E-409C-BE32-E72D297353CC}">
              <c16:uniqueId val="{00000000-2AC8-4B96-90B0-916F51A65D81}"/>
            </c:ext>
          </c:extLst>
        </c:ser>
        <c:ser>
          <c:idx val="1"/>
          <c:order val="1"/>
          <c:spPr>
            <a:solidFill>
              <a:schemeClr val="accent2"/>
            </a:solidFill>
            <a:ln>
              <a:noFill/>
            </a:ln>
            <a:effectLst/>
          </c:spPr>
          <c:invertIfNegative val="0"/>
          <c:cat>
            <c:strLit>
              <c:ptCount val="15"/>
              <c:pt idx="0">
                <c:v>8.0% - 9.0% WACC &amp; 1.5% - 2.5% PGR</c:v>
              </c:pt>
              <c:pt idx="1">
                <c:v>8.0% - 9.0% WACC &amp; 24.0x - 26.0x Exit Multiple</c:v>
              </c:pt>
              <c:pt idx="3">
                <c:v>NTM EV/EBITDA Spread to Comps: 29.3x - 31.3x</c:v>
              </c:pt>
              <c:pt idx="4">
                <c:v>NTM EV/EBITDA: 21.5x - 23.5x</c:v>
              </c:pt>
              <c:pt idx="5">
                <c:v>NTM P/E Spread to Comps: 33.2x - 35.2x</c:v>
              </c:pt>
              <c:pt idx="6">
                <c:v>NTM P/E: 26.9x - 28.9x</c:v>
              </c:pt>
              <c:pt idx="8">
                <c:v>2009-2018 Early Cycle EV/EBITDA Spread to Comps: 17.7x - 19.7x</c:v>
              </c:pt>
              <c:pt idx="9">
                <c:v>2009-2018 Early Cycle EV/EBITDA: 10.8x - 12.8x</c:v>
              </c:pt>
              <c:pt idx="10">
                <c:v>2009-2018 Early Cycle P/E Spread to Comps: 42.9x - 44.9x</c:v>
              </c:pt>
              <c:pt idx="11">
                <c:v>2009-2018 Early Cycle P/E: 19.7x - 21.7x</c:v>
              </c:pt>
              <c:pt idx="13">
                <c:v>52-Week Price Range:</c:v>
              </c:pt>
              <c:pt idx="14">
                <c:v>Median Value:</c:v>
              </c:pt>
            </c:strLit>
          </c:cat>
          <c:val>
            <c:numLit>
              <c:formatCode>General</c:formatCode>
              <c:ptCount val="15"/>
            </c:numLit>
          </c:val>
          <c:extLst>
            <c:ext xmlns:c16="http://schemas.microsoft.com/office/drawing/2014/chart" uri="{C3380CC4-5D6E-409C-BE32-E72D297353CC}">
              <c16:uniqueId val="{00000001-2AC8-4B96-90B0-916F51A65D81}"/>
            </c:ext>
          </c:extLst>
        </c:ser>
        <c:ser>
          <c:idx val="2"/>
          <c:order val="2"/>
          <c:spPr>
            <a:solidFill>
              <a:schemeClr val="accent3"/>
            </a:solidFill>
            <a:ln>
              <a:noFill/>
            </a:ln>
            <a:effectLst/>
          </c:spPr>
          <c:invertIfNegative val="0"/>
          <c:cat>
            <c:strLit>
              <c:ptCount val="15"/>
              <c:pt idx="0">
                <c:v>8.0% - 9.0% WACC &amp; 1.5% - 2.5% PGR</c:v>
              </c:pt>
              <c:pt idx="1">
                <c:v>8.0% - 9.0% WACC &amp; 24.0x - 26.0x Exit Multiple</c:v>
              </c:pt>
              <c:pt idx="3">
                <c:v>NTM EV/EBITDA Spread to Comps: 29.3x - 31.3x</c:v>
              </c:pt>
              <c:pt idx="4">
                <c:v>NTM EV/EBITDA: 21.5x - 23.5x</c:v>
              </c:pt>
              <c:pt idx="5">
                <c:v>NTM P/E Spread to Comps: 33.2x - 35.2x</c:v>
              </c:pt>
              <c:pt idx="6">
                <c:v>NTM P/E: 26.9x - 28.9x</c:v>
              </c:pt>
              <c:pt idx="8">
                <c:v>2009-2018 Early Cycle EV/EBITDA Spread to Comps: 17.7x - 19.7x</c:v>
              </c:pt>
              <c:pt idx="9">
                <c:v>2009-2018 Early Cycle EV/EBITDA: 10.8x - 12.8x</c:v>
              </c:pt>
              <c:pt idx="10">
                <c:v>2009-2018 Early Cycle P/E Spread to Comps: 42.9x - 44.9x</c:v>
              </c:pt>
              <c:pt idx="11">
                <c:v>2009-2018 Early Cycle P/E: 19.7x - 21.7x</c:v>
              </c:pt>
              <c:pt idx="13">
                <c:v>52-Week Price Range:</c:v>
              </c:pt>
              <c:pt idx="14">
                <c:v>Median Value:</c:v>
              </c:pt>
            </c:strLit>
          </c:cat>
          <c:val>
            <c:numLit>
              <c:formatCode>General</c:formatCode>
              <c:ptCount val="15"/>
            </c:numLit>
          </c:val>
          <c:extLst>
            <c:ext xmlns:c16="http://schemas.microsoft.com/office/drawing/2014/chart" uri="{C3380CC4-5D6E-409C-BE32-E72D297353CC}">
              <c16:uniqueId val="{00000002-2AC8-4B96-90B0-916F51A65D81}"/>
            </c:ext>
          </c:extLst>
        </c:ser>
        <c:ser>
          <c:idx val="3"/>
          <c:order val="3"/>
          <c:spPr>
            <a:solidFill>
              <a:schemeClr val="accent4"/>
            </a:solidFill>
            <a:ln>
              <a:noFill/>
            </a:ln>
            <a:effectLst/>
          </c:spPr>
          <c:invertIfNegative val="0"/>
          <c:cat>
            <c:strLit>
              <c:ptCount val="15"/>
              <c:pt idx="0">
                <c:v>8.0% - 9.0% WACC &amp; 1.5% - 2.5% PGR</c:v>
              </c:pt>
              <c:pt idx="1">
                <c:v>8.0% - 9.0% WACC &amp; 24.0x - 26.0x Exit Multiple</c:v>
              </c:pt>
              <c:pt idx="3">
                <c:v>NTM EV/EBITDA Spread to Comps: 29.3x - 31.3x</c:v>
              </c:pt>
              <c:pt idx="4">
                <c:v>NTM EV/EBITDA: 21.5x - 23.5x</c:v>
              </c:pt>
              <c:pt idx="5">
                <c:v>NTM P/E Spread to Comps: 33.2x - 35.2x</c:v>
              </c:pt>
              <c:pt idx="6">
                <c:v>NTM P/E: 26.9x - 28.9x</c:v>
              </c:pt>
              <c:pt idx="8">
                <c:v>2009-2018 Early Cycle EV/EBITDA Spread to Comps: 17.7x - 19.7x</c:v>
              </c:pt>
              <c:pt idx="9">
                <c:v>2009-2018 Early Cycle EV/EBITDA: 10.8x - 12.8x</c:v>
              </c:pt>
              <c:pt idx="10">
                <c:v>2009-2018 Early Cycle P/E Spread to Comps: 42.9x - 44.9x</c:v>
              </c:pt>
              <c:pt idx="11">
                <c:v>2009-2018 Early Cycle P/E: 19.7x - 21.7x</c:v>
              </c:pt>
              <c:pt idx="13">
                <c:v>52-Week Price Range:</c:v>
              </c:pt>
              <c:pt idx="14">
                <c:v>Median Value:</c:v>
              </c:pt>
            </c:strLit>
          </c:cat>
          <c:val>
            <c:numLit>
              <c:formatCode>General</c:formatCode>
              <c:ptCount val="15"/>
            </c:numLit>
          </c:val>
          <c:extLst>
            <c:ext xmlns:c16="http://schemas.microsoft.com/office/drawing/2014/chart" uri="{C3380CC4-5D6E-409C-BE32-E72D297353CC}">
              <c16:uniqueId val="{00000003-2AC8-4B96-90B0-916F51A65D81}"/>
            </c:ext>
          </c:extLst>
        </c:ser>
        <c:ser>
          <c:idx val="4"/>
          <c:order val="4"/>
          <c:spPr>
            <a:noFill/>
            <a:ln>
              <a:noFill/>
            </a:ln>
            <a:effectLst/>
          </c:spPr>
          <c:invertIfNegative val="0"/>
          <c:cat>
            <c:strLit>
              <c:ptCount val="15"/>
              <c:pt idx="0">
                <c:v>8.0% - 9.0% WACC &amp; 1.5% - 2.5% PGR</c:v>
              </c:pt>
              <c:pt idx="1">
                <c:v>8.0% - 9.0% WACC &amp; 24.0x - 26.0x Exit Multiple</c:v>
              </c:pt>
              <c:pt idx="3">
                <c:v>NTM EV/EBITDA Spread to Comps: 29.3x - 31.3x</c:v>
              </c:pt>
              <c:pt idx="4">
                <c:v>NTM EV/EBITDA: 21.5x - 23.5x</c:v>
              </c:pt>
              <c:pt idx="5">
                <c:v>NTM P/E Spread to Comps: 33.2x - 35.2x</c:v>
              </c:pt>
              <c:pt idx="6">
                <c:v>NTM P/E: 26.9x - 28.9x</c:v>
              </c:pt>
              <c:pt idx="8">
                <c:v>2009-2018 Early Cycle EV/EBITDA Spread to Comps: 17.7x - 19.7x</c:v>
              </c:pt>
              <c:pt idx="9">
                <c:v>2009-2018 Early Cycle EV/EBITDA: 10.8x - 12.8x</c:v>
              </c:pt>
              <c:pt idx="10">
                <c:v>2009-2018 Early Cycle P/E Spread to Comps: 42.9x - 44.9x</c:v>
              </c:pt>
              <c:pt idx="11">
                <c:v>2009-2018 Early Cycle P/E: 19.7x - 21.7x</c:v>
              </c:pt>
              <c:pt idx="13">
                <c:v>52-Week Price Range:</c:v>
              </c:pt>
              <c:pt idx="14">
                <c:v>Median Value:</c:v>
              </c:pt>
            </c:strLit>
          </c:cat>
          <c:val>
            <c:numLit>
              <c:formatCode>_(* #,##0.00_);_(* \(#,##0.00\);_(* "-"??_);_(@_)</c:formatCode>
              <c:ptCount val="15"/>
              <c:pt idx="0" formatCode="_(&quot;$&quot;* #,##0.00_);_(&quot;$&quot;* \(#,##0.00\);_(&quot;$&quot;* &quot;-&quot;??_);_(@_)">
                <c:v>195.04954830416227</c:v>
              </c:pt>
              <c:pt idx="1">
                <c:v>250.78261834058881</c:v>
              </c:pt>
              <c:pt idx="3">
                <c:v>209.23348011234188</c:v>
              </c:pt>
              <c:pt idx="4">
                <c:v>197.97413940238593</c:v>
              </c:pt>
              <c:pt idx="5">
                <c:v>241.42389782472316</c:v>
              </c:pt>
              <c:pt idx="6">
                <c:v>234.48845213961636</c:v>
              </c:pt>
              <c:pt idx="8">
                <c:v>202.21364140726214</c:v>
              </c:pt>
              <c:pt idx="9">
                <c:v>99.10310229774737</c:v>
              </c:pt>
              <c:pt idx="10">
                <c:v>267.04260782546874</c:v>
              </c:pt>
              <c:pt idx="11">
                <c:v>205.30918954876387</c:v>
              </c:pt>
              <c:pt idx="13" formatCode="#,##0.00_);\(#,##0.00\)">
                <c:v>124.1</c:v>
              </c:pt>
              <c:pt idx="14" formatCode="&quot;$&quot;#,##0.00_);\(&quot;$&quot;#,##0.00\)">
                <c:v>205.30918954876387</c:v>
              </c:pt>
            </c:numLit>
          </c:val>
          <c:extLst>
            <c:ext xmlns:c16="http://schemas.microsoft.com/office/drawing/2014/chart" uri="{C3380CC4-5D6E-409C-BE32-E72D297353CC}">
              <c16:uniqueId val="{00000004-2AC8-4B96-90B0-916F51A65D81}"/>
            </c:ext>
          </c:extLst>
        </c:ser>
        <c:ser>
          <c:idx val="5"/>
          <c:order val="5"/>
          <c:spPr>
            <a:solidFill>
              <a:srgbClr val="00355F"/>
            </a:solidFill>
            <a:ln>
              <a:noFill/>
            </a:ln>
            <a:effectLst>
              <a:outerShdw blurRad="63500" sx="102000" sy="102000" algn="ctr" rotWithShape="0">
                <a:prstClr val="black">
                  <a:alpha val="40000"/>
                </a:prstClr>
              </a:outerShdw>
            </a:effectLst>
          </c:spPr>
          <c:invertIfNegative val="0"/>
          <c:cat>
            <c:strLit>
              <c:ptCount val="15"/>
              <c:pt idx="0">
                <c:v>8.0% - 9.0% WACC &amp; 1.5% - 2.5% PGR</c:v>
              </c:pt>
              <c:pt idx="1">
                <c:v>8.0% - 9.0% WACC &amp; 24.0x - 26.0x Exit Multiple</c:v>
              </c:pt>
              <c:pt idx="3">
                <c:v>NTM EV/EBITDA Spread to Comps: 29.3x - 31.3x</c:v>
              </c:pt>
              <c:pt idx="4">
                <c:v>NTM EV/EBITDA: 21.5x - 23.5x</c:v>
              </c:pt>
              <c:pt idx="5">
                <c:v>NTM P/E Spread to Comps: 33.2x - 35.2x</c:v>
              </c:pt>
              <c:pt idx="6">
                <c:v>NTM P/E: 26.9x - 28.9x</c:v>
              </c:pt>
              <c:pt idx="8">
                <c:v>2009-2018 Early Cycle EV/EBITDA Spread to Comps: 17.7x - 19.7x</c:v>
              </c:pt>
              <c:pt idx="9">
                <c:v>2009-2018 Early Cycle EV/EBITDA: 10.8x - 12.8x</c:v>
              </c:pt>
              <c:pt idx="10">
                <c:v>2009-2018 Early Cycle P/E Spread to Comps: 42.9x - 44.9x</c:v>
              </c:pt>
              <c:pt idx="11">
                <c:v>2009-2018 Early Cycle P/E: 19.7x - 21.7x</c:v>
              </c:pt>
              <c:pt idx="13">
                <c:v>52-Week Price Range:</c:v>
              </c:pt>
              <c:pt idx="14">
                <c:v>Median Value:</c:v>
              </c:pt>
            </c:strLit>
          </c:cat>
          <c:val>
            <c:numLit>
              <c:formatCode>_(* #,##0.0_);_(* \(#,##0.0\);_(* "-"?_);_(@_)</c:formatCode>
              <c:ptCount val="15"/>
              <c:pt idx="0" formatCode="_(&quot;$&quot;* #,##0.0_);_(&quot;$&quot;* \(#,##0.0\);_(&quot;$&quot;* &quot;-&quot;?_);_(@_)">
                <c:v>20.38591593197205</c:v>
              </c:pt>
              <c:pt idx="1">
                <c:v>27.264040885164633</c:v>
              </c:pt>
              <c:pt idx="3">
                <c:v>100.49024724596924</c:v>
              </c:pt>
              <c:pt idx="4">
                <c:v>97.988171532645737</c:v>
              </c:pt>
              <c:pt idx="5">
                <c:v>85.926567263803122</c:v>
              </c:pt>
              <c:pt idx="6">
                <c:v>84.385357111557198</c:v>
              </c:pt>
              <c:pt idx="8">
                <c:v>39.300331499266292</c:v>
              </c:pt>
              <c:pt idx="9">
                <c:v>39.300331499266349</c:v>
              </c:pt>
              <c:pt idx="10">
                <c:v>26.408300884071082</c:v>
              </c:pt>
              <c:pt idx="11">
                <c:v>26.40830088407111</c:v>
              </c:pt>
              <c:pt idx="13" formatCode="_(* #,##0.00_);_(* \(#,##0.00\);_(* &quot;-&quot;?_);_(@_)">
                <c:v>79.62</c:v>
              </c:pt>
              <c:pt idx="14" formatCode="&quot;$&quot;#,##0.00_);\(&quot;$&quot;#,##0.00\)">
                <c:v>39.300331499266349</c:v>
              </c:pt>
            </c:numLit>
          </c:val>
          <c:extLst>
            <c:ext xmlns:c16="http://schemas.microsoft.com/office/drawing/2014/chart" uri="{C3380CC4-5D6E-409C-BE32-E72D297353CC}">
              <c16:uniqueId val="{00000005-2AC8-4B96-90B0-916F51A65D81}"/>
            </c:ext>
          </c:extLst>
        </c:ser>
        <c:ser>
          <c:idx val="6"/>
          <c:order val="6"/>
          <c:spPr>
            <a:noFill/>
            <a:ln>
              <a:noFill/>
            </a:ln>
            <a:effectLst/>
          </c:spPr>
          <c:invertIfNegative val="0"/>
          <c:cat>
            <c:strLit>
              <c:ptCount val="15"/>
              <c:pt idx="0">
                <c:v>8.0% - 9.0% WACC &amp; 1.5% - 2.5% PGR</c:v>
              </c:pt>
              <c:pt idx="1">
                <c:v>8.0% - 9.0% WACC &amp; 24.0x - 26.0x Exit Multiple</c:v>
              </c:pt>
              <c:pt idx="3">
                <c:v>NTM EV/EBITDA Spread to Comps: 29.3x - 31.3x</c:v>
              </c:pt>
              <c:pt idx="4">
                <c:v>NTM EV/EBITDA: 21.5x - 23.5x</c:v>
              </c:pt>
              <c:pt idx="5">
                <c:v>NTM P/E Spread to Comps: 33.2x - 35.2x</c:v>
              </c:pt>
              <c:pt idx="6">
                <c:v>NTM P/E: 26.9x - 28.9x</c:v>
              </c:pt>
              <c:pt idx="8">
                <c:v>2009-2018 Early Cycle EV/EBITDA Spread to Comps: 17.7x - 19.7x</c:v>
              </c:pt>
              <c:pt idx="9">
                <c:v>2009-2018 Early Cycle EV/EBITDA: 10.8x - 12.8x</c:v>
              </c:pt>
              <c:pt idx="10">
                <c:v>2009-2018 Early Cycle P/E Spread to Comps: 42.9x - 44.9x</c:v>
              </c:pt>
              <c:pt idx="11">
                <c:v>2009-2018 Early Cycle P/E: 19.7x - 21.7x</c:v>
              </c:pt>
              <c:pt idx="13">
                <c:v>52-Week Price Range:</c:v>
              </c:pt>
              <c:pt idx="14">
                <c:v>Median Value:</c:v>
              </c:pt>
            </c:strLit>
          </c:cat>
          <c:val>
            <c:numLit>
              <c:formatCode>_(* #,##0.00_);_(* \(#,##0.00\);_(* "-"??_);_(@_)</c:formatCode>
              <c:ptCount val="15"/>
              <c:pt idx="0" formatCode="_(&quot;$&quot;* #,##0.00_);_(&quot;$&quot;* \(#,##0.00\);_(&quot;$&quot;* &quot;-&quot;??_);_(@_)">
                <c:v>215.43546423613432</c:v>
              </c:pt>
              <c:pt idx="1">
                <c:v>278.04665922575344</c:v>
              </c:pt>
              <c:pt idx="3">
                <c:v>309.72372735831112</c:v>
              </c:pt>
              <c:pt idx="4">
                <c:v>295.96231093503167</c:v>
              </c:pt>
              <c:pt idx="5">
                <c:v>327.35046508852628</c:v>
              </c:pt>
              <c:pt idx="6">
                <c:v>318.87380925117355</c:v>
              </c:pt>
              <c:pt idx="8">
                <c:v>241.51397290652844</c:v>
              </c:pt>
              <c:pt idx="9">
                <c:v>138.40343379701372</c:v>
              </c:pt>
              <c:pt idx="10">
                <c:v>293.45090870953982</c:v>
              </c:pt>
              <c:pt idx="11">
                <c:v>231.71749043283498</c:v>
              </c:pt>
              <c:pt idx="13" formatCode="_(* #,##0.00_);_(* \(#,##0.00\);_(* &quot;-&quot;?_);_(@_)">
                <c:v>203.72</c:v>
              </c:pt>
              <c:pt idx="14" formatCode="&quot;$&quot;#,##0.00_);\(&quot;$&quot;#,##0.00\)">
                <c:v>278.04665922575344</c:v>
              </c:pt>
            </c:numLit>
          </c:val>
          <c:extLst>
            <c:ext xmlns:c16="http://schemas.microsoft.com/office/drawing/2014/chart" uri="{C3380CC4-5D6E-409C-BE32-E72D297353CC}">
              <c16:uniqueId val="{00000006-2AC8-4B96-90B0-916F51A65D81}"/>
            </c:ext>
          </c:extLst>
        </c:ser>
        <c:dLbls>
          <c:showLegendKey val="0"/>
          <c:showVal val="0"/>
          <c:showCatName val="0"/>
          <c:showSerName val="0"/>
          <c:showPercent val="0"/>
          <c:showBubbleSize val="0"/>
        </c:dLbls>
        <c:gapWidth val="30"/>
        <c:overlap val="100"/>
        <c:axId val="-982874448"/>
        <c:axId val="-982878256"/>
      </c:barChart>
      <c:catAx>
        <c:axId val="-982874448"/>
        <c:scaling>
          <c:orientation val="minMax"/>
        </c:scaling>
        <c:delete val="0"/>
        <c:axPos val="l"/>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badi" panose="020B0604020104020204" pitchFamily="34" charset="0"/>
                <a:ea typeface="+mn-ea"/>
                <a:cs typeface="+mn-cs"/>
              </a:defRPr>
            </a:pPr>
            <a:endParaRPr lang="en-US"/>
          </a:p>
        </c:txPr>
        <c:crossAx val="-982878256"/>
        <c:crosses val="autoZero"/>
        <c:auto val="1"/>
        <c:lblAlgn val="ctr"/>
        <c:lblOffset val="100"/>
        <c:noMultiLvlLbl val="0"/>
      </c:catAx>
      <c:valAx>
        <c:axId val="-982878256"/>
        <c:scaling>
          <c:orientation val="minMax"/>
          <c:max val="400"/>
          <c:min val="0"/>
        </c:scaling>
        <c:delete val="0"/>
        <c:axPos val="b"/>
        <c:numFmt formatCode="&quot;$&quot;#,##0_);\(&quot;$&quot;#,##0\)"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badi" panose="020B0604020104020204" pitchFamily="34" charset="0"/>
                <a:ea typeface="+mn-ea"/>
                <a:cs typeface="+mn-cs"/>
              </a:defRPr>
            </a:pPr>
            <a:endParaRPr lang="en-US"/>
          </a:p>
        </c:txPr>
        <c:crossAx val="-982874448"/>
        <c:crosses val="autoZero"/>
        <c:crossBetween val="between"/>
        <c:majorUnit val="8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b="0"/>
            </a:pPr>
            <a:r>
              <a:rPr lang="en-US" b="0">
                <a:latin typeface="Abadi" panose="020B0604020104020204" pitchFamily="34" charset="0"/>
              </a:rPr>
              <a:t>Margins Analysis</a:t>
            </a:r>
          </a:p>
        </c:rich>
      </c:tx>
      <c:layout>
        <c:manualLayout>
          <c:xMode val="edge"/>
          <c:yMode val="edge"/>
          <c:x val="0.41065869440116776"/>
          <c:y val="4.0397983724837751E-2"/>
        </c:manualLayout>
      </c:layout>
      <c:overlay val="0"/>
    </c:title>
    <c:autoTitleDeleted val="0"/>
    <c:plotArea>
      <c:layout>
        <c:manualLayout>
          <c:layoutTarget val="inner"/>
          <c:xMode val="edge"/>
          <c:yMode val="edge"/>
          <c:x val="0.15597344449590861"/>
          <c:y val="0.17592769523056481"/>
          <c:w val="0.81788276465441823"/>
          <c:h val="0.55586421990138257"/>
        </c:manualLayout>
      </c:layout>
      <c:lineChart>
        <c:grouping val="standard"/>
        <c:varyColors val="1"/>
        <c:ser>
          <c:idx val="0"/>
          <c:order val="0"/>
          <c:tx>
            <c:v>EBIT</c:v>
          </c:tx>
          <c:spPr>
            <a:ln w="28575" cmpd="sng">
              <a:solidFill>
                <a:srgbClr val="C0DEF6">
                  <a:alpha val="100000"/>
                </a:srgbClr>
              </a:solidFill>
            </a:ln>
          </c:spPr>
          <c:marker>
            <c:symbol val="none"/>
          </c:marker>
          <c:dPt>
            <c:idx val="4"/>
            <c:bubble3D val="0"/>
            <c:spPr>
              <a:ln w="28575" cmpd="sng">
                <a:solidFill>
                  <a:srgbClr val="C0DEF6">
                    <a:alpha val="100000"/>
                  </a:srgbClr>
                </a:solidFill>
                <a:prstDash val="dash"/>
              </a:ln>
            </c:spPr>
            <c:extLst>
              <c:ext xmlns:c16="http://schemas.microsoft.com/office/drawing/2014/chart" uri="{C3380CC4-5D6E-409C-BE32-E72D297353CC}">
                <c16:uniqueId val="{00000003-D232-4504-89C4-BC283915FC27}"/>
              </c:ext>
            </c:extLst>
          </c:dPt>
          <c:dPt>
            <c:idx val="5"/>
            <c:bubble3D val="0"/>
            <c:spPr>
              <a:ln w="28575" cmpd="sng">
                <a:solidFill>
                  <a:srgbClr val="C0DEF6">
                    <a:alpha val="100000"/>
                  </a:srgbClr>
                </a:solidFill>
                <a:prstDash val="dash"/>
              </a:ln>
            </c:spPr>
            <c:extLst>
              <c:ext xmlns:c16="http://schemas.microsoft.com/office/drawing/2014/chart" uri="{C3380CC4-5D6E-409C-BE32-E72D297353CC}">
                <c16:uniqueId val="{00000004-D232-4504-89C4-BC283915FC27}"/>
              </c:ext>
            </c:extLst>
          </c:dPt>
          <c:cat>
            <c:strRef>
              <c:f>Charts!$D$6:$I$6</c:f>
              <c:strCache>
                <c:ptCount val="6"/>
                <c:pt idx="0">
                  <c:v>2023</c:v>
                </c:pt>
                <c:pt idx="1">
                  <c:v>2024</c:v>
                </c:pt>
                <c:pt idx="2">
                  <c:v>2025</c:v>
                </c:pt>
                <c:pt idx="3">
                  <c:v>2026e</c:v>
                </c:pt>
                <c:pt idx="4">
                  <c:v>2027e</c:v>
                </c:pt>
                <c:pt idx="5">
                  <c:v>2028e</c:v>
                </c:pt>
              </c:strCache>
            </c:strRef>
          </c:cat>
          <c:val>
            <c:numRef>
              <c:f>Charts!$D$7:$I$7</c:f>
              <c:numCache>
                <c:formatCode>#,##0.0%_);\(#,##0.0%\)</c:formatCode>
                <c:ptCount val="6"/>
                <c:pt idx="0">
                  <c:v>0.45373170459552953</c:v>
                </c:pt>
                <c:pt idx="1">
                  <c:v>0.44383957879684099</c:v>
                </c:pt>
                <c:pt idx="2">
                  <c:v>0.44399576977238686</c:v>
                </c:pt>
                <c:pt idx="3">
                  <c:v>0.43402416863218435</c:v>
                </c:pt>
                <c:pt idx="4">
                  <c:v>0.4300000000000001</c:v>
                </c:pt>
                <c:pt idx="5">
                  <c:v>0.41999999999999993</c:v>
                </c:pt>
              </c:numCache>
            </c:numRef>
          </c:val>
          <c:smooth val="1"/>
          <c:extLst>
            <c:ext xmlns:c16="http://schemas.microsoft.com/office/drawing/2014/chart" uri="{C3380CC4-5D6E-409C-BE32-E72D297353CC}">
              <c16:uniqueId val="{00000000-20D1-47BD-938E-946664FF327E}"/>
            </c:ext>
          </c:extLst>
        </c:ser>
        <c:ser>
          <c:idx val="1"/>
          <c:order val="1"/>
          <c:tx>
            <c:v>EBITDA</c:v>
          </c:tx>
          <c:spPr>
            <a:ln w="28575" cmpd="sng">
              <a:solidFill>
                <a:srgbClr val="00355F">
                  <a:alpha val="100000"/>
                </a:srgbClr>
              </a:solidFill>
            </a:ln>
          </c:spPr>
          <c:marker>
            <c:symbol val="none"/>
          </c:marker>
          <c:dPt>
            <c:idx val="4"/>
            <c:bubble3D val="0"/>
            <c:spPr>
              <a:ln w="28575" cmpd="sng">
                <a:solidFill>
                  <a:srgbClr val="00355F">
                    <a:alpha val="100000"/>
                  </a:srgbClr>
                </a:solidFill>
                <a:prstDash val="dash"/>
              </a:ln>
            </c:spPr>
            <c:extLst>
              <c:ext xmlns:c16="http://schemas.microsoft.com/office/drawing/2014/chart" uri="{C3380CC4-5D6E-409C-BE32-E72D297353CC}">
                <c16:uniqueId val="{00000005-D232-4504-89C4-BC283915FC27}"/>
              </c:ext>
            </c:extLst>
          </c:dPt>
          <c:dPt>
            <c:idx val="5"/>
            <c:bubble3D val="0"/>
            <c:spPr>
              <a:ln w="28575" cmpd="sng">
                <a:solidFill>
                  <a:srgbClr val="00355F">
                    <a:alpha val="100000"/>
                  </a:srgbClr>
                </a:solidFill>
                <a:prstDash val="dash"/>
              </a:ln>
            </c:spPr>
            <c:extLst>
              <c:ext xmlns:c16="http://schemas.microsoft.com/office/drawing/2014/chart" uri="{C3380CC4-5D6E-409C-BE32-E72D297353CC}">
                <c16:uniqueId val="{00000006-D232-4504-89C4-BC283915FC27}"/>
              </c:ext>
            </c:extLst>
          </c:dPt>
          <c:cat>
            <c:strRef>
              <c:f>Charts!$D$6:$I$6</c:f>
              <c:strCache>
                <c:ptCount val="6"/>
                <c:pt idx="0">
                  <c:v>2023</c:v>
                </c:pt>
                <c:pt idx="1">
                  <c:v>2024</c:v>
                </c:pt>
                <c:pt idx="2">
                  <c:v>2025</c:v>
                </c:pt>
                <c:pt idx="3">
                  <c:v>2026e</c:v>
                </c:pt>
                <c:pt idx="4">
                  <c:v>2027e</c:v>
                </c:pt>
                <c:pt idx="5">
                  <c:v>2028e</c:v>
                </c:pt>
              </c:strCache>
            </c:strRef>
          </c:cat>
          <c:val>
            <c:numRef>
              <c:f>Charts!$D$8:$I$8</c:f>
              <c:numCache>
                <c:formatCode>#,##0.0%_);\(#,##0.0%\)</c:formatCode>
                <c:ptCount val="6"/>
                <c:pt idx="0">
                  <c:v>0.30609377157198159</c:v>
                </c:pt>
                <c:pt idx="1">
                  <c:v>0.28793590951932141</c:v>
                </c:pt>
                <c:pt idx="2">
                  <c:v>0.30885430400412928</c:v>
                </c:pt>
                <c:pt idx="3">
                  <c:v>0.31884633779249583</c:v>
                </c:pt>
                <c:pt idx="4">
                  <c:v>0.32799103590865797</c:v>
                </c:pt>
                <c:pt idx="5">
                  <c:v>0.33319999999999989</c:v>
                </c:pt>
              </c:numCache>
            </c:numRef>
          </c:val>
          <c:smooth val="1"/>
          <c:extLst>
            <c:ext xmlns:c16="http://schemas.microsoft.com/office/drawing/2014/chart" uri="{C3380CC4-5D6E-409C-BE32-E72D297353CC}">
              <c16:uniqueId val="{00000001-20D1-47BD-938E-946664FF327E}"/>
            </c:ext>
          </c:extLst>
        </c:ser>
        <c:ser>
          <c:idx val="2"/>
          <c:order val="2"/>
          <c:tx>
            <c:v>Profit</c:v>
          </c:tx>
          <c:spPr>
            <a:ln w="28575" cmpd="sng">
              <a:solidFill>
                <a:srgbClr val="969696">
                  <a:alpha val="100000"/>
                </a:srgbClr>
              </a:solidFill>
            </a:ln>
          </c:spPr>
          <c:marker>
            <c:symbol val="none"/>
          </c:marker>
          <c:dPt>
            <c:idx val="3"/>
            <c:bubble3D val="0"/>
            <c:spPr>
              <a:ln w="28575" cmpd="sng">
                <a:solidFill>
                  <a:srgbClr val="969696"/>
                </a:solidFill>
              </a:ln>
            </c:spPr>
            <c:extLst>
              <c:ext xmlns:c16="http://schemas.microsoft.com/office/drawing/2014/chart" uri="{C3380CC4-5D6E-409C-BE32-E72D297353CC}">
                <c16:uniqueId val="{00000000-D232-4504-89C4-BC283915FC27}"/>
              </c:ext>
            </c:extLst>
          </c:dPt>
          <c:dPt>
            <c:idx val="4"/>
            <c:bubble3D val="0"/>
            <c:spPr>
              <a:ln w="28575" cmpd="sng">
                <a:solidFill>
                  <a:srgbClr val="969696">
                    <a:alpha val="100000"/>
                  </a:srgbClr>
                </a:solidFill>
                <a:prstDash val="dash"/>
              </a:ln>
            </c:spPr>
            <c:extLst>
              <c:ext xmlns:c16="http://schemas.microsoft.com/office/drawing/2014/chart" uri="{C3380CC4-5D6E-409C-BE32-E72D297353CC}">
                <c16:uniqueId val="{00000001-D232-4504-89C4-BC283915FC27}"/>
              </c:ext>
            </c:extLst>
          </c:dPt>
          <c:dPt>
            <c:idx val="5"/>
            <c:bubble3D val="0"/>
            <c:spPr>
              <a:ln w="28575" cmpd="sng">
                <a:solidFill>
                  <a:srgbClr val="969696">
                    <a:alpha val="100000"/>
                  </a:srgbClr>
                </a:solidFill>
                <a:prstDash val="dash"/>
              </a:ln>
            </c:spPr>
            <c:extLst>
              <c:ext xmlns:c16="http://schemas.microsoft.com/office/drawing/2014/chart" uri="{C3380CC4-5D6E-409C-BE32-E72D297353CC}">
                <c16:uniqueId val="{00000002-D232-4504-89C4-BC283915FC27}"/>
              </c:ext>
            </c:extLst>
          </c:dPt>
          <c:cat>
            <c:strRef>
              <c:f>Charts!$D$6:$I$6</c:f>
              <c:strCache>
                <c:ptCount val="6"/>
                <c:pt idx="0">
                  <c:v>2023</c:v>
                </c:pt>
                <c:pt idx="1">
                  <c:v>2024</c:v>
                </c:pt>
                <c:pt idx="2">
                  <c:v>2025</c:v>
                </c:pt>
                <c:pt idx="3">
                  <c:v>2026e</c:v>
                </c:pt>
                <c:pt idx="4">
                  <c:v>2027e</c:v>
                </c:pt>
                <c:pt idx="5">
                  <c:v>2028e</c:v>
                </c:pt>
              </c:strCache>
            </c:strRef>
          </c:cat>
          <c:val>
            <c:numRef>
              <c:f>Charts!$D$9:$I$9</c:f>
              <c:numCache>
                <c:formatCode>#,##0.0%_);\(#,##0.0%\);"-"</c:formatCode>
                <c:ptCount val="6"/>
                <c:pt idx="0">
                  <c:v>0.35376820557046484</c:v>
                </c:pt>
                <c:pt idx="1">
                  <c:v>0.41023252118835341</c:v>
                </c:pt>
                <c:pt idx="2">
                  <c:v>0.44008954168793946</c:v>
                </c:pt>
                <c:pt idx="3">
                  <c:v>0.38493270800595436</c:v>
                </c:pt>
                <c:pt idx="4">
                  <c:v>0.36821253734164766</c:v>
                </c:pt>
                <c:pt idx="5">
                  <c:v>0.35990145696180914</c:v>
                </c:pt>
              </c:numCache>
            </c:numRef>
          </c:val>
          <c:smooth val="1"/>
          <c:extLst>
            <c:ext xmlns:c16="http://schemas.microsoft.com/office/drawing/2014/chart" uri="{C3380CC4-5D6E-409C-BE32-E72D297353CC}">
              <c16:uniqueId val="{00000002-20D1-47BD-938E-946664FF327E}"/>
            </c:ext>
          </c:extLst>
        </c:ser>
        <c:dLbls>
          <c:showLegendKey val="0"/>
          <c:showVal val="0"/>
          <c:showCatName val="0"/>
          <c:showSerName val="0"/>
          <c:showPercent val="0"/>
          <c:showBubbleSize val="0"/>
        </c:dLbls>
        <c:smooth val="0"/>
        <c:axId val="1834970787"/>
        <c:axId val="1070444905"/>
      </c:lineChart>
      <c:catAx>
        <c:axId val="1834970787"/>
        <c:scaling>
          <c:orientation val="minMax"/>
        </c:scaling>
        <c:delete val="0"/>
        <c:axPos val="b"/>
        <c:title>
          <c:tx>
            <c:rich>
              <a:bodyPr/>
              <a:lstStyle/>
              <a:p>
                <a:pPr>
                  <a:defRPr/>
                </a:pPr>
                <a:endParaRPr lang="en-US"/>
              </a:p>
            </c:rich>
          </c:tx>
          <c:overlay val="0"/>
        </c:title>
        <c:numFmt formatCode="General" sourceLinked="1"/>
        <c:majorTickMark val="out"/>
        <c:minorTickMark val="none"/>
        <c:tickLblPos val="nextTo"/>
        <c:txPr>
          <a:bodyPr/>
          <a:lstStyle/>
          <a:p>
            <a:pPr>
              <a:defRPr sz="800"/>
            </a:pPr>
            <a:endParaRPr lang="en-US"/>
          </a:p>
        </c:txPr>
        <c:crossAx val="1070444905"/>
        <c:crosses val="autoZero"/>
        <c:auto val="1"/>
        <c:lblAlgn val="ctr"/>
        <c:lblOffset val="100"/>
        <c:noMultiLvlLbl val="1"/>
      </c:catAx>
      <c:valAx>
        <c:axId val="1070444905"/>
        <c:scaling>
          <c:orientation val="minMax"/>
          <c:max val="0.60000000000000009"/>
        </c:scaling>
        <c:delete val="0"/>
        <c:axPos val="l"/>
        <c:title>
          <c:tx>
            <c:rich>
              <a:bodyPr/>
              <a:lstStyle/>
              <a:p>
                <a:pPr>
                  <a:defRPr/>
                </a:pPr>
                <a:endParaRPr lang="en-US"/>
              </a:p>
            </c:rich>
          </c:tx>
          <c:overlay val="0"/>
        </c:title>
        <c:numFmt formatCode="#,##0.0%_);\(#,##0.0%\)" sourceLinked="1"/>
        <c:majorTickMark val="out"/>
        <c:minorTickMark val="none"/>
        <c:tickLblPos val="nextTo"/>
        <c:spPr>
          <a:ln/>
        </c:spPr>
        <c:txPr>
          <a:bodyPr/>
          <a:lstStyle/>
          <a:p>
            <a:pPr>
              <a:defRPr sz="800"/>
            </a:pPr>
            <a:endParaRPr lang="en-US"/>
          </a:p>
        </c:txPr>
        <c:crossAx val="1834970787"/>
        <c:crosses val="autoZero"/>
        <c:crossBetween val="between"/>
        <c:majorUnit val="0.1"/>
      </c:valAx>
    </c:plotArea>
    <c:legend>
      <c:legendPos val="b"/>
      <c:overlay val="0"/>
      <c:txPr>
        <a:bodyPr/>
        <a:lstStyle/>
        <a:p>
          <a:pPr>
            <a:defRPr sz="800"/>
          </a:pPr>
          <a:endParaRPr lang="en-US"/>
        </a:p>
      </c:txPr>
    </c:legend>
    <c:plotVisOnly val="1"/>
    <c:dispBlanksAs val="zero"/>
    <c:showDLblsOverMax val="1"/>
  </c:chart>
  <c:spPr>
    <a:ln>
      <a:noFill/>
    </a:ln>
  </c:spPr>
  <c:txPr>
    <a:bodyPr/>
    <a:lstStyle/>
    <a:p>
      <a:pPr>
        <a:defRPr>
          <a:latin typeface="Abadi ExtraLight" panose="020F050202020403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b="0">
                <a:latin typeface="Abadi" panose="020B0604020104020204" pitchFamily="34" charset="0"/>
              </a:defRPr>
            </a:pPr>
            <a:r>
              <a:rPr lang="en-US" b="0">
                <a:latin typeface="Abadi" panose="020B0604020104020204" pitchFamily="34" charset="0"/>
              </a:rPr>
              <a:t>Management &amp; Advisory Fees</a:t>
            </a:r>
          </a:p>
        </c:rich>
      </c:tx>
      <c:overlay val="0"/>
    </c:title>
    <c:autoTitleDeleted val="0"/>
    <c:plotArea>
      <c:layout>
        <c:manualLayout>
          <c:layoutTarget val="inner"/>
          <c:xMode val="edge"/>
          <c:yMode val="edge"/>
          <c:x val="0.1297843325139913"/>
          <c:y val="0.19287485853259168"/>
          <c:w val="0.72987209932091823"/>
          <c:h val="0.54366153772062897"/>
        </c:manualLayout>
      </c:layout>
      <c:barChart>
        <c:barDir val="col"/>
        <c:grouping val="clustered"/>
        <c:varyColors val="1"/>
        <c:ser>
          <c:idx val="0"/>
          <c:order val="0"/>
          <c:tx>
            <c:v>Management &amp; Advisory Fees Revenue</c:v>
          </c:tx>
          <c:spPr>
            <a:solidFill>
              <a:srgbClr val="002060"/>
            </a:solidFill>
            <a:ln cmpd="sng">
              <a:solidFill>
                <a:srgbClr val="000000"/>
              </a:solidFill>
            </a:ln>
          </c:spPr>
          <c:invertIfNegative val="1"/>
          <c:dPt>
            <c:idx val="0"/>
            <c:invertIfNegative val="1"/>
            <c:bubble3D val="0"/>
            <c:spPr>
              <a:solidFill>
                <a:srgbClr val="00355F"/>
              </a:solidFill>
              <a:ln cmpd="sng">
                <a:solidFill>
                  <a:srgbClr val="000000"/>
                </a:solidFill>
              </a:ln>
            </c:spPr>
            <c:extLst>
              <c:ext xmlns:c16="http://schemas.microsoft.com/office/drawing/2014/chart" uri="{C3380CC4-5D6E-409C-BE32-E72D297353CC}">
                <c16:uniqueId val="{00000001-FF58-44E4-97D6-B4C843E565D5}"/>
              </c:ext>
            </c:extLst>
          </c:dPt>
          <c:dPt>
            <c:idx val="1"/>
            <c:invertIfNegative val="1"/>
            <c:bubble3D val="0"/>
            <c:spPr>
              <a:solidFill>
                <a:srgbClr val="00355F"/>
              </a:solidFill>
              <a:ln cmpd="sng">
                <a:solidFill>
                  <a:srgbClr val="000000"/>
                </a:solidFill>
              </a:ln>
            </c:spPr>
            <c:extLst>
              <c:ext xmlns:c16="http://schemas.microsoft.com/office/drawing/2014/chart" uri="{C3380CC4-5D6E-409C-BE32-E72D297353CC}">
                <c16:uniqueId val="{00000003-FF58-44E4-97D6-B4C843E565D5}"/>
              </c:ext>
            </c:extLst>
          </c:dPt>
          <c:dPt>
            <c:idx val="2"/>
            <c:invertIfNegative val="1"/>
            <c:bubble3D val="0"/>
            <c:spPr>
              <a:solidFill>
                <a:srgbClr val="00355F"/>
              </a:solidFill>
              <a:ln cmpd="sng">
                <a:solidFill>
                  <a:srgbClr val="000000"/>
                </a:solidFill>
              </a:ln>
            </c:spPr>
            <c:extLst>
              <c:ext xmlns:c16="http://schemas.microsoft.com/office/drawing/2014/chart" uri="{C3380CC4-5D6E-409C-BE32-E72D297353CC}">
                <c16:uniqueId val="{00000005-FF58-44E4-97D6-B4C843E565D5}"/>
              </c:ext>
            </c:extLst>
          </c:dPt>
          <c:dPt>
            <c:idx val="3"/>
            <c:invertIfNegative val="1"/>
            <c:bubble3D val="0"/>
            <c:spPr>
              <a:solidFill>
                <a:srgbClr val="C0DEF6"/>
              </a:solidFill>
              <a:ln cmpd="sng">
                <a:solidFill>
                  <a:srgbClr val="000000"/>
                </a:solidFill>
              </a:ln>
            </c:spPr>
            <c:extLst>
              <c:ext xmlns:c16="http://schemas.microsoft.com/office/drawing/2014/chart" uri="{C3380CC4-5D6E-409C-BE32-E72D297353CC}">
                <c16:uniqueId val="{00000007-FF58-44E4-97D6-B4C843E565D5}"/>
              </c:ext>
            </c:extLst>
          </c:dPt>
          <c:dPt>
            <c:idx val="4"/>
            <c:invertIfNegative val="1"/>
            <c:bubble3D val="0"/>
            <c:spPr>
              <a:solidFill>
                <a:srgbClr val="C0DEF6"/>
              </a:solidFill>
              <a:ln cmpd="sng">
                <a:solidFill>
                  <a:srgbClr val="000000"/>
                </a:solidFill>
              </a:ln>
            </c:spPr>
            <c:extLst>
              <c:ext xmlns:c16="http://schemas.microsoft.com/office/drawing/2014/chart" uri="{C3380CC4-5D6E-409C-BE32-E72D297353CC}">
                <c16:uniqueId val="{00000009-FF58-44E4-97D6-B4C843E565D5}"/>
              </c:ext>
            </c:extLst>
          </c:dPt>
          <c:dPt>
            <c:idx val="5"/>
            <c:invertIfNegative val="1"/>
            <c:bubble3D val="0"/>
            <c:spPr>
              <a:solidFill>
                <a:srgbClr val="C0DEF6"/>
              </a:solidFill>
              <a:ln cmpd="sng">
                <a:solidFill>
                  <a:srgbClr val="000000"/>
                </a:solidFill>
              </a:ln>
            </c:spPr>
            <c:extLst>
              <c:ext xmlns:c16="http://schemas.microsoft.com/office/drawing/2014/chart" uri="{C3380CC4-5D6E-409C-BE32-E72D297353CC}">
                <c16:uniqueId val="{0000000B-FF58-44E4-97D6-B4C843E565D5}"/>
              </c:ext>
            </c:extLst>
          </c:dPt>
          <c:cat>
            <c:strRef>
              <c:f>Charts!$D$30:$I$30</c:f>
              <c:strCache>
                <c:ptCount val="6"/>
                <c:pt idx="0">
                  <c:v>2023</c:v>
                </c:pt>
                <c:pt idx="1">
                  <c:v>2024</c:v>
                </c:pt>
                <c:pt idx="2">
                  <c:v>2025</c:v>
                </c:pt>
                <c:pt idx="3">
                  <c:v>2026e</c:v>
                </c:pt>
                <c:pt idx="4">
                  <c:v>2027e</c:v>
                </c:pt>
                <c:pt idx="5">
                  <c:v>2028e</c:v>
                </c:pt>
              </c:strCache>
            </c:strRef>
          </c:cat>
          <c:val>
            <c:numRef>
              <c:f>Charts!$D$31:$I$31</c:f>
              <c:numCache>
                <c:formatCode>"$"#,##0_);\("$"#,##0\)</c:formatCode>
                <c:ptCount val="6"/>
                <c:pt idx="0">
                  <c:v>371.87299999999999</c:v>
                </c:pt>
                <c:pt idx="1">
                  <c:v>451.93600000000004</c:v>
                </c:pt>
                <c:pt idx="2">
                  <c:v>513.86500000000001</c:v>
                </c:pt>
                <c:pt idx="3">
                  <c:v>585.79587592000007</c:v>
                </c:pt>
                <c:pt idx="4">
                  <c:v>743.71028518290507</c:v>
                </c:pt>
                <c:pt idx="5">
                  <c:v>795.77000514570852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FF58-44E4-97D6-B4C843E565D5}"/>
            </c:ext>
          </c:extLst>
        </c:ser>
        <c:dLbls>
          <c:showLegendKey val="0"/>
          <c:showVal val="0"/>
          <c:showCatName val="0"/>
          <c:showSerName val="0"/>
          <c:showPercent val="0"/>
          <c:showBubbleSize val="0"/>
        </c:dLbls>
        <c:gapWidth val="150"/>
        <c:axId val="1561404489"/>
        <c:axId val="1135634111"/>
      </c:barChart>
      <c:lineChart>
        <c:grouping val="standard"/>
        <c:varyColors val="0"/>
        <c:ser>
          <c:idx val="1"/>
          <c:order val="1"/>
          <c:tx>
            <c:v>Growth Rate YoY %</c:v>
          </c:tx>
          <c:spPr>
            <a:ln w="28575" cmpd="sng">
              <a:solidFill>
                <a:srgbClr val="969696">
                  <a:alpha val="100000"/>
                </a:srgbClr>
              </a:solidFill>
            </a:ln>
          </c:spPr>
          <c:marker>
            <c:symbol val="none"/>
          </c:marker>
          <c:cat>
            <c:strRef>
              <c:f>Charts!$D$30:$I$30</c:f>
              <c:strCache>
                <c:ptCount val="6"/>
                <c:pt idx="0">
                  <c:v>2023</c:v>
                </c:pt>
                <c:pt idx="1">
                  <c:v>2024</c:v>
                </c:pt>
                <c:pt idx="2">
                  <c:v>2025</c:v>
                </c:pt>
                <c:pt idx="3">
                  <c:v>2026e</c:v>
                </c:pt>
                <c:pt idx="4">
                  <c:v>2027e</c:v>
                </c:pt>
                <c:pt idx="5">
                  <c:v>2028e</c:v>
                </c:pt>
              </c:strCache>
            </c:strRef>
          </c:cat>
          <c:val>
            <c:numRef>
              <c:f>Charts!$D$32:$I$32</c:f>
              <c:numCache>
                <c:formatCode>#,##0.0%_);\(#,##0.0%\);"-"</c:formatCode>
                <c:ptCount val="6"/>
                <c:pt idx="0">
                  <c:v>0</c:v>
                </c:pt>
                <c:pt idx="1">
                  <c:v>0.2152966200826627</c:v>
                </c:pt>
                <c:pt idx="2">
                  <c:v>0.13703046449054734</c:v>
                </c:pt>
                <c:pt idx="3">
                  <c:v>0.1399801035680579</c:v>
                </c:pt>
                <c:pt idx="4">
                  <c:v>0.26957241550206956</c:v>
                </c:pt>
                <c:pt idx="5">
                  <c:v>7.0000000000000062E-2</c:v>
                </c:pt>
              </c:numCache>
            </c:numRef>
          </c:val>
          <c:smooth val="1"/>
          <c:extLst>
            <c:ext xmlns:c16="http://schemas.microsoft.com/office/drawing/2014/chart" uri="{C3380CC4-5D6E-409C-BE32-E72D297353CC}">
              <c16:uniqueId val="{0000000D-FF58-44E4-97D6-B4C843E565D5}"/>
            </c:ext>
          </c:extLst>
        </c:ser>
        <c:dLbls>
          <c:showLegendKey val="0"/>
          <c:showVal val="0"/>
          <c:showCatName val="0"/>
          <c:showSerName val="0"/>
          <c:showPercent val="0"/>
          <c:showBubbleSize val="0"/>
        </c:dLbls>
        <c:marker val="1"/>
        <c:smooth val="0"/>
        <c:axId val="273651328"/>
        <c:axId val="273647968"/>
      </c:lineChart>
      <c:catAx>
        <c:axId val="1561404489"/>
        <c:scaling>
          <c:orientation val="minMax"/>
        </c:scaling>
        <c:delete val="0"/>
        <c:axPos val="b"/>
        <c:title>
          <c:tx>
            <c:rich>
              <a:bodyPr/>
              <a:lstStyle/>
              <a:p>
                <a:pPr>
                  <a:defRPr/>
                </a:pPr>
                <a:endParaRPr lang="en-US"/>
              </a:p>
            </c:rich>
          </c:tx>
          <c:overlay val="0"/>
        </c:title>
        <c:numFmt formatCode="General" sourceLinked="1"/>
        <c:majorTickMark val="out"/>
        <c:minorTickMark val="none"/>
        <c:tickLblPos val="nextTo"/>
        <c:txPr>
          <a:bodyPr/>
          <a:lstStyle/>
          <a:p>
            <a:pPr>
              <a:defRPr sz="800"/>
            </a:pPr>
            <a:endParaRPr lang="en-US"/>
          </a:p>
        </c:txPr>
        <c:crossAx val="1135634111"/>
        <c:crosses val="autoZero"/>
        <c:auto val="1"/>
        <c:lblAlgn val="ctr"/>
        <c:lblOffset val="100"/>
        <c:noMultiLvlLbl val="1"/>
      </c:catAx>
      <c:valAx>
        <c:axId val="1135634111"/>
        <c:scaling>
          <c:orientation val="minMax"/>
          <c:max val="1000"/>
          <c:min val="0"/>
        </c:scaling>
        <c:delete val="0"/>
        <c:axPos val="l"/>
        <c:title>
          <c:tx>
            <c:rich>
              <a:bodyPr/>
              <a:lstStyle/>
              <a:p>
                <a:pPr>
                  <a:defRPr/>
                </a:pPr>
                <a:endParaRPr lang="en-US"/>
              </a:p>
            </c:rich>
          </c:tx>
          <c:overlay val="0"/>
        </c:title>
        <c:numFmt formatCode="&quot;$&quot;#,##0" sourceLinked="0"/>
        <c:majorTickMark val="out"/>
        <c:minorTickMark val="none"/>
        <c:tickLblPos val="nextTo"/>
        <c:spPr>
          <a:ln/>
        </c:spPr>
        <c:txPr>
          <a:bodyPr/>
          <a:lstStyle/>
          <a:p>
            <a:pPr>
              <a:defRPr sz="800"/>
            </a:pPr>
            <a:endParaRPr lang="en-US"/>
          </a:p>
        </c:txPr>
        <c:crossAx val="1561404489"/>
        <c:crosses val="autoZero"/>
        <c:crossBetween val="between"/>
        <c:majorUnit val="200"/>
      </c:valAx>
      <c:valAx>
        <c:axId val="273647968"/>
        <c:scaling>
          <c:orientation val="minMax"/>
          <c:max val="0.5"/>
        </c:scaling>
        <c:delete val="0"/>
        <c:axPos val="r"/>
        <c:numFmt formatCode="#,##0.0%_);\(#,##0.0%\);&quot;0.0%&quot;" sourceLinked="0"/>
        <c:majorTickMark val="out"/>
        <c:minorTickMark val="none"/>
        <c:tickLblPos val="nextTo"/>
        <c:crossAx val="273651328"/>
        <c:crosses val="max"/>
        <c:crossBetween val="between"/>
      </c:valAx>
      <c:catAx>
        <c:axId val="273651328"/>
        <c:scaling>
          <c:orientation val="minMax"/>
        </c:scaling>
        <c:delete val="1"/>
        <c:axPos val="b"/>
        <c:numFmt formatCode="General" sourceLinked="1"/>
        <c:majorTickMark val="out"/>
        <c:minorTickMark val="none"/>
        <c:tickLblPos val="nextTo"/>
        <c:crossAx val="273647968"/>
        <c:crosses val="autoZero"/>
        <c:auto val="1"/>
        <c:lblAlgn val="ctr"/>
        <c:lblOffset val="100"/>
        <c:noMultiLvlLbl val="0"/>
      </c:catAx>
    </c:plotArea>
    <c:legend>
      <c:legendPos val="b"/>
      <c:overlay val="0"/>
      <c:txPr>
        <a:bodyPr/>
        <a:lstStyle/>
        <a:p>
          <a:pPr>
            <a:defRPr sz="800"/>
          </a:pPr>
          <a:endParaRPr lang="en-US"/>
        </a:p>
      </c:txPr>
    </c:legend>
    <c:plotVisOnly val="1"/>
    <c:dispBlanksAs val="zero"/>
    <c:showDLblsOverMax val="1"/>
  </c:chart>
  <c:spPr>
    <a:ln>
      <a:noFill/>
    </a:ln>
  </c:spPr>
  <c:txPr>
    <a:bodyPr/>
    <a:lstStyle/>
    <a:p>
      <a:pPr>
        <a:defRPr>
          <a:latin typeface="Abadi ExtraLight" panose="020B0204020104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b="0">
                <a:latin typeface="Abadi" panose="020B0604020104020204" pitchFamily="34" charset="0"/>
              </a:defRPr>
            </a:pPr>
            <a:r>
              <a:rPr lang="en-US" b="0">
                <a:latin typeface="Abadi" panose="020B0604020104020204" pitchFamily="34" charset="0"/>
              </a:rPr>
              <a:t>Total Company Revenue</a:t>
            </a:r>
          </a:p>
        </c:rich>
      </c:tx>
      <c:overlay val="0"/>
    </c:title>
    <c:autoTitleDeleted val="0"/>
    <c:plotArea>
      <c:layout>
        <c:manualLayout>
          <c:layoutTarget val="inner"/>
          <c:xMode val="edge"/>
          <c:yMode val="edge"/>
          <c:x val="0.12548132782103535"/>
          <c:y val="0.19376368276546077"/>
          <c:w val="0.76297683568774688"/>
          <c:h val="0.60300252790981768"/>
        </c:manualLayout>
      </c:layout>
      <c:barChart>
        <c:barDir val="col"/>
        <c:grouping val="clustered"/>
        <c:varyColors val="1"/>
        <c:ser>
          <c:idx val="0"/>
          <c:order val="0"/>
          <c:tx>
            <c:v>Total Company Revenue</c:v>
          </c:tx>
          <c:spPr>
            <a:solidFill>
              <a:srgbClr val="002060"/>
            </a:solidFill>
            <a:ln cmpd="sng">
              <a:solidFill>
                <a:srgbClr val="000000"/>
              </a:solidFill>
            </a:ln>
          </c:spPr>
          <c:invertIfNegative val="1"/>
          <c:dPt>
            <c:idx val="0"/>
            <c:invertIfNegative val="1"/>
            <c:bubble3D val="0"/>
            <c:spPr>
              <a:solidFill>
                <a:srgbClr val="00355F"/>
              </a:solidFill>
              <a:ln cmpd="sng">
                <a:solidFill>
                  <a:srgbClr val="000000"/>
                </a:solidFill>
              </a:ln>
            </c:spPr>
            <c:extLst>
              <c:ext xmlns:c16="http://schemas.microsoft.com/office/drawing/2014/chart" uri="{C3380CC4-5D6E-409C-BE32-E72D297353CC}">
                <c16:uniqueId val="{00000001-BFED-40C1-B8E3-03554BDAA467}"/>
              </c:ext>
            </c:extLst>
          </c:dPt>
          <c:dPt>
            <c:idx val="1"/>
            <c:invertIfNegative val="1"/>
            <c:bubble3D val="0"/>
            <c:spPr>
              <a:solidFill>
                <a:srgbClr val="00355F"/>
              </a:solidFill>
              <a:ln cmpd="sng">
                <a:solidFill>
                  <a:srgbClr val="000000"/>
                </a:solidFill>
              </a:ln>
            </c:spPr>
            <c:extLst>
              <c:ext xmlns:c16="http://schemas.microsoft.com/office/drawing/2014/chart" uri="{C3380CC4-5D6E-409C-BE32-E72D297353CC}">
                <c16:uniqueId val="{00000003-BFED-40C1-B8E3-03554BDAA467}"/>
              </c:ext>
            </c:extLst>
          </c:dPt>
          <c:dPt>
            <c:idx val="2"/>
            <c:invertIfNegative val="1"/>
            <c:bubble3D val="0"/>
            <c:spPr>
              <a:solidFill>
                <a:srgbClr val="00355F"/>
              </a:solidFill>
              <a:ln cmpd="sng">
                <a:solidFill>
                  <a:srgbClr val="000000"/>
                </a:solidFill>
              </a:ln>
            </c:spPr>
            <c:extLst>
              <c:ext xmlns:c16="http://schemas.microsoft.com/office/drawing/2014/chart" uri="{C3380CC4-5D6E-409C-BE32-E72D297353CC}">
                <c16:uniqueId val="{00000005-BFED-40C1-B8E3-03554BDAA467}"/>
              </c:ext>
            </c:extLst>
          </c:dPt>
          <c:dPt>
            <c:idx val="3"/>
            <c:invertIfNegative val="1"/>
            <c:bubble3D val="0"/>
            <c:spPr>
              <a:solidFill>
                <a:srgbClr val="C0DEF6"/>
              </a:solidFill>
              <a:ln cmpd="sng">
                <a:solidFill>
                  <a:srgbClr val="000000"/>
                </a:solidFill>
              </a:ln>
            </c:spPr>
            <c:extLst>
              <c:ext xmlns:c16="http://schemas.microsoft.com/office/drawing/2014/chart" uri="{C3380CC4-5D6E-409C-BE32-E72D297353CC}">
                <c16:uniqueId val="{00000007-BFED-40C1-B8E3-03554BDAA467}"/>
              </c:ext>
            </c:extLst>
          </c:dPt>
          <c:dPt>
            <c:idx val="4"/>
            <c:invertIfNegative val="1"/>
            <c:bubble3D val="0"/>
            <c:spPr>
              <a:solidFill>
                <a:srgbClr val="C0DEF6"/>
              </a:solidFill>
              <a:ln cmpd="sng">
                <a:solidFill>
                  <a:srgbClr val="000000"/>
                </a:solidFill>
              </a:ln>
            </c:spPr>
            <c:extLst>
              <c:ext xmlns:c16="http://schemas.microsoft.com/office/drawing/2014/chart" uri="{C3380CC4-5D6E-409C-BE32-E72D297353CC}">
                <c16:uniqueId val="{00000009-BFED-40C1-B8E3-03554BDAA467}"/>
              </c:ext>
            </c:extLst>
          </c:dPt>
          <c:dPt>
            <c:idx val="5"/>
            <c:invertIfNegative val="1"/>
            <c:bubble3D val="0"/>
            <c:spPr>
              <a:solidFill>
                <a:srgbClr val="C0DEF6"/>
              </a:solidFill>
              <a:ln cmpd="sng">
                <a:solidFill>
                  <a:srgbClr val="000000"/>
                </a:solidFill>
              </a:ln>
            </c:spPr>
            <c:extLst>
              <c:ext xmlns:c16="http://schemas.microsoft.com/office/drawing/2014/chart" uri="{C3380CC4-5D6E-409C-BE32-E72D297353CC}">
                <c16:uniqueId val="{0000000B-BFED-40C1-B8E3-03554BDAA467}"/>
              </c:ext>
            </c:extLst>
          </c:dPt>
          <c:cat>
            <c:strRef>
              <c:f>Charts!$L$30:$Q$30</c:f>
              <c:strCache>
                <c:ptCount val="6"/>
                <c:pt idx="0">
                  <c:v>2023</c:v>
                </c:pt>
                <c:pt idx="1">
                  <c:v>2024</c:v>
                </c:pt>
                <c:pt idx="2">
                  <c:v>2025</c:v>
                </c:pt>
                <c:pt idx="3">
                  <c:v>2026e</c:v>
                </c:pt>
                <c:pt idx="4">
                  <c:v>2027e</c:v>
                </c:pt>
                <c:pt idx="5">
                  <c:v>2028e</c:v>
                </c:pt>
              </c:strCache>
            </c:strRef>
          </c:cat>
          <c:val>
            <c:numRef>
              <c:f>Charts!$L$31:$Q$31</c:f>
              <c:numCache>
                <c:formatCode>"$"#,##0_);\("$"#,##0\)</c:formatCode>
                <c:ptCount val="6"/>
                <c:pt idx="0">
                  <c:v>528.75300000000004</c:v>
                </c:pt>
                <c:pt idx="1">
                  <c:v>553.84199999999998</c:v>
                </c:pt>
                <c:pt idx="2">
                  <c:v>712.96399999999994</c:v>
                </c:pt>
                <c:pt idx="3">
                  <c:v>766.65695015999995</c:v>
                </c:pt>
                <c:pt idx="4">
                  <c:v>972.52829778227476</c:v>
                </c:pt>
                <c:pt idx="5">
                  <c:v>1040.6052786270343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BFED-40C1-B8E3-03554BDAA467}"/>
            </c:ext>
          </c:extLst>
        </c:ser>
        <c:dLbls>
          <c:showLegendKey val="0"/>
          <c:showVal val="0"/>
          <c:showCatName val="0"/>
          <c:showSerName val="0"/>
          <c:showPercent val="0"/>
          <c:showBubbleSize val="0"/>
        </c:dLbls>
        <c:gapWidth val="150"/>
        <c:axId val="1223024264"/>
        <c:axId val="291468529"/>
      </c:barChart>
      <c:lineChart>
        <c:grouping val="standard"/>
        <c:varyColors val="0"/>
        <c:ser>
          <c:idx val="1"/>
          <c:order val="1"/>
          <c:tx>
            <c:v>Growth Rate YoY %</c:v>
          </c:tx>
          <c:spPr>
            <a:ln w="28575" cmpd="sng">
              <a:solidFill>
                <a:srgbClr val="969696">
                  <a:alpha val="100000"/>
                </a:srgbClr>
              </a:solidFill>
            </a:ln>
          </c:spPr>
          <c:marker>
            <c:symbol val="none"/>
          </c:marker>
          <c:cat>
            <c:strRef>
              <c:f>Charts!$L$30:$Q$30</c:f>
              <c:strCache>
                <c:ptCount val="6"/>
                <c:pt idx="0">
                  <c:v>2023</c:v>
                </c:pt>
                <c:pt idx="1">
                  <c:v>2024</c:v>
                </c:pt>
                <c:pt idx="2">
                  <c:v>2025</c:v>
                </c:pt>
                <c:pt idx="3">
                  <c:v>2026e</c:v>
                </c:pt>
                <c:pt idx="4">
                  <c:v>2027e</c:v>
                </c:pt>
                <c:pt idx="5">
                  <c:v>2028e</c:v>
                </c:pt>
              </c:strCache>
            </c:strRef>
          </c:cat>
          <c:val>
            <c:numRef>
              <c:f>Charts!$L$32:$Q$32</c:f>
              <c:numCache>
                <c:formatCode>#,##0.0%_);\(#,##0.0%\);"-"</c:formatCode>
                <c:ptCount val="6"/>
                <c:pt idx="0">
                  <c:v>0</c:v>
                </c:pt>
                <c:pt idx="1">
                  <c:v>4.7449376173752E-2</c:v>
                </c:pt>
                <c:pt idx="2">
                  <c:v>0.28730576590435541</c:v>
                </c:pt>
                <c:pt idx="3">
                  <c:v>7.530948289114181E-2</c:v>
                </c:pt>
                <c:pt idx="4">
                  <c:v>0.26853124801035166</c:v>
                </c:pt>
                <c:pt idx="5">
                  <c:v>7.0000000000000284E-2</c:v>
                </c:pt>
              </c:numCache>
            </c:numRef>
          </c:val>
          <c:smooth val="1"/>
          <c:extLst>
            <c:ext xmlns:c16="http://schemas.microsoft.com/office/drawing/2014/chart" uri="{C3380CC4-5D6E-409C-BE32-E72D297353CC}">
              <c16:uniqueId val="{0000000D-BFED-40C1-B8E3-03554BDAA467}"/>
            </c:ext>
          </c:extLst>
        </c:ser>
        <c:dLbls>
          <c:showLegendKey val="0"/>
          <c:showVal val="0"/>
          <c:showCatName val="0"/>
          <c:showSerName val="0"/>
          <c:showPercent val="0"/>
          <c:showBubbleSize val="0"/>
        </c:dLbls>
        <c:marker val="1"/>
        <c:smooth val="0"/>
        <c:axId val="273675328"/>
        <c:axId val="273673888"/>
      </c:lineChart>
      <c:catAx>
        <c:axId val="1223024264"/>
        <c:scaling>
          <c:orientation val="minMax"/>
        </c:scaling>
        <c:delete val="0"/>
        <c:axPos val="b"/>
        <c:title>
          <c:tx>
            <c:rich>
              <a:bodyPr/>
              <a:lstStyle/>
              <a:p>
                <a:pPr>
                  <a:defRPr/>
                </a:pPr>
                <a:endParaRPr lang="en-US"/>
              </a:p>
            </c:rich>
          </c:tx>
          <c:overlay val="0"/>
        </c:title>
        <c:numFmt formatCode="General" sourceLinked="1"/>
        <c:majorTickMark val="out"/>
        <c:minorTickMark val="none"/>
        <c:tickLblPos val="nextTo"/>
        <c:txPr>
          <a:bodyPr/>
          <a:lstStyle/>
          <a:p>
            <a:pPr>
              <a:defRPr sz="800"/>
            </a:pPr>
            <a:endParaRPr lang="en-US"/>
          </a:p>
        </c:txPr>
        <c:crossAx val="291468529"/>
        <c:crosses val="autoZero"/>
        <c:auto val="1"/>
        <c:lblAlgn val="ctr"/>
        <c:lblOffset val="100"/>
        <c:noMultiLvlLbl val="1"/>
      </c:catAx>
      <c:valAx>
        <c:axId val="291468529"/>
        <c:scaling>
          <c:orientation val="minMax"/>
          <c:max val="1500"/>
        </c:scaling>
        <c:delete val="0"/>
        <c:axPos val="l"/>
        <c:title>
          <c:tx>
            <c:rich>
              <a:bodyPr/>
              <a:lstStyle/>
              <a:p>
                <a:pPr>
                  <a:defRPr/>
                </a:pPr>
                <a:endParaRPr lang="en-US"/>
              </a:p>
            </c:rich>
          </c:tx>
          <c:overlay val="0"/>
        </c:title>
        <c:numFmt formatCode="&quot;$&quot;#,##0" sourceLinked="0"/>
        <c:majorTickMark val="out"/>
        <c:minorTickMark val="none"/>
        <c:tickLblPos val="nextTo"/>
        <c:spPr>
          <a:ln/>
        </c:spPr>
        <c:txPr>
          <a:bodyPr/>
          <a:lstStyle/>
          <a:p>
            <a:pPr>
              <a:defRPr sz="800"/>
            </a:pPr>
            <a:endParaRPr lang="en-US"/>
          </a:p>
        </c:txPr>
        <c:crossAx val="1223024264"/>
        <c:crosses val="autoZero"/>
        <c:crossBetween val="between"/>
        <c:majorUnit val="350"/>
      </c:valAx>
      <c:valAx>
        <c:axId val="273673888"/>
        <c:scaling>
          <c:orientation val="minMax"/>
          <c:max val="0.45"/>
        </c:scaling>
        <c:delete val="0"/>
        <c:axPos val="r"/>
        <c:numFmt formatCode="#,##0.0%_);\(#,##0.0%\);&quot;-&quot;" sourceLinked="1"/>
        <c:majorTickMark val="out"/>
        <c:minorTickMark val="none"/>
        <c:tickLblPos val="nextTo"/>
        <c:txPr>
          <a:bodyPr/>
          <a:lstStyle/>
          <a:p>
            <a:pPr>
              <a:defRPr sz="800"/>
            </a:pPr>
            <a:endParaRPr lang="en-US"/>
          </a:p>
        </c:txPr>
        <c:crossAx val="273675328"/>
        <c:crosses val="max"/>
        <c:crossBetween val="between"/>
        <c:majorUnit val="0.1"/>
      </c:valAx>
      <c:catAx>
        <c:axId val="273675328"/>
        <c:scaling>
          <c:orientation val="minMax"/>
        </c:scaling>
        <c:delete val="1"/>
        <c:axPos val="b"/>
        <c:numFmt formatCode="General" sourceLinked="1"/>
        <c:majorTickMark val="out"/>
        <c:minorTickMark val="none"/>
        <c:tickLblPos val="nextTo"/>
        <c:crossAx val="273673888"/>
        <c:crosses val="autoZero"/>
        <c:auto val="1"/>
        <c:lblAlgn val="ctr"/>
        <c:lblOffset val="100"/>
        <c:noMultiLvlLbl val="0"/>
      </c:catAx>
    </c:plotArea>
    <c:legend>
      <c:legendPos val="b"/>
      <c:layout>
        <c:manualLayout>
          <c:xMode val="edge"/>
          <c:yMode val="edge"/>
          <c:x val="0.18106866511815894"/>
          <c:y val="0.88067830230898558"/>
          <c:w val="0.65270497032026842"/>
          <c:h val="0.10703291120867955"/>
        </c:manualLayout>
      </c:layout>
      <c:overlay val="0"/>
      <c:txPr>
        <a:bodyPr/>
        <a:lstStyle/>
        <a:p>
          <a:pPr>
            <a:defRPr sz="800"/>
          </a:pPr>
          <a:endParaRPr lang="en-US"/>
        </a:p>
      </c:txPr>
    </c:legend>
    <c:plotVisOnly val="1"/>
    <c:dispBlanksAs val="zero"/>
    <c:showDLblsOverMax val="1"/>
  </c:chart>
  <c:spPr>
    <a:ln>
      <a:noFill/>
    </a:ln>
  </c:spPr>
  <c:txPr>
    <a:bodyPr/>
    <a:lstStyle/>
    <a:p>
      <a:pPr>
        <a:defRPr>
          <a:latin typeface="Abadi ExtraLight" panose="020B0204020104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HLNE - Free Cash Flow</a:t>
            </a:r>
          </a:p>
        </c:rich>
      </c:tx>
      <c:overlay val="0"/>
    </c:title>
    <c:autoTitleDeleted val="0"/>
    <c:plotArea>
      <c:layout>
        <c:manualLayout>
          <c:layoutTarget val="inner"/>
          <c:xMode val="edge"/>
          <c:yMode val="edge"/>
          <c:x val="9.0421513100336137E-2"/>
          <c:y val="0.19851034749688548"/>
          <c:w val="0.80028991112952985"/>
          <c:h val="0.54992174365301116"/>
        </c:manualLayout>
      </c:layout>
      <c:barChart>
        <c:barDir val="col"/>
        <c:grouping val="clustered"/>
        <c:varyColors val="1"/>
        <c:ser>
          <c:idx val="0"/>
          <c:order val="0"/>
          <c:tx>
            <c:v>Free Cash Flow (FCF)</c:v>
          </c:tx>
          <c:spPr>
            <a:solidFill>
              <a:srgbClr val="002060"/>
            </a:solidFill>
            <a:ln cmpd="sng">
              <a:solidFill>
                <a:srgbClr val="000000"/>
              </a:solidFill>
            </a:ln>
          </c:spPr>
          <c:invertIfNegative val="1"/>
          <c:dPt>
            <c:idx val="0"/>
            <c:invertIfNegative val="1"/>
            <c:bubble3D val="0"/>
            <c:spPr>
              <a:solidFill>
                <a:srgbClr val="00355F"/>
              </a:solidFill>
              <a:ln cmpd="sng">
                <a:solidFill>
                  <a:srgbClr val="000000"/>
                </a:solidFill>
              </a:ln>
            </c:spPr>
            <c:extLst>
              <c:ext xmlns:c16="http://schemas.microsoft.com/office/drawing/2014/chart" uri="{C3380CC4-5D6E-409C-BE32-E72D297353CC}">
                <c16:uniqueId val="{00000001-3679-4E40-A908-6098114F4C66}"/>
              </c:ext>
            </c:extLst>
          </c:dPt>
          <c:dPt>
            <c:idx val="1"/>
            <c:invertIfNegative val="1"/>
            <c:bubble3D val="0"/>
            <c:spPr>
              <a:solidFill>
                <a:srgbClr val="00355F"/>
              </a:solidFill>
              <a:ln cmpd="sng">
                <a:solidFill>
                  <a:srgbClr val="000000"/>
                </a:solidFill>
              </a:ln>
            </c:spPr>
            <c:extLst>
              <c:ext xmlns:c16="http://schemas.microsoft.com/office/drawing/2014/chart" uri="{C3380CC4-5D6E-409C-BE32-E72D297353CC}">
                <c16:uniqueId val="{00000003-3679-4E40-A908-6098114F4C66}"/>
              </c:ext>
            </c:extLst>
          </c:dPt>
          <c:dPt>
            <c:idx val="2"/>
            <c:invertIfNegative val="1"/>
            <c:bubble3D val="0"/>
            <c:spPr>
              <a:solidFill>
                <a:srgbClr val="00355F"/>
              </a:solidFill>
              <a:ln cmpd="sng">
                <a:solidFill>
                  <a:srgbClr val="000000"/>
                </a:solidFill>
              </a:ln>
            </c:spPr>
            <c:extLst>
              <c:ext xmlns:c16="http://schemas.microsoft.com/office/drawing/2014/chart" uri="{C3380CC4-5D6E-409C-BE32-E72D297353CC}">
                <c16:uniqueId val="{00000005-3679-4E40-A908-6098114F4C66}"/>
              </c:ext>
            </c:extLst>
          </c:dPt>
          <c:dPt>
            <c:idx val="3"/>
            <c:invertIfNegative val="1"/>
            <c:bubble3D val="0"/>
            <c:spPr>
              <a:solidFill>
                <a:srgbClr val="C0DEF6"/>
              </a:solidFill>
              <a:ln cmpd="sng">
                <a:solidFill>
                  <a:srgbClr val="000000"/>
                </a:solidFill>
              </a:ln>
            </c:spPr>
            <c:extLst>
              <c:ext xmlns:c16="http://schemas.microsoft.com/office/drawing/2014/chart" uri="{C3380CC4-5D6E-409C-BE32-E72D297353CC}">
                <c16:uniqueId val="{00000007-3679-4E40-A908-6098114F4C66}"/>
              </c:ext>
            </c:extLst>
          </c:dPt>
          <c:dPt>
            <c:idx val="4"/>
            <c:invertIfNegative val="1"/>
            <c:bubble3D val="0"/>
            <c:spPr>
              <a:solidFill>
                <a:srgbClr val="C0DEF6"/>
              </a:solidFill>
              <a:ln cmpd="sng">
                <a:solidFill>
                  <a:srgbClr val="000000"/>
                </a:solidFill>
              </a:ln>
            </c:spPr>
            <c:extLst>
              <c:ext xmlns:c16="http://schemas.microsoft.com/office/drawing/2014/chart" uri="{C3380CC4-5D6E-409C-BE32-E72D297353CC}">
                <c16:uniqueId val="{00000009-3679-4E40-A908-6098114F4C66}"/>
              </c:ext>
            </c:extLst>
          </c:dPt>
          <c:dPt>
            <c:idx val="5"/>
            <c:invertIfNegative val="1"/>
            <c:bubble3D val="0"/>
            <c:spPr>
              <a:solidFill>
                <a:srgbClr val="C0DEF6"/>
              </a:solidFill>
              <a:ln cmpd="sng">
                <a:solidFill>
                  <a:srgbClr val="000000"/>
                </a:solidFill>
              </a:ln>
            </c:spPr>
            <c:extLst>
              <c:ext xmlns:c16="http://schemas.microsoft.com/office/drawing/2014/chart" uri="{C3380CC4-5D6E-409C-BE32-E72D297353CC}">
                <c16:uniqueId val="{0000000B-3679-4E40-A908-6098114F4C66}"/>
              </c:ext>
            </c:extLst>
          </c:dPt>
          <c:cat>
            <c:strRef>
              <c:f>Charts!$D$70:$I$70</c:f>
              <c:strCache>
                <c:ptCount val="6"/>
                <c:pt idx="0">
                  <c:v>2023</c:v>
                </c:pt>
                <c:pt idx="1">
                  <c:v>2024</c:v>
                </c:pt>
                <c:pt idx="2">
                  <c:v>2025</c:v>
                </c:pt>
                <c:pt idx="3">
                  <c:v>2026e</c:v>
                </c:pt>
                <c:pt idx="4">
                  <c:v>2027e</c:v>
                </c:pt>
                <c:pt idx="5">
                  <c:v>2028e</c:v>
                </c:pt>
              </c:strCache>
            </c:strRef>
          </c:cat>
          <c:val>
            <c:numRef>
              <c:f>Charts!$D$71:$I$71</c:f>
              <c:numCache>
                <c:formatCode>"$"#,##0_);\("$"#,##0\)</c:formatCode>
                <c:ptCount val="6"/>
                <c:pt idx="0">
                  <c:v>191.15300000000002</c:v>
                </c:pt>
                <c:pt idx="1">
                  <c:v>161.31300000000005</c:v>
                </c:pt>
                <c:pt idx="2">
                  <c:v>238.05100000000002</c:v>
                </c:pt>
                <c:pt idx="3">
                  <c:v>292.20212879943847</c:v>
                </c:pt>
                <c:pt idx="4">
                  <c:v>289.95116687698101</c:v>
                </c:pt>
                <c:pt idx="5">
                  <c:v>387.78288756231422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3679-4E40-A908-6098114F4C66}"/>
            </c:ext>
          </c:extLst>
        </c:ser>
        <c:dLbls>
          <c:showLegendKey val="0"/>
          <c:showVal val="0"/>
          <c:showCatName val="0"/>
          <c:showSerName val="0"/>
          <c:showPercent val="0"/>
          <c:showBubbleSize val="0"/>
        </c:dLbls>
        <c:gapWidth val="150"/>
        <c:axId val="1446894072"/>
        <c:axId val="1707958805"/>
      </c:barChart>
      <c:lineChart>
        <c:grouping val="standard"/>
        <c:varyColors val="0"/>
        <c:ser>
          <c:idx val="1"/>
          <c:order val="1"/>
          <c:tx>
            <c:v>Growth Rate YoY %</c:v>
          </c:tx>
          <c:spPr>
            <a:ln w="28575" cmpd="sng">
              <a:solidFill>
                <a:srgbClr val="969696">
                  <a:alpha val="100000"/>
                </a:srgbClr>
              </a:solidFill>
            </a:ln>
          </c:spPr>
          <c:marker>
            <c:symbol val="none"/>
          </c:marker>
          <c:cat>
            <c:strRef>
              <c:f>Charts!$D$70:$I$70</c:f>
              <c:strCache>
                <c:ptCount val="6"/>
                <c:pt idx="0">
                  <c:v>2023</c:v>
                </c:pt>
                <c:pt idx="1">
                  <c:v>2024</c:v>
                </c:pt>
                <c:pt idx="2">
                  <c:v>2025</c:v>
                </c:pt>
                <c:pt idx="3">
                  <c:v>2026e</c:v>
                </c:pt>
                <c:pt idx="4">
                  <c:v>2027e</c:v>
                </c:pt>
                <c:pt idx="5">
                  <c:v>2028e</c:v>
                </c:pt>
              </c:strCache>
            </c:strRef>
          </c:cat>
          <c:val>
            <c:numRef>
              <c:f>Charts!$D$72:$I$72</c:f>
              <c:numCache>
                <c:formatCode>#,##0.0%_);\(#,##0.0%\);"-"</c:formatCode>
                <c:ptCount val="6"/>
                <c:pt idx="0">
                  <c:v>0</c:v>
                </c:pt>
                <c:pt idx="1">
                  <c:v>-0.15610531877605882</c:v>
                </c:pt>
                <c:pt idx="2">
                  <c:v>0.47570871535462089</c:v>
                </c:pt>
                <c:pt idx="3">
                  <c:v>0.2274770061853908</c:v>
                </c:pt>
                <c:pt idx="4">
                  <c:v>-7.7034412162084731E-3</c:v>
                </c:pt>
                <c:pt idx="5">
                  <c:v>0.33740757707259283</c:v>
                </c:pt>
              </c:numCache>
            </c:numRef>
          </c:val>
          <c:smooth val="1"/>
          <c:extLst>
            <c:ext xmlns:c16="http://schemas.microsoft.com/office/drawing/2014/chart" uri="{C3380CC4-5D6E-409C-BE32-E72D297353CC}">
              <c16:uniqueId val="{0000000D-3679-4E40-A908-6098114F4C66}"/>
            </c:ext>
          </c:extLst>
        </c:ser>
        <c:dLbls>
          <c:showLegendKey val="0"/>
          <c:showVal val="0"/>
          <c:showCatName val="0"/>
          <c:showSerName val="0"/>
          <c:showPercent val="0"/>
          <c:showBubbleSize val="0"/>
        </c:dLbls>
        <c:marker val="1"/>
        <c:smooth val="0"/>
        <c:axId val="1108790320"/>
        <c:axId val="1108787440"/>
      </c:lineChart>
      <c:catAx>
        <c:axId val="1446894072"/>
        <c:scaling>
          <c:orientation val="minMax"/>
        </c:scaling>
        <c:delete val="0"/>
        <c:axPos val="b"/>
        <c:title>
          <c:tx>
            <c:rich>
              <a:bodyPr/>
              <a:lstStyle/>
              <a:p>
                <a:pPr>
                  <a:defRPr/>
                </a:pPr>
                <a:endParaRPr lang="en-US"/>
              </a:p>
            </c:rich>
          </c:tx>
          <c:overlay val="0"/>
        </c:title>
        <c:numFmt formatCode="General" sourceLinked="1"/>
        <c:majorTickMark val="out"/>
        <c:minorTickMark val="none"/>
        <c:tickLblPos val="nextTo"/>
        <c:txPr>
          <a:bodyPr/>
          <a:lstStyle/>
          <a:p>
            <a:pPr>
              <a:defRPr sz="800"/>
            </a:pPr>
            <a:endParaRPr lang="en-US"/>
          </a:p>
        </c:txPr>
        <c:crossAx val="1707958805"/>
        <c:crosses val="autoZero"/>
        <c:auto val="1"/>
        <c:lblAlgn val="ctr"/>
        <c:lblOffset val="100"/>
        <c:noMultiLvlLbl val="1"/>
      </c:catAx>
      <c:valAx>
        <c:axId val="1707958805"/>
        <c:scaling>
          <c:orientation val="minMax"/>
          <c:max val="500"/>
          <c:min val="0"/>
        </c:scaling>
        <c:delete val="0"/>
        <c:axPos val="l"/>
        <c:title>
          <c:tx>
            <c:rich>
              <a:bodyPr/>
              <a:lstStyle/>
              <a:p>
                <a:pPr>
                  <a:defRPr/>
                </a:pPr>
                <a:endParaRPr lang="en-US"/>
              </a:p>
            </c:rich>
          </c:tx>
          <c:overlay val="0"/>
        </c:title>
        <c:numFmt formatCode="&quot;$&quot;#,##0_);\(&quot;$&quot;#,##0\)" sourceLinked="1"/>
        <c:majorTickMark val="out"/>
        <c:minorTickMark val="none"/>
        <c:tickLblPos val="nextTo"/>
        <c:spPr>
          <a:ln/>
        </c:spPr>
        <c:txPr>
          <a:bodyPr/>
          <a:lstStyle/>
          <a:p>
            <a:pPr>
              <a:defRPr sz="800"/>
            </a:pPr>
            <a:endParaRPr lang="en-US"/>
          </a:p>
        </c:txPr>
        <c:crossAx val="1446894072"/>
        <c:crosses val="autoZero"/>
        <c:crossBetween val="between"/>
        <c:majorUnit val="100"/>
      </c:valAx>
      <c:valAx>
        <c:axId val="1108787440"/>
        <c:scaling>
          <c:orientation val="minMax"/>
          <c:max val="0.65000000000000013"/>
        </c:scaling>
        <c:delete val="0"/>
        <c:axPos val="r"/>
        <c:numFmt formatCode="#,##0.0%_);\(#,##0.0%\);&quot;0.0%&quot;" sourceLinked="0"/>
        <c:majorTickMark val="out"/>
        <c:minorTickMark val="none"/>
        <c:tickLblPos val="nextTo"/>
        <c:txPr>
          <a:bodyPr/>
          <a:lstStyle/>
          <a:p>
            <a:pPr>
              <a:defRPr sz="800"/>
            </a:pPr>
            <a:endParaRPr lang="en-US"/>
          </a:p>
        </c:txPr>
        <c:crossAx val="1108790320"/>
        <c:crosses val="max"/>
        <c:crossBetween val="between"/>
        <c:majorUnit val="0.2"/>
      </c:valAx>
      <c:catAx>
        <c:axId val="1108790320"/>
        <c:scaling>
          <c:orientation val="minMax"/>
        </c:scaling>
        <c:delete val="1"/>
        <c:axPos val="b"/>
        <c:numFmt formatCode="General" sourceLinked="1"/>
        <c:majorTickMark val="out"/>
        <c:minorTickMark val="none"/>
        <c:tickLblPos val="nextTo"/>
        <c:crossAx val="1108787440"/>
        <c:crosses val="autoZero"/>
        <c:auto val="1"/>
        <c:lblAlgn val="ctr"/>
        <c:lblOffset val="100"/>
        <c:noMultiLvlLbl val="0"/>
      </c:catAx>
    </c:plotArea>
    <c:legend>
      <c:legendPos val="b"/>
      <c:overlay val="0"/>
      <c:txPr>
        <a:bodyPr/>
        <a:lstStyle/>
        <a:p>
          <a:pPr>
            <a:defRPr sz="800"/>
          </a:pPr>
          <a:endParaRPr lang="en-US"/>
        </a:p>
      </c:txPr>
    </c:legend>
    <c:plotVisOnly val="1"/>
    <c:dispBlanksAs val="zero"/>
    <c:showDLblsOverMax val="1"/>
  </c:chart>
  <c:spPr>
    <a:ln>
      <a:noFill/>
    </a:ln>
  </c:spPr>
  <c:txPr>
    <a:bodyPr/>
    <a:lstStyle/>
    <a:p>
      <a:pPr>
        <a:defRPr>
          <a:latin typeface="Abadi ExtraLight" panose="020B0204020104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HLNE - Adj. EPS</a:t>
            </a:r>
          </a:p>
        </c:rich>
      </c:tx>
      <c:overlay val="0"/>
    </c:title>
    <c:autoTitleDeleted val="0"/>
    <c:plotArea>
      <c:layout>
        <c:manualLayout>
          <c:layoutTarget val="inner"/>
          <c:xMode val="edge"/>
          <c:yMode val="edge"/>
          <c:x val="0.15196100487439071"/>
          <c:y val="0.18791836405285617"/>
          <c:w val="0.72577067107117943"/>
          <c:h val="0.57783577278345055"/>
        </c:manualLayout>
      </c:layout>
      <c:barChart>
        <c:barDir val="col"/>
        <c:grouping val="clustered"/>
        <c:varyColors val="1"/>
        <c:ser>
          <c:idx val="0"/>
          <c:order val="0"/>
          <c:tx>
            <c:v>Adj. EPS (Diluted)</c:v>
          </c:tx>
          <c:spPr>
            <a:solidFill>
              <a:srgbClr val="00355F"/>
            </a:solidFill>
            <a:ln cmpd="sng">
              <a:solidFill>
                <a:srgbClr val="000000"/>
              </a:solidFill>
            </a:ln>
          </c:spPr>
          <c:invertIfNegative val="1"/>
          <c:dPt>
            <c:idx val="3"/>
            <c:invertIfNegative val="1"/>
            <c:bubble3D val="0"/>
            <c:spPr>
              <a:solidFill>
                <a:srgbClr val="C0DEF6"/>
              </a:solidFill>
              <a:ln cmpd="sng">
                <a:solidFill>
                  <a:srgbClr val="000000"/>
                </a:solidFill>
              </a:ln>
            </c:spPr>
            <c:extLst>
              <c:ext xmlns:c16="http://schemas.microsoft.com/office/drawing/2014/chart" uri="{C3380CC4-5D6E-409C-BE32-E72D297353CC}">
                <c16:uniqueId val="{00000001-AFE2-4F3E-A8F8-0F00F62585B0}"/>
              </c:ext>
            </c:extLst>
          </c:dPt>
          <c:dPt>
            <c:idx val="4"/>
            <c:invertIfNegative val="1"/>
            <c:bubble3D val="0"/>
            <c:spPr>
              <a:solidFill>
                <a:srgbClr val="C0DEF6"/>
              </a:solidFill>
              <a:ln cmpd="sng">
                <a:solidFill>
                  <a:srgbClr val="000000"/>
                </a:solidFill>
              </a:ln>
            </c:spPr>
            <c:extLst>
              <c:ext xmlns:c16="http://schemas.microsoft.com/office/drawing/2014/chart" uri="{C3380CC4-5D6E-409C-BE32-E72D297353CC}">
                <c16:uniqueId val="{00000003-AFE2-4F3E-A8F8-0F00F62585B0}"/>
              </c:ext>
            </c:extLst>
          </c:dPt>
          <c:dPt>
            <c:idx val="5"/>
            <c:invertIfNegative val="1"/>
            <c:bubble3D val="0"/>
            <c:spPr>
              <a:solidFill>
                <a:srgbClr val="C0DEF6"/>
              </a:solidFill>
              <a:ln cmpd="sng">
                <a:solidFill>
                  <a:srgbClr val="000000"/>
                </a:solidFill>
              </a:ln>
            </c:spPr>
            <c:extLst>
              <c:ext xmlns:c16="http://schemas.microsoft.com/office/drawing/2014/chart" uri="{C3380CC4-5D6E-409C-BE32-E72D297353CC}">
                <c16:uniqueId val="{00000005-AFE2-4F3E-A8F8-0F00F62585B0}"/>
              </c:ext>
            </c:extLst>
          </c:dPt>
          <c:cat>
            <c:strRef>
              <c:f>Charts!$L$70:$Q$70</c:f>
              <c:strCache>
                <c:ptCount val="6"/>
                <c:pt idx="0">
                  <c:v>2023</c:v>
                </c:pt>
                <c:pt idx="1">
                  <c:v>2024</c:v>
                </c:pt>
                <c:pt idx="2">
                  <c:v>2025</c:v>
                </c:pt>
                <c:pt idx="3">
                  <c:v>2026e</c:v>
                </c:pt>
                <c:pt idx="4">
                  <c:v>2027e</c:v>
                </c:pt>
                <c:pt idx="5">
                  <c:v>2028e</c:v>
                </c:pt>
              </c:strCache>
            </c:strRef>
          </c:cat>
          <c:val>
            <c:numRef>
              <c:f>Charts!$L$71:$Q$71</c:f>
              <c:numCache>
                <c:formatCode>"$"#,##0.00_);\("$"#,##0.00\)</c:formatCode>
                <c:ptCount val="6"/>
                <c:pt idx="0">
                  <c:v>2.0297217773473872</c:v>
                </c:pt>
                <c:pt idx="1">
                  <c:v>2.6133209647495361</c:v>
                </c:pt>
                <c:pt idx="2">
                  <c:v>5.3949627791563284</c:v>
                </c:pt>
                <c:pt idx="3">
                  <c:v>3.7993392151880983</c:v>
                </c:pt>
                <c:pt idx="4">
                  <c:v>4.7821320412240276</c:v>
                </c:pt>
                <c:pt idx="5">
                  <c:v>5.2892287943405707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AFE2-4F3E-A8F8-0F00F62585B0}"/>
            </c:ext>
          </c:extLst>
        </c:ser>
        <c:dLbls>
          <c:showLegendKey val="0"/>
          <c:showVal val="0"/>
          <c:showCatName val="0"/>
          <c:showSerName val="0"/>
          <c:showPercent val="0"/>
          <c:showBubbleSize val="0"/>
        </c:dLbls>
        <c:gapWidth val="150"/>
        <c:axId val="311379738"/>
        <c:axId val="318992871"/>
      </c:barChart>
      <c:lineChart>
        <c:grouping val="standard"/>
        <c:varyColors val="0"/>
        <c:ser>
          <c:idx val="1"/>
          <c:order val="1"/>
          <c:tx>
            <c:v>Growth Rate YoY %</c:v>
          </c:tx>
          <c:spPr>
            <a:ln w="28575" cmpd="sng">
              <a:solidFill>
                <a:srgbClr val="969696">
                  <a:alpha val="100000"/>
                </a:srgbClr>
              </a:solidFill>
            </a:ln>
          </c:spPr>
          <c:marker>
            <c:symbol val="none"/>
          </c:marker>
          <c:cat>
            <c:strRef>
              <c:f>Charts!$L$70:$Q$70</c:f>
              <c:strCache>
                <c:ptCount val="6"/>
                <c:pt idx="0">
                  <c:v>2023</c:v>
                </c:pt>
                <c:pt idx="1">
                  <c:v>2024</c:v>
                </c:pt>
                <c:pt idx="2">
                  <c:v>2025</c:v>
                </c:pt>
                <c:pt idx="3">
                  <c:v>2026e</c:v>
                </c:pt>
                <c:pt idx="4">
                  <c:v>2027e</c:v>
                </c:pt>
                <c:pt idx="5">
                  <c:v>2028e</c:v>
                </c:pt>
              </c:strCache>
            </c:strRef>
          </c:cat>
          <c:val>
            <c:numRef>
              <c:f>Charts!$L$72:$Q$72</c:f>
              <c:numCache>
                <c:formatCode>#,##0.0%_);\(#,##0.0%\);"-"</c:formatCode>
                <c:ptCount val="6"/>
                <c:pt idx="0">
                  <c:v>0</c:v>
                </c:pt>
                <c:pt idx="1">
                  <c:v>0.28752669154727495</c:v>
                </c:pt>
                <c:pt idx="2">
                  <c:v>1.0644087932281172</c:v>
                </c:pt>
                <c:pt idx="3">
                  <c:v>-0.29576173725108734</c:v>
                </c:pt>
                <c:pt idx="4">
                  <c:v>0.25867467219224682</c:v>
                </c:pt>
                <c:pt idx="5">
                  <c:v>0.10603988947715193</c:v>
                </c:pt>
              </c:numCache>
            </c:numRef>
          </c:val>
          <c:smooth val="1"/>
          <c:extLst>
            <c:ext xmlns:c16="http://schemas.microsoft.com/office/drawing/2014/chart" uri="{C3380CC4-5D6E-409C-BE32-E72D297353CC}">
              <c16:uniqueId val="{00000007-AFE2-4F3E-A8F8-0F00F62585B0}"/>
            </c:ext>
          </c:extLst>
        </c:ser>
        <c:dLbls>
          <c:showLegendKey val="0"/>
          <c:showVal val="0"/>
          <c:showCatName val="0"/>
          <c:showSerName val="0"/>
          <c:showPercent val="0"/>
          <c:showBubbleSize val="0"/>
        </c:dLbls>
        <c:marker val="1"/>
        <c:smooth val="0"/>
        <c:axId val="273614368"/>
        <c:axId val="273624448"/>
      </c:lineChart>
      <c:catAx>
        <c:axId val="311379738"/>
        <c:scaling>
          <c:orientation val="minMax"/>
        </c:scaling>
        <c:delete val="0"/>
        <c:axPos val="b"/>
        <c:title>
          <c:tx>
            <c:rich>
              <a:bodyPr/>
              <a:lstStyle/>
              <a:p>
                <a:pPr>
                  <a:defRPr/>
                </a:pPr>
                <a:endParaRPr lang="en-US"/>
              </a:p>
            </c:rich>
          </c:tx>
          <c:overlay val="0"/>
        </c:title>
        <c:numFmt formatCode="General" sourceLinked="1"/>
        <c:majorTickMark val="out"/>
        <c:minorTickMark val="none"/>
        <c:tickLblPos val="nextTo"/>
        <c:txPr>
          <a:bodyPr/>
          <a:lstStyle/>
          <a:p>
            <a:pPr>
              <a:defRPr sz="800"/>
            </a:pPr>
            <a:endParaRPr lang="en-US"/>
          </a:p>
        </c:txPr>
        <c:crossAx val="318992871"/>
        <c:crosses val="autoZero"/>
        <c:auto val="1"/>
        <c:lblAlgn val="ctr"/>
        <c:lblOffset val="100"/>
        <c:noMultiLvlLbl val="1"/>
      </c:catAx>
      <c:valAx>
        <c:axId val="318992871"/>
        <c:scaling>
          <c:orientation val="minMax"/>
          <c:max val="7"/>
        </c:scaling>
        <c:delete val="0"/>
        <c:axPos val="l"/>
        <c:title>
          <c:tx>
            <c:rich>
              <a:bodyPr/>
              <a:lstStyle/>
              <a:p>
                <a:pPr>
                  <a:defRPr/>
                </a:pPr>
                <a:endParaRPr lang="en-US"/>
              </a:p>
            </c:rich>
          </c:tx>
          <c:overlay val="0"/>
        </c:title>
        <c:numFmt formatCode="&quot;$&quot;#,##0.00" sourceLinked="0"/>
        <c:majorTickMark val="out"/>
        <c:minorTickMark val="none"/>
        <c:tickLblPos val="nextTo"/>
        <c:spPr>
          <a:ln/>
        </c:spPr>
        <c:txPr>
          <a:bodyPr/>
          <a:lstStyle/>
          <a:p>
            <a:pPr>
              <a:defRPr sz="800"/>
            </a:pPr>
            <a:endParaRPr lang="en-US"/>
          </a:p>
        </c:txPr>
        <c:crossAx val="311379738"/>
        <c:crosses val="autoZero"/>
        <c:crossBetween val="between"/>
        <c:majorUnit val="1.5"/>
      </c:valAx>
      <c:valAx>
        <c:axId val="273624448"/>
        <c:scaling>
          <c:orientation val="minMax"/>
          <c:max val="1.4"/>
        </c:scaling>
        <c:delete val="0"/>
        <c:axPos val="r"/>
        <c:numFmt formatCode="#,##0.0%_);\(#,##0.0%\);&quot;-&quot;" sourceLinked="1"/>
        <c:majorTickMark val="out"/>
        <c:minorTickMark val="none"/>
        <c:tickLblPos val="nextTo"/>
        <c:txPr>
          <a:bodyPr/>
          <a:lstStyle/>
          <a:p>
            <a:pPr>
              <a:defRPr sz="800"/>
            </a:pPr>
            <a:endParaRPr lang="en-US"/>
          </a:p>
        </c:txPr>
        <c:crossAx val="273614368"/>
        <c:crosses val="max"/>
        <c:crossBetween val="between"/>
        <c:majorUnit val="0.4"/>
      </c:valAx>
      <c:catAx>
        <c:axId val="273614368"/>
        <c:scaling>
          <c:orientation val="minMax"/>
        </c:scaling>
        <c:delete val="1"/>
        <c:axPos val="b"/>
        <c:numFmt formatCode="General" sourceLinked="1"/>
        <c:majorTickMark val="out"/>
        <c:minorTickMark val="none"/>
        <c:tickLblPos val="nextTo"/>
        <c:crossAx val="273624448"/>
        <c:crosses val="autoZero"/>
        <c:auto val="1"/>
        <c:lblAlgn val="ctr"/>
        <c:lblOffset val="100"/>
        <c:noMultiLvlLbl val="0"/>
      </c:catAx>
    </c:plotArea>
    <c:legend>
      <c:legendPos val="b"/>
      <c:overlay val="0"/>
      <c:txPr>
        <a:bodyPr/>
        <a:lstStyle/>
        <a:p>
          <a:pPr>
            <a:defRPr sz="800"/>
          </a:pPr>
          <a:endParaRPr lang="en-US"/>
        </a:p>
      </c:txPr>
    </c:legend>
    <c:plotVisOnly val="1"/>
    <c:dispBlanksAs val="zero"/>
    <c:showDLblsOverMax val="1"/>
  </c:chart>
  <c:spPr>
    <a:ln>
      <a:noFill/>
    </a:ln>
  </c:spPr>
  <c:txPr>
    <a:bodyPr/>
    <a:lstStyle/>
    <a:p>
      <a:pPr>
        <a:defRPr>
          <a:latin typeface="Abadi ExtraLight" panose="020B0204020104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b="0">
                <a:latin typeface="Abadi" panose="020B0604020104020204" pitchFamily="34" charset="0"/>
              </a:defRPr>
            </a:pPr>
            <a:r>
              <a:rPr lang="en-US" b="0">
                <a:latin typeface="Abadi" panose="020B0604020104020204" pitchFamily="34" charset="0"/>
              </a:rPr>
              <a:t>HLNE - Debt Distribution</a:t>
            </a:r>
          </a:p>
        </c:rich>
      </c:tx>
      <c:layout>
        <c:manualLayout>
          <c:xMode val="edge"/>
          <c:yMode val="edge"/>
          <c:x val="0.30952131414607659"/>
          <c:y val="4.5977011494252873E-2"/>
        </c:manualLayout>
      </c:layout>
      <c:overlay val="0"/>
    </c:title>
    <c:autoTitleDeleted val="0"/>
    <c:plotArea>
      <c:layout/>
      <c:barChart>
        <c:barDir val="col"/>
        <c:grouping val="stacked"/>
        <c:varyColors val="1"/>
        <c:ser>
          <c:idx val="0"/>
          <c:order val="0"/>
          <c:spPr>
            <a:solidFill>
              <a:srgbClr val="969696"/>
            </a:solidFill>
            <a:ln cmpd="sng">
              <a:solidFill>
                <a:srgbClr val="000000"/>
              </a:solidFill>
            </a:ln>
          </c:spPr>
          <c:invertIfNegative val="1"/>
          <c:cat>
            <c:numRef>
              <c:f>Charts!$D$135:$M$135</c:f>
              <c:numCache>
                <c:formatCode>0</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Charts!$D$136:$M$136</c:f>
              <c:numCache>
                <c:formatCode>"$"#,##0_);\("$"#,##0\)</c:formatCode>
                <c:ptCount val="10"/>
                <c:pt idx="0">
                  <c:v>0</c:v>
                </c:pt>
                <c:pt idx="1">
                  <c:v>0</c:v>
                </c:pt>
                <c:pt idx="2">
                  <c:v>0</c:v>
                </c:pt>
                <c:pt idx="3">
                  <c:v>0</c:v>
                </c:pt>
                <c:pt idx="4">
                  <c:v>0</c:v>
                </c:pt>
                <c:pt idx="5">
                  <c:v>0</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FD9-4F9C-9489-C1632B59CC6F}"/>
            </c:ext>
          </c:extLst>
        </c:ser>
        <c:ser>
          <c:idx val="1"/>
          <c:order val="1"/>
          <c:spPr>
            <a:solidFill>
              <a:srgbClr val="00355F"/>
            </a:solidFill>
            <a:ln cmpd="sng">
              <a:solidFill>
                <a:srgbClr val="000000"/>
              </a:solidFill>
            </a:ln>
          </c:spPr>
          <c:invertIfNegative val="1"/>
          <c:cat>
            <c:numRef>
              <c:f>Charts!$D$135:$M$135</c:f>
              <c:numCache>
                <c:formatCode>0</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Charts!$D$137:$M$137</c:f>
              <c:numCache>
                <c:formatCode>#,##0_);\(#,##0\)</c:formatCode>
                <c:ptCount val="10"/>
                <c:pt idx="0">
                  <c:v>163.30000000000001</c:v>
                </c:pt>
                <c:pt idx="1">
                  <c:v>171.8</c:v>
                </c:pt>
                <c:pt idx="2">
                  <c:v>214</c:v>
                </c:pt>
                <c:pt idx="3">
                  <c:v>196.9</c:v>
                </c:pt>
                <c:pt idx="4">
                  <c:v>290.303</c:v>
                </c:pt>
                <c:pt idx="5">
                  <c:v>288.58199999999999</c:v>
                </c:pt>
                <c:pt idx="6">
                  <c:v>287.08199999999999</c:v>
                </c:pt>
                <c:pt idx="7">
                  <c:v>285.58199999999999</c:v>
                </c:pt>
                <c:pt idx="8">
                  <c:v>284.08199999999999</c:v>
                </c:pt>
                <c:pt idx="9">
                  <c:v>284.08199999999999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FD9-4F9C-9489-C1632B59CC6F}"/>
            </c:ext>
          </c:extLst>
        </c:ser>
        <c:ser>
          <c:idx val="2"/>
          <c:order val="2"/>
          <c:spPr>
            <a:solidFill>
              <a:srgbClr val="C0DEF6"/>
            </a:solidFill>
            <a:ln cmpd="sng">
              <a:solidFill>
                <a:srgbClr val="000000"/>
              </a:solidFill>
            </a:ln>
          </c:spPr>
          <c:invertIfNegative val="1"/>
          <c:cat>
            <c:numRef>
              <c:f>Charts!$D$135:$M$135</c:f>
              <c:numCache>
                <c:formatCode>0</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Charts!$D$138:$M$138</c:f>
              <c:numCache>
                <c:formatCode>#,##0_);\(#,##0\)</c:formatCode>
                <c:ptCount val="10"/>
                <c:pt idx="0">
                  <c:v>0</c:v>
                </c:pt>
                <c:pt idx="1">
                  <c:v>0</c:v>
                </c:pt>
                <c:pt idx="2">
                  <c:v>0</c:v>
                </c:pt>
                <c:pt idx="3">
                  <c:v>0</c:v>
                </c:pt>
                <c:pt idx="4">
                  <c:v>0</c:v>
                </c:pt>
                <c:pt idx="5">
                  <c:v>0</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FD9-4F9C-9489-C1632B59CC6F}"/>
            </c:ext>
          </c:extLst>
        </c:ser>
        <c:dLbls>
          <c:showLegendKey val="0"/>
          <c:showVal val="0"/>
          <c:showCatName val="0"/>
          <c:showSerName val="0"/>
          <c:showPercent val="0"/>
          <c:showBubbleSize val="0"/>
        </c:dLbls>
        <c:gapWidth val="150"/>
        <c:overlap val="100"/>
        <c:axId val="1264520161"/>
        <c:axId val="249254967"/>
      </c:barChart>
      <c:catAx>
        <c:axId val="1264520161"/>
        <c:scaling>
          <c:orientation val="minMax"/>
        </c:scaling>
        <c:delete val="0"/>
        <c:axPos val="b"/>
        <c:title>
          <c:tx>
            <c:rich>
              <a:bodyPr/>
              <a:lstStyle/>
              <a:p>
                <a:pPr>
                  <a:defRPr/>
                </a:pPr>
                <a:endParaRPr lang="en-US"/>
              </a:p>
            </c:rich>
          </c:tx>
          <c:overlay val="0"/>
        </c:title>
        <c:numFmt formatCode="0" sourceLinked="1"/>
        <c:majorTickMark val="out"/>
        <c:minorTickMark val="none"/>
        <c:tickLblPos val="nextTo"/>
        <c:txPr>
          <a:bodyPr rot="-2700000"/>
          <a:lstStyle/>
          <a:p>
            <a:pPr>
              <a:defRPr sz="800"/>
            </a:pPr>
            <a:endParaRPr lang="en-US"/>
          </a:p>
        </c:txPr>
        <c:crossAx val="249254967"/>
        <c:crosses val="autoZero"/>
        <c:auto val="1"/>
        <c:lblAlgn val="ctr"/>
        <c:lblOffset val="100"/>
        <c:noMultiLvlLbl val="1"/>
      </c:catAx>
      <c:valAx>
        <c:axId val="249254967"/>
        <c:scaling>
          <c:orientation val="minMax"/>
          <c:max val="450"/>
        </c:scaling>
        <c:delete val="0"/>
        <c:axPos val="l"/>
        <c:title>
          <c:tx>
            <c:rich>
              <a:bodyPr/>
              <a:lstStyle/>
              <a:p>
                <a:pPr>
                  <a:defRPr/>
                </a:pPr>
                <a:endParaRPr lang="en-US"/>
              </a:p>
            </c:rich>
          </c:tx>
          <c:overlay val="0"/>
        </c:title>
        <c:numFmt formatCode="&quot;$&quot;#,##0" sourceLinked="0"/>
        <c:majorTickMark val="out"/>
        <c:minorTickMark val="none"/>
        <c:tickLblPos val="nextTo"/>
        <c:spPr>
          <a:ln/>
        </c:spPr>
        <c:txPr>
          <a:bodyPr/>
          <a:lstStyle/>
          <a:p>
            <a:pPr>
              <a:defRPr sz="800"/>
            </a:pPr>
            <a:endParaRPr lang="en-US"/>
          </a:p>
        </c:txPr>
        <c:crossAx val="1264520161"/>
        <c:crosses val="autoZero"/>
        <c:crossBetween val="between"/>
        <c:majorUnit val="75"/>
      </c:valAx>
    </c:plotArea>
    <c:plotVisOnly val="1"/>
    <c:dispBlanksAs val="zero"/>
    <c:showDLblsOverMax val="1"/>
  </c:chart>
  <c:spPr>
    <a:noFill/>
    <a:ln>
      <a:noFill/>
    </a:ln>
  </c:spPr>
  <c:txPr>
    <a:bodyPr/>
    <a:lstStyle/>
    <a:p>
      <a:pPr>
        <a:defRPr>
          <a:latin typeface="Abadi ExtraLight" panose="020B0204020104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b="0">
                <a:latin typeface="Abadi" panose="020B0604020104020204" pitchFamily="34" charset="0"/>
              </a:defRPr>
            </a:pPr>
            <a:r>
              <a:rPr lang="en-US" b="0">
                <a:latin typeface="Abadi" panose="020B0604020104020204" pitchFamily="34" charset="0"/>
              </a:rPr>
              <a:t>Total Company Revenue</a:t>
            </a:r>
          </a:p>
        </c:rich>
      </c:tx>
      <c:overlay val="0"/>
    </c:title>
    <c:autoTitleDeleted val="0"/>
    <c:plotArea>
      <c:layout/>
      <c:barChart>
        <c:barDir val="col"/>
        <c:grouping val="clustered"/>
        <c:varyColors val="1"/>
        <c:ser>
          <c:idx val="0"/>
          <c:order val="0"/>
          <c:tx>
            <c:v>Total Company Revenue</c:v>
          </c:tx>
          <c:spPr>
            <a:solidFill>
              <a:srgbClr val="00355F"/>
            </a:solidFill>
            <a:ln cmpd="sng">
              <a:solidFill>
                <a:srgbClr val="000000"/>
              </a:solidFill>
            </a:ln>
          </c:spPr>
          <c:invertIfNegative val="1"/>
          <c:dPt>
            <c:idx val="7"/>
            <c:invertIfNegative val="1"/>
            <c:bubble3D val="0"/>
            <c:spPr>
              <a:solidFill>
                <a:srgbClr val="C0DEF6"/>
              </a:solidFill>
              <a:ln cmpd="sng">
                <a:solidFill>
                  <a:srgbClr val="000000"/>
                </a:solidFill>
              </a:ln>
            </c:spPr>
            <c:extLst>
              <c:ext xmlns:c16="http://schemas.microsoft.com/office/drawing/2014/chart" uri="{C3380CC4-5D6E-409C-BE32-E72D297353CC}">
                <c16:uniqueId val="{00000001-CD0E-4F59-A8F2-F87D2444D311}"/>
              </c:ext>
            </c:extLst>
          </c:dPt>
          <c:dPt>
            <c:idx val="8"/>
            <c:invertIfNegative val="1"/>
            <c:bubble3D val="0"/>
            <c:spPr>
              <a:solidFill>
                <a:srgbClr val="C0DEF6"/>
              </a:solidFill>
              <a:ln cmpd="sng">
                <a:solidFill>
                  <a:srgbClr val="000000"/>
                </a:solidFill>
              </a:ln>
            </c:spPr>
            <c:extLst>
              <c:ext xmlns:c16="http://schemas.microsoft.com/office/drawing/2014/chart" uri="{C3380CC4-5D6E-409C-BE32-E72D297353CC}">
                <c16:uniqueId val="{00000003-CD0E-4F59-A8F2-F87D2444D311}"/>
              </c:ext>
            </c:extLst>
          </c:dPt>
          <c:dPt>
            <c:idx val="9"/>
            <c:invertIfNegative val="1"/>
            <c:bubble3D val="0"/>
            <c:spPr>
              <a:solidFill>
                <a:srgbClr val="C0DEF6"/>
              </a:solidFill>
              <a:ln cmpd="sng">
                <a:solidFill>
                  <a:srgbClr val="000000"/>
                </a:solidFill>
              </a:ln>
            </c:spPr>
            <c:extLst>
              <c:ext xmlns:c16="http://schemas.microsoft.com/office/drawing/2014/chart" uri="{C3380CC4-5D6E-409C-BE32-E72D297353CC}">
                <c16:uniqueId val="{00000005-CD0E-4F59-A8F2-F87D2444D311}"/>
              </c:ext>
            </c:extLst>
          </c:dPt>
          <c:cat>
            <c:strRef>
              <c:f>Charts!$D$90:$Q$90</c:f>
              <c:strCache>
                <c:ptCount val="14"/>
                <c:pt idx="0">
                  <c:v>2019</c:v>
                </c:pt>
                <c:pt idx="1">
                  <c:v>2020</c:v>
                </c:pt>
                <c:pt idx="2">
                  <c:v>2021</c:v>
                </c:pt>
                <c:pt idx="3">
                  <c:v>2022</c:v>
                </c:pt>
                <c:pt idx="4">
                  <c:v>2023</c:v>
                </c:pt>
                <c:pt idx="5">
                  <c:v>2024</c:v>
                </c:pt>
                <c:pt idx="6">
                  <c:v>2025</c:v>
                </c:pt>
                <c:pt idx="7">
                  <c:v>2026e</c:v>
                </c:pt>
                <c:pt idx="8">
                  <c:v>2027e</c:v>
                </c:pt>
                <c:pt idx="9">
                  <c:v>2028e</c:v>
                </c:pt>
                <c:pt idx="10">
                  <c:v>2023 YTD</c:v>
                </c:pt>
                <c:pt idx="11">
                  <c:v>2025 YTD</c:v>
                </c:pt>
                <c:pt idx="12">
                  <c:v>2026 YTD</c:v>
                </c:pt>
                <c:pt idx="13">
                  <c:v>2027 YTD</c:v>
                </c:pt>
              </c:strCache>
            </c:strRef>
          </c:cat>
          <c:val>
            <c:numRef>
              <c:f>Charts!$D$91:$Q$91</c:f>
              <c:numCache>
                <c:formatCode>"$"#,##0_);\("$"#,##0\)</c:formatCode>
                <c:ptCount val="14"/>
                <c:pt idx="0">
                  <c:v>252</c:v>
                </c:pt>
                <c:pt idx="1">
                  <c:v>274</c:v>
                </c:pt>
                <c:pt idx="2">
                  <c:v>341.6</c:v>
                </c:pt>
                <c:pt idx="3">
                  <c:v>368</c:v>
                </c:pt>
                <c:pt idx="4">
                  <c:v>528.75300000000004</c:v>
                </c:pt>
                <c:pt idx="5">
                  <c:v>553.84199999999998</c:v>
                </c:pt>
                <c:pt idx="6">
                  <c:v>712.96399999999994</c:v>
                </c:pt>
                <c:pt idx="7">
                  <c:v>766.65695015999995</c:v>
                </c:pt>
                <c:pt idx="8">
                  <c:v>972.52829778227476</c:v>
                </c:pt>
                <c:pt idx="9">
                  <c:v>1040.6052786270343</c:v>
                </c:pt>
                <c:pt idx="10">
                  <c:v>125.03700000000001</c:v>
                </c:pt>
                <c:pt idx="11">
                  <c:v>196.73099999999999</c:v>
                </c:pt>
                <c:pt idx="12">
                  <c:v>175.958</c:v>
                </c:pt>
                <c:pt idx="13">
                  <c:v>183.91066000000001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CD0E-4F59-A8F2-F87D2444D311}"/>
            </c:ext>
          </c:extLst>
        </c:ser>
        <c:dLbls>
          <c:showLegendKey val="0"/>
          <c:showVal val="0"/>
          <c:showCatName val="0"/>
          <c:showSerName val="0"/>
          <c:showPercent val="0"/>
          <c:showBubbleSize val="0"/>
        </c:dLbls>
        <c:gapWidth val="150"/>
        <c:axId val="78787893"/>
        <c:axId val="367632491"/>
      </c:barChart>
      <c:lineChart>
        <c:grouping val="standard"/>
        <c:varyColors val="0"/>
        <c:ser>
          <c:idx val="1"/>
          <c:order val="1"/>
          <c:tx>
            <c:v>Growth Rate YoY %</c:v>
          </c:tx>
          <c:spPr>
            <a:ln w="28575" cmpd="sng">
              <a:solidFill>
                <a:srgbClr val="969696">
                  <a:alpha val="100000"/>
                </a:srgbClr>
              </a:solidFill>
            </a:ln>
          </c:spPr>
          <c:marker>
            <c:symbol val="none"/>
          </c:marker>
          <c:cat>
            <c:strRef>
              <c:f>Charts!$D$90:$Q$90</c:f>
              <c:strCache>
                <c:ptCount val="14"/>
                <c:pt idx="0">
                  <c:v>2019</c:v>
                </c:pt>
                <c:pt idx="1">
                  <c:v>2020</c:v>
                </c:pt>
                <c:pt idx="2">
                  <c:v>2021</c:v>
                </c:pt>
                <c:pt idx="3">
                  <c:v>2022</c:v>
                </c:pt>
                <c:pt idx="4">
                  <c:v>2023</c:v>
                </c:pt>
                <c:pt idx="5">
                  <c:v>2024</c:v>
                </c:pt>
                <c:pt idx="6">
                  <c:v>2025</c:v>
                </c:pt>
                <c:pt idx="7">
                  <c:v>2026e</c:v>
                </c:pt>
                <c:pt idx="8">
                  <c:v>2027e</c:v>
                </c:pt>
                <c:pt idx="9">
                  <c:v>2028e</c:v>
                </c:pt>
                <c:pt idx="10">
                  <c:v>2023 YTD</c:v>
                </c:pt>
                <c:pt idx="11">
                  <c:v>2025 YTD</c:v>
                </c:pt>
                <c:pt idx="12">
                  <c:v>2026 YTD</c:v>
                </c:pt>
                <c:pt idx="13">
                  <c:v>2027 YTD</c:v>
                </c:pt>
              </c:strCache>
            </c:strRef>
          </c:cat>
          <c:val>
            <c:numRef>
              <c:f>Charts!$D$92:$Q$92</c:f>
              <c:numCache>
                <c:formatCode>#,##0.0%_);\(#,##0.0%\);"-"</c:formatCode>
                <c:ptCount val="14"/>
                <c:pt idx="1">
                  <c:v>8.7301587301587213E-2</c:v>
                </c:pt>
                <c:pt idx="2">
                  <c:v>0.24671532846715327</c:v>
                </c:pt>
                <c:pt idx="3">
                  <c:v>7.7283372365339442E-2</c:v>
                </c:pt>
                <c:pt idx="4">
                  <c:v>0.43682880434782612</c:v>
                </c:pt>
                <c:pt idx="5">
                  <c:v>4.7449376173752E-2</c:v>
                </c:pt>
                <c:pt idx="6">
                  <c:v>0.28730576590435541</c:v>
                </c:pt>
                <c:pt idx="7">
                  <c:v>7.530948289114181E-2</c:v>
                </c:pt>
                <c:pt idx="8">
                  <c:v>0.26853124801035166</c:v>
                </c:pt>
                <c:pt idx="9">
                  <c:v>7.0000000000000284E-2</c:v>
                </c:pt>
                <c:pt idx="10">
                  <c:v>0.17499999999999999</c:v>
                </c:pt>
                <c:pt idx="11">
                  <c:v>0.57338227884546167</c:v>
                </c:pt>
                <c:pt idx="12">
                  <c:v>-0.10559088298234642</c:v>
                </c:pt>
                <c:pt idx="13">
                  <c:v>4.5196353675308831E-2</c:v>
                </c:pt>
              </c:numCache>
            </c:numRef>
          </c:val>
          <c:smooth val="1"/>
          <c:extLst>
            <c:ext xmlns:c16="http://schemas.microsoft.com/office/drawing/2014/chart" uri="{C3380CC4-5D6E-409C-BE32-E72D297353CC}">
              <c16:uniqueId val="{00000007-CD0E-4F59-A8F2-F87D2444D311}"/>
            </c:ext>
          </c:extLst>
        </c:ser>
        <c:dLbls>
          <c:showLegendKey val="0"/>
          <c:showVal val="0"/>
          <c:showCatName val="0"/>
          <c:showSerName val="0"/>
          <c:showPercent val="0"/>
          <c:showBubbleSize val="0"/>
        </c:dLbls>
        <c:marker val="1"/>
        <c:smooth val="0"/>
        <c:axId val="2110837648"/>
        <c:axId val="2110835728"/>
      </c:lineChart>
      <c:catAx>
        <c:axId val="78787893"/>
        <c:scaling>
          <c:orientation val="minMax"/>
        </c:scaling>
        <c:delete val="0"/>
        <c:axPos val="b"/>
        <c:title>
          <c:tx>
            <c:rich>
              <a:bodyPr/>
              <a:lstStyle/>
              <a:p>
                <a:pPr>
                  <a:defRPr/>
                </a:pPr>
                <a:endParaRPr lang="en-US"/>
              </a:p>
            </c:rich>
          </c:tx>
          <c:overlay val="0"/>
        </c:title>
        <c:numFmt formatCode="General" sourceLinked="1"/>
        <c:majorTickMark val="out"/>
        <c:minorTickMark val="none"/>
        <c:tickLblPos val="nextTo"/>
        <c:txPr>
          <a:bodyPr/>
          <a:lstStyle/>
          <a:p>
            <a:pPr>
              <a:defRPr sz="800"/>
            </a:pPr>
            <a:endParaRPr lang="en-US"/>
          </a:p>
        </c:txPr>
        <c:crossAx val="367632491"/>
        <c:crosses val="autoZero"/>
        <c:auto val="1"/>
        <c:lblAlgn val="ctr"/>
        <c:lblOffset val="100"/>
        <c:noMultiLvlLbl val="1"/>
      </c:catAx>
      <c:valAx>
        <c:axId val="367632491"/>
        <c:scaling>
          <c:orientation val="minMax"/>
          <c:max val="1250"/>
        </c:scaling>
        <c:delete val="0"/>
        <c:axPos val="l"/>
        <c:title>
          <c:tx>
            <c:rich>
              <a:bodyPr/>
              <a:lstStyle/>
              <a:p>
                <a:pPr>
                  <a:defRPr/>
                </a:pPr>
                <a:endParaRPr lang="en-US"/>
              </a:p>
            </c:rich>
          </c:tx>
          <c:overlay val="0"/>
        </c:title>
        <c:numFmt formatCode="&quot;$&quot;#,##0" sourceLinked="0"/>
        <c:majorTickMark val="out"/>
        <c:minorTickMark val="none"/>
        <c:tickLblPos val="nextTo"/>
        <c:spPr>
          <a:ln/>
        </c:spPr>
        <c:txPr>
          <a:bodyPr/>
          <a:lstStyle/>
          <a:p>
            <a:pPr>
              <a:defRPr sz="800"/>
            </a:pPr>
            <a:endParaRPr lang="en-US"/>
          </a:p>
        </c:txPr>
        <c:crossAx val="78787893"/>
        <c:crosses val="autoZero"/>
        <c:crossBetween val="between"/>
        <c:majorUnit val="250"/>
      </c:valAx>
      <c:valAx>
        <c:axId val="2110835728"/>
        <c:scaling>
          <c:orientation val="minMax"/>
        </c:scaling>
        <c:delete val="0"/>
        <c:axPos val="r"/>
        <c:numFmt formatCode="#,##0.0%_);\(#,##0.0%\);&quot;0.0%&quot;" sourceLinked="0"/>
        <c:majorTickMark val="out"/>
        <c:minorTickMark val="none"/>
        <c:tickLblPos val="nextTo"/>
        <c:txPr>
          <a:bodyPr/>
          <a:lstStyle/>
          <a:p>
            <a:pPr>
              <a:defRPr sz="800"/>
            </a:pPr>
            <a:endParaRPr lang="en-US"/>
          </a:p>
        </c:txPr>
        <c:crossAx val="2110837648"/>
        <c:crosses val="max"/>
        <c:crossBetween val="between"/>
        <c:majorUnit val="0.1"/>
      </c:valAx>
      <c:catAx>
        <c:axId val="2110837648"/>
        <c:scaling>
          <c:orientation val="minMax"/>
        </c:scaling>
        <c:delete val="1"/>
        <c:axPos val="b"/>
        <c:numFmt formatCode="General" sourceLinked="1"/>
        <c:majorTickMark val="out"/>
        <c:minorTickMark val="none"/>
        <c:tickLblPos val="nextTo"/>
        <c:crossAx val="2110835728"/>
        <c:crosses val="autoZero"/>
        <c:auto val="1"/>
        <c:lblAlgn val="ctr"/>
        <c:lblOffset val="100"/>
        <c:noMultiLvlLbl val="0"/>
      </c:catAx>
    </c:plotArea>
    <c:legend>
      <c:legendPos val="b"/>
      <c:overlay val="0"/>
    </c:legend>
    <c:plotVisOnly val="1"/>
    <c:dispBlanksAs val="zero"/>
    <c:showDLblsOverMax val="1"/>
  </c:chart>
  <c:spPr>
    <a:ln>
      <a:noFill/>
    </a:ln>
  </c:spPr>
  <c:txPr>
    <a:bodyPr/>
    <a:lstStyle/>
    <a:p>
      <a:pPr>
        <a:defRPr>
          <a:latin typeface="Abadi ExtraLight" panose="020B0204020104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28188187034641066"/>
          <c:y val="0.14039669815553707"/>
          <c:w val="0.44362787465450026"/>
          <c:h val="0.68060695433912899"/>
        </c:manualLayout>
      </c:layout>
      <c:doughnutChart>
        <c:varyColors val="1"/>
        <c:ser>
          <c:idx val="0"/>
          <c:order val="0"/>
          <c:tx>
            <c:strRef>
              <c:f>Charts!$C$117</c:f>
              <c:strCache>
                <c:ptCount val="1"/>
                <c:pt idx="0">
                  <c:v>Segment Revenue</c:v>
                </c:pt>
              </c:strCache>
            </c:strRef>
          </c:tx>
          <c:dPt>
            <c:idx val="0"/>
            <c:bubble3D val="0"/>
            <c:spPr>
              <a:solidFill>
                <a:srgbClr val="760000"/>
              </a:solidFill>
            </c:spPr>
            <c:extLst>
              <c:ext xmlns:c16="http://schemas.microsoft.com/office/drawing/2014/chart" uri="{C3380CC4-5D6E-409C-BE32-E72D297353CC}">
                <c16:uniqueId val="{00000001-2DB2-4B4C-A37F-584226A81852}"/>
              </c:ext>
            </c:extLst>
          </c:dPt>
          <c:dPt>
            <c:idx val="1"/>
            <c:bubble3D val="0"/>
            <c:explosion val="4"/>
            <c:spPr>
              <a:solidFill>
                <a:srgbClr val="00355F"/>
              </a:solidFill>
            </c:spPr>
            <c:extLst>
              <c:ext xmlns:c16="http://schemas.microsoft.com/office/drawing/2014/chart" uri="{C3380CC4-5D6E-409C-BE32-E72D297353CC}">
                <c16:uniqueId val="{00000002-FE5D-4F11-8E76-5ADEE62A9EBE}"/>
              </c:ext>
            </c:extLst>
          </c:dPt>
          <c:dLbls>
            <c:dLbl>
              <c:idx val="2"/>
              <c:delete val="1"/>
              <c:extLst>
                <c:ext xmlns:c15="http://schemas.microsoft.com/office/drawing/2012/chart" uri="{CE6537A1-D6FC-4f65-9D91-7224C49458BB}"/>
                <c:ext xmlns:c16="http://schemas.microsoft.com/office/drawing/2014/chart" uri="{C3380CC4-5D6E-409C-BE32-E72D297353CC}">
                  <c16:uniqueId val="{00000003-FE5D-4F11-8E76-5ADEE62A9EBE}"/>
                </c:ext>
              </c:extLst>
            </c:dLbl>
            <c:spPr>
              <a:noFill/>
              <a:ln>
                <a:noFill/>
              </a:ln>
              <a:effectLst/>
            </c:spPr>
            <c:txPr>
              <a:bodyPr/>
              <a:lstStyle/>
              <a:p>
                <a:pPr>
                  <a:defRPr>
                    <a:solidFill>
                      <a:schemeClr val="bg2"/>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Charts!$D$116:$F$116</c:f>
              <c:strCache>
                <c:ptCount val="3"/>
                <c:pt idx="0">
                  <c:v>Management &amp; Advisory Fees</c:v>
                </c:pt>
                <c:pt idx="1">
                  <c:v>Incentive Fees</c:v>
                </c:pt>
                <c:pt idx="2">
                  <c:v>Segment 5</c:v>
                </c:pt>
              </c:strCache>
            </c:strRef>
          </c:cat>
          <c:val>
            <c:numRef>
              <c:f>Charts!$D$117:$F$117</c:f>
              <c:numCache>
                <c:formatCode>0%</c:formatCode>
                <c:ptCount val="3"/>
                <c:pt idx="0">
                  <c:v>0.72074466592983666</c:v>
                </c:pt>
                <c:pt idx="1">
                  <c:v>0.27925533407016345</c:v>
                </c:pt>
                <c:pt idx="2">
                  <c:v>0</c:v>
                </c:pt>
              </c:numCache>
            </c:numRef>
          </c:val>
          <c:extLst>
            <c:ext xmlns:c16="http://schemas.microsoft.com/office/drawing/2014/chart" uri="{C3380CC4-5D6E-409C-BE32-E72D297353CC}">
              <c16:uniqueId val="{00000002-2DB2-4B4C-A37F-584226A81852}"/>
            </c:ext>
          </c:extLst>
        </c:ser>
        <c:dLbls>
          <c:showLegendKey val="0"/>
          <c:showVal val="0"/>
          <c:showCatName val="0"/>
          <c:showSerName val="0"/>
          <c:showPercent val="0"/>
          <c:showBubbleSize val="0"/>
          <c:showLeaderLines val="1"/>
        </c:dLbls>
        <c:firstSliceAng val="3"/>
        <c:holeSize val="51"/>
      </c:doughnutChart>
    </c:plotArea>
    <c:legend>
      <c:legendPos val="b"/>
      <c:legendEntry>
        <c:idx val="2"/>
        <c:delete val="1"/>
      </c:legendEntry>
      <c:overlay val="0"/>
    </c:legend>
    <c:plotVisOnly val="1"/>
    <c:dispBlanksAs val="zero"/>
    <c:showDLblsOverMax val="1"/>
  </c:chart>
  <c:spPr>
    <a:ln>
      <a:noFill/>
    </a:ln>
  </c:spPr>
  <c:txPr>
    <a:bodyPr/>
    <a:lstStyle/>
    <a:p>
      <a:pPr>
        <a:defRPr>
          <a:latin typeface="Abadi ExtraLight" panose="020B0204020104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782020119084186"/>
          <c:y val="9.136418991845191E-2"/>
          <c:w val="0.7956494917066369"/>
          <c:h val="0.76576004428900535"/>
        </c:manualLayout>
      </c:layout>
      <c:lineChart>
        <c:grouping val="standard"/>
        <c:varyColors val="0"/>
        <c:ser>
          <c:idx val="0"/>
          <c:order val="0"/>
          <c:tx>
            <c:v>Last Price</c:v>
          </c:tx>
          <c:spPr>
            <a:ln w="25400" cap="rnd">
              <a:solidFill>
                <a:srgbClr val="00355F"/>
              </a:solidFill>
              <a:round/>
            </a:ln>
            <a:effectLst/>
          </c:spPr>
          <c:marker>
            <c:symbol val="none"/>
          </c:marker>
          <c:dPt>
            <c:idx val="251"/>
            <c:bubble3D val="0"/>
            <c:spPr>
              <a:ln w="25400" cap="rnd">
                <a:solidFill>
                  <a:schemeClr val="bg1"/>
                </a:solidFill>
                <a:round/>
              </a:ln>
              <a:effectLst/>
            </c:spPr>
            <c:extLst>
              <c:ext xmlns:c16="http://schemas.microsoft.com/office/drawing/2014/chart" uri="{C3380CC4-5D6E-409C-BE32-E72D297353CC}">
                <c16:uniqueId val="{00000001-6996-4F72-A139-219921DDAD24}"/>
              </c:ext>
            </c:extLst>
          </c:dPt>
          <c:cat>
            <c:numLit>
              <c:formatCode>m/d/yyyy</c:formatCode>
              <c:ptCount val="268"/>
              <c:pt idx="0">
                <c:v>46487</c:v>
              </c:pt>
              <c:pt idx="1">
                <c:v>45940</c:v>
              </c:pt>
              <c:pt idx="2">
                <c:v>45939</c:v>
              </c:pt>
              <c:pt idx="3">
                <c:v>45938</c:v>
              </c:pt>
              <c:pt idx="4">
                <c:v>45937</c:v>
              </c:pt>
              <c:pt idx="5">
                <c:v>45936</c:v>
              </c:pt>
              <c:pt idx="6">
                <c:v>45933</c:v>
              </c:pt>
              <c:pt idx="7">
                <c:v>45932</c:v>
              </c:pt>
              <c:pt idx="8">
                <c:v>45931</c:v>
              </c:pt>
              <c:pt idx="9">
                <c:v>45930</c:v>
              </c:pt>
              <c:pt idx="10">
                <c:v>45929</c:v>
              </c:pt>
              <c:pt idx="11">
                <c:v>45926</c:v>
              </c:pt>
              <c:pt idx="12">
                <c:v>45925</c:v>
              </c:pt>
              <c:pt idx="13">
                <c:v>45924</c:v>
              </c:pt>
              <c:pt idx="14">
                <c:v>45923</c:v>
              </c:pt>
              <c:pt idx="15">
                <c:v>45922</c:v>
              </c:pt>
              <c:pt idx="16">
                <c:v>45919</c:v>
              </c:pt>
              <c:pt idx="17">
                <c:v>45918</c:v>
              </c:pt>
              <c:pt idx="18">
                <c:v>45917</c:v>
              </c:pt>
              <c:pt idx="19">
                <c:v>45916</c:v>
              </c:pt>
              <c:pt idx="20">
                <c:v>45915</c:v>
              </c:pt>
              <c:pt idx="21">
                <c:v>45912</c:v>
              </c:pt>
              <c:pt idx="22">
                <c:v>45911</c:v>
              </c:pt>
              <c:pt idx="23">
                <c:v>45910</c:v>
              </c:pt>
              <c:pt idx="24">
                <c:v>45909</c:v>
              </c:pt>
              <c:pt idx="25">
                <c:v>45908</c:v>
              </c:pt>
              <c:pt idx="26">
                <c:v>45905</c:v>
              </c:pt>
              <c:pt idx="27">
                <c:v>45904</c:v>
              </c:pt>
              <c:pt idx="28">
                <c:v>45903</c:v>
              </c:pt>
              <c:pt idx="29">
                <c:v>45902</c:v>
              </c:pt>
              <c:pt idx="30">
                <c:v>45898</c:v>
              </c:pt>
              <c:pt idx="31">
                <c:v>45897</c:v>
              </c:pt>
              <c:pt idx="32">
                <c:v>45896</c:v>
              </c:pt>
              <c:pt idx="33">
                <c:v>45895</c:v>
              </c:pt>
              <c:pt idx="34">
                <c:v>45894</c:v>
              </c:pt>
              <c:pt idx="35">
                <c:v>45891</c:v>
              </c:pt>
              <c:pt idx="36">
                <c:v>45890</c:v>
              </c:pt>
              <c:pt idx="37">
                <c:v>45889</c:v>
              </c:pt>
              <c:pt idx="38">
                <c:v>45888</c:v>
              </c:pt>
              <c:pt idx="39">
                <c:v>45887</c:v>
              </c:pt>
              <c:pt idx="40">
                <c:v>45884</c:v>
              </c:pt>
              <c:pt idx="41">
                <c:v>45883</c:v>
              </c:pt>
              <c:pt idx="42">
                <c:v>45882</c:v>
              </c:pt>
              <c:pt idx="43">
                <c:v>45881</c:v>
              </c:pt>
              <c:pt idx="44">
                <c:v>45880</c:v>
              </c:pt>
              <c:pt idx="45">
                <c:v>45877</c:v>
              </c:pt>
              <c:pt idx="46">
                <c:v>45876</c:v>
              </c:pt>
              <c:pt idx="47">
                <c:v>45875</c:v>
              </c:pt>
              <c:pt idx="48">
                <c:v>45874</c:v>
              </c:pt>
              <c:pt idx="49">
                <c:v>45873</c:v>
              </c:pt>
              <c:pt idx="50">
                <c:v>45870</c:v>
              </c:pt>
              <c:pt idx="51">
                <c:v>45869</c:v>
              </c:pt>
              <c:pt idx="52">
                <c:v>45868</c:v>
              </c:pt>
              <c:pt idx="53">
                <c:v>45867</c:v>
              </c:pt>
              <c:pt idx="54">
                <c:v>45866</c:v>
              </c:pt>
              <c:pt idx="55">
                <c:v>45863</c:v>
              </c:pt>
              <c:pt idx="56">
                <c:v>45862</c:v>
              </c:pt>
              <c:pt idx="57">
                <c:v>45861</c:v>
              </c:pt>
              <c:pt idx="58">
                <c:v>45860</c:v>
              </c:pt>
              <c:pt idx="59">
                <c:v>45859</c:v>
              </c:pt>
              <c:pt idx="60">
                <c:v>45856</c:v>
              </c:pt>
              <c:pt idx="61">
                <c:v>45855</c:v>
              </c:pt>
              <c:pt idx="62">
                <c:v>45854</c:v>
              </c:pt>
              <c:pt idx="63">
                <c:v>45853</c:v>
              </c:pt>
              <c:pt idx="64">
                <c:v>45852</c:v>
              </c:pt>
              <c:pt idx="65">
                <c:v>45849</c:v>
              </c:pt>
              <c:pt idx="66">
                <c:v>45848</c:v>
              </c:pt>
              <c:pt idx="67">
                <c:v>45847</c:v>
              </c:pt>
              <c:pt idx="68">
                <c:v>45846</c:v>
              </c:pt>
              <c:pt idx="69">
                <c:v>45845</c:v>
              </c:pt>
              <c:pt idx="70">
                <c:v>45841</c:v>
              </c:pt>
              <c:pt idx="71">
                <c:v>45840</c:v>
              </c:pt>
              <c:pt idx="72">
                <c:v>45839</c:v>
              </c:pt>
              <c:pt idx="73">
                <c:v>45838</c:v>
              </c:pt>
              <c:pt idx="74">
                <c:v>45835</c:v>
              </c:pt>
              <c:pt idx="75">
                <c:v>45834</c:v>
              </c:pt>
              <c:pt idx="76">
                <c:v>45833</c:v>
              </c:pt>
              <c:pt idx="77">
                <c:v>45832</c:v>
              </c:pt>
              <c:pt idx="78">
                <c:v>45831</c:v>
              </c:pt>
              <c:pt idx="79">
                <c:v>45828</c:v>
              </c:pt>
              <c:pt idx="80">
                <c:v>45826</c:v>
              </c:pt>
              <c:pt idx="81">
                <c:v>45825</c:v>
              </c:pt>
              <c:pt idx="82">
                <c:v>45824</c:v>
              </c:pt>
              <c:pt idx="83">
                <c:v>45821</c:v>
              </c:pt>
              <c:pt idx="84">
                <c:v>45820</c:v>
              </c:pt>
              <c:pt idx="85">
                <c:v>45819</c:v>
              </c:pt>
              <c:pt idx="86">
                <c:v>45818</c:v>
              </c:pt>
              <c:pt idx="87">
                <c:v>45817</c:v>
              </c:pt>
              <c:pt idx="88">
                <c:v>45814</c:v>
              </c:pt>
              <c:pt idx="89">
                <c:v>45813</c:v>
              </c:pt>
              <c:pt idx="90">
                <c:v>45812</c:v>
              </c:pt>
              <c:pt idx="91">
                <c:v>45811</c:v>
              </c:pt>
              <c:pt idx="92">
                <c:v>45810</c:v>
              </c:pt>
              <c:pt idx="93">
                <c:v>45807</c:v>
              </c:pt>
              <c:pt idx="94">
                <c:v>45806</c:v>
              </c:pt>
              <c:pt idx="95">
                <c:v>45805</c:v>
              </c:pt>
              <c:pt idx="96">
                <c:v>45804</c:v>
              </c:pt>
              <c:pt idx="97">
                <c:v>45800</c:v>
              </c:pt>
              <c:pt idx="98">
                <c:v>45799</c:v>
              </c:pt>
              <c:pt idx="99">
                <c:v>45798</c:v>
              </c:pt>
              <c:pt idx="100">
                <c:v>45797</c:v>
              </c:pt>
              <c:pt idx="101">
                <c:v>45796</c:v>
              </c:pt>
              <c:pt idx="102">
                <c:v>45793</c:v>
              </c:pt>
              <c:pt idx="103">
                <c:v>45792</c:v>
              </c:pt>
              <c:pt idx="104">
                <c:v>45791</c:v>
              </c:pt>
              <c:pt idx="105">
                <c:v>45790</c:v>
              </c:pt>
              <c:pt idx="106">
                <c:v>45789</c:v>
              </c:pt>
              <c:pt idx="107">
                <c:v>45786</c:v>
              </c:pt>
              <c:pt idx="108">
                <c:v>45785</c:v>
              </c:pt>
              <c:pt idx="109">
                <c:v>45784</c:v>
              </c:pt>
              <c:pt idx="110">
                <c:v>45783</c:v>
              </c:pt>
              <c:pt idx="111">
                <c:v>45782</c:v>
              </c:pt>
              <c:pt idx="112">
                <c:v>45779</c:v>
              </c:pt>
              <c:pt idx="113">
                <c:v>45778</c:v>
              </c:pt>
              <c:pt idx="114">
                <c:v>45777</c:v>
              </c:pt>
              <c:pt idx="115">
                <c:v>45776</c:v>
              </c:pt>
              <c:pt idx="116">
                <c:v>45775</c:v>
              </c:pt>
              <c:pt idx="117">
                <c:v>45772</c:v>
              </c:pt>
              <c:pt idx="118">
                <c:v>45771</c:v>
              </c:pt>
              <c:pt idx="119">
                <c:v>45770</c:v>
              </c:pt>
              <c:pt idx="120">
                <c:v>45769</c:v>
              </c:pt>
              <c:pt idx="121">
                <c:v>45768</c:v>
              </c:pt>
              <c:pt idx="122">
                <c:v>45764</c:v>
              </c:pt>
              <c:pt idx="123">
                <c:v>45763</c:v>
              </c:pt>
              <c:pt idx="124">
                <c:v>45762</c:v>
              </c:pt>
              <c:pt idx="125">
                <c:v>45761</c:v>
              </c:pt>
              <c:pt idx="126">
                <c:v>45758</c:v>
              </c:pt>
              <c:pt idx="127">
                <c:v>45757</c:v>
              </c:pt>
              <c:pt idx="128">
                <c:v>45756</c:v>
              </c:pt>
              <c:pt idx="129">
                <c:v>45755</c:v>
              </c:pt>
              <c:pt idx="130">
                <c:v>45754</c:v>
              </c:pt>
              <c:pt idx="131">
                <c:v>45751</c:v>
              </c:pt>
              <c:pt idx="132">
                <c:v>45750</c:v>
              </c:pt>
              <c:pt idx="133">
                <c:v>45749</c:v>
              </c:pt>
              <c:pt idx="134">
                <c:v>45748</c:v>
              </c:pt>
              <c:pt idx="135">
                <c:v>45747</c:v>
              </c:pt>
              <c:pt idx="136">
                <c:v>45744</c:v>
              </c:pt>
              <c:pt idx="137">
                <c:v>45743</c:v>
              </c:pt>
              <c:pt idx="138">
                <c:v>45742</c:v>
              </c:pt>
              <c:pt idx="139">
                <c:v>45741</c:v>
              </c:pt>
              <c:pt idx="140">
                <c:v>45740</c:v>
              </c:pt>
              <c:pt idx="141">
                <c:v>45737</c:v>
              </c:pt>
              <c:pt idx="142">
                <c:v>45736</c:v>
              </c:pt>
              <c:pt idx="143">
                <c:v>45735</c:v>
              </c:pt>
              <c:pt idx="144">
                <c:v>45734</c:v>
              </c:pt>
              <c:pt idx="145">
                <c:v>45733</c:v>
              </c:pt>
              <c:pt idx="146">
                <c:v>45730</c:v>
              </c:pt>
              <c:pt idx="147">
                <c:v>45729</c:v>
              </c:pt>
              <c:pt idx="148">
                <c:v>45728</c:v>
              </c:pt>
              <c:pt idx="149">
                <c:v>45727</c:v>
              </c:pt>
              <c:pt idx="150">
                <c:v>45726</c:v>
              </c:pt>
              <c:pt idx="151">
                <c:v>45723</c:v>
              </c:pt>
              <c:pt idx="152">
                <c:v>45722</c:v>
              </c:pt>
              <c:pt idx="153">
                <c:v>45721</c:v>
              </c:pt>
              <c:pt idx="154">
                <c:v>45720</c:v>
              </c:pt>
              <c:pt idx="155">
                <c:v>45719</c:v>
              </c:pt>
              <c:pt idx="156">
                <c:v>45716</c:v>
              </c:pt>
              <c:pt idx="157">
                <c:v>45715</c:v>
              </c:pt>
              <c:pt idx="158">
                <c:v>45714</c:v>
              </c:pt>
              <c:pt idx="159">
                <c:v>45713</c:v>
              </c:pt>
              <c:pt idx="160">
                <c:v>45712</c:v>
              </c:pt>
              <c:pt idx="161">
                <c:v>45709</c:v>
              </c:pt>
              <c:pt idx="162">
                <c:v>45708</c:v>
              </c:pt>
              <c:pt idx="163">
                <c:v>45707</c:v>
              </c:pt>
              <c:pt idx="164">
                <c:v>45706</c:v>
              </c:pt>
              <c:pt idx="165">
                <c:v>45702</c:v>
              </c:pt>
              <c:pt idx="166">
                <c:v>45701</c:v>
              </c:pt>
              <c:pt idx="167">
                <c:v>45700</c:v>
              </c:pt>
              <c:pt idx="168">
                <c:v>45699</c:v>
              </c:pt>
              <c:pt idx="169">
                <c:v>45698</c:v>
              </c:pt>
              <c:pt idx="170">
                <c:v>45695</c:v>
              </c:pt>
              <c:pt idx="171">
                <c:v>45694</c:v>
              </c:pt>
              <c:pt idx="172">
                <c:v>45693</c:v>
              </c:pt>
              <c:pt idx="173">
                <c:v>45692</c:v>
              </c:pt>
              <c:pt idx="174">
                <c:v>45691</c:v>
              </c:pt>
              <c:pt idx="175">
                <c:v>45688</c:v>
              </c:pt>
              <c:pt idx="176">
                <c:v>45687</c:v>
              </c:pt>
              <c:pt idx="177">
                <c:v>45686</c:v>
              </c:pt>
              <c:pt idx="178">
                <c:v>45685</c:v>
              </c:pt>
              <c:pt idx="179">
                <c:v>45684</c:v>
              </c:pt>
              <c:pt idx="180">
                <c:v>45681</c:v>
              </c:pt>
              <c:pt idx="181">
                <c:v>45680</c:v>
              </c:pt>
              <c:pt idx="182">
                <c:v>45679</c:v>
              </c:pt>
              <c:pt idx="183">
                <c:v>45678</c:v>
              </c:pt>
              <c:pt idx="184">
                <c:v>45674</c:v>
              </c:pt>
              <c:pt idx="185">
                <c:v>45673</c:v>
              </c:pt>
              <c:pt idx="186">
                <c:v>45672</c:v>
              </c:pt>
              <c:pt idx="187">
                <c:v>45671</c:v>
              </c:pt>
              <c:pt idx="188">
                <c:v>45670</c:v>
              </c:pt>
              <c:pt idx="189">
                <c:v>45667</c:v>
              </c:pt>
              <c:pt idx="190">
                <c:v>45665</c:v>
              </c:pt>
              <c:pt idx="191">
                <c:v>45664</c:v>
              </c:pt>
              <c:pt idx="192">
                <c:v>45663</c:v>
              </c:pt>
              <c:pt idx="193">
                <c:v>45660</c:v>
              </c:pt>
              <c:pt idx="194">
                <c:v>45659</c:v>
              </c:pt>
              <c:pt idx="195">
                <c:v>45657</c:v>
              </c:pt>
              <c:pt idx="196">
                <c:v>45656</c:v>
              </c:pt>
              <c:pt idx="197">
                <c:v>45653</c:v>
              </c:pt>
              <c:pt idx="198">
                <c:v>45652</c:v>
              </c:pt>
              <c:pt idx="199">
                <c:v>45650</c:v>
              </c:pt>
              <c:pt idx="200">
                <c:v>45649</c:v>
              </c:pt>
              <c:pt idx="201">
                <c:v>45646</c:v>
              </c:pt>
              <c:pt idx="202">
                <c:v>45645</c:v>
              </c:pt>
              <c:pt idx="203">
                <c:v>45644</c:v>
              </c:pt>
              <c:pt idx="204">
                <c:v>45643</c:v>
              </c:pt>
              <c:pt idx="205">
                <c:v>45642</c:v>
              </c:pt>
              <c:pt idx="206">
                <c:v>45639</c:v>
              </c:pt>
              <c:pt idx="207">
                <c:v>45638</c:v>
              </c:pt>
              <c:pt idx="208">
                <c:v>45637</c:v>
              </c:pt>
              <c:pt idx="209">
                <c:v>45636</c:v>
              </c:pt>
              <c:pt idx="210">
                <c:v>45635</c:v>
              </c:pt>
              <c:pt idx="211">
                <c:v>45632</c:v>
              </c:pt>
              <c:pt idx="212">
                <c:v>45631</c:v>
              </c:pt>
              <c:pt idx="213">
                <c:v>45630</c:v>
              </c:pt>
              <c:pt idx="214">
                <c:v>45629</c:v>
              </c:pt>
              <c:pt idx="215">
                <c:v>45628</c:v>
              </c:pt>
              <c:pt idx="216">
                <c:v>45625</c:v>
              </c:pt>
              <c:pt idx="217">
                <c:v>45623</c:v>
              </c:pt>
              <c:pt idx="218">
                <c:v>45622</c:v>
              </c:pt>
              <c:pt idx="219">
                <c:v>45621</c:v>
              </c:pt>
              <c:pt idx="220">
                <c:v>45618</c:v>
              </c:pt>
              <c:pt idx="221">
                <c:v>45617</c:v>
              </c:pt>
              <c:pt idx="222">
                <c:v>45616</c:v>
              </c:pt>
              <c:pt idx="223">
                <c:v>45615</c:v>
              </c:pt>
              <c:pt idx="224">
                <c:v>45614</c:v>
              </c:pt>
              <c:pt idx="225">
                <c:v>45611</c:v>
              </c:pt>
              <c:pt idx="226">
                <c:v>45610</c:v>
              </c:pt>
              <c:pt idx="227">
                <c:v>45609</c:v>
              </c:pt>
              <c:pt idx="228">
                <c:v>45608</c:v>
              </c:pt>
              <c:pt idx="229">
                <c:v>45607</c:v>
              </c:pt>
              <c:pt idx="230">
                <c:v>45604</c:v>
              </c:pt>
              <c:pt idx="231">
                <c:v>45603</c:v>
              </c:pt>
              <c:pt idx="232">
                <c:v>45602</c:v>
              </c:pt>
              <c:pt idx="233">
                <c:v>45601</c:v>
              </c:pt>
              <c:pt idx="234">
                <c:v>45600</c:v>
              </c:pt>
              <c:pt idx="235">
                <c:v>45597</c:v>
              </c:pt>
              <c:pt idx="236">
                <c:v>45596</c:v>
              </c:pt>
              <c:pt idx="237">
                <c:v>45595</c:v>
              </c:pt>
              <c:pt idx="238">
                <c:v>45594</c:v>
              </c:pt>
              <c:pt idx="239">
                <c:v>45593</c:v>
              </c:pt>
              <c:pt idx="240">
                <c:v>45590</c:v>
              </c:pt>
              <c:pt idx="241">
                <c:v>45589</c:v>
              </c:pt>
              <c:pt idx="242">
                <c:v>45588</c:v>
              </c:pt>
              <c:pt idx="243">
                <c:v>45587</c:v>
              </c:pt>
              <c:pt idx="244">
                <c:v>45586</c:v>
              </c:pt>
              <c:pt idx="245">
                <c:v>45583</c:v>
              </c:pt>
              <c:pt idx="246">
                <c:v>45582</c:v>
              </c:pt>
              <c:pt idx="247">
                <c:v>45581</c:v>
              </c:pt>
              <c:pt idx="248">
                <c:v>45580</c:v>
              </c:pt>
              <c:pt idx="249">
                <c:v>45579</c:v>
              </c:pt>
              <c:pt idx="250">
                <c:v>45576</c:v>
              </c:pt>
              <c:pt idx="251">
                <c:v>45575</c:v>
              </c:pt>
            </c:numLit>
          </c:cat>
          <c:val>
            <c:numLit>
              <c:formatCode>_(* #,##0.00_);_(* \(#,##0.00\);_(* "-"??_);_(@_)</c:formatCode>
              <c:ptCount val="267"/>
              <c:pt idx="0" formatCode="&quot;$&quot;#,##0.00_);\(&quot;$&quot;#,##0.00\)">
                <c:v>118.26000213623</c:v>
              </c:pt>
              <c:pt idx="1">
                <c:v>118.85</c:v>
              </c:pt>
              <c:pt idx="2">
                <c:v>119.8</c:v>
              </c:pt>
              <c:pt idx="3">
                <c:v>122.6</c:v>
              </c:pt>
              <c:pt idx="4">
                <c:v>125.09</c:v>
              </c:pt>
              <c:pt idx="5">
                <c:v>127.6</c:v>
              </c:pt>
              <c:pt idx="6">
                <c:v>126.55</c:v>
              </c:pt>
              <c:pt idx="7">
                <c:v>128.80000000000001</c:v>
              </c:pt>
              <c:pt idx="8">
                <c:v>134.79</c:v>
              </c:pt>
              <c:pt idx="9">
                <c:v>139</c:v>
              </c:pt>
              <c:pt idx="10">
                <c:v>140.9</c:v>
              </c:pt>
              <c:pt idx="11">
                <c:v>139.66</c:v>
              </c:pt>
              <c:pt idx="12">
                <c:v>142.78</c:v>
              </c:pt>
              <c:pt idx="13">
                <c:v>149.9</c:v>
              </c:pt>
              <c:pt idx="14">
                <c:v>149.15</c:v>
              </c:pt>
              <c:pt idx="15">
                <c:v>150.36000000000001</c:v>
              </c:pt>
              <c:pt idx="16">
                <c:v>150.98500000000001</c:v>
              </c:pt>
              <c:pt idx="17">
                <c:v>146.13</c:v>
              </c:pt>
              <c:pt idx="18">
                <c:v>147.58000000000001</c:v>
              </c:pt>
              <c:pt idx="19">
                <c:v>146.53</c:v>
              </c:pt>
              <c:pt idx="20">
                <c:v>148.79</c:v>
              </c:pt>
              <c:pt idx="21">
                <c:v>153.80000000000001</c:v>
              </c:pt>
              <c:pt idx="22">
                <c:v>149.25</c:v>
              </c:pt>
              <c:pt idx="23">
                <c:v>147.94</c:v>
              </c:pt>
              <c:pt idx="24">
                <c:v>148.66</c:v>
              </c:pt>
              <c:pt idx="25">
                <c:v>146.12</c:v>
              </c:pt>
              <c:pt idx="26">
                <c:v>147.04</c:v>
              </c:pt>
              <c:pt idx="27">
                <c:v>143.78</c:v>
              </c:pt>
              <c:pt idx="28">
                <c:v>150.65</c:v>
              </c:pt>
              <c:pt idx="29">
                <c:v>154.34</c:v>
              </c:pt>
              <c:pt idx="30">
                <c:v>154.86000000000001</c:v>
              </c:pt>
              <c:pt idx="31">
                <c:v>154.52000000000001</c:v>
              </c:pt>
              <c:pt idx="32">
                <c:v>154.34</c:v>
              </c:pt>
              <c:pt idx="33">
                <c:v>154.30000000000001</c:v>
              </c:pt>
              <c:pt idx="34">
                <c:v>156.75</c:v>
              </c:pt>
              <c:pt idx="35">
                <c:v>149.86000000000001</c:v>
              </c:pt>
              <c:pt idx="36">
                <c:v>150.41999999999999</c:v>
              </c:pt>
              <c:pt idx="37">
                <c:v>150.91999999999999</c:v>
              </c:pt>
              <c:pt idx="38">
                <c:v>155.4</c:v>
              </c:pt>
              <c:pt idx="39">
                <c:v>155.46</c:v>
              </c:pt>
              <c:pt idx="40">
                <c:v>158.44</c:v>
              </c:pt>
              <c:pt idx="41">
                <c:v>160.88</c:v>
              </c:pt>
              <c:pt idx="42">
                <c:v>158.66999999999999</c:v>
              </c:pt>
              <c:pt idx="43">
                <c:v>152.55000000000001</c:v>
              </c:pt>
              <c:pt idx="44">
                <c:v>154.54</c:v>
              </c:pt>
              <c:pt idx="45">
                <c:v>153.19</c:v>
              </c:pt>
              <c:pt idx="46">
                <c:v>156.57</c:v>
              </c:pt>
              <c:pt idx="47">
                <c:v>156.77000000000001</c:v>
              </c:pt>
              <c:pt idx="48">
                <c:v>150.9</c:v>
              </c:pt>
              <c:pt idx="49">
                <c:v>147.79</c:v>
              </c:pt>
              <c:pt idx="50">
                <c:v>152.30000000000001</c:v>
              </c:pt>
              <c:pt idx="51">
                <c:v>155.5</c:v>
              </c:pt>
              <c:pt idx="52">
                <c:v>155.09</c:v>
              </c:pt>
              <c:pt idx="53">
                <c:v>155.78</c:v>
              </c:pt>
              <c:pt idx="54">
                <c:v>156.86000000000001</c:v>
              </c:pt>
              <c:pt idx="55">
                <c:v>156.57</c:v>
              </c:pt>
              <c:pt idx="56">
                <c:v>155.52000000000001</c:v>
              </c:pt>
              <c:pt idx="57">
                <c:v>154.27000000000001</c:v>
              </c:pt>
              <c:pt idx="58">
                <c:v>151.87</c:v>
              </c:pt>
              <c:pt idx="59">
                <c:v>154.63999999999999</c:v>
              </c:pt>
              <c:pt idx="60">
                <c:v>159.1</c:v>
              </c:pt>
              <c:pt idx="61">
                <c:v>151.94999999999999</c:v>
              </c:pt>
              <c:pt idx="62">
                <c:v>145.72</c:v>
              </c:pt>
              <c:pt idx="63">
                <c:v>150.31</c:v>
              </c:pt>
              <c:pt idx="64">
                <c:v>151.38</c:v>
              </c:pt>
              <c:pt idx="65">
                <c:v>153.22999999999999</c:v>
              </c:pt>
              <c:pt idx="66">
                <c:v>149.09</c:v>
              </c:pt>
              <c:pt idx="67">
                <c:v>147.15</c:v>
              </c:pt>
              <c:pt idx="68">
                <c:v>146.1</c:v>
              </c:pt>
              <c:pt idx="69">
                <c:v>147.02000000000001</c:v>
              </c:pt>
              <c:pt idx="70">
                <c:v>145.15</c:v>
              </c:pt>
              <c:pt idx="71">
                <c:v>144.79</c:v>
              </c:pt>
              <c:pt idx="72">
                <c:v>142.12</c:v>
              </c:pt>
              <c:pt idx="73">
                <c:v>144.13999999999999</c:v>
              </c:pt>
              <c:pt idx="74">
                <c:v>144.24</c:v>
              </c:pt>
              <c:pt idx="75">
                <c:v>142.52000000000001</c:v>
              </c:pt>
              <c:pt idx="76">
                <c:v>142.66999999999999</c:v>
              </c:pt>
              <c:pt idx="77">
                <c:v>138.84</c:v>
              </c:pt>
              <c:pt idx="78">
                <c:v>136.69</c:v>
              </c:pt>
              <c:pt idx="79">
                <c:v>136.97999999999999</c:v>
              </c:pt>
              <c:pt idx="80">
                <c:v>135.91</c:v>
              </c:pt>
              <c:pt idx="81">
                <c:v>137.53</c:v>
              </c:pt>
              <c:pt idx="82">
                <c:v>138.94999999999999</c:v>
              </c:pt>
              <c:pt idx="83">
                <c:v>146.49</c:v>
              </c:pt>
              <c:pt idx="84">
                <c:v>147.34</c:v>
              </c:pt>
              <c:pt idx="85">
                <c:v>151.66999999999999</c:v>
              </c:pt>
              <c:pt idx="86">
                <c:v>151.72999999999999</c:v>
              </c:pt>
              <c:pt idx="87">
                <c:v>150.82</c:v>
              </c:pt>
              <c:pt idx="88">
                <c:v>150.63</c:v>
              </c:pt>
              <c:pt idx="89">
                <c:v>149.08000000000001</c:v>
              </c:pt>
              <c:pt idx="90">
                <c:v>149.51</c:v>
              </c:pt>
              <c:pt idx="91">
                <c:v>148.96</c:v>
              </c:pt>
              <c:pt idx="92">
                <c:v>149</c:v>
              </c:pt>
              <c:pt idx="93">
                <c:v>156.08000000000001</c:v>
              </c:pt>
              <c:pt idx="94">
                <c:v>175.49</c:v>
              </c:pt>
              <c:pt idx="95">
                <c:v>172.6</c:v>
              </c:pt>
              <c:pt idx="96">
                <c:v>165.41</c:v>
              </c:pt>
              <c:pt idx="97">
                <c:v>163.86</c:v>
              </c:pt>
              <c:pt idx="98">
                <c:v>161.72</c:v>
              </c:pt>
              <c:pt idx="99">
                <c:v>169.7</c:v>
              </c:pt>
              <c:pt idx="100">
                <c:v>172.52</c:v>
              </c:pt>
              <c:pt idx="101">
                <c:v>172.74</c:v>
              </c:pt>
              <c:pt idx="102">
                <c:v>170.11</c:v>
              </c:pt>
              <c:pt idx="103">
                <c:v>174.82</c:v>
              </c:pt>
              <c:pt idx="104">
                <c:v>174.04</c:v>
              </c:pt>
              <c:pt idx="105">
                <c:v>172.95</c:v>
              </c:pt>
              <c:pt idx="106">
                <c:v>162.68</c:v>
              </c:pt>
              <c:pt idx="107">
                <c:v>162.69999999999999</c:v>
              </c:pt>
              <c:pt idx="108">
                <c:v>158.62</c:v>
              </c:pt>
              <c:pt idx="109">
                <c:v>157.71</c:v>
              </c:pt>
              <c:pt idx="110">
                <c:v>160.37</c:v>
              </c:pt>
              <c:pt idx="111">
                <c:v>160.59</c:v>
              </c:pt>
              <c:pt idx="112">
                <c:v>155.62</c:v>
              </c:pt>
              <c:pt idx="113">
                <c:v>154.49</c:v>
              </c:pt>
              <c:pt idx="114">
                <c:v>154.51</c:v>
              </c:pt>
              <c:pt idx="115">
                <c:v>150.59</c:v>
              </c:pt>
              <c:pt idx="116">
                <c:v>148.34</c:v>
              </c:pt>
              <c:pt idx="117">
                <c:v>148.01</c:v>
              </c:pt>
              <c:pt idx="118">
                <c:v>144.1</c:v>
              </c:pt>
              <c:pt idx="119">
                <c:v>136.68</c:v>
              </c:pt>
              <c:pt idx="120">
                <c:v>131.4</c:v>
              </c:pt>
              <c:pt idx="121">
                <c:v>137.72999999999999</c:v>
              </c:pt>
              <c:pt idx="122">
                <c:v>135.05000000000001</c:v>
              </c:pt>
              <c:pt idx="123">
                <c:v>141.35</c:v>
              </c:pt>
              <c:pt idx="124">
                <c:v>140.87</c:v>
              </c:pt>
              <c:pt idx="125">
                <c:v>137.21</c:v>
              </c:pt>
              <c:pt idx="126">
                <c:v>138.07</c:v>
              </c:pt>
              <c:pt idx="127">
                <c:v>147.08000000000001</c:v>
              </c:pt>
              <c:pt idx="128">
                <c:v>126.65</c:v>
              </c:pt>
              <c:pt idx="129">
                <c:v>134.12</c:v>
              </c:pt>
              <c:pt idx="130">
                <c:v>135.66</c:v>
              </c:pt>
              <c:pt idx="131">
                <c:v>140.88999999999999</c:v>
              </c:pt>
              <c:pt idx="132">
                <c:v>155.47999999999999</c:v>
              </c:pt>
              <c:pt idx="133">
                <c:v>151.91999999999999</c:v>
              </c:pt>
              <c:pt idx="134">
                <c:v>148.66999999999999</c:v>
              </c:pt>
              <c:pt idx="135">
                <c:v>147.08000000000001</c:v>
              </c:pt>
              <c:pt idx="136">
                <c:v>150.81</c:v>
              </c:pt>
              <c:pt idx="137">
                <c:v>154.02000000000001</c:v>
              </c:pt>
              <c:pt idx="138">
                <c:v>157.61000000000001</c:v>
              </c:pt>
              <c:pt idx="139">
                <c:v>155.88999999999999</c:v>
              </c:pt>
              <c:pt idx="140">
                <c:v>150.63999999999999</c:v>
              </c:pt>
              <c:pt idx="141">
                <c:v>149.19999999999999</c:v>
              </c:pt>
              <c:pt idx="142">
                <c:v>150.57</c:v>
              </c:pt>
              <c:pt idx="143">
                <c:v>144.74</c:v>
              </c:pt>
              <c:pt idx="144">
                <c:v>145.15</c:v>
              </c:pt>
              <c:pt idx="145">
                <c:v>142.56</c:v>
              </c:pt>
              <c:pt idx="146">
                <c:v>139.01</c:v>
              </c:pt>
              <c:pt idx="147">
                <c:v>141.47</c:v>
              </c:pt>
              <c:pt idx="148">
                <c:v>140.05000000000001</c:v>
              </c:pt>
              <c:pt idx="149">
                <c:v>137.87</c:v>
              </c:pt>
              <c:pt idx="150">
                <c:v>145.94</c:v>
              </c:pt>
              <c:pt idx="151">
                <c:v>147.59</c:v>
              </c:pt>
              <c:pt idx="152">
                <c:v>153.03</c:v>
              </c:pt>
              <c:pt idx="153">
                <c:v>146.94</c:v>
              </c:pt>
              <c:pt idx="154">
                <c:v>152.59</c:v>
              </c:pt>
              <c:pt idx="155">
                <c:v>156.32</c:v>
              </c:pt>
              <c:pt idx="156">
                <c:v>151.65</c:v>
              </c:pt>
              <c:pt idx="157">
                <c:v>153.78</c:v>
              </c:pt>
              <c:pt idx="158">
                <c:v>153.97999999999999</c:v>
              </c:pt>
              <c:pt idx="159">
                <c:v>153.13999999999999</c:v>
              </c:pt>
              <c:pt idx="160">
                <c:v>151.46</c:v>
              </c:pt>
              <c:pt idx="161">
                <c:v>157.26</c:v>
              </c:pt>
              <c:pt idx="162">
                <c:v>159.96</c:v>
              </c:pt>
              <c:pt idx="163">
                <c:v>159.52000000000001</c:v>
              </c:pt>
              <c:pt idx="164">
                <c:v>156.19</c:v>
              </c:pt>
              <c:pt idx="165">
                <c:v>151.83000000000001</c:v>
              </c:pt>
              <c:pt idx="166">
                <c:v>153.87</c:v>
              </c:pt>
              <c:pt idx="167">
                <c:v>156.59</c:v>
              </c:pt>
              <c:pt idx="168">
                <c:v>166.39</c:v>
              </c:pt>
              <c:pt idx="169">
                <c:v>167.19</c:v>
              </c:pt>
              <c:pt idx="170">
                <c:v>166.83</c:v>
              </c:pt>
              <c:pt idx="171">
                <c:v>170.18</c:v>
              </c:pt>
              <c:pt idx="172">
                <c:v>161.4</c:v>
              </c:pt>
              <c:pt idx="173">
                <c:v>158</c:v>
              </c:pt>
              <c:pt idx="174">
                <c:v>159.18</c:v>
              </c:pt>
              <c:pt idx="175">
                <c:v>159.46</c:v>
              </c:pt>
              <c:pt idx="176">
                <c:v>157.38</c:v>
              </c:pt>
              <c:pt idx="177">
                <c:v>159.6</c:v>
              </c:pt>
              <c:pt idx="178">
                <c:v>158.63</c:v>
              </c:pt>
              <c:pt idx="179">
                <c:v>160.99</c:v>
              </c:pt>
              <c:pt idx="180">
                <c:v>159.86000000000001</c:v>
              </c:pt>
              <c:pt idx="181">
                <c:v>160.13999999999999</c:v>
              </c:pt>
              <c:pt idx="182">
                <c:v>157.13</c:v>
              </c:pt>
              <c:pt idx="183">
                <c:v>150.26</c:v>
              </c:pt>
              <c:pt idx="184">
                <c:v>149.59</c:v>
              </c:pt>
              <c:pt idx="185">
                <c:v>144.61000000000001</c:v>
              </c:pt>
              <c:pt idx="186">
                <c:v>141.13999999999999</c:v>
              </c:pt>
              <c:pt idx="187">
                <c:v>138.05000000000001</c:v>
              </c:pt>
              <c:pt idx="188">
                <c:v>139.76</c:v>
              </c:pt>
              <c:pt idx="189">
                <c:v>147.93</c:v>
              </c:pt>
              <c:pt idx="190">
                <c:v>147.26499999999999</c:v>
              </c:pt>
              <c:pt idx="191">
                <c:v>146.74</c:v>
              </c:pt>
              <c:pt idx="192">
                <c:v>150.27000000000001</c:v>
              </c:pt>
              <c:pt idx="193">
                <c:v>149.15</c:v>
              </c:pt>
              <c:pt idx="194">
                <c:v>148.05000000000001</c:v>
              </c:pt>
              <c:pt idx="195">
                <c:v>147.78</c:v>
              </c:pt>
              <c:pt idx="196">
                <c:v>151.55000000000001</c:v>
              </c:pt>
              <c:pt idx="197">
                <c:v>154</c:v>
              </c:pt>
              <c:pt idx="198">
                <c:v>150.58000000000001</c:v>
              </c:pt>
              <c:pt idx="199">
                <c:v>150.07</c:v>
              </c:pt>
              <c:pt idx="200">
                <c:v>150.68</c:v>
              </c:pt>
              <c:pt idx="201">
                <c:v>151.4</c:v>
              </c:pt>
              <c:pt idx="202">
                <c:v>152.51</c:v>
              </c:pt>
              <c:pt idx="203">
                <c:v>163.41</c:v>
              </c:pt>
              <c:pt idx="204">
                <c:v>167.52</c:v>
              </c:pt>
              <c:pt idx="205">
                <c:v>169.24</c:v>
              </c:pt>
              <c:pt idx="206">
                <c:v>171.23</c:v>
              </c:pt>
              <c:pt idx="207">
                <c:v>173.99</c:v>
              </c:pt>
              <c:pt idx="208">
                <c:v>174.55</c:v>
              </c:pt>
              <c:pt idx="209">
                <c:v>176.8</c:v>
              </c:pt>
              <c:pt idx="210">
                <c:v>181.48</c:v>
              </c:pt>
              <c:pt idx="211">
                <c:v>185.47</c:v>
              </c:pt>
              <c:pt idx="212">
                <c:v>190.7</c:v>
              </c:pt>
              <c:pt idx="213">
                <c:v>191.96</c:v>
              </c:pt>
              <c:pt idx="214">
                <c:v>191.92</c:v>
              </c:pt>
              <c:pt idx="215">
                <c:v>192.4</c:v>
              </c:pt>
              <c:pt idx="216">
                <c:v>192.02</c:v>
              </c:pt>
              <c:pt idx="217">
                <c:v>199.36</c:v>
              </c:pt>
              <c:pt idx="218">
                <c:v>201.57</c:v>
              </c:pt>
              <c:pt idx="219">
                <c:v>199.55</c:v>
              </c:pt>
              <c:pt idx="220">
                <c:v>198.17</c:v>
              </c:pt>
              <c:pt idx="221">
                <c:v>194.48</c:v>
              </c:pt>
              <c:pt idx="222">
                <c:v>194.41</c:v>
              </c:pt>
              <c:pt idx="223">
                <c:v>191.33</c:v>
              </c:pt>
              <c:pt idx="224">
                <c:v>191.88</c:v>
              </c:pt>
              <c:pt idx="225">
                <c:v>193.18</c:v>
              </c:pt>
              <c:pt idx="226">
                <c:v>190.39</c:v>
              </c:pt>
              <c:pt idx="227">
                <c:v>196.9</c:v>
              </c:pt>
              <c:pt idx="228">
                <c:v>201.62</c:v>
              </c:pt>
              <c:pt idx="229">
                <c:v>194.47</c:v>
              </c:pt>
              <c:pt idx="230">
                <c:v>189.42</c:v>
              </c:pt>
              <c:pt idx="231">
                <c:v>192.63</c:v>
              </c:pt>
              <c:pt idx="232">
                <c:v>180.24</c:v>
              </c:pt>
              <c:pt idx="233">
                <c:v>178.65</c:v>
              </c:pt>
              <c:pt idx="234">
                <c:v>179.9</c:v>
              </c:pt>
              <c:pt idx="235">
                <c:v>179.64</c:v>
              </c:pt>
              <c:pt idx="236">
                <c:v>182.22</c:v>
              </c:pt>
              <c:pt idx="237">
                <c:v>182.82</c:v>
              </c:pt>
              <c:pt idx="238">
                <c:v>182.61</c:v>
              </c:pt>
              <c:pt idx="239">
                <c:v>177.85</c:v>
              </c:pt>
              <c:pt idx="240">
                <c:v>177.93</c:v>
              </c:pt>
              <c:pt idx="241">
                <c:v>175.64</c:v>
              </c:pt>
              <c:pt idx="242">
                <c:v>177.78</c:v>
              </c:pt>
              <c:pt idx="243">
                <c:v>179.13</c:v>
              </c:pt>
              <c:pt idx="244">
                <c:v>180.92</c:v>
              </c:pt>
              <c:pt idx="245">
                <c:v>181</c:v>
              </c:pt>
              <c:pt idx="246">
                <c:v>178.27500000000001</c:v>
              </c:pt>
              <c:pt idx="247">
                <c:v>176.13</c:v>
              </c:pt>
              <c:pt idx="248">
                <c:v>177.16</c:v>
              </c:pt>
              <c:pt idx="249">
                <c:v>174.74</c:v>
              </c:pt>
              <c:pt idx="250">
                <c:v>172.58</c:v>
              </c:pt>
            </c:numLit>
          </c:val>
          <c:smooth val="1"/>
          <c:extLst>
            <c:ext xmlns:c16="http://schemas.microsoft.com/office/drawing/2014/chart" uri="{C3380CC4-5D6E-409C-BE32-E72D297353CC}">
              <c16:uniqueId val="{00000002-6996-4F72-A139-219921DDAD24}"/>
            </c:ext>
          </c:extLst>
        </c:ser>
        <c:ser>
          <c:idx val="1"/>
          <c:order val="1"/>
          <c:tx>
            <c:v>Bear Case</c:v>
          </c:tx>
          <c:spPr>
            <a:ln>
              <a:solidFill>
                <a:srgbClr val="FF0000"/>
              </a:solidFill>
              <a:prstDash val="sysDot"/>
            </a:ln>
          </c:spPr>
          <c:marker>
            <c:symbol val="none"/>
          </c:marker>
          <c:dPt>
            <c:idx val="251"/>
            <c:bubble3D val="0"/>
            <c:spPr>
              <a:ln>
                <a:solidFill>
                  <a:srgbClr val="FF0000"/>
                </a:solidFill>
                <a:prstDash val="sysDot"/>
                <a:tailEnd type="triangle"/>
              </a:ln>
            </c:spPr>
            <c:extLst>
              <c:ext xmlns:c16="http://schemas.microsoft.com/office/drawing/2014/chart" uri="{C3380CC4-5D6E-409C-BE32-E72D297353CC}">
                <c16:uniqueId val="{00000004-6996-4F72-A139-219921DDAD24}"/>
              </c:ext>
            </c:extLst>
          </c:dPt>
          <c:dLbls>
            <c:dLbl>
              <c:idx val="25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96-4F72-A139-219921DDAD24}"/>
                </c:ext>
              </c:extLst>
            </c:dLbl>
            <c:numFmt formatCode="&quot;$&quot;#,##0" sourceLinked="0"/>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Lit>
              <c:formatCode>m/d/yyyy</c:formatCode>
              <c:ptCount val="268"/>
              <c:pt idx="0">
                <c:v>46487</c:v>
              </c:pt>
              <c:pt idx="1">
                <c:v>45940</c:v>
              </c:pt>
              <c:pt idx="2">
                <c:v>45939</c:v>
              </c:pt>
              <c:pt idx="3">
                <c:v>45938</c:v>
              </c:pt>
              <c:pt idx="4">
                <c:v>45937</c:v>
              </c:pt>
              <c:pt idx="5">
                <c:v>45936</c:v>
              </c:pt>
              <c:pt idx="6">
                <c:v>45933</c:v>
              </c:pt>
              <c:pt idx="7">
                <c:v>45932</c:v>
              </c:pt>
              <c:pt idx="8">
                <c:v>45931</c:v>
              </c:pt>
              <c:pt idx="9">
                <c:v>45930</c:v>
              </c:pt>
              <c:pt idx="10">
                <c:v>45929</c:v>
              </c:pt>
              <c:pt idx="11">
                <c:v>45926</c:v>
              </c:pt>
              <c:pt idx="12">
                <c:v>45925</c:v>
              </c:pt>
              <c:pt idx="13">
                <c:v>45924</c:v>
              </c:pt>
              <c:pt idx="14">
                <c:v>45923</c:v>
              </c:pt>
              <c:pt idx="15">
                <c:v>45922</c:v>
              </c:pt>
              <c:pt idx="16">
                <c:v>45919</c:v>
              </c:pt>
              <c:pt idx="17">
                <c:v>45918</c:v>
              </c:pt>
              <c:pt idx="18">
                <c:v>45917</c:v>
              </c:pt>
              <c:pt idx="19">
                <c:v>45916</c:v>
              </c:pt>
              <c:pt idx="20">
                <c:v>45915</c:v>
              </c:pt>
              <c:pt idx="21">
                <c:v>45912</c:v>
              </c:pt>
              <c:pt idx="22">
                <c:v>45911</c:v>
              </c:pt>
              <c:pt idx="23">
                <c:v>45910</c:v>
              </c:pt>
              <c:pt idx="24">
                <c:v>45909</c:v>
              </c:pt>
              <c:pt idx="25">
                <c:v>45908</c:v>
              </c:pt>
              <c:pt idx="26">
                <c:v>45905</c:v>
              </c:pt>
              <c:pt idx="27">
                <c:v>45904</c:v>
              </c:pt>
              <c:pt idx="28">
                <c:v>45903</c:v>
              </c:pt>
              <c:pt idx="29">
                <c:v>45902</c:v>
              </c:pt>
              <c:pt idx="30">
                <c:v>45898</c:v>
              </c:pt>
              <c:pt idx="31">
                <c:v>45897</c:v>
              </c:pt>
              <c:pt idx="32">
                <c:v>45896</c:v>
              </c:pt>
              <c:pt idx="33">
                <c:v>45895</c:v>
              </c:pt>
              <c:pt idx="34">
                <c:v>45894</c:v>
              </c:pt>
              <c:pt idx="35">
                <c:v>45891</c:v>
              </c:pt>
              <c:pt idx="36">
                <c:v>45890</c:v>
              </c:pt>
              <c:pt idx="37">
                <c:v>45889</c:v>
              </c:pt>
              <c:pt idx="38">
                <c:v>45888</c:v>
              </c:pt>
              <c:pt idx="39">
                <c:v>45887</c:v>
              </c:pt>
              <c:pt idx="40">
                <c:v>45884</c:v>
              </c:pt>
              <c:pt idx="41">
                <c:v>45883</c:v>
              </c:pt>
              <c:pt idx="42">
                <c:v>45882</c:v>
              </c:pt>
              <c:pt idx="43">
                <c:v>45881</c:v>
              </c:pt>
              <c:pt idx="44">
                <c:v>45880</c:v>
              </c:pt>
              <c:pt idx="45">
                <c:v>45877</c:v>
              </c:pt>
              <c:pt idx="46">
                <c:v>45876</c:v>
              </c:pt>
              <c:pt idx="47">
                <c:v>45875</c:v>
              </c:pt>
              <c:pt idx="48">
                <c:v>45874</c:v>
              </c:pt>
              <c:pt idx="49">
                <c:v>45873</c:v>
              </c:pt>
              <c:pt idx="50">
                <c:v>45870</c:v>
              </c:pt>
              <c:pt idx="51">
                <c:v>45869</c:v>
              </c:pt>
              <c:pt idx="52">
                <c:v>45868</c:v>
              </c:pt>
              <c:pt idx="53">
                <c:v>45867</c:v>
              </c:pt>
              <c:pt idx="54">
                <c:v>45866</c:v>
              </c:pt>
              <c:pt idx="55">
                <c:v>45863</c:v>
              </c:pt>
              <c:pt idx="56">
                <c:v>45862</c:v>
              </c:pt>
              <c:pt idx="57">
                <c:v>45861</c:v>
              </c:pt>
              <c:pt idx="58">
                <c:v>45860</c:v>
              </c:pt>
              <c:pt idx="59">
                <c:v>45859</c:v>
              </c:pt>
              <c:pt idx="60">
                <c:v>45856</c:v>
              </c:pt>
              <c:pt idx="61">
                <c:v>45855</c:v>
              </c:pt>
              <c:pt idx="62">
                <c:v>45854</c:v>
              </c:pt>
              <c:pt idx="63">
                <c:v>45853</c:v>
              </c:pt>
              <c:pt idx="64">
                <c:v>45852</c:v>
              </c:pt>
              <c:pt idx="65">
                <c:v>45849</c:v>
              </c:pt>
              <c:pt idx="66">
                <c:v>45848</c:v>
              </c:pt>
              <c:pt idx="67">
                <c:v>45847</c:v>
              </c:pt>
              <c:pt idx="68">
                <c:v>45846</c:v>
              </c:pt>
              <c:pt idx="69">
                <c:v>45845</c:v>
              </c:pt>
              <c:pt idx="70">
                <c:v>45841</c:v>
              </c:pt>
              <c:pt idx="71">
                <c:v>45840</c:v>
              </c:pt>
              <c:pt idx="72">
                <c:v>45839</c:v>
              </c:pt>
              <c:pt idx="73">
                <c:v>45838</c:v>
              </c:pt>
              <c:pt idx="74">
                <c:v>45835</c:v>
              </c:pt>
              <c:pt idx="75">
                <c:v>45834</c:v>
              </c:pt>
              <c:pt idx="76">
                <c:v>45833</c:v>
              </c:pt>
              <c:pt idx="77">
                <c:v>45832</c:v>
              </c:pt>
              <c:pt idx="78">
                <c:v>45831</c:v>
              </c:pt>
              <c:pt idx="79">
                <c:v>45828</c:v>
              </c:pt>
              <c:pt idx="80">
                <c:v>45826</c:v>
              </c:pt>
              <c:pt idx="81">
                <c:v>45825</c:v>
              </c:pt>
              <c:pt idx="82">
                <c:v>45824</c:v>
              </c:pt>
              <c:pt idx="83">
                <c:v>45821</c:v>
              </c:pt>
              <c:pt idx="84">
                <c:v>45820</c:v>
              </c:pt>
              <c:pt idx="85">
                <c:v>45819</c:v>
              </c:pt>
              <c:pt idx="86">
                <c:v>45818</c:v>
              </c:pt>
              <c:pt idx="87">
                <c:v>45817</c:v>
              </c:pt>
              <c:pt idx="88">
                <c:v>45814</c:v>
              </c:pt>
              <c:pt idx="89">
                <c:v>45813</c:v>
              </c:pt>
              <c:pt idx="90">
                <c:v>45812</c:v>
              </c:pt>
              <c:pt idx="91">
                <c:v>45811</c:v>
              </c:pt>
              <c:pt idx="92">
                <c:v>45810</c:v>
              </c:pt>
              <c:pt idx="93">
                <c:v>45807</c:v>
              </c:pt>
              <c:pt idx="94">
                <c:v>45806</c:v>
              </c:pt>
              <c:pt idx="95">
                <c:v>45805</c:v>
              </c:pt>
              <c:pt idx="96">
                <c:v>45804</c:v>
              </c:pt>
              <c:pt idx="97">
                <c:v>45800</c:v>
              </c:pt>
              <c:pt idx="98">
                <c:v>45799</c:v>
              </c:pt>
              <c:pt idx="99">
                <c:v>45798</c:v>
              </c:pt>
              <c:pt idx="100">
                <c:v>45797</c:v>
              </c:pt>
              <c:pt idx="101">
                <c:v>45796</c:v>
              </c:pt>
              <c:pt idx="102">
                <c:v>45793</c:v>
              </c:pt>
              <c:pt idx="103">
                <c:v>45792</c:v>
              </c:pt>
              <c:pt idx="104">
                <c:v>45791</c:v>
              </c:pt>
              <c:pt idx="105">
                <c:v>45790</c:v>
              </c:pt>
              <c:pt idx="106">
                <c:v>45789</c:v>
              </c:pt>
              <c:pt idx="107">
                <c:v>45786</c:v>
              </c:pt>
              <c:pt idx="108">
                <c:v>45785</c:v>
              </c:pt>
              <c:pt idx="109">
                <c:v>45784</c:v>
              </c:pt>
              <c:pt idx="110">
                <c:v>45783</c:v>
              </c:pt>
              <c:pt idx="111">
                <c:v>45782</c:v>
              </c:pt>
              <c:pt idx="112">
                <c:v>45779</c:v>
              </c:pt>
              <c:pt idx="113">
                <c:v>45778</c:v>
              </c:pt>
              <c:pt idx="114">
                <c:v>45777</c:v>
              </c:pt>
              <c:pt idx="115">
                <c:v>45776</c:v>
              </c:pt>
              <c:pt idx="116">
                <c:v>45775</c:v>
              </c:pt>
              <c:pt idx="117">
                <c:v>45772</c:v>
              </c:pt>
              <c:pt idx="118">
                <c:v>45771</c:v>
              </c:pt>
              <c:pt idx="119">
                <c:v>45770</c:v>
              </c:pt>
              <c:pt idx="120">
                <c:v>45769</c:v>
              </c:pt>
              <c:pt idx="121">
                <c:v>45768</c:v>
              </c:pt>
              <c:pt idx="122">
                <c:v>45764</c:v>
              </c:pt>
              <c:pt idx="123">
                <c:v>45763</c:v>
              </c:pt>
              <c:pt idx="124">
                <c:v>45762</c:v>
              </c:pt>
              <c:pt idx="125">
                <c:v>45761</c:v>
              </c:pt>
              <c:pt idx="126">
                <c:v>45758</c:v>
              </c:pt>
              <c:pt idx="127">
                <c:v>45757</c:v>
              </c:pt>
              <c:pt idx="128">
                <c:v>45756</c:v>
              </c:pt>
              <c:pt idx="129">
                <c:v>45755</c:v>
              </c:pt>
              <c:pt idx="130">
                <c:v>45754</c:v>
              </c:pt>
              <c:pt idx="131">
                <c:v>45751</c:v>
              </c:pt>
              <c:pt idx="132">
                <c:v>45750</c:v>
              </c:pt>
              <c:pt idx="133">
                <c:v>45749</c:v>
              </c:pt>
              <c:pt idx="134">
                <c:v>45748</c:v>
              </c:pt>
              <c:pt idx="135">
                <c:v>45747</c:v>
              </c:pt>
              <c:pt idx="136">
                <c:v>45744</c:v>
              </c:pt>
              <c:pt idx="137">
                <c:v>45743</c:v>
              </c:pt>
              <c:pt idx="138">
                <c:v>45742</c:v>
              </c:pt>
              <c:pt idx="139">
                <c:v>45741</c:v>
              </c:pt>
              <c:pt idx="140">
                <c:v>45740</c:v>
              </c:pt>
              <c:pt idx="141">
                <c:v>45737</c:v>
              </c:pt>
              <c:pt idx="142">
                <c:v>45736</c:v>
              </c:pt>
              <c:pt idx="143">
                <c:v>45735</c:v>
              </c:pt>
              <c:pt idx="144">
                <c:v>45734</c:v>
              </c:pt>
              <c:pt idx="145">
                <c:v>45733</c:v>
              </c:pt>
              <c:pt idx="146">
                <c:v>45730</c:v>
              </c:pt>
              <c:pt idx="147">
                <c:v>45729</c:v>
              </c:pt>
              <c:pt idx="148">
                <c:v>45728</c:v>
              </c:pt>
              <c:pt idx="149">
                <c:v>45727</c:v>
              </c:pt>
              <c:pt idx="150">
                <c:v>45726</c:v>
              </c:pt>
              <c:pt idx="151">
                <c:v>45723</c:v>
              </c:pt>
              <c:pt idx="152">
                <c:v>45722</c:v>
              </c:pt>
              <c:pt idx="153">
                <c:v>45721</c:v>
              </c:pt>
              <c:pt idx="154">
                <c:v>45720</c:v>
              </c:pt>
              <c:pt idx="155">
                <c:v>45719</c:v>
              </c:pt>
              <c:pt idx="156">
                <c:v>45716</c:v>
              </c:pt>
              <c:pt idx="157">
                <c:v>45715</c:v>
              </c:pt>
              <c:pt idx="158">
                <c:v>45714</c:v>
              </c:pt>
              <c:pt idx="159">
                <c:v>45713</c:v>
              </c:pt>
              <c:pt idx="160">
                <c:v>45712</c:v>
              </c:pt>
              <c:pt idx="161">
                <c:v>45709</c:v>
              </c:pt>
              <c:pt idx="162">
                <c:v>45708</c:v>
              </c:pt>
              <c:pt idx="163">
                <c:v>45707</c:v>
              </c:pt>
              <c:pt idx="164">
                <c:v>45706</c:v>
              </c:pt>
              <c:pt idx="165">
                <c:v>45702</c:v>
              </c:pt>
              <c:pt idx="166">
                <c:v>45701</c:v>
              </c:pt>
              <c:pt idx="167">
                <c:v>45700</c:v>
              </c:pt>
              <c:pt idx="168">
                <c:v>45699</c:v>
              </c:pt>
              <c:pt idx="169">
                <c:v>45698</c:v>
              </c:pt>
              <c:pt idx="170">
                <c:v>45695</c:v>
              </c:pt>
              <c:pt idx="171">
                <c:v>45694</c:v>
              </c:pt>
              <c:pt idx="172">
                <c:v>45693</c:v>
              </c:pt>
              <c:pt idx="173">
                <c:v>45692</c:v>
              </c:pt>
              <c:pt idx="174">
                <c:v>45691</c:v>
              </c:pt>
              <c:pt idx="175">
                <c:v>45688</c:v>
              </c:pt>
              <c:pt idx="176">
                <c:v>45687</c:v>
              </c:pt>
              <c:pt idx="177">
                <c:v>45686</c:v>
              </c:pt>
              <c:pt idx="178">
                <c:v>45685</c:v>
              </c:pt>
              <c:pt idx="179">
                <c:v>45684</c:v>
              </c:pt>
              <c:pt idx="180">
                <c:v>45681</c:v>
              </c:pt>
              <c:pt idx="181">
                <c:v>45680</c:v>
              </c:pt>
              <c:pt idx="182">
                <c:v>45679</c:v>
              </c:pt>
              <c:pt idx="183">
                <c:v>45678</c:v>
              </c:pt>
              <c:pt idx="184">
                <c:v>45674</c:v>
              </c:pt>
              <c:pt idx="185">
                <c:v>45673</c:v>
              </c:pt>
              <c:pt idx="186">
                <c:v>45672</c:v>
              </c:pt>
              <c:pt idx="187">
                <c:v>45671</c:v>
              </c:pt>
              <c:pt idx="188">
                <c:v>45670</c:v>
              </c:pt>
              <c:pt idx="189">
                <c:v>45667</c:v>
              </c:pt>
              <c:pt idx="190">
                <c:v>45665</c:v>
              </c:pt>
              <c:pt idx="191">
                <c:v>45664</c:v>
              </c:pt>
              <c:pt idx="192">
                <c:v>45663</c:v>
              </c:pt>
              <c:pt idx="193">
                <c:v>45660</c:v>
              </c:pt>
              <c:pt idx="194">
                <c:v>45659</c:v>
              </c:pt>
              <c:pt idx="195">
                <c:v>45657</c:v>
              </c:pt>
              <c:pt idx="196">
                <c:v>45656</c:v>
              </c:pt>
              <c:pt idx="197">
                <c:v>45653</c:v>
              </c:pt>
              <c:pt idx="198">
                <c:v>45652</c:v>
              </c:pt>
              <c:pt idx="199">
                <c:v>45650</c:v>
              </c:pt>
              <c:pt idx="200">
                <c:v>45649</c:v>
              </c:pt>
              <c:pt idx="201">
                <c:v>45646</c:v>
              </c:pt>
              <c:pt idx="202">
                <c:v>45645</c:v>
              </c:pt>
              <c:pt idx="203">
                <c:v>45644</c:v>
              </c:pt>
              <c:pt idx="204">
                <c:v>45643</c:v>
              </c:pt>
              <c:pt idx="205">
                <c:v>45642</c:v>
              </c:pt>
              <c:pt idx="206">
                <c:v>45639</c:v>
              </c:pt>
              <c:pt idx="207">
                <c:v>45638</c:v>
              </c:pt>
              <c:pt idx="208">
                <c:v>45637</c:v>
              </c:pt>
              <c:pt idx="209">
                <c:v>45636</c:v>
              </c:pt>
              <c:pt idx="210">
                <c:v>45635</c:v>
              </c:pt>
              <c:pt idx="211">
                <c:v>45632</c:v>
              </c:pt>
              <c:pt idx="212">
                <c:v>45631</c:v>
              </c:pt>
              <c:pt idx="213">
                <c:v>45630</c:v>
              </c:pt>
              <c:pt idx="214">
                <c:v>45629</c:v>
              </c:pt>
              <c:pt idx="215">
                <c:v>45628</c:v>
              </c:pt>
              <c:pt idx="216">
                <c:v>45625</c:v>
              </c:pt>
              <c:pt idx="217">
                <c:v>45623</c:v>
              </c:pt>
              <c:pt idx="218">
                <c:v>45622</c:v>
              </c:pt>
              <c:pt idx="219">
                <c:v>45621</c:v>
              </c:pt>
              <c:pt idx="220">
                <c:v>45618</c:v>
              </c:pt>
              <c:pt idx="221">
                <c:v>45617</c:v>
              </c:pt>
              <c:pt idx="222">
                <c:v>45616</c:v>
              </c:pt>
              <c:pt idx="223">
                <c:v>45615</c:v>
              </c:pt>
              <c:pt idx="224">
                <c:v>45614</c:v>
              </c:pt>
              <c:pt idx="225">
                <c:v>45611</c:v>
              </c:pt>
              <c:pt idx="226">
                <c:v>45610</c:v>
              </c:pt>
              <c:pt idx="227">
                <c:v>45609</c:v>
              </c:pt>
              <c:pt idx="228">
                <c:v>45608</c:v>
              </c:pt>
              <c:pt idx="229">
                <c:v>45607</c:v>
              </c:pt>
              <c:pt idx="230">
                <c:v>45604</c:v>
              </c:pt>
              <c:pt idx="231">
                <c:v>45603</c:v>
              </c:pt>
              <c:pt idx="232">
                <c:v>45602</c:v>
              </c:pt>
              <c:pt idx="233">
                <c:v>45601</c:v>
              </c:pt>
              <c:pt idx="234">
                <c:v>45600</c:v>
              </c:pt>
              <c:pt idx="235">
                <c:v>45597</c:v>
              </c:pt>
              <c:pt idx="236">
                <c:v>45596</c:v>
              </c:pt>
              <c:pt idx="237">
                <c:v>45595</c:v>
              </c:pt>
              <c:pt idx="238">
                <c:v>45594</c:v>
              </c:pt>
              <c:pt idx="239">
                <c:v>45593</c:v>
              </c:pt>
              <c:pt idx="240">
                <c:v>45590</c:v>
              </c:pt>
              <c:pt idx="241">
                <c:v>45589</c:v>
              </c:pt>
              <c:pt idx="242">
                <c:v>45588</c:v>
              </c:pt>
              <c:pt idx="243">
                <c:v>45587</c:v>
              </c:pt>
              <c:pt idx="244">
                <c:v>45586</c:v>
              </c:pt>
              <c:pt idx="245">
                <c:v>45583</c:v>
              </c:pt>
              <c:pt idx="246">
                <c:v>45582</c:v>
              </c:pt>
              <c:pt idx="247">
                <c:v>45581</c:v>
              </c:pt>
              <c:pt idx="248">
                <c:v>45580</c:v>
              </c:pt>
              <c:pt idx="249">
                <c:v>45579</c:v>
              </c:pt>
              <c:pt idx="250">
                <c:v>45576</c:v>
              </c:pt>
              <c:pt idx="251">
                <c:v>45575</c:v>
              </c:pt>
            </c:numLit>
          </c:cat>
          <c:val>
            <c:numLit>
              <c:formatCode>"$"#,##0.00_);\("$"#,##0.00\)</c:formatCode>
              <c:ptCount val="268"/>
              <c:pt idx="0">
                <c:v>97</c:v>
              </c:pt>
              <c:pt idx="1">
                <c:v>118.26000213623</c:v>
              </c:pt>
            </c:numLit>
          </c:val>
          <c:smooth val="0"/>
          <c:extLst>
            <c:ext xmlns:c16="http://schemas.microsoft.com/office/drawing/2014/chart" uri="{C3380CC4-5D6E-409C-BE32-E72D297353CC}">
              <c16:uniqueId val="{00000005-6996-4F72-A139-219921DDAD24}"/>
            </c:ext>
          </c:extLst>
        </c:ser>
        <c:ser>
          <c:idx val="2"/>
          <c:order val="2"/>
          <c:tx>
            <c:v>Base Case</c:v>
          </c:tx>
          <c:spPr>
            <a:ln>
              <a:solidFill>
                <a:srgbClr val="00355F"/>
              </a:solidFill>
              <a:prstDash val="sysDot"/>
            </a:ln>
          </c:spPr>
          <c:marker>
            <c:symbol val="none"/>
          </c:marker>
          <c:dPt>
            <c:idx val="251"/>
            <c:bubble3D val="0"/>
            <c:spPr>
              <a:ln>
                <a:solidFill>
                  <a:srgbClr val="00355F"/>
                </a:solidFill>
                <a:prstDash val="sysDot"/>
                <a:tailEnd type="triangle"/>
              </a:ln>
            </c:spPr>
            <c:extLst>
              <c:ext xmlns:c16="http://schemas.microsoft.com/office/drawing/2014/chart" uri="{C3380CC4-5D6E-409C-BE32-E72D297353CC}">
                <c16:uniqueId val="{00000007-6996-4F72-A139-219921DDAD24}"/>
              </c:ext>
            </c:extLst>
          </c:dPt>
          <c:dLbls>
            <c:dLbl>
              <c:idx val="251"/>
              <c:layout>
                <c:manualLayout>
                  <c:x val="-2.1857574486685728E-2"/>
                  <c:y val="-5.44330068262523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96-4F72-A139-219921DDAD24}"/>
                </c:ext>
              </c:extLst>
            </c:dLbl>
            <c:numFmt formatCode="&quot;$&quot;#,##0" sourceLinked="0"/>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0"/>
              </c:ext>
            </c:extLst>
          </c:dLbls>
          <c:cat>
            <c:numLit>
              <c:formatCode>m/d/yyyy</c:formatCode>
              <c:ptCount val="268"/>
              <c:pt idx="0">
                <c:v>46487</c:v>
              </c:pt>
              <c:pt idx="1">
                <c:v>45940</c:v>
              </c:pt>
              <c:pt idx="2">
                <c:v>45939</c:v>
              </c:pt>
              <c:pt idx="3">
                <c:v>45938</c:v>
              </c:pt>
              <c:pt idx="4">
                <c:v>45937</c:v>
              </c:pt>
              <c:pt idx="5">
                <c:v>45936</c:v>
              </c:pt>
              <c:pt idx="6">
                <c:v>45933</c:v>
              </c:pt>
              <c:pt idx="7">
                <c:v>45932</c:v>
              </c:pt>
              <c:pt idx="8">
                <c:v>45931</c:v>
              </c:pt>
              <c:pt idx="9">
                <c:v>45930</c:v>
              </c:pt>
              <c:pt idx="10">
                <c:v>45929</c:v>
              </c:pt>
              <c:pt idx="11">
                <c:v>45926</c:v>
              </c:pt>
              <c:pt idx="12">
                <c:v>45925</c:v>
              </c:pt>
              <c:pt idx="13">
                <c:v>45924</c:v>
              </c:pt>
              <c:pt idx="14">
                <c:v>45923</c:v>
              </c:pt>
              <c:pt idx="15">
                <c:v>45922</c:v>
              </c:pt>
              <c:pt idx="16">
                <c:v>45919</c:v>
              </c:pt>
              <c:pt idx="17">
                <c:v>45918</c:v>
              </c:pt>
              <c:pt idx="18">
                <c:v>45917</c:v>
              </c:pt>
              <c:pt idx="19">
                <c:v>45916</c:v>
              </c:pt>
              <c:pt idx="20">
                <c:v>45915</c:v>
              </c:pt>
              <c:pt idx="21">
                <c:v>45912</c:v>
              </c:pt>
              <c:pt idx="22">
                <c:v>45911</c:v>
              </c:pt>
              <c:pt idx="23">
                <c:v>45910</c:v>
              </c:pt>
              <c:pt idx="24">
                <c:v>45909</c:v>
              </c:pt>
              <c:pt idx="25">
                <c:v>45908</c:v>
              </c:pt>
              <c:pt idx="26">
                <c:v>45905</c:v>
              </c:pt>
              <c:pt idx="27">
                <c:v>45904</c:v>
              </c:pt>
              <c:pt idx="28">
                <c:v>45903</c:v>
              </c:pt>
              <c:pt idx="29">
                <c:v>45902</c:v>
              </c:pt>
              <c:pt idx="30">
                <c:v>45898</c:v>
              </c:pt>
              <c:pt idx="31">
                <c:v>45897</c:v>
              </c:pt>
              <c:pt idx="32">
                <c:v>45896</c:v>
              </c:pt>
              <c:pt idx="33">
                <c:v>45895</c:v>
              </c:pt>
              <c:pt idx="34">
                <c:v>45894</c:v>
              </c:pt>
              <c:pt idx="35">
                <c:v>45891</c:v>
              </c:pt>
              <c:pt idx="36">
                <c:v>45890</c:v>
              </c:pt>
              <c:pt idx="37">
                <c:v>45889</c:v>
              </c:pt>
              <c:pt idx="38">
                <c:v>45888</c:v>
              </c:pt>
              <c:pt idx="39">
                <c:v>45887</c:v>
              </c:pt>
              <c:pt idx="40">
                <c:v>45884</c:v>
              </c:pt>
              <c:pt idx="41">
                <c:v>45883</c:v>
              </c:pt>
              <c:pt idx="42">
                <c:v>45882</c:v>
              </c:pt>
              <c:pt idx="43">
                <c:v>45881</c:v>
              </c:pt>
              <c:pt idx="44">
                <c:v>45880</c:v>
              </c:pt>
              <c:pt idx="45">
                <c:v>45877</c:v>
              </c:pt>
              <c:pt idx="46">
                <c:v>45876</c:v>
              </c:pt>
              <c:pt idx="47">
                <c:v>45875</c:v>
              </c:pt>
              <c:pt idx="48">
                <c:v>45874</c:v>
              </c:pt>
              <c:pt idx="49">
                <c:v>45873</c:v>
              </c:pt>
              <c:pt idx="50">
                <c:v>45870</c:v>
              </c:pt>
              <c:pt idx="51">
                <c:v>45869</c:v>
              </c:pt>
              <c:pt idx="52">
                <c:v>45868</c:v>
              </c:pt>
              <c:pt idx="53">
                <c:v>45867</c:v>
              </c:pt>
              <c:pt idx="54">
                <c:v>45866</c:v>
              </c:pt>
              <c:pt idx="55">
                <c:v>45863</c:v>
              </c:pt>
              <c:pt idx="56">
                <c:v>45862</c:v>
              </c:pt>
              <c:pt idx="57">
                <c:v>45861</c:v>
              </c:pt>
              <c:pt idx="58">
                <c:v>45860</c:v>
              </c:pt>
              <c:pt idx="59">
                <c:v>45859</c:v>
              </c:pt>
              <c:pt idx="60">
                <c:v>45856</c:v>
              </c:pt>
              <c:pt idx="61">
                <c:v>45855</c:v>
              </c:pt>
              <c:pt idx="62">
                <c:v>45854</c:v>
              </c:pt>
              <c:pt idx="63">
                <c:v>45853</c:v>
              </c:pt>
              <c:pt idx="64">
                <c:v>45852</c:v>
              </c:pt>
              <c:pt idx="65">
                <c:v>45849</c:v>
              </c:pt>
              <c:pt idx="66">
                <c:v>45848</c:v>
              </c:pt>
              <c:pt idx="67">
                <c:v>45847</c:v>
              </c:pt>
              <c:pt idx="68">
                <c:v>45846</c:v>
              </c:pt>
              <c:pt idx="69">
                <c:v>45845</c:v>
              </c:pt>
              <c:pt idx="70">
                <c:v>45841</c:v>
              </c:pt>
              <c:pt idx="71">
                <c:v>45840</c:v>
              </c:pt>
              <c:pt idx="72">
                <c:v>45839</c:v>
              </c:pt>
              <c:pt idx="73">
                <c:v>45838</c:v>
              </c:pt>
              <c:pt idx="74">
                <c:v>45835</c:v>
              </c:pt>
              <c:pt idx="75">
                <c:v>45834</c:v>
              </c:pt>
              <c:pt idx="76">
                <c:v>45833</c:v>
              </c:pt>
              <c:pt idx="77">
                <c:v>45832</c:v>
              </c:pt>
              <c:pt idx="78">
                <c:v>45831</c:v>
              </c:pt>
              <c:pt idx="79">
                <c:v>45828</c:v>
              </c:pt>
              <c:pt idx="80">
                <c:v>45826</c:v>
              </c:pt>
              <c:pt idx="81">
                <c:v>45825</c:v>
              </c:pt>
              <c:pt idx="82">
                <c:v>45824</c:v>
              </c:pt>
              <c:pt idx="83">
                <c:v>45821</c:v>
              </c:pt>
              <c:pt idx="84">
                <c:v>45820</c:v>
              </c:pt>
              <c:pt idx="85">
                <c:v>45819</c:v>
              </c:pt>
              <c:pt idx="86">
                <c:v>45818</c:v>
              </c:pt>
              <c:pt idx="87">
                <c:v>45817</c:v>
              </c:pt>
              <c:pt idx="88">
                <c:v>45814</c:v>
              </c:pt>
              <c:pt idx="89">
                <c:v>45813</c:v>
              </c:pt>
              <c:pt idx="90">
                <c:v>45812</c:v>
              </c:pt>
              <c:pt idx="91">
                <c:v>45811</c:v>
              </c:pt>
              <c:pt idx="92">
                <c:v>45810</c:v>
              </c:pt>
              <c:pt idx="93">
                <c:v>45807</c:v>
              </c:pt>
              <c:pt idx="94">
                <c:v>45806</c:v>
              </c:pt>
              <c:pt idx="95">
                <c:v>45805</c:v>
              </c:pt>
              <c:pt idx="96">
                <c:v>45804</c:v>
              </c:pt>
              <c:pt idx="97">
                <c:v>45800</c:v>
              </c:pt>
              <c:pt idx="98">
                <c:v>45799</c:v>
              </c:pt>
              <c:pt idx="99">
                <c:v>45798</c:v>
              </c:pt>
              <c:pt idx="100">
                <c:v>45797</c:v>
              </c:pt>
              <c:pt idx="101">
                <c:v>45796</c:v>
              </c:pt>
              <c:pt idx="102">
                <c:v>45793</c:v>
              </c:pt>
              <c:pt idx="103">
                <c:v>45792</c:v>
              </c:pt>
              <c:pt idx="104">
                <c:v>45791</c:v>
              </c:pt>
              <c:pt idx="105">
                <c:v>45790</c:v>
              </c:pt>
              <c:pt idx="106">
                <c:v>45789</c:v>
              </c:pt>
              <c:pt idx="107">
                <c:v>45786</c:v>
              </c:pt>
              <c:pt idx="108">
                <c:v>45785</c:v>
              </c:pt>
              <c:pt idx="109">
                <c:v>45784</c:v>
              </c:pt>
              <c:pt idx="110">
                <c:v>45783</c:v>
              </c:pt>
              <c:pt idx="111">
                <c:v>45782</c:v>
              </c:pt>
              <c:pt idx="112">
                <c:v>45779</c:v>
              </c:pt>
              <c:pt idx="113">
                <c:v>45778</c:v>
              </c:pt>
              <c:pt idx="114">
                <c:v>45777</c:v>
              </c:pt>
              <c:pt idx="115">
                <c:v>45776</c:v>
              </c:pt>
              <c:pt idx="116">
                <c:v>45775</c:v>
              </c:pt>
              <c:pt idx="117">
                <c:v>45772</c:v>
              </c:pt>
              <c:pt idx="118">
                <c:v>45771</c:v>
              </c:pt>
              <c:pt idx="119">
                <c:v>45770</c:v>
              </c:pt>
              <c:pt idx="120">
                <c:v>45769</c:v>
              </c:pt>
              <c:pt idx="121">
                <c:v>45768</c:v>
              </c:pt>
              <c:pt idx="122">
                <c:v>45764</c:v>
              </c:pt>
              <c:pt idx="123">
                <c:v>45763</c:v>
              </c:pt>
              <c:pt idx="124">
                <c:v>45762</c:v>
              </c:pt>
              <c:pt idx="125">
                <c:v>45761</c:v>
              </c:pt>
              <c:pt idx="126">
                <c:v>45758</c:v>
              </c:pt>
              <c:pt idx="127">
                <c:v>45757</c:v>
              </c:pt>
              <c:pt idx="128">
                <c:v>45756</c:v>
              </c:pt>
              <c:pt idx="129">
                <c:v>45755</c:v>
              </c:pt>
              <c:pt idx="130">
                <c:v>45754</c:v>
              </c:pt>
              <c:pt idx="131">
                <c:v>45751</c:v>
              </c:pt>
              <c:pt idx="132">
                <c:v>45750</c:v>
              </c:pt>
              <c:pt idx="133">
                <c:v>45749</c:v>
              </c:pt>
              <c:pt idx="134">
                <c:v>45748</c:v>
              </c:pt>
              <c:pt idx="135">
                <c:v>45747</c:v>
              </c:pt>
              <c:pt idx="136">
                <c:v>45744</c:v>
              </c:pt>
              <c:pt idx="137">
                <c:v>45743</c:v>
              </c:pt>
              <c:pt idx="138">
                <c:v>45742</c:v>
              </c:pt>
              <c:pt idx="139">
                <c:v>45741</c:v>
              </c:pt>
              <c:pt idx="140">
                <c:v>45740</c:v>
              </c:pt>
              <c:pt idx="141">
                <c:v>45737</c:v>
              </c:pt>
              <c:pt idx="142">
                <c:v>45736</c:v>
              </c:pt>
              <c:pt idx="143">
                <c:v>45735</c:v>
              </c:pt>
              <c:pt idx="144">
                <c:v>45734</c:v>
              </c:pt>
              <c:pt idx="145">
                <c:v>45733</c:v>
              </c:pt>
              <c:pt idx="146">
                <c:v>45730</c:v>
              </c:pt>
              <c:pt idx="147">
                <c:v>45729</c:v>
              </c:pt>
              <c:pt idx="148">
                <c:v>45728</c:v>
              </c:pt>
              <c:pt idx="149">
                <c:v>45727</c:v>
              </c:pt>
              <c:pt idx="150">
                <c:v>45726</c:v>
              </c:pt>
              <c:pt idx="151">
                <c:v>45723</c:v>
              </c:pt>
              <c:pt idx="152">
                <c:v>45722</c:v>
              </c:pt>
              <c:pt idx="153">
                <c:v>45721</c:v>
              </c:pt>
              <c:pt idx="154">
                <c:v>45720</c:v>
              </c:pt>
              <c:pt idx="155">
                <c:v>45719</c:v>
              </c:pt>
              <c:pt idx="156">
                <c:v>45716</c:v>
              </c:pt>
              <c:pt idx="157">
                <c:v>45715</c:v>
              </c:pt>
              <c:pt idx="158">
                <c:v>45714</c:v>
              </c:pt>
              <c:pt idx="159">
                <c:v>45713</c:v>
              </c:pt>
              <c:pt idx="160">
                <c:v>45712</c:v>
              </c:pt>
              <c:pt idx="161">
                <c:v>45709</c:v>
              </c:pt>
              <c:pt idx="162">
                <c:v>45708</c:v>
              </c:pt>
              <c:pt idx="163">
                <c:v>45707</c:v>
              </c:pt>
              <c:pt idx="164">
                <c:v>45706</c:v>
              </c:pt>
              <c:pt idx="165">
                <c:v>45702</c:v>
              </c:pt>
              <c:pt idx="166">
                <c:v>45701</c:v>
              </c:pt>
              <c:pt idx="167">
                <c:v>45700</c:v>
              </c:pt>
              <c:pt idx="168">
                <c:v>45699</c:v>
              </c:pt>
              <c:pt idx="169">
                <c:v>45698</c:v>
              </c:pt>
              <c:pt idx="170">
                <c:v>45695</c:v>
              </c:pt>
              <c:pt idx="171">
                <c:v>45694</c:v>
              </c:pt>
              <c:pt idx="172">
                <c:v>45693</c:v>
              </c:pt>
              <c:pt idx="173">
                <c:v>45692</c:v>
              </c:pt>
              <c:pt idx="174">
                <c:v>45691</c:v>
              </c:pt>
              <c:pt idx="175">
                <c:v>45688</c:v>
              </c:pt>
              <c:pt idx="176">
                <c:v>45687</c:v>
              </c:pt>
              <c:pt idx="177">
                <c:v>45686</c:v>
              </c:pt>
              <c:pt idx="178">
                <c:v>45685</c:v>
              </c:pt>
              <c:pt idx="179">
                <c:v>45684</c:v>
              </c:pt>
              <c:pt idx="180">
                <c:v>45681</c:v>
              </c:pt>
              <c:pt idx="181">
                <c:v>45680</c:v>
              </c:pt>
              <c:pt idx="182">
                <c:v>45679</c:v>
              </c:pt>
              <c:pt idx="183">
                <c:v>45678</c:v>
              </c:pt>
              <c:pt idx="184">
                <c:v>45674</c:v>
              </c:pt>
              <c:pt idx="185">
                <c:v>45673</c:v>
              </c:pt>
              <c:pt idx="186">
                <c:v>45672</c:v>
              </c:pt>
              <c:pt idx="187">
                <c:v>45671</c:v>
              </c:pt>
              <c:pt idx="188">
                <c:v>45670</c:v>
              </c:pt>
              <c:pt idx="189">
                <c:v>45667</c:v>
              </c:pt>
              <c:pt idx="190">
                <c:v>45665</c:v>
              </c:pt>
              <c:pt idx="191">
                <c:v>45664</c:v>
              </c:pt>
              <c:pt idx="192">
                <c:v>45663</c:v>
              </c:pt>
              <c:pt idx="193">
                <c:v>45660</c:v>
              </c:pt>
              <c:pt idx="194">
                <c:v>45659</c:v>
              </c:pt>
              <c:pt idx="195">
                <c:v>45657</c:v>
              </c:pt>
              <c:pt idx="196">
                <c:v>45656</c:v>
              </c:pt>
              <c:pt idx="197">
                <c:v>45653</c:v>
              </c:pt>
              <c:pt idx="198">
                <c:v>45652</c:v>
              </c:pt>
              <c:pt idx="199">
                <c:v>45650</c:v>
              </c:pt>
              <c:pt idx="200">
                <c:v>45649</c:v>
              </c:pt>
              <c:pt idx="201">
                <c:v>45646</c:v>
              </c:pt>
              <c:pt idx="202">
                <c:v>45645</c:v>
              </c:pt>
              <c:pt idx="203">
                <c:v>45644</c:v>
              </c:pt>
              <c:pt idx="204">
                <c:v>45643</c:v>
              </c:pt>
              <c:pt idx="205">
                <c:v>45642</c:v>
              </c:pt>
              <c:pt idx="206">
                <c:v>45639</c:v>
              </c:pt>
              <c:pt idx="207">
                <c:v>45638</c:v>
              </c:pt>
              <c:pt idx="208">
                <c:v>45637</c:v>
              </c:pt>
              <c:pt idx="209">
                <c:v>45636</c:v>
              </c:pt>
              <c:pt idx="210">
                <c:v>45635</c:v>
              </c:pt>
              <c:pt idx="211">
                <c:v>45632</c:v>
              </c:pt>
              <c:pt idx="212">
                <c:v>45631</c:v>
              </c:pt>
              <c:pt idx="213">
                <c:v>45630</c:v>
              </c:pt>
              <c:pt idx="214">
                <c:v>45629</c:v>
              </c:pt>
              <c:pt idx="215">
                <c:v>45628</c:v>
              </c:pt>
              <c:pt idx="216">
                <c:v>45625</c:v>
              </c:pt>
              <c:pt idx="217">
                <c:v>45623</c:v>
              </c:pt>
              <c:pt idx="218">
                <c:v>45622</c:v>
              </c:pt>
              <c:pt idx="219">
                <c:v>45621</c:v>
              </c:pt>
              <c:pt idx="220">
                <c:v>45618</c:v>
              </c:pt>
              <c:pt idx="221">
                <c:v>45617</c:v>
              </c:pt>
              <c:pt idx="222">
                <c:v>45616</c:v>
              </c:pt>
              <c:pt idx="223">
                <c:v>45615</c:v>
              </c:pt>
              <c:pt idx="224">
                <c:v>45614</c:v>
              </c:pt>
              <c:pt idx="225">
                <c:v>45611</c:v>
              </c:pt>
              <c:pt idx="226">
                <c:v>45610</c:v>
              </c:pt>
              <c:pt idx="227">
                <c:v>45609</c:v>
              </c:pt>
              <c:pt idx="228">
                <c:v>45608</c:v>
              </c:pt>
              <c:pt idx="229">
                <c:v>45607</c:v>
              </c:pt>
              <c:pt idx="230">
                <c:v>45604</c:v>
              </c:pt>
              <c:pt idx="231">
                <c:v>45603</c:v>
              </c:pt>
              <c:pt idx="232">
                <c:v>45602</c:v>
              </c:pt>
              <c:pt idx="233">
                <c:v>45601</c:v>
              </c:pt>
              <c:pt idx="234">
                <c:v>45600</c:v>
              </c:pt>
              <c:pt idx="235">
                <c:v>45597</c:v>
              </c:pt>
              <c:pt idx="236">
                <c:v>45596</c:v>
              </c:pt>
              <c:pt idx="237">
                <c:v>45595</c:v>
              </c:pt>
              <c:pt idx="238">
                <c:v>45594</c:v>
              </c:pt>
              <c:pt idx="239">
                <c:v>45593</c:v>
              </c:pt>
              <c:pt idx="240">
                <c:v>45590</c:v>
              </c:pt>
              <c:pt idx="241">
                <c:v>45589</c:v>
              </c:pt>
              <c:pt idx="242">
                <c:v>45588</c:v>
              </c:pt>
              <c:pt idx="243">
                <c:v>45587</c:v>
              </c:pt>
              <c:pt idx="244">
                <c:v>45586</c:v>
              </c:pt>
              <c:pt idx="245">
                <c:v>45583</c:v>
              </c:pt>
              <c:pt idx="246">
                <c:v>45582</c:v>
              </c:pt>
              <c:pt idx="247">
                <c:v>45581</c:v>
              </c:pt>
              <c:pt idx="248">
                <c:v>45580</c:v>
              </c:pt>
              <c:pt idx="249">
                <c:v>45579</c:v>
              </c:pt>
              <c:pt idx="250">
                <c:v>45576</c:v>
              </c:pt>
              <c:pt idx="251">
                <c:v>45575</c:v>
              </c:pt>
            </c:numLit>
          </c:cat>
          <c:val>
            <c:numLit>
              <c:formatCode>"$"#,##0.00_);\("$"#,##0.00\)</c:formatCode>
              <c:ptCount val="268"/>
              <c:pt idx="0">
                <c:v>144</c:v>
              </c:pt>
              <c:pt idx="1">
                <c:v>118.26000213623</c:v>
              </c:pt>
            </c:numLit>
          </c:val>
          <c:smooth val="0"/>
          <c:extLst>
            <c:ext xmlns:c16="http://schemas.microsoft.com/office/drawing/2014/chart" uri="{C3380CC4-5D6E-409C-BE32-E72D297353CC}">
              <c16:uniqueId val="{00000008-6996-4F72-A139-219921DDAD24}"/>
            </c:ext>
          </c:extLst>
        </c:ser>
        <c:ser>
          <c:idx val="3"/>
          <c:order val="3"/>
          <c:tx>
            <c:v>Bull Case</c:v>
          </c:tx>
          <c:spPr>
            <a:ln>
              <a:solidFill>
                <a:srgbClr val="00B050"/>
              </a:solidFill>
              <a:prstDash val="sysDot"/>
            </a:ln>
          </c:spPr>
          <c:marker>
            <c:symbol val="none"/>
          </c:marker>
          <c:dPt>
            <c:idx val="251"/>
            <c:bubble3D val="0"/>
            <c:spPr>
              <a:ln>
                <a:solidFill>
                  <a:srgbClr val="00B050"/>
                </a:solidFill>
                <a:prstDash val="sysDot"/>
                <a:tailEnd type="triangle"/>
              </a:ln>
            </c:spPr>
            <c:extLst>
              <c:ext xmlns:c16="http://schemas.microsoft.com/office/drawing/2014/chart" uri="{C3380CC4-5D6E-409C-BE32-E72D297353CC}">
                <c16:uniqueId val="{0000000A-6996-4F72-A139-219921DDAD24}"/>
              </c:ext>
            </c:extLst>
          </c:dPt>
          <c:dLbls>
            <c:dLbl>
              <c:idx val="25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996-4F72-A139-219921DDAD24}"/>
                </c:ext>
              </c:extLst>
            </c:dLbl>
            <c:numFmt formatCode="&quot;$&quot;#,##0" sourceLinked="0"/>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Lit>
              <c:formatCode>m/d/yyyy</c:formatCode>
              <c:ptCount val="268"/>
              <c:pt idx="0">
                <c:v>46487</c:v>
              </c:pt>
              <c:pt idx="1">
                <c:v>45940</c:v>
              </c:pt>
              <c:pt idx="2">
                <c:v>45939</c:v>
              </c:pt>
              <c:pt idx="3">
                <c:v>45938</c:v>
              </c:pt>
              <c:pt idx="4">
                <c:v>45937</c:v>
              </c:pt>
              <c:pt idx="5">
                <c:v>45936</c:v>
              </c:pt>
              <c:pt idx="6">
                <c:v>45933</c:v>
              </c:pt>
              <c:pt idx="7">
                <c:v>45932</c:v>
              </c:pt>
              <c:pt idx="8">
                <c:v>45931</c:v>
              </c:pt>
              <c:pt idx="9">
                <c:v>45930</c:v>
              </c:pt>
              <c:pt idx="10">
                <c:v>45929</c:v>
              </c:pt>
              <c:pt idx="11">
                <c:v>45926</c:v>
              </c:pt>
              <c:pt idx="12">
                <c:v>45925</c:v>
              </c:pt>
              <c:pt idx="13">
                <c:v>45924</c:v>
              </c:pt>
              <c:pt idx="14">
                <c:v>45923</c:v>
              </c:pt>
              <c:pt idx="15">
                <c:v>45922</c:v>
              </c:pt>
              <c:pt idx="16">
                <c:v>45919</c:v>
              </c:pt>
              <c:pt idx="17">
                <c:v>45918</c:v>
              </c:pt>
              <c:pt idx="18">
                <c:v>45917</c:v>
              </c:pt>
              <c:pt idx="19">
                <c:v>45916</c:v>
              </c:pt>
              <c:pt idx="20">
                <c:v>45915</c:v>
              </c:pt>
              <c:pt idx="21">
                <c:v>45912</c:v>
              </c:pt>
              <c:pt idx="22">
                <c:v>45911</c:v>
              </c:pt>
              <c:pt idx="23">
                <c:v>45910</c:v>
              </c:pt>
              <c:pt idx="24">
                <c:v>45909</c:v>
              </c:pt>
              <c:pt idx="25">
                <c:v>45908</c:v>
              </c:pt>
              <c:pt idx="26">
                <c:v>45905</c:v>
              </c:pt>
              <c:pt idx="27">
                <c:v>45904</c:v>
              </c:pt>
              <c:pt idx="28">
                <c:v>45903</c:v>
              </c:pt>
              <c:pt idx="29">
                <c:v>45902</c:v>
              </c:pt>
              <c:pt idx="30">
                <c:v>45898</c:v>
              </c:pt>
              <c:pt idx="31">
                <c:v>45897</c:v>
              </c:pt>
              <c:pt idx="32">
                <c:v>45896</c:v>
              </c:pt>
              <c:pt idx="33">
                <c:v>45895</c:v>
              </c:pt>
              <c:pt idx="34">
                <c:v>45894</c:v>
              </c:pt>
              <c:pt idx="35">
                <c:v>45891</c:v>
              </c:pt>
              <c:pt idx="36">
                <c:v>45890</c:v>
              </c:pt>
              <c:pt idx="37">
                <c:v>45889</c:v>
              </c:pt>
              <c:pt idx="38">
                <c:v>45888</c:v>
              </c:pt>
              <c:pt idx="39">
                <c:v>45887</c:v>
              </c:pt>
              <c:pt idx="40">
                <c:v>45884</c:v>
              </c:pt>
              <c:pt idx="41">
                <c:v>45883</c:v>
              </c:pt>
              <c:pt idx="42">
                <c:v>45882</c:v>
              </c:pt>
              <c:pt idx="43">
                <c:v>45881</c:v>
              </c:pt>
              <c:pt idx="44">
                <c:v>45880</c:v>
              </c:pt>
              <c:pt idx="45">
                <c:v>45877</c:v>
              </c:pt>
              <c:pt idx="46">
                <c:v>45876</c:v>
              </c:pt>
              <c:pt idx="47">
                <c:v>45875</c:v>
              </c:pt>
              <c:pt idx="48">
                <c:v>45874</c:v>
              </c:pt>
              <c:pt idx="49">
                <c:v>45873</c:v>
              </c:pt>
              <c:pt idx="50">
                <c:v>45870</c:v>
              </c:pt>
              <c:pt idx="51">
                <c:v>45869</c:v>
              </c:pt>
              <c:pt idx="52">
                <c:v>45868</c:v>
              </c:pt>
              <c:pt idx="53">
                <c:v>45867</c:v>
              </c:pt>
              <c:pt idx="54">
                <c:v>45866</c:v>
              </c:pt>
              <c:pt idx="55">
                <c:v>45863</c:v>
              </c:pt>
              <c:pt idx="56">
                <c:v>45862</c:v>
              </c:pt>
              <c:pt idx="57">
                <c:v>45861</c:v>
              </c:pt>
              <c:pt idx="58">
                <c:v>45860</c:v>
              </c:pt>
              <c:pt idx="59">
                <c:v>45859</c:v>
              </c:pt>
              <c:pt idx="60">
                <c:v>45856</c:v>
              </c:pt>
              <c:pt idx="61">
                <c:v>45855</c:v>
              </c:pt>
              <c:pt idx="62">
                <c:v>45854</c:v>
              </c:pt>
              <c:pt idx="63">
                <c:v>45853</c:v>
              </c:pt>
              <c:pt idx="64">
                <c:v>45852</c:v>
              </c:pt>
              <c:pt idx="65">
                <c:v>45849</c:v>
              </c:pt>
              <c:pt idx="66">
                <c:v>45848</c:v>
              </c:pt>
              <c:pt idx="67">
                <c:v>45847</c:v>
              </c:pt>
              <c:pt idx="68">
                <c:v>45846</c:v>
              </c:pt>
              <c:pt idx="69">
                <c:v>45845</c:v>
              </c:pt>
              <c:pt idx="70">
                <c:v>45841</c:v>
              </c:pt>
              <c:pt idx="71">
                <c:v>45840</c:v>
              </c:pt>
              <c:pt idx="72">
                <c:v>45839</c:v>
              </c:pt>
              <c:pt idx="73">
                <c:v>45838</c:v>
              </c:pt>
              <c:pt idx="74">
                <c:v>45835</c:v>
              </c:pt>
              <c:pt idx="75">
                <c:v>45834</c:v>
              </c:pt>
              <c:pt idx="76">
                <c:v>45833</c:v>
              </c:pt>
              <c:pt idx="77">
                <c:v>45832</c:v>
              </c:pt>
              <c:pt idx="78">
                <c:v>45831</c:v>
              </c:pt>
              <c:pt idx="79">
                <c:v>45828</c:v>
              </c:pt>
              <c:pt idx="80">
                <c:v>45826</c:v>
              </c:pt>
              <c:pt idx="81">
                <c:v>45825</c:v>
              </c:pt>
              <c:pt idx="82">
                <c:v>45824</c:v>
              </c:pt>
              <c:pt idx="83">
                <c:v>45821</c:v>
              </c:pt>
              <c:pt idx="84">
                <c:v>45820</c:v>
              </c:pt>
              <c:pt idx="85">
                <c:v>45819</c:v>
              </c:pt>
              <c:pt idx="86">
                <c:v>45818</c:v>
              </c:pt>
              <c:pt idx="87">
                <c:v>45817</c:v>
              </c:pt>
              <c:pt idx="88">
                <c:v>45814</c:v>
              </c:pt>
              <c:pt idx="89">
                <c:v>45813</c:v>
              </c:pt>
              <c:pt idx="90">
                <c:v>45812</c:v>
              </c:pt>
              <c:pt idx="91">
                <c:v>45811</c:v>
              </c:pt>
              <c:pt idx="92">
                <c:v>45810</c:v>
              </c:pt>
              <c:pt idx="93">
                <c:v>45807</c:v>
              </c:pt>
              <c:pt idx="94">
                <c:v>45806</c:v>
              </c:pt>
              <c:pt idx="95">
                <c:v>45805</c:v>
              </c:pt>
              <c:pt idx="96">
                <c:v>45804</c:v>
              </c:pt>
              <c:pt idx="97">
                <c:v>45800</c:v>
              </c:pt>
              <c:pt idx="98">
                <c:v>45799</c:v>
              </c:pt>
              <c:pt idx="99">
                <c:v>45798</c:v>
              </c:pt>
              <c:pt idx="100">
                <c:v>45797</c:v>
              </c:pt>
              <c:pt idx="101">
                <c:v>45796</c:v>
              </c:pt>
              <c:pt idx="102">
                <c:v>45793</c:v>
              </c:pt>
              <c:pt idx="103">
                <c:v>45792</c:v>
              </c:pt>
              <c:pt idx="104">
                <c:v>45791</c:v>
              </c:pt>
              <c:pt idx="105">
                <c:v>45790</c:v>
              </c:pt>
              <c:pt idx="106">
                <c:v>45789</c:v>
              </c:pt>
              <c:pt idx="107">
                <c:v>45786</c:v>
              </c:pt>
              <c:pt idx="108">
                <c:v>45785</c:v>
              </c:pt>
              <c:pt idx="109">
                <c:v>45784</c:v>
              </c:pt>
              <c:pt idx="110">
                <c:v>45783</c:v>
              </c:pt>
              <c:pt idx="111">
                <c:v>45782</c:v>
              </c:pt>
              <c:pt idx="112">
                <c:v>45779</c:v>
              </c:pt>
              <c:pt idx="113">
                <c:v>45778</c:v>
              </c:pt>
              <c:pt idx="114">
                <c:v>45777</c:v>
              </c:pt>
              <c:pt idx="115">
                <c:v>45776</c:v>
              </c:pt>
              <c:pt idx="116">
                <c:v>45775</c:v>
              </c:pt>
              <c:pt idx="117">
                <c:v>45772</c:v>
              </c:pt>
              <c:pt idx="118">
                <c:v>45771</c:v>
              </c:pt>
              <c:pt idx="119">
                <c:v>45770</c:v>
              </c:pt>
              <c:pt idx="120">
                <c:v>45769</c:v>
              </c:pt>
              <c:pt idx="121">
                <c:v>45768</c:v>
              </c:pt>
              <c:pt idx="122">
                <c:v>45764</c:v>
              </c:pt>
              <c:pt idx="123">
                <c:v>45763</c:v>
              </c:pt>
              <c:pt idx="124">
                <c:v>45762</c:v>
              </c:pt>
              <c:pt idx="125">
                <c:v>45761</c:v>
              </c:pt>
              <c:pt idx="126">
                <c:v>45758</c:v>
              </c:pt>
              <c:pt idx="127">
                <c:v>45757</c:v>
              </c:pt>
              <c:pt idx="128">
                <c:v>45756</c:v>
              </c:pt>
              <c:pt idx="129">
                <c:v>45755</c:v>
              </c:pt>
              <c:pt idx="130">
                <c:v>45754</c:v>
              </c:pt>
              <c:pt idx="131">
                <c:v>45751</c:v>
              </c:pt>
              <c:pt idx="132">
                <c:v>45750</c:v>
              </c:pt>
              <c:pt idx="133">
                <c:v>45749</c:v>
              </c:pt>
              <c:pt idx="134">
                <c:v>45748</c:v>
              </c:pt>
              <c:pt idx="135">
                <c:v>45747</c:v>
              </c:pt>
              <c:pt idx="136">
                <c:v>45744</c:v>
              </c:pt>
              <c:pt idx="137">
                <c:v>45743</c:v>
              </c:pt>
              <c:pt idx="138">
                <c:v>45742</c:v>
              </c:pt>
              <c:pt idx="139">
                <c:v>45741</c:v>
              </c:pt>
              <c:pt idx="140">
                <c:v>45740</c:v>
              </c:pt>
              <c:pt idx="141">
                <c:v>45737</c:v>
              </c:pt>
              <c:pt idx="142">
                <c:v>45736</c:v>
              </c:pt>
              <c:pt idx="143">
                <c:v>45735</c:v>
              </c:pt>
              <c:pt idx="144">
                <c:v>45734</c:v>
              </c:pt>
              <c:pt idx="145">
                <c:v>45733</c:v>
              </c:pt>
              <c:pt idx="146">
                <c:v>45730</c:v>
              </c:pt>
              <c:pt idx="147">
                <c:v>45729</c:v>
              </c:pt>
              <c:pt idx="148">
                <c:v>45728</c:v>
              </c:pt>
              <c:pt idx="149">
                <c:v>45727</c:v>
              </c:pt>
              <c:pt idx="150">
                <c:v>45726</c:v>
              </c:pt>
              <c:pt idx="151">
                <c:v>45723</c:v>
              </c:pt>
              <c:pt idx="152">
                <c:v>45722</c:v>
              </c:pt>
              <c:pt idx="153">
                <c:v>45721</c:v>
              </c:pt>
              <c:pt idx="154">
                <c:v>45720</c:v>
              </c:pt>
              <c:pt idx="155">
                <c:v>45719</c:v>
              </c:pt>
              <c:pt idx="156">
                <c:v>45716</c:v>
              </c:pt>
              <c:pt idx="157">
                <c:v>45715</c:v>
              </c:pt>
              <c:pt idx="158">
                <c:v>45714</c:v>
              </c:pt>
              <c:pt idx="159">
                <c:v>45713</c:v>
              </c:pt>
              <c:pt idx="160">
                <c:v>45712</c:v>
              </c:pt>
              <c:pt idx="161">
                <c:v>45709</c:v>
              </c:pt>
              <c:pt idx="162">
                <c:v>45708</c:v>
              </c:pt>
              <c:pt idx="163">
                <c:v>45707</c:v>
              </c:pt>
              <c:pt idx="164">
                <c:v>45706</c:v>
              </c:pt>
              <c:pt idx="165">
                <c:v>45702</c:v>
              </c:pt>
              <c:pt idx="166">
                <c:v>45701</c:v>
              </c:pt>
              <c:pt idx="167">
                <c:v>45700</c:v>
              </c:pt>
              <c:pt idx="168">
                <c:v>45699</c:v>
              </c:pt>
              <c:pt idx="169">
                <c:v>45698</c:v>
              </c:pt>
              <c:pt idx="170">
                <c:v>45695</c:v>
              </c:pt>
              <c:pt idx="171">
                <c:v>45694</c:v>
              </c:pt>
              <c:pt idx="172">
                <c:v>45693</c:v>
              </c:pt>
              <c:pt idx="173">
                <c:v>45692</c:v>
              </c:pt>
              <c:pt idx="174">
                <c:v>45691</c:v>
              </c:pt>
              <c:pt idx="175">
                <c:v>45688</c:v>
              </c:pt>
              <c:pt idx="176">
                <c:v>45687</c:v>
              </c:pt>
              <c:pt idx="177">
                <c:v>45686</c:v>
              </c:pt>
              <c:pt idx="178">
                <c:v>45685</c:v>
              </c:pt>
              <c:pt idx="179">
                <c:v>45684</c:v>
              </c:pt>
              <c:pt idx="180">
                <c:v>45681</c:v>
              </c:pt>
              <c:pt idx="181">
                <c:v>45680</c:v>
              </c:pt>
              <c:pt idx="182">
                <c:v>45679</c:v>
              </c:pt>
              <c:pt idx="183">
                <c:v>45678</c:v>
              </c:pt>
              <c:pt idx="184">
                <c:v>45674</c:v>
              </c:pt>
              <c:pt idx="185">
                <c:v>45673</c:v>
              </c:pt>
              <c:pt idx="186">
                <c:v>45672</c:v>
              </c:pt>
              <c:pt idx="187">
                <c:v>45671</c:v>
              </c:pt>
              <c:pt idx="188">
                <c:v>45670</c:v>
              </c:pt>
              <c:pt idx="189">
                <c:v>45667</c:v>
              </c:pt>
              <c:pt idx="190">
                <c:v>45665</c:v>
              </c:pt>
              <c:pt idx="191">
                <c:v>45664</c:v>
              </c:pt>
              <c:pt idx="192">
                <c:v>45663</c:v>
              </c:pt>
              <c:pt idx="193">
                <c:v>45660</c:v>
              </c:pt>
              <c:pt idx="194">
                <c:v>45659</c:v>
              </c:pt>
              <c:pt idx="195">
                <c:v>45657</c:v>
              </c:pt>
              <c:pt idx="196">
                <c:v>45656</c:v>
              </c:pt>
              <c:pt idx="197">
                <c:v>45653</c:v>
              </c:pt>
              <c:pt idx="198">
                <c:v>45652</c:v>
              </c:pt>
              <c:pt idx="199">
                <c:v>45650</c:v>
              </c:pt>
              <c:pt idx="200">
                <c:v>45649</c:v>
              </c:pt>
              <c:pt idx="201">
                <c:v>45646</c:v>
              </c:pt>
              <c:pt idx="202">
                <c:v>45645</c:v>
              </c:pt>
              <c:pt idx="203">
                <c:v>45644</c:v>
              </c:pt>
              <c:pt idx="204">
                <c:v>45643</c:v>
              </c:pt>
              <c:pt idx="205">
                <c:v>45642</c:v>
              </c:pt>
              <c:pt idx="206">
                <c:v>45639</c:v>
              </c:pt>
              <c:pt idx="207">
                <c:v>45638</c:v>
              </c:pt>
              <c:pt idx="208">
                <c:v>45637</c:v>
              </c:pt>
              <c:pt idx="209">
                <c:v>45636</c:v>
              </c:pt>
              <c:pt idx="210">
                <c:v>45635</c:v>
              </c:pt>
              <c:pt idx="211">
                <c:v>45632</c:v>
              </c:pt>
              <c:pt idx="212">
                <c:v>45631</c:v>
              </c:pt>
              <c:pt idx="213">
                <c:v>45630</c:v>
              </c:pt>
              <c:pt idx="214">
                <c:v>45629</c:v>
              </c:pt>
              <c:pt idx="215">
                <c:v>45628</c:v>
              </c:pt>
              <c:pt idx="216">
                <c:v>45625</c:v>
              </c:pt>
              <c:pt idx="217">
                <c:v>45623</c:v>
              </c:pt>
              <c:pt idx="218">
                <c:v>45622</c:v>
              </c:pt>
              <c:pt idx="219">
                <c:v>45621</c:v>
              </c:pt>
              <c:pt idx="220">
                <c:v>45618</c:v>
              </c:pt>
              <c:pt idx="221">
                <c:v>45617</c:v>
              </c:pt>
              <c:pt idx="222">
                <c:v>45616</c:v>
              </c:pt>
              <c:pt idx="223">
                <c:v>45615</c:v>
              </c:pt>
              <c:pt idx="224">
                <c:v>45614</c:v>
              </c:pt>
              <c:pt idx="225">
                <c:v>45611</c:v>
              </c:pt>
              <c:pt idx="226">
                <c:v>45610</c:v>
              </c:pt>
              <c:pt idx="227">
                <c:v>45609</c:v>
              </c:pt>
              <c:pt idx="228">
                <c:v>45608</c:v>
              </c:pt>
              <c:pt idx="229">
                <c:v>45607</c:v>
              </c:pt>
              <c:pt idx="230">
                <c:v>45604</c:v>
              </c:pt>
              <c:pt idx="231">
                <c:v>45603</c:v>
              </c:pt>
              <c:pt idx="232">
                <c:v>45602</c:v>
              </c:pt>
              <c:pt idx="233">
                <c:v>45601</c:v>
              </c:pt>
              <c:pt idx="234">
                <c:v>45600</c:v>
              </c:pt>
              <c:pt idx="235">
                <c:v>45597</c:v>
              </c:pt>
              <c:pt idx="236">
                <c:v>45596</c:v>
              </c:pt>
              <c:pt idx="237">
                <c:v>45595</c:v>
              </c:pt>
              <c:pt idx="238">
                <c:v>45594</c:v>
              </c:pt>
              <c:pt idx="239">
                <c:v>45593</c:v>
              </c:pt>
              <c:pt idx="240">
                <c:v>45590</c:v>
              </c:pt>
              <c:pt idx="241">
                <c:v>45589</c:v>
              </c:pt>
              <c:pt idx="242">
                <c:v>45588</c:v>
              </c:pt>
              <c:pt idx="243">
                <c:v>45587</c:v>
              </c:pt>
              <c:pt idx="244">
                <c:v>45586</c:v>
              </c:pt>
              <c:pt idx="245">
                <c:v>45583</c:v>
              </c:pt>
              <c:pt idx="246">
                <c:v>45582</c:v>
              </c:pt>
              <c:pt idx="247">
                <c:v>45581</c:v>
              </c:pt>
              <c:pt idx="248">
                <c:v>45580</c:v>
              </c:pt>
              <c:pt idx="249">
                <c:v>45579</c:v>
              </c:pt>
              <c:pt idx="250">
                <c:v>45576</c:v>
              </c:pt>
              <c:pt idx="251">
                <c:v>45575</c:v>
              </c:pt>
            </c:numLit>
          </c:cat>
          <c:val>
            <c:numLit>
              <c:formatCode>"$"#,##0.00_);\("$"#,##0.00\)</c:formatCode>
              <c:ptCount val="268"/>
              <c:pt idx="0">
                <c:v>170</c:v>
              </c:pt>
              <c:pt idx="1">
                <c:v>118.26000213623</c:v>
              </c:pt>
            </c:numLit>
          </c:val>
          <c:smooth val="0"/>
          <c:extLst>
            <c:ext xmlns:c16="http://schemas.microsoft.com/office/drawing/2014/chart" uri="{C3380CC4-5D6E-409C-BE32-E72D297353CC}">
              <c16:uniqueId val="{0000000B-6996-4F72-A139-219921DDAD24}"/>
            </c:ext>
          </c:extLst>
        </c:ser>
        <c:dLbls>
          <c:showLegendKey val="0"/>
          <c:showVal val="0"/>
          <c:showCatName val="0"/>
          <c:showSerName val="0"/>
          <c:showPercent val="0"/>
          <c:showBubbleSize val="0"/>
        </c:dLbls>
        <c:smooth val="0"/>
        <c:axId val="-984182816"/>
        <c:axId val="-984179552"/>
      </c:lineChart>
      <c:dateAx>
        <c:axId val="-984182816"/>
        <c:scaling>
          <c:orientation val="minMax"/>
        </c:scaling>
        <c:delete val="0"/>
        <c:axPos val="b"/>
        <c:numFmt formatCode="[$-409]mmm\-yy;@" sourceLinked="0"/>
        <c:majorTickMark val="out"/>
        <c:minorTickMark val="none"/>
        <c:tickLblPos val="nextTo"/>
        <c:spPr>
          <a:noFill/>
          <a:ln w="12700" cap="flat" cmpd="sng" algn="ctr">
            <a:solidFill>
              <a:schemeClr val="tx1"/>
            </a:solidFill>
            <a:round/>
          </a:ln>
          <a:effectLst/>
        </c:spPr>
        <c:txPr>
          <a:bodyPr rot="-60000000" vert="horz"/>
          <a:lstStyle/>
          <a:p>
            <a:pPr>
              <a:defRPr/>
            </a:pPr>
            <a:endParaRPr lang="en-US"/>
          </a:p>
        </c:txPr>
        <c:crossAx val="-984179552"/>
        <c:crosses val="autoZero"/>
        <c:auto val="1"/>
        <c:lblOffset val="100"/>
        <c:baseTimeUnit val="days"/>
        <c:majorUnit val="6"/>
        <c:majorTimeUnit val="months"/>
      </c:dateAx>
      <c:valAx>
        <c:axId val="-984179552"/>
        <c:scaling>
          <c:orientation val="minMax"/>
          <c:min val="65"/>
        </c:scaling>
        <c:delete val="0"/>
        <c:axPos val="l"/>
        <c:numFmt formatCode="&quot;$&quot;#,##0.0" sourceLinked="0"/>
        <c:majorTickMark val="out"/>
        <c:minorTickMark val="none"/>
        <c:tickLblPos val="nextTo"/>
        <c:spPr>
          <a:noFill/>
          <a:ln w="12700">
            <a:solidFill>
              <a:schemeClr val="tx1"/>
            </a:solidFill>
          </a:ln>
          <a:effectLst/>
        </c:spPr>
        <c:txPr>
          <a:bodyPr rot="-60000000" vert="horz"/>
          <a:lstStyle/>
          <a:p>
            <a:pPr>
              <a:defRPr/>
            </a:pPr>
            <a:endParaRPr lang="en-US"/>
          </a:p>
        </c:txPr>
        <c:crossAx val="-984182816"/>
        <c:crosses val="autoZero"/>
        <c:crossBetween val="between"/>
        <c:majorUnit val="30"/>
      </c:valAx>
    </c:plotArea>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Abadi ExtraLight" panose="020B0204020104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spPr>
            <a:solidFill>
              <a:srgbClr val="C0DEF6"/>
            </a:solidFill>
            <a:ln w="25400">
              <a:noFill/>
            </a:ln>
            <a:effectLst/>
          </c:spPr>
          <c:cat>
            <c:numLit>
              <c:formatCode>m/d/yyyy</c:formatCode>
              <c:ptCount val="267"/>
              <c:pt idx="0">
                <c:v>45940</c:v>
              </c:pt>
              <c:pt idx="1">
                <c:v>45939</c:v>
              </c:pt>
              <c:pt idx="2">
                <c:v>45938</c:v>
              </c:pt>
              <c:pt idx="3">
                <c:v>45937</c:v>
              </c:pt>
              <c:pt idx="4">
                <c:v>45936</c:v>
              </c:pt>
              <c:pt idx="5">
                <c:v>45933</c:v>
              </c:pt>
              <c:pt idx="6">
                <c:v>45932</c:v>
              </c:pt>
              <c:pt idx="7">
                <c:v>45931</c:v>
              </c:pt>
              <c:pt idx="8">
                <c:v>45930</c:v>
              </c:pt>
              <c:pt idx="9">
                <c:v>45929</c:v>
              </c:pt>
              <c:pt idx="10">
                <c:v>45926</c:v>
              </c:pt>
              <c:pt idx="11">
                <c:v>45925</c:v>
              </c:pt>
              <c:pt idx="12">
                <c:v>45924</c:v>
              </c:pt>
              <c:pt idx="13">
                <c:v>45923</c:v>
              </c:pt>
              <c:pt idx="14">
                <c:v>45922</c:v>
              </c:pt>
              <c:pt idx="15">
                <c:v>45919</c:v>
              </c:pt>
              <c:pt idx="16">
                <c:v>45918</c:v>
              </c:pt>
              <c:pt idx="17">
                <c:v>45917</c:v>
              </c:pt>
              <c:pt idx="18">
                <c:v>45916</c:v>
              </c:pt>
              <c:pt idx="19">
                <c:v>45915</c:v>
              </c:pt>
              <c:pt idx="20">
                <c:v>45912</c:v>
              </c:pt>
              <c:pt idx="21">
                <c:v>45911</c:v>
              </c:pt>
              <c:pt idx="22">
                <c:v>45910</c:v>
              </c:pt>
              <c:pt idx="23">
                <c:v>45909</c:v>
              </c:pt>
              <c:pt idx="24">
                <c:v>45908</c:v>
              </c:pt>
              <c:pt idx="25">
                <c:v>45905</c:v>
              </c:pt>
              <c:pt idx="26">
                <c:v>45904</c:v>
              </c:pt>
              <c:pt idx="27">
                <c:v>45903</c:v>
              </c:pt>
              <c:pt idx="28">
                <c:v>45902</c:v>
              </c:pt>
              <c:pt idx="29">
                <c:v>45898</c:v>
              </c:pt>
              <c:pt idx="30">
                <c:v>45897</c:v>
              </c:pt>
              <c:pt idx="31">
                <c:v>45896</c:v>
              </c:pt>
              <c:pt idx="32">
                <c:v>45895</c:v>
              </c:pt>
              <c:pt idx="33">
                <c:v>45894</c:v>
              </c:pt>
              <c:pt idx="34">
                <c:v>45891</c:v>
              </c:pt>
              <c:pt idx="35">
                <c:v>45890</c:v>
              </c:pt>
              <c:pt idx="36">
                <c:v>45889</c:v>
              </c:pt>
              <c:pt idx="37">
                <c:v>45888</c:v>
              </c:pt>
              <c:pt idx="38">
                <c:v>45887</c:v>
              </c:pt>
              <c:pt idx="39">
                <c:v>45884</c:v>
              </c:pt>
              <c:pt idx="40">
                <c:v>45883</c:v>
              </c:pt>
              <c:pt idx="41">
                <c:v>45882</c:v>
              </c:pt>
              <c:pt idx="42">
                <c:v>45881</c:v>
              </c:pt>
              <c:pt idx="43">
                <c:v>45880</c:v>
              </c:pt>
              <c:pt idx="44">
                <c:v>45877</c:v>
              </c:pt>
              <c:pt idx="45">
                <c:v>45876</c:v>
              </c:pt>
              <c:pt idx="46">
                <c:v>45875</c:v>
              </c:pt>
              <c:pt idx="47">
                <c:v>45874</c:v>
              </c:pt>
              <c:pt idx="48">
                <c:v>45873</c:v>
              </c:pt>
              <c:pt idx="49">
                <c:v>45870</c:v>
              </c:pt>
              <c:pt idx="50">
                <c:v>45869</c:v>
              </c:pt>
              <c:pt idx="51">
                <c:v>45868</c:v>
              </c:pt>
              <c:pt idx="52">
                <c:v>45867</c:v>
              </c:pt>
              <c:pt idx="53">
                <c:v>45866</c:v>
              </c:pt>
              <c:pt idx="54">
                <c:v>45863</c:v>
              </c:pt>
              <c:pt idx="55">
                <c:v>45862</c:v>
              </c:pt>
              <c:pt idx="56">
                <c:v>45861</c:v>
              </c:pt>
              <c:pt idx="57">
                <c:v>45860</c:v>
              </c:pt>
              <c:pt idx="58">
                <c:v>45859</c:v>
              </c:pt>
              <c:pt idx="59">
                <c:v>45856</c:v>
              </c:pt>
              <c:pt idx="60">
                <c:v>45855</c:v>
              </c:pt>
              <c:pt idx="61">
                <c:v>45854</c:v>
              </c:pt>
              <c:pt idx="62">
                <c:v>45853</c:v>
              </c:pt>
              <c:pt idx="63">
                <c:v>45852</c:v>
              </c:pt>
              <c:pt idx="64">
                <c:v>45849</c:v>
              </c:pt>
              <c:pt idx="65">
                <c:v>45848</c:v>
              </c:pt>
              <c:pt idx="66">
                <c:v>45847</c:v>
              </c:pt>
              <c:pt idx="67">
                <c:v>45846</c:v>
              </c:pt>
              <c:pt idx="68">
                <c:v>45845</c:v>
              </c:pt>
              <c:pt idx="69">
                <c:v>45841</c:v>
              </c:pt>
              <c:pt idx="70">
                <c:v>45840</c:v>
              </c:pt>
              <c:pt idx="71">
                <c:v>45839</c:v>
              </c:pt>
              <c:pt idx="72">
                <c:v>45838</c:v>
              </c:pt>
              <c:pt idx="73">
                <c:v>45835</c:v>
              </c:pt>
              <c:pt idx="74">
                <c:v>45834</c:v>
              </c:pt>
              <c:pt idx="75">
                <c:v>45833</c:v>
              </c:pt>
              <c:pt idx="76">
                <c:v>45832</c:v>
              </c:pt>
              <c:pt idx="77">
                <c:v>45831</c:v>
              </c:pt>
              <c:pt idx="78">
                <c:v>45828</c:v>
              </c:pt>
              <c:pt idx="79">
                <c:v>45826</c:v>
              </c:pt>
              <c:pt idx="80">
                <c:v>45825</c:v>
              </c:pt>
              <c:pt idx="81">
                <c:v>45824</c:v>
              </c:pt>
              <c:pt idx="82">
                <c:v>45821</c:v>
              </c:pt>
              <c:pt idx="83">
                <c:v>45820</c:v>
              </c:pt>
              <c:pt idx="84">
                <c:v>45819</c:v>
              </c:pt>
              <c:pt idx="85">
                <c:v>45818</c:v>
              </c:pt>
              <c:pt idx="86">
                <c:v>45817</c:v>
              </c:pt>
              <c:pt idx="87">
                <c:v>45814</c:v>
              </c:pt>
              <c:pt idx="88">
                <c:v>45813</c:v>
              </c:pt>
              <c:pt idx="89">
                <c:v>45812</c:v>
              </c:pt>
              <c:pt idx="90">
                <c:v>45811</c:v>
              </c:pt>
              <c:pt idx="91">
                <c:v>45810</c:v>
              </c:pt>
              <c:pt idx="92">
                <c:v>45807</c:v>
              </c:pt>
              <c:pt idx="93">
                <c:v>45806</c:v>
              </c:pt>
              <c:pt idx="94">
                <c:v>45805</c:v>
              </c:pt>
              <c:pt idx="95">
                <c:v>45804</c:v>
              </c:pt>
              <c:pt idx="96">
                <c:v>45800</c:v>
              </c:pt>
              <c:pt idx="97">
                <c:v>45799</c:v>
              </c:pt>
              <c:pt idx="98">
                <c:v>45798</c:v>
              </c:pt>
              <c:pt idx="99">
                <c:v>45797</c:v>
              </c:pt>
              <c:pt idx="100">
                <c:v>45796</c:v>
              </c:pt>
              <c:pt idx="101">
                <c:v>45793</c:v>
              </c:pt>
              <c:pt idx="102">
                <c:v>45792</c:v>
              </c:pt>
              <c:pt idx="103">
                <c:v>45791</c:v>
              </c:pt>
              <c:pt idx="104">
                <c:v>45790</c:v>
              </c:pt>
              <c:pt idx="105">
                <c:v>45789</c:v>
              </c:pt>
              <c:pt idx="106">
                <c:v>45786</c:v>
              </c:pt>
              <c:pt idx="107">
                <c:v>45785</c:v>
              </c:pt>
              <c:pt idx="108">
                <c:v>45784</c:v>
              </c:pt>
              <c:pt idx="109">
                <c:v>45783</c:v>
              </c:pt>
              <c:pt idx="110">
                <c:v>45782</c:v>
              </c:pt>
              <c:pt idx="111">
                <c:v>45779</c:v>
              </c:pt>
              <c:pt idx="112">
                <c:v>45778</c:v>
              </c:pt>
              <c:pt idx="113">
                <c:v>45777</c:v>
              </c:pt>
              <c:pt idx="114">
                <c:v>45776</c:v>
              </c:pt>
              <c:pt idx="115">
                <c:v>45775</c:v>
              </c:pt>
              <c:pt idx="116">
                <c:v>45772</c:v>
              </c:pt>
              <c:pt idx="117">
                <c:v>45771</c:v>
              </c:pt>
              <c:pt idx="118">
                <c:v>45770</c:v>
              </c:pt>
              <c:pt idx="119">
                <c:v>45769</c:v>
              </c:pt>
              <c:pt idx="120">
                <c:v>45768</c:v>
              </c:pt>
              <c:pt idx="121">
                <c:v>45764</c:v>
              </c:pt>
              <c:pt idx="122">
                <c:v>45763</c:v>
              </c:pt>
              <c:pt idx="123">
                <c:v>45762</c:v>
              </c:pt>
              <c:pt idx="124">
                <c:v>45761</c:v>
              </c:pt>
              <c:pt idx="125">
                <c:v>45758</c:v>
              </c:pt>
              <c:pt idx="126">
                <c:v>45757</c:v>
              </c:pt>
              <c:pt idx="127">
                <c:v>45756</c:v>
              </c:pt>
              <c:pt idx="128">
                <c:v>45755</c:v>
              </c:pt>
              <c:pt idx="129">
                <c:v>45754</c:v>
              </c:pt>
              <c:pt idx="130">
                <c:v>45751</c:v>
              </c:pt>
              <c:pt idx="131">
                <c:v>45750</c:v>
              </c:pt>
              <c:pt idx="132">
                <c:v>45749</c:v>
              </c:pt>
              <c:pt idx="133">
                <c:v>45748</c:v>
              </c:pt>
              <c:pt idx="134">
                <c:v>45747</c:v>
              </c:pt>
              <c:pt idx="135">
                <c:v>45744</c:v>
              </c:pt>
              <c:pt idx="136">
                <c:v>45743</c:v>
              </c:pt>
              <c:pt idx="137">
                <c:v>45742</c:v>
              </c:pt>
              <c:pt idx="138">
                <c:v>45741</c:v>
              </c:pt>
              <c:pt idx="139">
                <c:v>45740</c:v>
              </c:pt>
              <c:pt idx="140">
                <c:v>45737</c:v>
              </c:pt>
              <c:pt idx="141">
                <c:v>45736</c:v>
              </c:pt>
              <c:pt idx="142">
                <c:v>45735</c:v>
              </c:pt>
              <c:pt idx="143">
                <c:v>45734</c:v>
              </c:pt>
              <c:pt idx="144">
                <c:v>45733</c:v>
              </c:pt>
              <c:pt idx="145">
                <c:v>45730</c:v>
              </c:pt>
              <c:pt idx="146">
                <c:v>45729</c:v>
              </c:pt>
              <c:pt idx="147">
                <c:v>45728</c:v>
              </c:pt>
              <c:pt idx="148">
                <c:v>45727</c:v>
              </c:pt>
              <c:pt idx="149">
                <c:v>45726</c:v>
              </c:pt>
              <c:pt idx="150">
                <c:v>45723</c:v>
              </c:pt>
              <c:pt idx="151">
                <c:v>45722</c:v>
              </c:pt>
              <c:pt idx="152">
                <c:v>45721</c:v>
              </c:pt>
              <c:pt idx="153">
                <c:v>45720</c:v>
              </c:pt>
              <c:pt idx="154">
                <c:v>45719</c:v>
              </c:pt>
              <c:pt idx="155">
                <c:v>45716</c:v>
              </c:pt>
              <c:pt idx="156">
                <c:v>45715</c:v>
              </c:pt>
              <c:pt idx="157">
                <c:v>45714</c:v>
              </c:pt>
              <c:pt idx="158">
                <c:v>45713</c:v>
              </c:pt>
              <c:pt idx="159">
                <c:v>45712</c:v>
              </c:pt>
              <c:pt idx="160">
                <c:v>45709</c:v>
              </c:pt>
              <c:pt idx="161">
                <c:v>45708</c:v>
              </c:pt>
              <c:pt idx="162">
                <c:v>45707</c:v>
              </c:pt>
              <c:pt idx="163">
                <c:v>45706</c:v>
              </c:pt>
              <c:pt idx="164">
                <c:v>45702</c:v>
              </c:pt>
              <c:pt idx="165">
                <c:v>45701</c:v>
              </c:pt>
              <c:pt idx="166">
                <c:v>45700</c:v>
              </c:pt>
              <c:pt idx="167">
                <c:v>45699</c:v>
              </c:pt>
              <c:pt idx="168">
                <c:v>45698</c:v>
              </c:pt>
              <c:pt idx="169">
                <c:v>45695</c:v>
              </c:pt>
              <c:pt idx="170">
                <c:v>45694</c:v>
              </c:pt>
              <c:pt idx="171">
                <c:v>45693</c:v>
              </c:pt>
              <c:pt idx="172">
                <c:v>45692</c:v>
              </c:pt>
              <c:pt idx="173">
                <c:v>45691</c:v>
              </c:pt>
              <c:pt idx="174">
                <c:v>45688</c:v>
              </c:pt>
              <c:pt idx="175">
                <c:v>45687</c:v>
              </c:pt>
              <c:pt idx="176">
                <c:v>45686</c:v>
              </c:pt>
              <c:pt idx="177">
                <c:v>45685</c:v>
              </c:pt>
              <c:pt idx="178">
                <c:v>45684</c:v>
              </c:pt>
              <c:pt idx="179">
                <c:v>45681</c:v>
              </c:pt>
              <c:pt idx="180">
                <c:v>45680</c:v>
              </c:pt>
              <c:pt idx="181">
                <c:v>45679</c:v>
              </c:pt>
              <c:pt idx="182">
                <c:v>45678</c:v>
              </c:pt>
              <c:pt idx="183">
                <c:v>45674</c:v>
              </c:pt>
              <c:pt idx="184">
                <c:v>45673</c:v>
              </c:pt>
              <c:pt idx="185">
                <c:v>45672</c:v>
              </c:pt>
              <c:pt idx="186">
                <c:v>45671</c:v>
              </c:pt>
              <c:pt idx="187">
                <c:v>45670</c:v>
              </c:pt>
              <c:pt idx="188">
                <c:v>45667</c:v>
              </c:pt>
              <c:pt idx="189">
                <c:v>45665</c:v>
              </c:pt>
              <c:pt idx="190">
                <c:v>45664</c:v>
              </c:pt>
              <c:pt idx="191">
                <c:v>45663</c:v>
              </c:pt>
              <c:pt idx="192">
                <c:v>45660</c:v>
              </c:pt>
              <c:pt idx="193">
                <c:v>45659</c:v>
              </c:pt>
              <c:pt idx="194">
                <c:v>45657</c:v>
              </c:pt>
              <c:pt idx="195">
                <c:v>45656</c:v>
              </c:pt>
              <c:pt idx="196">
                <c:v>45653</c:v>
              </c:pt>
              <c:pt idx="197">
                <c:v>45652</c:v>
              </c:pt>
              <c:pt idx="198">
                <c:v>45650</c:v>
              </c:pt>
              <c:pt idx="199">
                <c:v>45649</c:v>
              </c:pt>
              <c:pt idx="200">
                <c:v>45646</c:v>
              </c:pt>
              <c:pt idx="201">
                <c:v>45645</c:v>
              </c:pt>
              <c:pt idx="202">
                <c:v>45644</c:v>
              </c:pt>
              <c:pt idx="203">
                <c:v>45643</c:v>
              </c:pt>
              <c:pt idx="204">
                <c:v>45642</c:v>
              </c:pt>
              <c:pt idx="205">
                <c:v>45639</c:v>
              </c:pt>
              <c:pt idx="206">
                <c:v>45638</c:v>
              </c:pt>
              <c:pt idx="207">
                <c:v>45637</c:v>
              </c:pt>
              <c:pt idx="208">
                <c:v>45636</c:v>
              </c:pt>
              <c:pt idx="209">
                <c:v>45635</c:v>
              </c:pt>
              <c:pt idx="210">
                <c:v>45632</c:v>
              </c:pt>
              <c:pt idx="211">
                <c:v>45631</c:v>
              </c:pt>
              <c:pt idx="212">
                <c:v>45630</c:v>
              </c:pt>
              <c:pt idx="213">
                <c:v>45629</c:v>
              </c:pt>
              <c:pt idx="214">
                <c:v>45628</c:v>
              </c:pt>
              <c:pt idx="215">
                <c:v>45625</c:v>
              </c:pt>
              <c:pt idx="216">
                <c:v>45623</c:v>
              </c:pt>
              <c:pt idx="217">
                <c:v>45622</c:v>
              </c:pt>
              <c:pt idx="218">
                <c:v>45621</c:v>
              </c:pt>
              <c:pt idx="219">
                <c:v>45618</c:v>
              </c:pt>
              <c:pt idx="220">
                <c:v>45617</c:v>
              </c:pt>
              <c:pt idx="221">
                <c:v>45616</c:v>
              </c:pt>
              <c:pt idx="222">
                <c:v>45615</c:v>
              </c:pt>
              <c:pt idx="223">
                <c:v>45614</c:v>
              </c:pt>
              <c:pt idx="224">
                <c:v>45611</c:v>
              </c:pt>
              <c:pt idx="225">
                <c:v>45610</c:v>
              </c:pt>
              <c:pt idx="226">
                <c:v>45609</c:v>
              </c:pt>
              <c:pt idx="227">
                <c:v>45608</c:v>
              </c:pt>
              <c:pt idx="228">
                <c:v>45607</c:v>
              </c:pt>
              <c:pt idx="229">
                <c:v>45604</c:v>
              </c:pt>
              <c:pt idx="230">
                <c:v>45603</c:v>
              </c:pt>
              <c:pt idx="231">
                <c:v>45602</c:v>
              </c:pt>
              <c:pt idx="232">
                <c:v>45601</c:v>
              </c:pt>
              <c:pt idx="233">
                <c:v>45600</c:v>
              </c:pt>
              <c:pt idx="234">
                <c:v>45597</c:v>
              </c:pt>
              <c:pt idx="235">
                <c:v>45596</c:v>
              </c:pt>
              <c:pt idx="236">
                <c:v>45595</c:v>
              </c:pt>
              <c:pt idx="237">
                <c:v>45594</c:v>
              </c:pt>
              <c:pt idx="238">
                <c:v>45593</c:v>
              </c:pt>
              <c:pt idx="239">
                <c:v>45590</c:v>
              </c:pt>
              <c:pt idx="240">
                <c:v>45589</c:v>
              </c:pt>
              <c:pt idx="241">
                <c:v>45588</c:v>
              </c:pt>
              <c:pt idx="242">
                <c:v>45587</c:v>
              </c:pt>
              <c:pt idx="243">
                <c:v>45586</c:v>
              </c:pt>
              <c:pt idx="244">
                <c:v>45583</c:v>
              </c:pt>
              <c:pt idx="245">
                <c:v>45582</c:v>
              </c:pt>
              <c:pt idx="246">
                <c:v>45581</c:v>
              </c:pt>
              <c:pt idx="247">
                <c:v>45580</c:v>
              </c:pt>
              <c:pt idx="248">
                <c:v>45579</c:v>
              </c:pt>
              <c:pt idx="249">
                <c:v>45576</c:v>
              </c:pt>
              <c:pt idx="250">
                <c:v>45575</c:v>
              </c:pt>
            </c:numLit>
          </c:cat>
          <c:val>
            <c:numLit>
              <c:formatCode>#,##0_);\(#,##0\)</c:formatCode>
              <c:ptCount val="267"/>
              <c:pt idx="0">
                <c:v>1163295</c:v>
              </c:pt>
              <c:pt idx="1">
                <c:v>634645</c:v>
              </c:pt>
              <c:pt idx="2">
                <c:v>480864</c:v>
              </c:pt>
              <c:pt idx="3">
                <c:v>386481</c:v>
              </c:pt>
              <c:pt idx="4">
                <c:v>679554</c:v>
              </c:pt>
              <c:pt idx="5">
                <c:v>866740</c:v>
              </c:pt>
              <c:pt idx="6">
                <c:v>593316</c:v>
              </c:pt>
              <c:pt idx="7">
                <c:v>554201</c:v>
              </c:pt>
              <c:pt idx="8">
                <c:v>320278</c:v>
              </c:pt>
              <c:pt idx="9">
                <c:v>300434</c:v>
              </c:pt>
              <c:pt idx="10">
                <c:v>213776</c:v>
              </c:pt>
              <c:pt idx="11">
                <c:v>442192</c:v>
              </c:pt>
              <c:pt idx="12">
                <c:v>547372</c:v>
              </c:pt>
              <c:pt idx="13">
                <c:v>452869</c:v>
              </c:pt>
              <c:pt idx="14">
                <c:v>367991</c:v>
              </c:pt>
              <c:pt idx="15">
                <c:v>1090538</c:v>
              </c:pt>
              <c:pt idx="16">
                <c:v>316187</c:v>
              </c:pt>
              <c:pt idx="17">
                <c:v>236286</c:v>
              </c:pt>
              <c:pt idx="18">
                <c:v>276770</c:v>
              </c:pt>
              <c:pt idx="19">
                <c:v>295297</c:v>
              </c:pt>
              <c:pt idx="20">
                <c:v>299411</c:v>
              </c:pt>
              <c:pt idx="21">
                <c:v>316724</c:v>
              </c:pt>
              <c:pt idx="22">
                <c:v>314914</c:v>
              </c:pt>
              <c:pt idx="23">
                <c:v>332340</c:v>
              </c:pt>
              <c:pt idx="24">
                <c:v>461837</c:v>
              </c:pt>
              <c:pt idx="25">
                <c:v>318368</c:v>
              </c:pt>
              <c:pt idx="26">
                <c:v>452194</c:v>
              </c:pt>
              <c:pt idx="27">
                <c:v>757296</c:v>
              </c:pt>
              <c:pt idx="28">
                <c:v>238217</c:v>
              </c:pt>
              <c:pt idx="29">
                <c:v>299723</c:v>
              </c:pt>
              <c:pt idx="30">
                <c:v>235619</c:v>
              </c:pt>
              <c:pt idx="31">
                <c:v>281838</c:v>
              </c:pt>
              <c:pt idx="32">
                <c:v>447523</c:v>
              </c:pt>
              <c:pt idx="33">
                <c:v>407358</c:v>
              </c:pt>
              <c:pt idx="34">
                <c:v>267956</c:v>
              </c:pt>
              <c:pt idx="35">
                <c:v>245148</c:v>
              </c:pt>
              <c:pt idx="36">
                <c:v>333758</c:v>
              </c:pt>
              <c:pt idx="37">
                <c:v>696516</c:v>
              </c:pt>
              <c:pt idx="38">
                <c:v>221703</c:v>
              </c:pt>
              <c:pt idx="39">
                <c:v>403423</c:v>
              </c:pt>
              <c:pt idx="40">
                <c:v>378096</c:v>
              </c:pt>
              <c:pt idx="41">
                <c:v>277285</c:v>
              </c:pt>
              <c:pt idx="42">
                <c:v>234563</c:v>
              </c:pt>
              <c:pt idx="43">
                <c:v>311770</c:v>
              </c:pt>
              <c:pt idx="44">
                <c:v>276637</c:v>
              </c:pt>
              <c:pt idx="45">
                <c:v>314834</c:v>
              </c:pt>
              <c:pt idx="46">
                <c:v>570536</c:v>
              </c:pt>
              <c:pt idx="47">
                <c:v>618243</c:v>
              </c:pt>
              <c:pt idx="48">
                <c:v>503267</c:v>
              </c:pt>
              <c:pt idx="49">
                <c:v>538811</c:v>
              </c:pt>
              <c:pt idx="50">
                <c:v>337357</c:v>
              </c:pt>
              <c:pt idx="51">
                <c:v>348989</c:v>
              </c:pt>
              <c:pt idx="52">
                <c:v>309554</c:v>
              </c:pt>
              <c:pt idx="53">
                <c:v>354864</c:v>
              </c:pt>
              <c:pt idx="54">
                <c:v>238241</c:v>
              </c:pt>
              <c:pt idx="55">
                <c:v>274084</c:v>
              </c:pt>
              <c:pt idx="56">
                <c:v>263016</c:v>
              </c:pt>
              <c:pt idx="57">
                <c:v>448392</c:v>
              </c:pt>
              <c:pt idx="58">
                <c:v>324063</c:v>
              </c:pt>
              <c:pt idx="59">
                <c:v>432445</c:v>
              </c:pt>
              <c:pt idx="60">
                <c:v>733183</c:v>
              </c:pt>
              <c:pt idx="61">
                <c:v>353984</c:v>
              </c:pt>
              <c:pt idx="62">
                <c:v>509815</c:v>
              </c:pt>
              <c:pt idx="63">
                <c:v>368534</c:v>
              </c:pt>
              <c:pt idx="64">
                <c:v>458339</c:v>
              </c:pt>
              <c:pt idx="65">
                <c:v>457180</c:v>
              </c:pt>
              <c:pt idx="66">
                <c:v>263395</c:v>
              </c:pt>
              <c:pt idx="67">
                <c:v>495357</c:v>
              </c:pt>
              <c:pt idx="68">
                <c:v>489579</c:v>
              </c:pt>
              <c:pt idx="69">
                <c:v>201133</c:v>
              </c:pt>
              <c:pt idx="70">
                <c:v>463402</c:v>
              </c:pt>
              <c:pt idx="71">
                <c:v>543839</c:v>
              </c:pt>
              <c:pt idx="72">
                <c:v>665817</c:v>
              </c:pt>
              <c:pt idx="73">
                <c:v>6424265</c:v>
              </c:pt>
              <c:pt idx="74">
                <c:v>625675</c:v>
              </c:pt>
              <c:pt idx="75">
                <c:v>489239</c:v>
              </c:pt>
              <c:pt idx="76">
                <c:v>524518</c:v>
              </c:pt>
              <c:pt idx="77">
                <c:v>672565</c:v>
              </c:pt>
              <c:pt idx="78">
                <c:v>780968</c:v>
              </c:pt>
              <c:pt idx="79">
                <c:v>506550</c:v>
              </c:pt>
              <c:pt idx="80">
                <c:v>905233</c:v>
              </c:pt>
              <c:pt idx="81">
                <c:v>1376351</c:v>
              </c:pt>
              <c:pt idx="82">
                <c:v>791537</c:v>
              </c:pt>
              <c:pt idx="83">
                <c:v>855171</c:v>
              </c:pt>
              <c:pt idx="84">
                <c:v>797793</c:v>
              </c:pt>
              <c:pt idx="85">
                <c:v>543397</c:v>
              </c:pt>
              <c:pt idx="86">
                <c:v>635252</c:v>
              </c:pt>
              <c:pt idx="87">
                <c:v>609332</c:v>
              </c:pt>
              <c:pt idx="88">
                <c:v>566672</c:v>
              </c:pt>
              <c:pt idx="89">
                <c:v>475008</c:v>
              </c:pt>
              <c:pt idx="90">
                <c:v>505319</c:v>
              </c:pt>
              <c:pt idx="91">
                <c:v>770086</c:v>
              </c:pt>
              <c:pt idx="92">
                <c:v>1480590</c:v>
              </c:pt>
              <c:pt idx="93">
                <c:v>1737620</c:v>
              </c:pt>
              <c:pt idx="94">
                <c:v>1622206</c:v>
              </c:pt>
              <c:pt idx="95">
                <c:v>557125</c:v>
              </c:pt>
              <c:pt idx="96">
                <c:v>401837</c:v>
              </c:pt>
              <c:pt idx="97">
                <c:v>453882</c:v>
              </c:pt>
              <c:pt idx="98">
                <c:v>410990</c:v>
              </c:pt>
              <c:pt idx="99">
                <c:v>524393</c:v>
              </c:pt>
              <c:pt idx="100">
                <c:v>335302</c:v>
              </c:pt>
              <c:pt idx="101">
                <c:v>387017</c:v>
              </c:pt>
              <c:pt idx="102">
                <c:v>448421</c:v>
              </c:pt>
              <c:pt idx="103">
                <c:v>367332</c:v>
              </c:pt>
              <c:pt idx="104">
                <c:v>367418</c:v>
              </c:pt>
              <c:pt idx="105">
                <c:v>424284</c:v>
              </c:pt>
              <c:pt idx="106">
                <c:v>311214</c:v>
              </c:pt>
              <c:pt idx="107">
                <c:v>337587</c:v>
              </c:pt>
              <c:pt idx="108">
                <c:v>309097</c:v>
              </c:pt>
              <c:pt idx="109">
                <c:v>286246</c:v>
              </c:pt>
              <c:pt idx="110">
                <c:v>308273</c:v>
              </c:pt>
              <c:pt idx="111">
                <c:v>394377</c:v>
              </c:pt>
              <c:pt idx="112">
                <c:v>334238</c:v>
              </c:pt>
              <c:pt idx="113">
                <c:v>416846</c:v>
              </c:pt>
              <c:pt idx="114">
                <c:v>401683</c:v>
              </c:pt>
              <c:pt idx="115">
                <c:v>397075</c:v>
              </c:pt>
              <c:pt idx="116">
                <c:v>367179</c:v>
              </c:pt>
              <c:pt idx="117">
                <c:v>437255</c:v>
              </c:pt>
              <c:pt idx="118">
                <c:v>569910</c:v>
              </c:pt>
              <c:pt idx="119">
                <c:v>383028</c:v>
              </c:pt>
              <c:pt idx="120">
                <c:v>403727</c:v>
              </c:pt>
              <c:pt idx="121">
                <c:v>816917</c:v>
              </c:pt>
              <c:pt idx="122">
                <c:v>923068</c:v>
              </c:pt>
              <c:pt idx="123">
                <c:v>337491</c:v>
              </c:pt>
              <c:pt idx="124">
                <c:v>574196</c:v>
              </c:pt>
              <c:pt idx="125">
                <c:v>550071</c:v>
              </c:pt>
              <c:pt idx="126">
                <c:v>558908</c:v>
              </c:pt>
              <c:pt idx="127">
                <c:v>1251958</c:v>
              </c:pt>
              <c:pt idx="128">
                <c:v>792481</c:v>
              </c:pt>
              <c:pt idx="129">
                <c:v>1176736</c:v>
              </c:pt>
              <c:pt idx="130">
                <c:v>1098402</c:v>
              </c:pt>
              <c:pt idx="131">
                <c:v>657404</c:v>
              </c:pt>
              <c:pt idx="132">
                <c:v>427267</c:v>
              </c:pt>
              <c:pt idx="133">
                <c:v>413614</c:v>
              </c:pt>
              <c:pt idx="134">
                <c:v>399818</c:v>
              </c:pt>
              <c:pt idx="135">
                <c:v>382110</c:v>
              </c:pt>
              <c:pt idx="136">
                <c:v>357387</c:v>
              </c:pt>
              <c:pt idx="137">
                <c:v>309185</c:v>
              </c:pt>
              <c:pt idx="138">
                <c:v>371258</c:v>
              </c:pt>
              <c:pt idx="139">
                <c:v>458511</c:v>
              </c:pt>
              <c:pt idx="140">
                <c:v>1209451</c:v>
              </c:pt>
              <c:pt idx="141">
                <c:v>469358</c:v>
              </c:pt>
              <c:pt idx="142">
                <c:v>397275</c:v>
              </c:pt>
              <c:pt idx="143">
                <c:v>312873</c:v>
              </c:pt>
              <c:pt idx="144">
                <c:v>498984</c:v>
              </c:pt>
              <c:pt idx="145">
                <c:v>585176</c:v>
              </c:pt>
              <c:pt idx="146">
                <c:v>744651</c:v>
              </c:pt>
              <c:pt idx="147">
                <c:v>763986</c:v>
              </c:pt>
              <c:pt idx="148">
                <c:v>614224</c:v>
              </c:pt>
              <c:pt idx="149">
                <c:v>587446</c:v>
              </c:pt>
              <c:pt idx="150">
                <c:v>718095</c:v>
              </c:pt>
              <c:pt idx="151">
                <c:v>509068</c:v>
              </c:pt>
              <c:pt idx="152">
                <c:v>466543</c:v>
              </c:pt>
              <c:pt idx="153">
                <c:v>454552</c:v>
              </c:pt>
              <c:pt idx="154">
                <c:v>479342</c:v>
              </c:pt>
              <c:pt idx="155">
                <c:v>621524</c:v>
              </c:pt>
              <c:pt idx="156">
                <c:v>430584</c:v>
              </c:pt>
              <c:pt idx="157">
                <c:v>500716</c:v>
              </c:pt>
              <c:pt idx="158">
                <c:v>449798</c:v>
              </c:pt>
              <c:pt idx="159">
                <c:v>775101</c:v>
              </c:pt>
              <c:pt idx="160">
                <c:v>641616</c:v>
              </c:pt>
              <c:pt idx="161">
                <c:v>844043</c:v>
              </c:pt>
              <c:pt idx="162">
                <c:v>517878</c:v>
              </c:pt>
              <c:pt idx="163">
                <c:v>445034</c:v>
              </c:pt>
              <c:pt idx="164">
                <c:v>413127</c:v>
              </c:pt>
              <c:pt idx="165">
                <c:v>463246</c:v>
              </c:pt>
              <c:pt idx="166">
                <c:v>656643</c:v>
              </c:pt>
              <c:pt idx="167">
                <c:v>2030735</c:v>
              </c:pt>
              <c:pt idx="168">
                <c:v>350579</c:v>
              </c:pt>
              <c:pt idx="169">
                <c:v>445072</c:v>
              </c:pt>
              <c:pt idx="170">
                <c:v>500632</c:v>
              </c:pt>
              <c:pt idx="171">
                <c:v>727105</c:v>
              </c:pt>
              <c:pt idx="172">
                <c:v>890514</c:v>
              </c:pt>
              <c:pt idx="173">
                <c:v>536242</c:v>
              </c:pt>
              <c:pt idx="174">
                <c:v>294793</c:v>
              </c:pt>
              <c:pt idx="175">
                <c:v>212830</c:v>
              </c:pt>
              <c:pt idx="176">
                <c:v>327016</c:v>
              </c:pt>
              <c:pt idx="177">
                <c:v>386896</c:v>
              </c:pt>
              <c:pt idx="178">
                <c:v>448722</c:v>
              </c:pt>
              <c:pt idx="179">
                <c:v>302379</c:v>
              </c:pt>
              <c:pt idx="180">
                <c:v>356997</c:v>
              </c:pt>
              <c:pt idx="181">
                <c:v>552383</c:v>
              </c:pt>
              <c:pt idx="182">
                <c:v>428630</c:v>
              </c:pt>
              <c:pt idx="183">
                <c:v>457867</c:v>
              </c:pt>
              <c:pt idx="184">
                <c:v>353412</c:v>
              </c:pt>
              <c:pt idx="185">
                <c:v>272192</c:v>
              </c:pt>
              <c:pt idx="186">
                <c:v>564830</c:v>
              </c:pt>
              <c:pt idx="187">
                <c:v>475426</c:v>
              </c:pt>
              <c:pt idx="188">
                <c:v>300891</c:v>
              </c:pt>
              <c:pt idx="189">
                <c:v>338492</c:v>
              </c:pt>
              <c:pt idx="190">
                <c:v>428978</c:v>
              </c:pt>
              <c:pt idx="191">
                <c:v>402721</c:v>
              </c:pt>
              <c:pt idx="192">
                <c:v>349201</c:v>
              </c:pt>
              <c:pt idx="193">
                <c:v>333011</c:v>
              </c:pt>
              <c:pt idx="194">
                <c:v>268403</c:v>
              </c:pt>
              <c:pt idx="195">
                <c:v>290581</c:v>
              </c:pt>
              <c:pt idx="196">
                <c:v>301598</c:v>
              </c:pt>
              <c:pt idx="197">
                <c:v>344516</c:v>
              </c:pt>
              <c:pt idx="198">
                <c:v>238105</c:v>
              </c:pt>
              <c:pt idx="199">
                <c:v>529868</c:v>
              </c:pt>
              <c:pt idx="200">
                <c:v>1662623</c:v>
              </c:pt>
              <c:pt idx="201">
                <c:v>773061</c:v>
              </c:pt>
              <c:pt idx="202">
                <c:v>802376</c:v>
              </c:pt>
              <c:pt idx="203">
                <c:v>708307</c:v>
              </c:pt>
              <c:pt idx="204">
                <c:v>1111259</c:v>
              </c:pt>
              <c:pt idx="205">
                <c:v>510141</c:v>
              </c:pt>
              <c:pt idx="206">
                <c:v>934718</c:v>
              </c:pt>
              <c:pt idx="207">
                <c:v>476083</c:v>
              </c:pt>
              <c:pt idx="208">
                <c:v>545844</c:v>
              </c:pt>
              <c:pt idx="209">
                <c:v>481001</c:v>
              </c:pt>
              <c:pt idx="210">
                <c:v>433942</c:v>
              </c:pt>
              <c:pt idx="211">
                <c:v>416931</c:v>
              </c:pt>
              <c:pt idx="212">
                <c:v>235846</c:v>
              </c:pt>
              <c:pt idx="213">
                <c:v>254874</c:v>
              </c:pt>
              <c:pt idx="214">
                <c:v>241533</c:v>
              </c:pt>
              <c:pt idx="215">
                <c:v>184886</c:v>
              </c:pt>
              <c:pt idx="216">
                <c:v>406288</c:v>
              </c:pt>
              <c:pt idx="217">
                <c:v>204483</c:v>
              </c:pt>
              <c:pt idx="218">
                <c:v>265012</c:v>
              </c:pt>
              <c:pt idx="219">
                <c:v>264915</c:v>
              </c:pt>
              <c:pt idx="220">
                <c:v>211850</c:v>
              </c:pt>
              <c:pt idx="221">
                <c:v>157887</c:v>
              </c:pt>
              <c:pt idx="222">
                <c:v>265887</c:v>
              </c:pt>
              <c:pt idx="223">
                <c:v>227610</c:v>
              </c:pt>
              <c:pt idx="224">
                <c:v>249700</c:v>
              </c:pt>
              <c:pt idx="225">
                <c:v>300295</c:v>
              </c:pt>
              <c:pt idx="226">
                <c:v>361481</c:v>
              </c:pt>
              <c:pt idx="227">
                <c:v>359560</c:v>
              </c:pt>
              <c:pt idx="228">
                <c:v>285175</c:v>
              </c:pt>
              <c:pt idx="229">
                <c:v>450922</c:v>
              </c:pt>
              <c:pt idx="230">
                <c:v>461216</c:v>
              </c:pt>
              <c:pt idx="231">
                <c:v>1015084</c:v>
              </c:pt>
              <c:pt idx="232">
                <c:v>450985</c:v>
              </c:pt>
              <c:pt idx="233">
                <c:v>341145</c:v>
              </c:pt>
              <c:pt idx="234">
                <c:v>340854</c:v>
              </c:pt>
              <c:pt idx="235">
                <c:v>255399</c:v>
              </c:pt>
              <c:pt idx="236">
                <c:v>291462</c:v>
              </c:pt>
              <c:pt idx="237">
                <c:v>330056</c:v>
              </c:pt>
              <c:pt idx="238">
                <c:v>475713</c:v>
              </c:pt>
              <c:pt idx="239">
                <c:v>193608</c:v>
              </c:pt>
              <c:pt idx="240">
                <c:v>239006</c:v>
              </c:pt>
              <c:pt idx="241">
                <c:v>252118</c:v>
              </c:pt>
              <c:pt idx="242">
                <c:v>249006</c:v>
              </c:pt>
              <c:pt idx="243">
                <c:v>217617</c:v>
              </c:pt>
              <c:pt idx="244">
                <c:v>232474</c:v>
              </c:pt>
              <c:pt idx="245">
                <c:v>295658</c:v>
              </c:pt>
              <c:pt idx="246">
                <c:v>206950</c:v>
              </c:pt>
              <c:pt idx="247">
                <c:v>236340</c:v>
              </c:pt>
              <c:pt idx="248">
                <c:v>211893</c:v>
              </c:pt>
              <c:pt idx="249">
                <c:v>340893</c:v>
              </c:pt>
              <c:pt idx="250">
                <c:v>401564</c:v>
              </c:pt>
            </c:numLit>
          </c:val>
          <c:extLst>
            <c:ext xmlns:c16="http://schemas.microsoft.com/office/drawing/2014/chart" uri="{C3380CC4-5D6E-409C-BE32-E72D297353CC}">
              <c16:uniqueId val="{00000000-F402-4538-B25F-4F6697A1500A}"/>
            </c:ext>
          </c:extLst>
        </c:ser>
        <c:dLbls>
          <c:showLegendKey val="0"/>
          <c:showVal val="0"/>
          <c:showCatName val="0"/>
          <c:showSerName val="0"/>
          <c:showPercent val="0"/>
          <c:showBubbleSize val="0"/>
        </c:dLbls>
        <c:axId val="19406624"/>
        <c:axId val="19404960"/>
      </c:areaChart>
      <c:lineChart>
        <c:grouping val="standard"/>
        <c:varyColors val="0"/>
        <c:ser>
          <c:idx val="0"/>
          <c:order val="0"/>
          <c:spPr>
            <a:ln w="25400" cap="rnd">
              <a:solidFill>
                <a:srgbClr val="00355F"/>
              </a:solidFill>
              <a:round/>
            </a:ln>
            <a:effectLst/>
          </c:spPr>
          <c:marker>
            <c:symbol val="none"/>
          </c:marker>
          <c:cat>
            <c:numLit>
              <c:formatCode>m/d/yyyy</c:formatCode>
              <c:ptCount val="267"/>
              <c:pt idx="0">
                <c:v>45940</c:v>
              </c:pt>
              <c:pt idx="1">
                <c:v>45939</c:v>
              </c:pt>
              <c:pt idx="2">
                <c:v>45938</c:v>
              </c:pt>
              <c:pt idx="3">
                <c:v>45937</c:v>
              </c:pt>
              <c:pt idx="4">
                <c:v>45936</c:v>
              </c:pt>
              <c:pt idx="5">
                <c:v>45933</c:v>
              </c:pt>
              <c:pt idx="6">
                <c:v>45932</c:v>
              </c:pt>
              <c:pt idx="7">
                <c:v>45931</c:v>
              </c:pt>
              <c:pt idx="8">
                <c:v>45930</c:v>
              </c:pt>
              <c:pt idx="9">
                <c:v>45929</c:v>
              </c:pt>
              <c:pt idx="10">
                <c:v>45926</c:v>
              </c:pt>
              <c:pt idx="11">
                <c:v>45925</c:v>
              </c:pt>
              <c:pt idx="12">
                <c:v>45924</c:v>
              </c:pt>
              <c:pt idx="13">
                <c:v>45923</c:v>
              </c:pt>
              <c:pt idx="14">
                <c:v>45922</c:v>
              </c:pt>
              <c:pt idx="15">
                <c:v>45919</c:v>
              </c:pt>
              <c:pt idx="16">
                <c:v>45918</c:v>
              </c:pt>
              <c:pt idx="17">
                <c:v>45917</c:v>
              </c:pt>
              <c:pt idx="18">
                <c:v>45916</c:v>
              </c:pt>
              <c:pt idx="19">
                <c:v>45915</c:v>
              </c:pt>
              <c:pt idx="20">
                <c:v>45912</c:v>
              </c:pt>
              <c:pt idx="21">
                <c:v>45911</c:v>
              </c:pt>
              <c:pt idx="22">
                <c:v>45910</c:v>
              </c:pt>
              <c:pt idx="23">
                <c:v>45909</c:v>
              </c:pt>
              <c:pt idx="24">
                <c:v>45908</c:v>
              </c:pt>
              <c:pt idx="25">
                <c:v>45905</c:v>
              </c:pt>
              <c:pt idx="26">
                <c:v>45904</c:v>
              </c:pt>
              <c:pt idx="27">
                <c:v>45903</c:v>
              </c:pt>
              <c:pt idx="28">
                <c:v>45902</c:v>
              </c:pt>
              <c:pt idx="29">
                <c:v>45898</c:v>
              </c:pt>
              <c:pt idx="30">
                <c:v>45897</c:v>
              </c:pt>
              <c:pt idx="31">
                <c:v>45896</c:v>
              </c:pt>
              <c:pt idx="32">
                <c:v>45895</c:v>
              </c:pt>
              <c:pt idx="33">
                <c:v>45894</c:v>
              </c:pt>
              <c:pt idx="34">
                <c:v>45891</c:v>
              </c:pt>
              <c:pt idx="35">
                <c:v>45890</c:v>
              </c:pt>
              <c:pt idx="36">
                <c:v>45889</c:v>
              </c:pt>
              <c:pt idx="37">
                <c:v>45888</c:v>
              </c:pt>
              <c:pt idx="38">
                <c:v>45887</c:v>
              </c:pt>
              <c:pt idx="39">
                <c:v>45884</c:v>
              </c:pt>
              <c:pt idx="40">
                <c:v>45883</c:v>
              </c:pt>
              <c:pt idx="41">
                <c:v>45882</c:v>
              </c:pt>
              <c:pt idx="42">
                <c:v>45881</c:v>
              </c:pt>
              <c:pt idx="43">
                <c:v>45880</c:v>
              </c:pt>
              <c:pt idx="44">
                <c:v>45877</c:v>
              </c:pt>
              <c:pt idx="45">
                <c:v>45876</c:v>
              </c:pt>
              <c:pt idx="46">
                <c:v>45875</c:v>
              </c:pt>
              <c:pt idx="47">
                <c:v>45874</c:v>
              </c:pt>
              <c:pt idx="48">
                <c:v>45873</c:v>
              </c:pt>
              <c:pt idx="49">
                <c:v>45870</c:v>
              </c:pt>
              <c:pt idx="50">
                <c:v>45869</c:v>
              </c:pt>
              <c:pt idx="51">
                <c:v>45868</c:v>
              </c:pt>
              <c:pt idx="52">
                <c:v>45867</c:v>
              </c:pt>
              <c:pt idx="53">
                <c:v>45866</c:v>
              </c:pt>
              <c:pt idx="54">
                <c:v>45863</c:v>
              </c:pt>
              <c:pt idx="55">
                <c:v>45862</c:v>
              </c:pt>
              <c:pt idx="56">
                <c:v>45861</c:v>
              </c:pt>
              <c:pt idx="57">
                <c:v>45860</c:v>
              </c:pt>
              <c:pt idx="58">
                <c:v>45859</c:v>
              </c:pt>
              <c:pt idx="59">
                <c:v>45856</c:v>
              </c:pt>
              <c:pt idx="60">
                <c:v>45855</c:v>
              </c:pt>
              <c:pt idx="61">
                <c:v>45854</c:v>
              </c:pt>
              <c:pt idx="62">
                <c:v>45853</c:v>
              </c:pt>
              <c:pt idx="63">
                <c:v>45852</c:v>
              </c:pt>
              <c:pt idx="64">
                <c:v>45849</c:v>
              </c:pt>
              <c:pt idx="65">
                <c:v>45848</c:v>
              </c:pt>
              <c:pt idx="66">
                <c:v>45847</c:v>
              </c:pt>
              <c:pt idx="67">
                <c:v>45846</c:v>
              </c:pt>
              <c:pt idx="68">
                <c:v>45845</c:v>
              </c:pt>
              <c:pt idx="69">
                <c:v>45841</c:v>
              </c:pt>
              <c:pt idx="70">
                <c:v>45840</c:v>
              </c:pt>
              <c:pt idx="71">
                <c:v>45839</c:v>
              </c:pt>
              <c:pt idx="72">
                <c:v>45838</c:v>
              </c:pt>
              <c:pt idx="73">
                <c:v>45835</c:v>
              </c:pt>
              <c:pt idx="74">
                <c:v>45834</c:v>
              </c:pt>
              <c:pt idx="75">
                <c:v>45833</c:v>
              </c:pt>
              <c:pt idx="76">
                <c:v>45832</c:v>
              </c:pt>
              <c:pt idx="77">
                <c:v>45831</c:v>
              </c:pt>
              <c:pt idx="78">
                <c:v>45828</c:v>
              </c:pt>
              <c:pt idx="79">
                <c:v>45826</c:v>
              </c:pt>
              <c:pt idx="80">
                <c:v>45825</c:v>
              </c:pt>
              <c:pt idx="81">
                <c:v>45824</c:v>
              </c:pt>
              <c:pt idx="82">
                <c:v>45821</c:v>
              </c:pt>
              <c:pt idx="83">
                <c:v>45820</c:v>
              </c:pt>
              <c:pt idx="84">
                <c:v>45819</c:v>
              </c:pt>
              <c:pt idx="85">
                <c:v>45818</c:v>
              </c:pt>
              <c:pt idx="86">
                <c:v>45817</c:v>
              </c:pt>
              <c:pt idx="87">
                <c:v>45814</c:v>
              </c:pt>
              <c:pt idx="88">
                <c:v>45813</c:v>
              </c:pt>
              <c:pt idx="89">
                <c:v>45812</c:v>
              </c:pt>
              <c:pt idx="90">
                <c:v>45811</c:v>
              </c:pt>
              <c:pt idx="91">
                <c:v>45810</c:v>
              </c:pt>
              <c:pt idx="92">
                <c:v>45807</c:v>
              </c:pt>
              <c:pt idx="93">
                <c:v>45806</c:v>
              </c:pt>
              <c:pt idx="94">
                <c:v>45805</c:v>
              </c:pt>
              <c:pt idx="95">
                <c:v>45804</c:v>
              </c:pt>
              <c:pt idx="96">
                <c:v>45800</c:v>
              </c:pt>
              <c:pt idx="97">
                <c:v>45799</c:v>
              </c:pt>
              <c:pt idx="98">
                <c:v>45798</c:v>
              </c:pt>
              <c:pt idx="99">
                <c:v>45797</c:v>
              </c:pt>
              <c:pt idx="100">
                <c:v>45796</c:v>
              </c:pt>
              <c:pt idx="101">
                <c:v>45793</c:v>
              </c:pt>
              <c:pt idx="102">
                <c:v>45792</c:v>
              </c:pt>
              <c:pt idx="103">
                <c:v>45791</c:v>
              </c:pt>
              <c:pt idx="104">
                <c:v>45790</c:v>
              </c:pt>
              <c:pt idx="105">
                <c:v>45789</c:v>
              </c:pt>
              <c:pt idx="106">
                <c:v>45786</c:v>
              </c:pt>
              <c:pt idx="107">
                <c:v>45785</c:v>
              </c:pt>
              <c:pt idx="108">
                <c:v>45784</c:v>
              </c:pt>
              <c:pt idx="109">
                <c:v>45783</c:v>
              </c:pt>
              <c:pt idx="110">
                <c:v>45782</c:v>
              </c:pt>
              <c:pt idx="111">
                <c:v>45779</c:v>
              </c:pt>
              <c:pt idx="112">
                <c:v>45778</c:v>
              </c:pt>
              <c:pt idx="113">
                <c:v>45777</c:v>
              </c:pt>
              <c:pt idx="114">
                <c:v>45776</c:v>
              </c:pt>
              <c:pt idx="115">
                <c:v>45775</c:v>
              </c:pt>
              <c:pt idx="116">
                <c:v>45772</c:v>
              </c:pt>
              <c:pt idx="117">
                <c:v>45771</c:v>
              </c:pt>
              <c:pt idx="118">
                <c:v>45770</c:v>
              </c:pt>
              <c:pt idx="119">
                <c:v>45769</c:v>
              </c:pt>
              <c:pt idx="120">
                <c:v>45768</c:v>
              </c:pt>
              <c:pt idx="121">
                <c:v>45764</c:v>
              </c:pt>
              <c:pt idx="122">
                <c:v>45763</c:v>
              </c:pt>
              <c:pt idx="123">
                <c:v>45762</c:v>
              </c:pt>
              <c:pt idx="124">
                <c:v>45761</c:v>
              </c:pt>
              <c:pt idx="125">
                <c:v>45758</c:v>
              </c:pt>
              <c:pt idx="126">
                <c:v>45757</c:v>
              </c:pt>
              <c:pt idx="127">
                <c:v>45756</c:v>
              </c:pt>
              <c:pt idx="128">
                <c:v>45755</c:v>
              </c:pt>
              <c:pt idx="129">
                <c:v>45754</c:v>
              </c:pt>
              <c:pt idx="130">
                <c:v>45751</c:v>
              </c:pt>
              <c:pt idx="131">
                <c:v>45750</c:v>
              </c:pt>
              <c:pt idx="132">
                <c:v>45749</c:v>
              </c:pt>
              <c:pt idx="133">
                <c:v>45748</c:v>
              </c:pt>
              <c:pt idx="134">
                <c:v>45747</c:v>
              </c:pt>
              <c:pt idx="135">
                <c:v>45744</c:v>
              </c:pt>
              <c:pt idx="136">
                <c:v>45743</c:v>
              </c:pt>
              <c:pt idx="137">
                <c:v>45742</c:v>
              </c:pt>
              <c:pt idx="138">
                <c:v>45741</c:v>
              </c:pt>
              <c:pt idx="139">
                <c:v>45740</c:v>
              </c:pt>
              <c:pt idx="140">
                <c:v>45737</c:v>
              </c:pt>
              <c:pt idx="141">
                <c:v>45736</c:v>
              </c:pt>
              <c:pt idx="142">
                <c:v>45735</c:v>
              </c:pt>
              <c:pt idx="143">
                <c:v>45734</c:v>
              </c:pt>
              <c:pt idx="144">
                <c:v>45733</c:v>
              </c:pt>
              <c:pt idx="145">
                <c:v>45730</c:v>
              </c:pt>
              <c:pt idx="146">
                <c:v>45729</c:v>
              </c:pt>
              <c:pt idx="147">
                <c:v>45728</c:v>
              </c:pt>
              <c:pt idx="148">
                <c:v>45727</c:v>
              </c:pt>
              <c:pt idx="149">
                <c:v>45726</c:v>
              </c:pt>
              <c:pt idx="150">
                <c:v>45723</c:v>
              </c:pt>
              <c:pt idx="151">
                <c:v>45722</c:v>
              </c:pt>
              <c:pt idx="152">
                <c:v>45721</c:v>
              </c:pt>
              <c:pt idx="153">
                <c:v>45720</c:v>
              </c:pt>
              <c:pt idx="154">
                <c:v>45719</c:v>
              </c:pt>
              <c:pt idx="155">
                <c:v>45716</c:v>
              </c:pt>
              <c:pt idx="156">
                <c:v>45715</c:v>
              </c:pt>
              <c:pt idx="157">
                <c:v>45714</c:v>
              </c:pt>
              <c:pt idx="158">
                <c:v>45713</c:v>
              </c:pt>
              <c:pt idx="159">
                <c:v>45712</c:v>
              </c:pt>
              <c:pt idx="160">
                <c:v>45709</c:v>
              </c:pt>
              <c:pt idx="161">
                <c:v>45708</c:v>
              </c:pt>
              <c:pt idx="162">
                <c:v>45707</c:v>
              </c:pt>
              <c:pt idx="163">
                <c:v>45706</c:v>
              </c:pt>
              <c:pt idx="164">
                <c:v>45702</c:v>
              </c:pt>
              <c:pt idx="165">
                <c:v>45701</c:v>
              </c:pt>
              <c:pt idx="166">
                <c:v>45700</c:v>
              </c:pt>
              <c:pt idx="167">
                <c:v>45699</c:v>
              </c:pt>
              <c:pt idx="168">
                <c:v>45698</c:v>
              </c:pt>
              <c:pt idx="169">
                <c:v>45695</c:v>
              </c:pt>
              <c:pt idx="170">
                <c:v>45694</c:v>
              </c:pt>
              <c:pt idx="171">
                <c:v>45693</c:v>
              </c:pt>
              <c:pt idx="172">
                <c:v>45692</c:v>
              </c:pt>
              <c:pt idx="173">
                <c:v>45691</c:v>
              </c:pt>
              <c:pt idx="174">
                <c:v>45688</c:v>
              </c:pt>
              <c:pt idx="175">
                <c:v>45687</c:v>
              </c:pt>
              <c:pt idx="176">
                <c:v>45686</c:v>
              </c:pt>
              <c:pt idx="177">
                <c:v>45685</c:v>
              </c:pt>
              <c:pt idx="178">
                <c:v>45684</c:v>
              </c:pt>
              <c:pt idx="179">
                <c:v>45681</c:v>
              </c:pt>
              <c:pt idx="180">
                <c:v>45680</c:v>
              </c:pt>
              <c:pt idx="181">
                <c:v>45679</c:v>
              </c:pt>
              <c:pt idx="182">
                <c:v>45678</c:v>
              </c:pt>
              <c:pt idx="183">
                <c:v>45674</c:v>
              </c:pt>
              <c:pt idx="184">
                <c:v>45673</c:v>
              </c:pt>
              <c:pt idx="185">
                <c:v>45672</c:v>
              </c:pt>
              <c:pt idx="186">
                <c:v>45671</c:v>
              </c:pt>
              <c:pt idx="187">
                <c:v>45670</c:v>
              </c:pt>
              <c:pt idx="188">
                <c:v>45667</c:v>
              </c:pt>
              <c:pt idx="189">
                <c:v>45665</c:v>
              </c:pt>
              <c:pt idx="190">
                <c:v>45664</c:v>
              </c:pt>
              <c:pt idx="191">
                <c:v>45663</c:v>
              </c:pt>
              <c:pt idx="192">
                <c:v>45660</c:v>
              </c:pt>
              <c:pt idx="193">
                <c:v>45659</c:v>
              </c:pt>
              <c:pt idx="194">
                <c:v>45657</c:v>
              </c:pt>
              <c:pt idx="195">
                <c:v>45656</c:v>
              </c:pt>
              <c:pt idx="196">
                <c:v>45653</c:v>
              </c:pt>
              <c:pt idx="197">
                <c:v>45652</c:v>
              </c:pt>
              <c:pt idx="198">
                <c:v>45650</c:v>
              </c:pt>
              <c:pt idx="199">
                <c:v>45649</c:v>
              </c:pt>
              <c:pt idx="200">
                <c:v>45646</c:v>
              </c:pt>
              <c:pt idx="201">
                <c:v>45645</c:v>
              </c:pt>
              <c:pt idx="202">
                <c:v>45644</c:v>
              </c:pt>
              <c:pt idx="203">
                <c:v>45643</c:v>
              </c:pt>
              <c:pt idx="204">
                <c:v>45642</c:v>
              </c:pt>
              <c:pt idx="205">
                <c:v>45639</c:v>
              </c:pt>
              <c:pt idx="206">
                <c:v>45638</c:v>
              </c:pt>
              <c:pt idx="207">
                <c:v>45637</c:v>
              </c:pt>
              <c:pt idx="208">
                <c:v>45636</c:v>
              </c:pt>
              <c:pt idx="209">
                <c:v>45635</c:v>
              </c:pt>
              <c:pt idx="210">
                <c:v>45632</c:v>
              </c:pt>
              <c:pt idx="211">
                <c:v>45631</c:v>
              </c:pt>
              <c:pt idx="212">
                <c:v>45630</c:v>
              </c:pt>
              <c:pt idx="213">
                <c:v>45629</c:v>
              </c:pt>
              <c:pt idx="214">
                <c:v>45628</c:v>
              </c:pt>
              <c:pt idx="215">
                <c:v>45625</c:v>
              </c:pt>
              <c:pt idx="216">
                <c:v>45623</c:v>
              </c:pt>
              <c:pt idx="217">
                <c:v>45622</c:v>
              </c:pt>
              <c:pt idx="218">
                <c:v>45621</c:v>
              </c:pt>
              <c:pt idx="219">
                <c:v>45618</c:v>
              </c:pt>
              <c:pt idx="220">
                <c:v>45617</c:v>
              </c:pt>
              <c:pt idx="221">
                <c:v>45616</c:v>
              </c:pt>
              <c:pt idx="222">
                <c:v>45615</c:v>
              </c:pt>
              <c:pt idx="223">
                <c:v>45614</c:v>
              </c:pt>
              <c:pt idx="224">
                <c:v>45611</c:v>
              </c:pt>
              <c:pt idx="225">
                <c:v>45610</c:v>
              </c:pt>
              <c:pt idx="226">
                <c:v>45609</c:v>
              </c:pt>
              <c:pt idx="227">
                <c:v>45608</c:v>
              </c:pt>
              <c:pt idx="228">
                <c:v>45607</c:v>
              </c:pt>
              <c:pt idx="229">
                <c:v>45604</c:v>
              </c:pt>
              <c:pt idx="230">
                <c:v>45603</c:v>
              </c:pt>
              <c:pt idx="231">
                <c:v>45602</c:v>
              </c:pt>
              <c:pt idx="232">
                <c:v>45601</c:v>
              </c:pt>
              <c:pt idx="233">
                <c:v>45600</c:v>
              </c:pt>
              <c:pt idx="234">
                <c:v>45597</c:v>
              </c:pt>
              <c:pt idx="235">
                <c:v>45596</c:v>
              </c:pt>
              <c:pt idx="236">
                <c:v>45595</c:v>
              </c:pt>
              <c:pt idx="237">
                <c:v>45594</c:v>
              </c:pt>
              <c:pt idx="238">
                <c:v>45593</c:v>
              </c:pt>
              <c:pt idx="239">
                <c:v>45590</c:v>
              </c:pt>
              <c:pt idx="240">
                <c:v>45589</c:v>
              </c:pt>
              <c:pt idx="241">
                <c:v>45588</c:v>
              </c:pt>
              <c:pt idx="242">
                <c:v>45587</c:v>
              </c:pt>
              <c:pt idx="243">
                <c:v>45586</c:v>
              </c:pt>
              <c:pt idx="244">
                <c:v>45583</c:v>
              </c:pt>
              <c:pt idx="245">
                <c:v>45582</c:v>
              </c:pt>
              <c:pt idx="246">
                <c:v>45581</c:v>
              </c:pt>
              <c:pt idx="247">
                <c:v>45580</c:v>
              </c:pt>
              <c:pt idx="248">
                <c:v>45579</c:v>
              </c:pt>
              <c:pt idx="249">
                <c:v>45576</c:v>
              </c:pt>
              <c:pt idx="250">
                <c:v>45575</c:v>
              </c:pt>
            </c:numLit>
          </c:cat>
          <c:val>
            <c:numLit>
              <c:formatCode>_(* #,##0.00_);_(* \(#,##0.00\);_(* "-"??_);_(@_)</c:formatCode>
              <c:ptCount val="267"/>
              <c:pt idx="0" formatCode="&quot;$&quot;#,##0.00_);\(&quot;$&quot;#,##0.00\)">
                <c:v>118.26000213623</c:v>
              </c:pt>
              <c:pt idx="1">
                <c:v>118.85</c:v>
              </c:pt>
              <c:pt idx="2">
                <c:v>119.8</c:v>
              </c:pt>
              <c:pt idx="3">
                <c:v>122.6</c:v>
              </c:pt>
              <c:pt idx="4">
                <c:v>125.09</c:v>
              </c:pt>
              <c:pt idx="5">
                <c:v>127.6</c:v>
              </c:pt>
              <c:pt idx="6">
                <c:v>126.55</c:v>
              </c:pt>
              <c:pt idx="7">
                <c:v>128.80000000000001</c:v>
              </c:pt>
              <c:pt idx="8">
                <c:v>134.79</c:v>
              </c:pt>
              <c:pt idx="9">
                <c:v>139</c:v>
              </c:pt>
              <c:pt idx="10">
                <c:v>140.9</c:v>
              </c:pt>
              <c:pt idx="11">
                <c:v>139.66</c:v>
              </c:pt>
              <c:pt idx="12">
                <c:v>142.78</c:v>
              </c:pt>
              <c:pt idx="13">
                <c:v>149.9</c:v>
              </c:pt>
              <c:pt idx="14">
                <c:v>149.15</c:v>
              </c:pt>
              <c:pt idx="15">
                <c:v>150.36000000000001</c:v>
              </c:pt>
              <c:pt idx="16">
                <c:v>150.98500000000001</c:v>
              </c:pt>
              <c:pt idx="17">
                <c:v>146.13</c:v>
              </c:pt>
              <c:pt idx="18">
                <c:v>147.58000000000001</c:v>
              </c:pt>
              <c:pt idx="19">
                <c:v>146.53</c:v>
              </c:pt>
              <c:pt idx="20">
                <c:v>148.79</c:v>
              </c:pt>
              <c:pt idx="21">
                <c:v>153.80000000000001</c:v>
              </c:pt>
              <c:pt idx="22">
                <c:v>149.25</c:v>
              </c:pt>
              <c:pt idx="23">
                <c:v>147.94</c:v>
              </c:pt>
              <c:pt idx="24">
                <c:v>148.66</c:v>
              </c:pt>
              <c:pt idx="25">
                <c:v>146.12</c:v>
              </c:pt>
              <c:pt idx="26">
                <c:v>147.04</c:v>
              </c:pt>
              <c:pt idx="27">
                <c:v>143.78</c:v>
              </c:pt>
              <c:pt idx="28">
                <c:v>150.65</c:v>
              </c:pt>
              <c:pt idx="29">
                <c:v>154.34</c:v>
              </c:pt>
              <c:pt idx="30">
                <c:v>154.86000000000001</c:v>
              </c:pt>
              <c:pt idx="31">
                <c:v>154.52000000000001</c:v>
              </c:pt>
              <c:pt idx="32">
                <c:v>154.34</c:v>
              </c:pt>
              <c:pt idx="33">
                <c:v>154.30000000000001</c:v>
              </c:pt>
              <c:pt idx="34">
                <c:v>156.75</c:v>
              </c:pt>
              <c:pt idx="35">
                <c:v>149.86000000000001</c:v>
              </c:pt>
              <c:pt idx="36">
                <c:v>150.41999999999999</c:v>
              </c:pt>
              <c:pt idx="37">
                <c:v>150.91999999999999</c:v>
              </c:pt>
              <c:pt idx="38">
                <c:v>155.4</c:v>
              </c:pt>
              <c:pt idx="39">
                <c:v>155.46</c:v>
              </c:pt>
              <c:pt idx="40">
                <c:v>158.44</c:v>
              </c:pt>
              <c:pt idx="41">
                <c:v>160.88</c:v>
              </c:pt>
              <c:pt idx="42">
                <c:v>158.66999999999999</c:v>
              </c:pt>
              <c:pt idx="43">
                <c:v>152.55000000000001</c:v>
              </c:pt>
              <c:pt idx="44">
                <c:v>154.54</c:v>
              </c:pt>
              <c:pt idx="45">
                <c:v>153.19</c:v>
              </c:pt>
              <c:pt idx="46">
                <c:v>156.57</c:v>
              </c:pt>
              <c:pt idx="47">
                <c:v>156.77000000000001</c:v>
              </c:pt>
              <c:pt idx="48">
                <c:v>150.9</c:v>
              </c:pt>
              <c:pt idx="49">
                <c:v>147.79</c:v>
              </c:pt>
              <c:pt idx="50">
                <c:v>152.30000000000001</c:v>
              </c:pt>
              <c:pt idx="51">
                <c:v>155.5</c:v>
              </c:pt>
              <c:pt idx="52">
                <c:v>155.09</c:v>
              </c:pt>
              <c:pt idx="53">
                <c:v>155.78</c:v>
              </c:pt>
              <c:pt idx="54">
                <c:v>156.86000000000001</c:v>
              </c:pt>
              <c:pt idx="55">
                <c:v>156.57</c:v>
              </c:pt>
              <c:pt idx="56">
                <c:v>155.52000000000001</c:v>
              </c:pt>
              <c:pt idx="57">
                <c:v>154.27000000000001</c:v>
              </c:pt>
              <c:pt idx="58">
                <c:v>151.87</c:v>
              </c:pt>
              <c:pt idx="59">
                <c:v>154.63999999999999</c:v>
              </c:pt>
              <c:pt idx="60">
                <c:v>159.1</c:v>
              </c:pt>
              <c:pt idx="61">
                <c:v>151.94999999999999</c:v>
              </c:pt>
              <c:pt idx="62">
                <c:v>145.72</c:v>
              </c:pt>
              <c:pt idx="63">
                <c:v>150.31</c:v>
              </c:pt>
              <c:pt idx="64">
                <c:v>151.38</c:v>
              </c:pt>
              <c:pt idx="65">
                <c:v>153.22999999999999</c:v>
              </c:pt>
              <c:pt idx="66">
                <c:v>149.09</c:v>
              </c:pt>
              <c:pt idx="67">
                <c:v>147.15</c:v>
              </c:pt>
              <c:pt idx="68">
                <c:v>146.1</c:v>
              </c:pt>
              <c:pt idx="69">
                <c:v>147.02000000000001</c:v>
              </c:pt>
              <c:pt idx="70">
                <c:v>145.15</c:v>
              </c:pt>
              <c:pt idx="71">
                <c:v>144.79</c:v>
              </c:pt>
              <c:pt idx="72">
                <c:v>142.12</c:v>
              </c:pt>
              <c:pt idx="73">
                <c:v>144.13999999999999</c:v>
              </c:pt>
              <c:pt idx="74">
                <c:v>144.24</c:v>
              </c:pt>
              <c:pt idx="75">
                <c:v>142.52000000000001</c:v>
              </c:pt>
              <c:pt idx="76">
                <c:v>142.66999999999999</c:v>
              </c:pt>
              <c:pt idx="77">
                <c:v>138.84</c:v>
              </c:pt>
              <c:pt idx="78">
                <c:v>136.69</c:v>
              </c:pt>
              <c:pt idx="79">
                <c:v>136.97999999999999</c:v>
              </c:pt>
              <c:pt idx="80">
                <c:v>135.91</c:v>
              </c:pt>
              <c:pt idx="81">
                <c:v>137.53</c:v>
              </c:pt>
              <c:pt idx="82">
                <c:v>138.94999999999999</c:v>
              </c:pt>
              <c:pt idx="83">
                <c:v>146.49</c:v>
              </c:pt>
              <c:pt idx="84">
                <c:v>147.34</c:v>
              </c:pt>
              <c:pt idx="85">
                <c:v>151.66999999999999</c:v>
              </c:pt>
              <c:pt idx="86">
                <c:v>151.72999999999999</c:v>
              </c:pt>
              <c:pt idx="87">
                <c:v>150.82</c:v>
              </c:pt>
              <c:pt idx="88">
                <c:v>150.63</c:v>
              </c:pt>
              <c:pt idx="89">
                <c:v>149.08000000000001</c:v>
              </c:pt>
              <c:pt idx="90">
                <c:v>149.51</c:v>
              </c:pt>
              <c:pt idx="91">
                <c:v>148.96</c:v>
              </c:pt>
              <c:pt idx="92">
                <c:v>149</c:v>
              </c:pt>
              <c:pt idx="93">
                <c:v>156.08000000000001</c:v>
              </c:pt>
              <c:pt idx="94">
                <c:v>175.49</c:v>
              </c:pt>
              <c:pt idx="95">
                <c:v>172.6</c:v>
              </c:pt>
              <c:pt idx="96">
                <c:v>165.41</c:v>
              </c:pt>
              <c:pt idx="97">
                <c:v>163.86</c:v>
              </c:pt>
              <c:pt idx="98">
                <c:v>161.72</c:v>
              </c:pt>
              <c:pt idx="99">
                <c:v>169.7</c:v>
              </c:pt>
              <c:pt idx="100">
                <c:v>172.52</c:v>
              </c:pt>
              <c:pt idx="101">
                <c:v>172.74</c:v>
              </c:pt>
              <c:pt idx="102">
                <c:v>170.11</c:v>
              </c:pt>
              <c:pt idx="103">
                <c:v>174.82</c:v>
              </c:pt>
              <c:pt idx="104">
                <c:v>174.04</c:v>
              </c:pt>
              <c:pt idx="105">
                <c:v>172.95</c:v>
              </c:pt>
              <c:pt idx="106">
                <c:v>162.68</c:v>
              </c:pt>
              <c:pt idx="107">
                <c:v>162.69999999999999</c:v>
              </c:pt>
              <c:pt idx="108">
                <c:v>158.62</c:v>
              </c:pt>
              <c:pt idx="109">
                <c:v>157.71</c:v>
              </c:pt>
              <c:pt idx="110">
                <c:v>160.37</c:v>
              </c:pt>
              <c:pt idx="111">
                <c:v>160.59</c:v>
              </c:pt>
              <c:pt idx="112">
                <c:v>155.62</c:v>
              </c:pt>
              <c:pt idx="113">
                <c:v>154.49</c:v>
              </c:pt>
              <c:pt idx="114">
                <c:v>154.51</c:v>
              </c:pt>
              <c:pt idx="115">
                <c:v>150.59</c:v>
              </c:pt>
              <c:pt idx="116">
                <c:v>148.34</c:v>
              </c:pt>
              <c:pt idx="117">
                <c:v>148.01</c:v>
              </c:pt>
              <c:pt idx="118">
                <c:v>144.1</c:v>
              </c:pt>
              <c:pt idx="119">
                <c:v>136.68</c:v>
              </c:pt>
              <c:pt idx="120">
                <c:v>131.4</c:v>
              </c:pt>
              <c:pt idx="121">
                <c:v>137.72999999999999</c:v>
              </c:pt>
              <c:pt idx="122">
                <c:v>135.05000000000001</c:v>
              </c:pt>
              <c:pt idx="123">
                <c:v>141.35</c:v>
              </c:pt>
              <c:pt idx="124">
                <c:v>140.87</c:v>
              </c:pt>
              <c:pt idx="125">
                <c:v>137.21</c:v>
              </c:pt>
              <c:pt idx="126">
                <c:v>138.07</c:v>
              </c:pt>
              <c:pt idx="127">
                <c:v>147.08000000000001</c:v>
              </c:pt>
              <c:pt idx="128">
                <c:v>126.65</c:v>
              </c:pt>
              <c:pt idx="129">
                <c:v>134.12</c:v>
              </c:pt>
              <c:pt idx="130">
                <c:v>135.66</c:v>
              </c:pt>
              <c:pt idx="131">
                <c:v>140.88999999999999</c:v>
              </c:pt>
              <c:pt idx="132">
                <c:v>155.47999999999999</c:v>
              </c:pt>
              <c:pt idx="133">
                <c:v>151.91999999999999</c:v>
              </c:pt>
              <c:pt idx="134">
                <c:v>148.66999999999999</c:v>
              </c:pt>
              <c:pt idx="135">
                <c:v>147.08000000000001</c:v>
              </c:pt>
              <c:pt idx="136">
                <c:v>150.81</c:v>
              </c:pt>
              <c:pt idx="137">
                <c:v>154.02000000000001</c:v>
              </c:pt>
              <c:pt idx="138">
                <c:v>157.61000000000001</c:v>
              </c:pt>
              <c:pt idx="139">
                <c:v>155.88999999999999</c:v>
              </c:pt>
              <c:pt idx="140">
                <c:v>150.63999999999999</c:v>
              </c:pt>
              <c:pt idx="141">
                <c:v>149.19999999999999</c:v>
              </c:pt>
              <c:pt idx="142">
                <c:v>150.57</c:v>
              </c:pt>
              <c:pt idx="143">
                <c:v>144.74</c:v>
              </c:pt>
              <c:pt idx="144">
                <c:v>145.15</c:v>
              </c:pt>
              <c:pt idx="145">
                <c:v>142.56</c:v>
              </c:pt>
              <c:pt idx="146">
                <c:v>139.01</c:v>
              </c:pt>
              <c:pt idx="147">
                <c:v>141.47</c:v>
              </c:pt>
              <c:pt idx="148">
                <c:v>140.05000000000001</c:v>
              </c:pt>
              <c:pt idx="149">
                <c:v>137.87</c:v>
              </c:pt>
              <c:pt idx="150">
                <c:v>145.94</c:v>
              </c:pt>
              <c:pt idx="151">
                <c:v>147.59</c:v>
              </c:pt>
              <c:pt idx="152">
                <c:v>153.03</c:v>
              </c:pt>
              <c:pt idx="153">
                <c:v>146.94</c:v>
              </c:pt>
              <c:pt idx="154">
                <c:v>152.59</c:v>
              </c:pt>
              <c:pt idx="155">
                <c:v>156.32</c:v>
              </c:pt>
              <c:pt idx="156">
                <c:v>151.65</c:v>
              </c:pt>
              <c:pt idx="157">
                <c:v>153.78</c:v>
              </c:pt>
              <c:pt idx="158">
                <c:v>153.97999999999999</c:v>
              </c:pt>
              <c:pt idx="159">
                <c:v>153.13999999999999</c:v>
              </c:pt>
              <c:pt idx="160">
                <c:v>151.46</c:v>
              </c:pt>
              <c:pt idx="161">
                <c:v>157.26</c:v>
              </c:pt>
              <c:pt idx="162">
                <c:v>159.96</c:v>
              </c:pt>
              <c:pt idx="163">
                <c:v>159.52000000000001</c:v>
              </c:pt>
              <c:pt idx="164">
                <c:v>156.19</c:v>
              </c:pt>
              <c:pt idx="165">
                <c:v>151.83000000000001</c:v>
              </c:pt>
              <c:pt idx="166">
                <c:v>153.87</c:v>
              </c:pt>
              <c:pt idx="167">
                <c:v>156.59</c:v>
              </c:pt>
              <c:pt idx="168">
                <c:v>166.39</c:v>
              </c:pt>
              <c:pt idx="169">
                <c:v>167.19</c:v>
              </c:pt>
              <c:pt idx="170">
                <c:v>166.83</c:v>
              </c:pt>
              <c:pt idx="171">
                <c:v>170.18</c:v>
              </c:pt>
              <c:pt idx="172">
                <c:v>161.4</c:v>
              </c:pt>
              <c:pt idx="173">
                <c:v>158</c:v>
              </c:pt>
              <c:pt idx="174">
                <c:v>159.18</c:v>
              </c:pt>
              <c:pt idx="175">
                <c:v>159.46</c:v>
              </c:pt>
              <c:pt idx="176">
                <c:v>157.38</c:v>
              </c:pt>
              <c:pt idx="177">
                <c:v>159.6</c:v>
              </c:pt>
              <c:pt idx="178">
                <c:v>158.63</c:v>
              </c:pt>
              <c:pt idx="179">
                <c:v>160.99</c:v>
              </c:pt>
              <c:pt idx="180">
                <c:v>159.86000000000001</c:v>
              </c:pt>
              <c:pt idx="181">
                <c:v>160.13999999999999</c:v>
              </c:pt>
              <c:pt idx="182">
                <c:v>157.13</c:v>
              </c:pt>
              <c:pt idx="183">
                <c:v>150.26</c:v>
              </c:pt>
              <c:pt idx="184">
                <c:v>149.59</c:v>
              </c:pt>
              <c:pt idx="185">
                <c:v>144.61000000000001</c:v>
              </c:pt>
              <c:pt idx="186">
                <c:v>141.13999999999999</c:v>
              </c:pt>
              <c:pt idx="187">
                <c:v>138.05000000000001</c:v>
              </c:pt>
              <c:pt idx="188">
                <c:v>139.76</c:v>
              </c:pt>
              <c:pt idx="189">
                <c:v>147.93</c:v>
              </c:pt>
              <c:pt idx="190">
                <c:v>147.26499999999999</c:v>
              </c:pt>
              <c:pt idx="191">
                <c:v>146.74</c:v>
              </c:pt>
              <c:pt idx="192">
                <c:v>150.27000000000001</c:v>
              </c:pt>
              <c:pt idx="193">
                <c:v>149.15</c:v>
              </c:pt>
              <c:pt idx="194">
                <c:v>148.05000000000001</c:v>
              </c:pt>
              <c:pt idx="195">
                <c:v>147.78</c:v>
              </c:pt>
              <c:pt idx="196">
                <c:v>151.55000000000001</c:v>
              </c:pt>
              <c:pt idx="197">
                <c:v>154</c:v>
              </c:pt>
              <c:pt idx="198">
                <c:v>150.58000000000001</c:v>
              </c:pt>
              <c:pt idx="199">
                <c:v>150.07</c:v>
              </c:pt>
              <c:pt idx="200">
                <c:v>150.68</c:v>
              </c:pt>
              <c:pt idx="201">
                <c:v>151.4</c:v>
              </c:pt>
              <c:pt idx="202">
                <c:v>152.51</c:v>
              </c:pt>
              <c:pt idx="203">
                <c:v>163.41</c:v>
              </c:pt>
              <c:pt idx="204">
                <c:v>167.52</c:v>
              </c:pt>
              <c:pt idx="205">
                <c:v>169.24</c:v>
              </c:pt>
              <c:pt idx="206">
                <c:v>171.23</c:v>
              </c:pt>
              <c:pt idx="207">
                <c:v>173.99</c:v>
              </c:pt>
              <c:pt idx="208">
                <c:v>174.55</c:v>
              </c:pt>
              <c:pt idx="209">
                <c:v>176.8</c:v>
              </c:pt>
              <c:pt idx="210">
                <c:v>181.48</c:v>
              </c:pt>
              <c:pt idx="211">
                <c:v>185.47</c:v>
              </c:pt>
              <c:pt idx="212">
                <c:v>190.7</c:v>
              </c:pt>
              <c:pt idx="213">
                <c:v>191.96</c:v>
              </c:pt>
              <c:pt idx="214">
                <c:v>191.92</c:v>
              </c:pt>
              <c:pt idx="215">
                <c:v>192.4</c:v>
              </c:pt>
              <c:pt idx="216">
                <c:v>192.02</c:v>
              </c:pt>
              <c:pt idx="217">
                <c:v>199.36</c:v>
              </c:pt>
              <c:pt idx="218">
                <c:v>201.57</c:v>
              </c:pt>
              <c:pt idx="219">
                <c:v>199.55</c:v>
              </c:pt>
              <c:pt idx="220">
                <c:v>198.17</c:v>
              </c:pt>
              <c:pt idx="221">
                <c:v>194.48</c:v>
              </c:pt>
              <c:pt idx="222">
                <c:v>194.41</c:v>
              </c:pt>
              <c:pt idx="223">
                <c:v>191.33</c:v>
              </c:pt>
              <c:pt idx="224">
                <c:v>191.88</c:v>
              </c:pt>
              <c:pt idx="225">
                <c:v>193.18</c:v>
              </c:pt>
              <c:pt idx="226">
                <c:v>190.39</c:v>
              </c:pt>
              <c:pt idx="227">
                <c:v>196.9</c:v>
              </c:pt>
              <c:pt idx="228">
                <c:v>201.62</c:v>
              </c:pt>
              <c:pt idx="229">
                <c:v>194.47</c:v>
              </c:pt>
              <c:pt idx="230">
                <c:v>189.42</c:v>
              </c:pt>
              <c:pt idx="231">
                <c:v>192.63</c:v>
              </c:pt>
              <c:pt idx="232">
                <c:v>180.24</c:v>
              </c:pt>
              <c:pt idx="233">
                <c:v>178.65</c:v>
              </c:pt>
              <c:pt idx="234">
                <c:v>179.9</c:v>
              </c:pt>
              <c:pt idx="235">
                <c:v>179.64</c:v>
              </c:pt>
              <c:pt idx="236">
                <c:v>182.22</c:v>
              </c:pt>
              <c:pt idx="237">
                <c:v>182.82</c:v>
              </c:pt>
              <c:pt idx="238">
                <c:v>182.61</c:v>
              </c:pt>
              <c:pt idx="239">
                <c:v>177.85</c:v>
              </c:pt>
              <c:pt idx="240">
                <c:v>177.93</c:v>
              </c:pt>
              <c:pt idx="241">
                <c:v>175.64</c:v>
              </c:pt>
              <c:pt idx="242">
                <c:v>177.78</c:v>
              </c:pt>
              <c:pt idx="243">
                <c:v>179.13</c:v>
              </c:pt>
              <c:pt idx="244">
                <c:v>180.92</c:v>
              </c:pt>
              <c:pt idx="245">
                <c:v>181</c:v>
              </c:pt>
              <c:pt idx="246">
                <c:v>178.27500000000001</c:v>
              </c:pt>
              <c:pt idx="247">
                <c:v>176.13</c:v>
              </c:pt>
              <c:pt idx="248">
                <c:v>177.16</c:v>
              </c:pt>
              <c:pt idx="249">
                <c:v>174.74</c:v>
              </c:pt>
              <c:pt idx="250">
                <c:v>172.58</c:v>
              </c:pt>
            </c:numLit>
          </c:val>
          <c:smooth val="1"/>
          <c:extLst>
            <c:ext xmlns:c16="http://schemas.microsoft.com/office/drawing/2014/chart" uri="{C3380CC4-5D6E-409C-BE32-E72D297353CC}">
              <c16:uniqueId val="{00000001-F402-4538-B25F-4F6697A1500A}"/>
            </c:ext>
          </c:extLst>
        </c:ser>
        <c:dLbls>
          <c:showLegendKey val="0"/>
          <c:showVal val="0"/>
          <c:showCatName val="0"/>
          <c:showSerName val="0"/>
          <c:showPercent val="0"/>
          <c:showBubbleSize val="0"/>
        </c:dLbls>
        <c:marker val="1"/>
        <c:smooth val="0"/>
        <c:axId val="-982872816"/>
        <c:axId val="-982888048"/>
      </c:lineChart>
      <c:dateAx>
        <c:axId val="-982872816"/>
        <c:scaling>
          <c:orientation val="minMax"/>
        </c:scaling>
        <c:delete val="0"/>
        <c:axPos val="b"/>
        <c:numFmt formatCode="[$-409]mmm\-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badi ExtraLight" panose="020B0204020104020204" pitchFamily="34" charset="0"/>
                <a:ea typeface="+mn-ea"/>
                <a:cs typeface="+mn-cs"/>
              </a:defRPr>
            </a:pPr>
            <a:endParaRPr lang="en-US"/>
          </a:p>
        </c:txPr>
        <c:crossAx val="-982888048"/>
        <c:crosses val="autoZero"/>
        <c:auto val="1"/>
        <c:lblOffset val="100"/>
        <c:baseTimeUnit val="days"/>
        <c:majorUnit val="4"/>
        <c:majorTimeUnit val="months"/>
        <c:minorUnit val="1"/>
        <c:minorTimeUnit val="months"/>
      </c:dateAx>
      <c:valAx>
        <c:axId val="-982888048"/>
        <c:scaling>
          <c:orientation val="minMax"/>
          <c:min val="25"/>
        </c:scaling>
        <c:delete val="0"/>
        <c:axPos val="l"/>
        <c:numFmt formatCode="_(&quot;$&quot;* #,##0_);_(&quot;$&quot;* \(#,##0\);_(&quot;$&quot;* &quot;-&quot;_);_(@_)"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badi ExtraLight" panose="020B0204020104020204" pitchFamily="34" charset="0"/>
                <a:ea typeface="+mn-ea"/>
                <a:cs typeface="+mn-cs"/>
              </a:defRPr>
            </a:pPr>
            <a:endParaRPr lang="en-US"/>
          </a:p>
        </c:txPr>
        <c:crossAx val="-982872816"/>
        <c:crosses val="autoZero"/>
        <c:crossBetween val="between"/>
        <c:majorUnit val="40"/>
      </c:valAx>
      <c:valAx>
        <c:axId val="19404960"/>
        <c:scaling>
          <c:orientation val="minMax"/>
          <c:max val="7000000"/>
          <c:min val="0"/>
        </c:scaling>
        <c:delete val="0"/>
        <c:axPos val="r"/>
        <c:numFmt formatCode="#,##0,,\ \M_);\(#,##0,,\ \M\);&quot;-&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badi ExtraLight" panose="020B0204020104020204" pitchFamily="34" charset="0"/>
                <a:ea typeface="+mn-ea"/>
                <a:cs typeface="+mn-cs"/>
              </a:defRPr>
            </a:pPr>
            <a:endParaRPr lang="en-US"/>
          </a:p>
        </c:txPr>
        <c:crossAx val="19406624"/>
        <c:crosses val="max"/>
        <c:crossBetween val="between"/>
        <c:majorUnit val="1500000"/>
      </c:valAx>
      <c:dateAx>
        <c:axId val="19406624"/>
        <c:scaling>
          <c:orientation val="minMax"/>
        </c:scaling>
        <c:delete val="1"/>
        <c:axPos val="b"/>
        <c:numFmt formatCode="m/d/yyyy" sourceLinked="1"/>
        <c:majorTickMark val="out"/>
        <c:minorTickMark val="none"/>
        <c:tickLblPos val="nextTo"/>
        <c:crossAx val="19404960"/>
        <c:crosses val="autoZero"/>
        <c:auto val="1"/>
        <c:lblOffset val="100"/>
        <c:baseTimeUnit val="days"/>
        <c:majorUnit val="1"/>
        <c:minorUnit val="1"/>
      </c:date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Abadi ExtraLight" panose="020B0204020104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355F"/>
            </a:solidFill>
            <a:ln>
              <a:noFill/>
            </a:ln>
            <a:effectLst/>
          </c:spPr>
          <c:invertIfNegative val="0"/>
          <c:dPt>
            <c:idx val="0"/>
            <c:invertIfNegative val="0"/>
            <c:bubble3D val="0"/>
            <c:spPr>
              <a:solidFill>
                <a:srgbClr val="760000"/>
              </a:solidFill>
              <a:ln>
                <a:noFill/>
              </a:ln>
              <a:effectLst/>
            </c:spPr>
            <c:extLst>
              <c:ext xmlns:c16="http://schemas.microsoft.com/office/drawing/2014/chart" uri="{C3380CC4-5D6E-409C-BE32-E72D297353CC}">
                <c16:uniqueId val="{00000001-FC60-4DFA-8434-4EBF9F49B0D7}"/>
              </c:ext>
            </c:extLst>
          </c:dPt>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HLNE</c:v>
              </c:pt>
              <c:pt idx="1">
                <c:v>ARES</c:v>
              </c:pt>
              <c:pt idx="2">
                <c:v>AMG</c:v>
              </c:pt>
              <c:pt idx="3">
                <c:v>STEP</c:v>
              </c:pt>
              <c:pt idx="4">
                <c:v>CG</c:v>
              </c:pt>
              <c:pt idx="5">
                <c:v>TPG</c:v>
              </c:pt>
            </c:strLit>
          </c:cat>
          <c:val>
            <c:numLit>
              <c:formatCode>#,##0.0%_);\(#,##0.0%\);"-"</c:formatCode>
              <c:ptCount val="6"/>
              <c:pt idx="0">
                <c:v>2.8328931515380296E-2</c:v>
              </c:pt>
              <c:pt idx="1">
                <c:v>0.10712022106472768</c:v>
              </c:pt>
              <c:pt idx="2">
                <c:v>2.5457052330168674E-2</c:v>
              </c:pt>
              <c:pt idx="3">
                <c:v>-3.7307025764673089E-2</c:v>
              </c:pt>
              <c:pt idx="4">
                <c:v>-0.1254468139500223</c:v>
              </c:pt>
              <c:pt idx="5">
                <c:v>-0.41707578758527553</c:v>
              </c:pt>
            </c:numLit>
          </c:val>
          <c:extLst>
            <c:ext xmlns:c16="http://schemas.microsoft.com/office/drawing/2014/chart" uri="{C3380CC4-5D6E-409C-BE32-E72D297353CC}">
              <c16:uniqueId val="{00000002-FC60-4DFA-8434-4EBF9F49B0D7}"/>
            </c:ext>
          </c:extLst>
        </c:ser>
        <c:dLbls>
          <c:showLegendKey val="0"/>
          <c:showVal val="0"/>
          <c:showCatName val="0"/>
          <c:showSerName val="0"/>
          <c:showPercent val="0"/>
          <c:showBubbleSize val="0"/>
        </c:dLbls>
        <c:gapWidth val="60"/>
        <c:axId val="-1513983408"/>
        <c:axId val="-856894224"/>
      </c:barChart>
      <c:lineChart>
        <c:grouping val="standard"/>
        <c:varyColors val="0"/>
        <c:ser>
          <c:idx val="2"/>
          <c:order val="1"/>
          <c:spPr>
            <a:ln w="31750" cap="rnd">
              <a:solidFill>
                <a:srgbClr val="BDD7EE"/>
              </a:solidFill>
              <a:prstDash val="sysDash"/>
              <a:round/>
            </a:ln>
            <a:effectLst/>
          </c:spPr>
          <c:marker>
            <c:symbol val="none"/>
          </c:marker>
          <c:cat>
            <c:strLit>
              <c:ptCount val="6"/>
              <c:pt idx="0">
                <c:v>HLNE</c:v>
              </c:pt>
              <c:pt idx="1">
                <c:v>ARES</c:v>
              </c:pt>
              <c:pt idx="2">
                <c:v>AMG</c:v>
              </c:pt>
              <c:pt idx="3">
                <c:v>STEP</c:v>
              </c:pt>
              <c:pt idx="4">
                <c:v>CG</c:v>
              </c:pt>
              <c:pt idx="5">
                <c:v>TPG</c:v>
              </c:pt>
            </c:strLit>
          </c:cat>
          <c:val>
            <c:numLit>
              <c:formatCode>#,##0.0%_);\(#,##0.0%\);"-"</c:formatCode>
              <c:ptCount val="6"/>
              <c:pt idx="1">
                <c:v>-3.7307025764673089E-2</c:v>
              </c:pt>
              <c:pt idx="2">
                <c:v>-3.7307025764673089E-2</c:v>
              </c:pt>
              <c:pt idx="3">
                <c:v>-3.7307025764673089E-2</c:v>
              </c:pt>
              <c:pt idx="4">
                <c:v>-3.7307025764673089E-2</c:v>
              </c:pt>
              <c:pt idx="5">
                <c:v>-3.7307025764673089E-2</c:v>
              </c:pt>
            </c:numLit>
          </c:val>
          <c:smooth val="0"/>
          <c:extLst>
            <c:ext xmlns:c16="http://schemas.microsoft.com/office/drawing/2014/chart" uri="{C3380CC4-5D6E-409C-BE32-E72D297353CC}">
              <c16:uniqueId val="{00000003-FC60-4DFA-8434-4EBF9F49B0D7}"/>
            </c:ext>
          </c:extLst>
        </c:ser>
        <c:dLbls>
          <c:showLegendKey val="0"/>
          <c:showVal val="0"/>
          <c:showCatName val="0"/>
          <c:showSerName val="0"/>
          <c:showPercent val="0"/>
          <c:showBubbleSize val="0"/>
        </c:dLbls>
        <c:marker val="1"/>
        <c:smooth val="0"/>
        <c:axId val="-1513983408"/>
        <c:axId val="-856894224"/>
      </c:lineChart>
      <c:catAx>
        <c:axId val="-1513983408"/>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Light" panose="020B0204020104020204" pitchFamily="34" charset="0"/>
                <a:ea typeface="+mn-ea"/>
                <a:cs typeface="+mn-cs"/>
              </a:defRPr>
            </a:pPr>
            <a:endParaRPr lang="en-US"/>
          </a:p>
        </c:txPr>
        <c:crossAx val="-856894224"/>
        <c:crosses val="autoZero"/>
        <c:auto val="1"/>
        <c:lblAlgn val="ctr"/>
        <c:lblOffset val="100"/>
        <c:noMultiLvlLbl val="0"/>
      </c:catAx>
      <c:valAx>
        <c:axId val="-856894224"/>
        <c:scaling>
          <c:orientation val="minMax"/>
          <c:max val="0.32000000000000006"/>
        </c:scaling>
        <c:delete val="1"/>
        <c:axPos val="l"/>
        <c:numFmt formatCode="#,##0.0%_);\(#,##0%\)" sourceLinked="0"/>
        <c:majorTickMark val="out"/>
        <c:minorTickMark val="none"/>
        <c:tickLblPos val="nextTo"/>
        <c:crossAx val="-1513983408"/>
        <c:crosses val="autoZero"/>
        <c:crossBetween val="between"/>
        <c:majorUnit val="4.0000000000000008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latin typeface="Abadi ExtraLight" panose="020B0204020104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14762753424074E-2"/>
          <c:y val="7.3756319047556196E-2"/>
          <c:w val="0.9311946882496337"/>
          <c:h val="0.78314480683183085"/>
        </c:manualLayout>
      </c:layout>
      <c:barChart>
        <c:barDir val="col"/>
        <c:grouping val="clustered"/>
        <c:varyColors val="0"/>
        <c:ser>
          <c:idx val="1"/>
          <c:order val="0"/>
          <c:spPr>
            <a:solidFill>
              <a:srgbClr val="00355F"/>
            </a:solidFill>
            <a:ln>
              <a:noFill/>
            </a:ln>
            <a:effectLst/>
          </c:spPr>
          <c:invertIfNegative val="0"/>
          <c:dPt>
            <c:idx val="0"/>
            <c:invertIfNegative val="0"/>
            <c:bubble3D val="0"/>
            <c:spPr>
              <a:solidFill>
                <a:srgbClr val="760000"/>
              </a:solidFill>
              <a:ln>
                <a:noFill/>
              </a:ln>
              <a:effectLst/>
            </c:spPr>
            <c:extLst>
              <c:ext xmlns:c16="http://schemas.microsoft.com/office/drawing/2014/chart" uri="{C3380CC4-5D6E-409C-BE32-E72D297353CC}">
                <c16:uniqueId val="{00000001-FA70-4321-8247-F3BA0F353397}"/>
              </c:ext>
            </c:extLst>
          </c:dPt>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HLNE</c:v>
              </c:pt>
              <c:pt idx="1">
                <c:v>ARES</c:v>
              </c:pt>
              <c:pt idx="2">
                <c:v>AMG</c:v>
              </c:pt>
              <c:pt idx="3">
                <c:v>CG</c:v>
              </c:pt>
              <c:pt idx="4">
                <c:v>STEP</c:v>
              </c:pt>
              <c:pt idx="5">
                <c:v>TPG</c:v>
              </c:pt>
            </c:strLit>
          </c:cat>
          <c:val>
            <c:numLit>
              <c:formatCode>#,##0.0%_);\(#,##0.0%\);"-"</c:formatCode>
              <c:ptCount val="6"/>
              <c:pt idx="0">
                <c:v>-6.1781888186765777E-2</c:v>
              </c:pt>
              <c:pt idx="1">
                <c:v>1.4334856330842227</c:v>
              </c:pt>
              <c:pt idx="2">
                <c:v>0.62604112829844727</c:v>
              </c:pt>
              <c:pt idx="3">
                <c:v>0.48675894641500639</c:v>
              </c:pt>
              <c:pt idx="4">
                <c:v>-1.764902700098137</c:v>
              </c:pt>
              <c:pt idx="5">
                <c:v>-6.771638775072307</c:v>
              </c:pt>
            </c:numLit>
          </c:val>
          <c:extLst>
            <c:ext xmlns:c16="http://schemas.microsoft.com/office/drawing/2014/chart" uri="{C3380CC4-5D6E-409C-BE32-E72D297353CC}">
              <c16:uniqueId val="{00000002-FA70-4321-8247-F3BA0F353397}"/>
            </c:ext>
          </c:extLst>
        </c:ser>
        <c:dLbls>
          <c:showLegendKey val="0"/>
          <c:showVal val="1"/>
          <c:showCatName val="0"/>
          <c:showSerName val="0"/>
          <c:showPercent val="0"/>
          <c:showBubbleSize val="0"/>
        </c:dLbls>
        <c:gapWidth val="60"/>
        <c:axId val="-856893680"/>
        <c:axId val="-856890960"/>
      </c:barChart>
      <c:lineChart>
        <c:grouping val="standard"/>
        <c:varyColors val="0"/>
        <c:ser>
          <c:idx val="2"/>
          <c:order val="1"/>
          <c:spPr>
            <a:ln w="31750" cap="rnd">
              <a:solidFill>
                <a:srgbClr val="BDD7EE"/>
              </a:solidFill>
              <a:prstDash val="sysDash"/>
              <a:round/>
            </a:ln>
            <a:effectLst/>
          </c:spPr>
          <c:marker>
            <c:symbol val="none"/>
          </c:marker>
          <c:dLbls>
            <c:delete val="1"/>
          </c:dLbls>
          <c:cat>
            <c:strLit>
              <c:ptCount val="6"/>
              <c:pt idx="0">
                <c:v>HLNE</c:v>
              </c:pt>
              <c:pt idx="1">
                <c:v>ARES</c:v>
              </c:pt>
              <c:pt idx="2">
                <c:v>AMG</c:v>
              </c:pt>
              <c:pt idx="3">
                <c:v>CG</c:v>
              </c:pt>
              <c:pt idx="4">
                <c:v>STEP</c:v>
              </c:pt>
              <c:pt idx="5">
                <c:v>TPG</c:v>
              </c:pt>
            </c:strLit>
          </c:cat>
          <c:val>
            <c:numLit>
              <c:formatCode>#,##0.0%_);\(#,##0.0%\);"-"</c:formatCode>
              <c:ptCount val="6"/>
              <c:pt idx="1">
                <c:v>0.48675894641500639</c:v>
              </c:pt>
              <c:pt idx="2">
                <c:v>0.48675894641500639</c:v>
              </c:pt>
              <c:pt idx="3">
                <c:v>0.48675894641500639</c:v>
              </c:pt>
              <c:pt idx="4">
                <c:v>0.48675894641500639</c:v>
              </c:pt>
              <c:pt idx="5">
                <c:v>0.48675894641500639</c:v>
              </c:pt>
            </c:numLit>
          </c:val>
          <c:smooth val="0"/>
          <c:extLst>
            <c:ext xmlns:c16="http://schemas.microsoft.com/office/drawing/2014/chart" uri="{C3380CC4-5D6E-409C-BE32-E72D297353CC}">
              <c16:uniqueId val="{00000003-FA70-4321-8247-F3BA0F353397}"/>
            </c:ext>
          </c:extLst>
        </c:ser>
        <c:dLbls>
          <c:showLegendKey val="0"/>
          <c:showVal val="1"/>
          <c:showCatName val="0"/>
          <c:showSerName val="0"/>
          <c:showPercent val="0"/>
          <c:showBubbleSize val="0"/>
        </c:dLbls>
        <c:marker val="1"/>
        <c:smooth val="0"/>
        <c:axId val="-856893680"/>
        <c:axId val="-856890960"/>
      </c:lineChart>
      <c:catAx>
        <c:axId val="-85689368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Light" panose="020B0204020104020204" pitchFamily="34" charset="0"/>
                <a:ea typeface="+mn-ea"/>
                <a:cs typeface="+mn-cs"/>
              </a:defRPr>
            </a:pPr>
            <a:endParaRPr lang="en-US"/>
          </a:p>
        </c:txPr>
        <c:crossAx val="-856890960"/>
        <c:crosses val="autoZero"/>
        <c:auto val="1"/>
        <c:lblAlgn val="ctr"/>
        <c:lblOffset val="100"/>
        <c:noMultiLvlLbl val="0"/>
      </c:catAx>
      <c:valAx>
        <c:axId val="-856890960"/>
        <c:scaling>
          <c:orientation val="minMax"/>
          <c:max val="2"/>
        </c:scaling>
        <c:delete val="1"/>
        <c:axPos val="l"/>
        <c:numFmt formatCode="#,##0.0%_);\(#,##0%\)" sourceLinked="0"/>
        <c:majorTickMark val="out"/>
        <c:minorTickMark val="none"/>
        <c:tickLblPos val="nextTo"/>
        <c:crossAx val="-856893680"/>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latin typeface="Abadi ExtraLight" panose="020B0204020104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355F"/>
            </a:solidFill>
            <a:ln>
              <a:noFill/>
            </a:ln>
            <a:effectLst/>
          </c:spPr>
          <c:invertIfNegative val="0"/>
          <c:dPt>
            <c:idx val="0"/>
            <c:invertIfNegative val="0"/>
            <c:bubble3D val="0"/>
            <c:spPr>
              <a:solidFill>
                <a:srgbClr val="760000"/>
              </a:solidFill>
              <a:ln>
                <a:noFill/>
              </a:ln>
              <a:effectLst/>
            </c:spPr>
            <c:extLst>
              <c:ext xmlns:c16="http://schemas.microsoft.com/office/drawing/2014/chart" uri="{C3380CC4-5D6E-409C-BE32-E72D297353CC}">
                <c16:uniqueId val="{00000001-CC8C-4088-B2D9-F3A477693D3F}"/>
              </c:ext>
            </c:extLst>
          </c:dPt>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[14]Benchmark!$O$44:$O$49</c:f>
              <c:strCache>
                <c:ptCount val="6"/>
                <c:pt idx="0">
                  <c:v>HLNE</c:v>
                </c:pt>
                <c:pt idx="1">
                  <c:v>ARES</c:v>
                </c:pt>
                <c:pt idx="2">
                  <c:v>STEP</c:v>
                </c:pt>
                <c:pt idx="3">
                  <c:v>CG</c:v>
                </c:pt>
                <c:pt idx="4">
                  <c:v>TPG</c:v>
                </c:pt>
                <c:pt idx="5">
                  <c:v>AMG</c:v>
                </c:pt>
              </c:strCache>
            </c:strRef>
          </c:cat>
          <c:val>
            <c:numRef>
              <c:f>[14]Benchmark!$P$44:$P$49</c:f>
              <c:numCache>
                <c:formatCode>General</c:formatCode>
                <c:ptCount val="6"/>
                <c:pt idx="0">
                  <c:v>17.879371491572172</c:v>
                </c:pt>
                <c:pt idx="1">
                  <c:v>26.213663888736722</c:v>
                </c:pt>
                <c:pt idx="2">
                  <c:v>14.622073964160636</c:v>
                </c:pt>
                <c:pt idx="3">
                  <c:v>14.300000071132036</c:v>
                </c:pt>
                <c:pt idx="4">
                  <c:v>10.980976678934333</c:v>
                </c:pt>
                <c:pt idx="5">
                  <c:v>10.82499021439393</c:v>
                </c:pt>
              </c:numCache>
            </c:numRef>
          </c:val>
          <c:extLst>
            <c:ext xmlns:c16="http://schemas.microsoft.com/office/drawing/2014/chart" uri="{C3380CC4-5D6E-409C-BE32-E72D297353CC}">
              <c16:uniqueId val="{00000002-CC8C-4088-B2D9-F3A477693D3F}"/>
            </c:ext>
          </c:extLst>
        </c:ser>
        <c:dLbls>
          <c:showLegendKey val="0"/>
          <c:showVal val="1"/>
          <c:showCatName val="0"/>
          <c:showSerName val="0"/>
          <c:showPercent val="0"/>
          <c:showBubbleSize val="0"/>
        </c:dLbls>
        <c:gapWidth val="60"/>
        <c:axId val="-856883344"/>
        <c:axId val="-856890416"/>
      </c:barChart>
      <c:lineChart>
        <c:grouping val="standard"/>
        <c:varyColors val="0"/>
        <c:ser>
          <c:idx val="2"/>
          <c:order val="1"/>
          <c:spPr>
            <a:ln w="31750" cap="rnd">
              <a:solidFill>
                <a:srgbClr val="BDD7EE"/>
              </a:solidFill>
              <a:prstDash val="sysDash"/>
              <a:round/>
            </a:ln>
            <a:effectLst/>
          </c:spPr>
          <c:marker>
            <c:symbol val="none"/>
          </c:marker>
          <c:dLbls>
            <c:delete val="1"/>
          </c:dLbls>
          <c:cat>
            <c:strRef>
              <c:f>[14]Benchmark!$O$44:$O$49</c:f>
              <c:strCache>
                <c:ptCount val="6"/>
                <c:pt idx="0">
                  <c:v>HLNE</c:v>
                </c:pt>
                <c:pt idx="1">
                  <c:v>ARES</c:v>
                </c:pt>
                <c:pt idx="2">
                  <c:v>STEP</c:v>
                </c:pt>
                <c:pt idx="3">
                  <c:v>CG</c:v>
                </c:pt>
                <c:pt idx="4">
                  <c:v>TPG</c:v>
                </c:pt>
                <c:pt idx="5">
                  <c:v>AMG</c:v>
                </c:pt>
              </c:strCache>
            </c:strRef>
          </c:cat>
          <c:val>
            <c:numRef>
              <c:f>[14]Benchmark!$Q$44:$Q$49</c:f>
              <c:numCache>
                <c:formatCode>General</c:formatCode>
                <c:ptCount val="6"/>
                <c:pt idx="1">
                  <c:v>14.300000071132036</c:v>
                </c:pt>
                <c:pt idx="2">
                  <c:v>14.300000071132036</c:v>
                </c:pt>
                <c:pt idx="3">
                  <c:v>14.300000071132036</c:v>
                </c:pt>
                <c:pt idx="4">
                  <c:v>14.300000071132036</c:v>
                </c:pt>
                <c:pt idx="5">
                  <c:v>14.300000071132036</c:v>
                </c:pt>
              </c:numCache>
            </c:numRef>
          </c:val>
          <c:smooth val="0"/>
          <c:extLst>
            <c:ext xmlns:c16="http://schemas.microsoft.com/office/drawing/2014/chart" uri="{C3380CC4-5D6E-409C-BE32-E72D297353CC}">
              <c16:uniqueId val="{00000003-CC8C-4088-B2D9-F3A477693D3F}"/>
            </c:ext>
          </c:extLst>
        </c:ser>
        <c:dLbls>
          <c:showLegendKey val="0"/>
          <c:showVal val="1"/>
          <c:showCatName val="0"/>
          <c:showSerName val="0"/>
          <c:showPercent val="0"/>
          <c:showBubbleSize val="0"/>
        </c:dLbls>
        <c:marker val="1"/>
        <c:smooth val="0"/>
        <c:axId val="-856883344"/>
        <c:axId val="-856890416"/>
      </c:lineChart>
      <c:catAx>
        <c:axId val="-856883344"/>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Light" panose="020B0204020104020204" pitchFamily="34" charset="0"/>
                <a:ea typeface="+mn-ea"/>
                <a:cs typeface="+mn-cs"/>
              </a:defRPr>
            </a:pPr>
            <a:endParaRPr lang="en-US"/>
          </a:p>
        </c:txPr>
        <c:crossAx val="-856890416"/>
        <c:crosses val="autoZero"/>
        <c:auto val="1"/>
        <c:lblAlgn val="ctr"/>
        <c:lblOffset val="100"/>
        <c:noMultiLvlLbl val="0"/>
      </c:catAx>
      <c:valAx>
        <c:axId val="-856890416"/>
        <c:scaling>
          <c:orientation val="minMax"/>
          <c:max val="30"/>
        </c:scaling>
        <c:delete val="1"/>
        <c:axPos val="l"/>
        <c:numFmt formatCode="#,##0.0\x_);\(#,##0.0\x\);&quot;0.0x&quot;" sourceLinked="0"/>
        <c:majorTickMark val="out"/>
        <c:minorTickMark val="none"/>
        <c:tickLblPos val="nextTo"/>
        <c:crossAx val="-856883344"/>
        <c:crosses val="autoZero"/>
        <c:crossBetween val="between"/>
        <c:majorUnit val="6"/>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latin typeface="Abadi ExtraLight" panose="020B0204020104020204"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355F"/>
            </a:solidFill>
            <a:ln>
              <a:noFill/>
            </a:ln>
            <a:effectLst/>
          </c:spPr>
          <c:invertIfNegative val="0"/>
          <c:dPt>
            <c:idx val="0"/>
            <c:invertIfNegative val="0"/>
            <c:bubble3D val="0"/>
            <c:spPr>
              <a:solidFill>
                <a:srgbClr val="760000"/>
              </a:solidFill>
              <a:ln>
                <a:noFill/>
              </a:ln>
              <a:effectLst/>
            </c:spPr>
            <c:extLst>
              <c:ext xmlns:c16="http://schemas.microsoft.com/office/drawing/2014/chart" uri="{C3380CC4-5D6E-409C-BE32-E72D297353CC}">
                <c16:uniqueId val="{00000001-D1BB-4C37-8494-13E2388BC0A9}"/>
              </c:ext>
            </c:extLst>
          </c:dPt>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[14]Benchmark!$O$60:$O$65</c:f>
              <c:strCache>
                <c:ptCount val="6"/>
                <c:pt idx="0">
                  <c:v>HLNE</c:v>
                </c:pt>
                <c:pt idx="1">
                  <c:v>ARES</c:v>
                </c:pt>
                <c:pt idx="2">
                  <c:v>STEP</c:v>
                </c:pt>
                <c:pt idx="3">
                  <c:v>CG</c:v>
                </c:pt>
                <c:pt idx="4">
                  <c:v>AMG</c:v>
                </c:pt>
                <c:pt idx="5">
                  <c:v>TPG</c:v>
                </c:pt>
              </c:strCache>
            </c:strRef>
          </c:cat>
          <c:val>
            <c:numRef>
              <c:f>[14]Benchmark!$P$60:$P$65</c:f>
              <c:numCache>
                <c:formatCode>General</c:formatCode>
                <c:ptCount val="6"/>
                <c:pt idx="0">
                  <c:v>20.238949662425284</c:v>
                </c:pt>
                <c:pt idx="1">
                  <c:v>28.322624920286696</c:v>
                </c:pt>
                <c:pt idx="2">
                  <c:v>21.41409911150452</c:v>
                </c:pt>
                <c:pt idx="3">
                  <c:v>15.057729582698284</c:v>
                </c:pt>
                <c:pt idx="4">
                  <c:v>9.3006605543649403</c:v>
                </c:pt>
                <c:pt idx="5">
                  <c:v>8.6232875171325816</c:v>
                </c:pt>
              </c:numCache>
            </c:numRef>
          </c:val>
          <c:extLst>
            <c:ext xmlns:c16="http://schemas.microsoft.com/office/drawing/2014/chart" uri="{C3380CC4-5D6E-409C-BE32-E72D297353CC}">
              <c16:uniqueId val="{00000002-D1BB-4C37-8494-13E2388BC0A9}"/>
            </c:ext>
          </c:extLst>
        </c:ser>
        <c:dLbls>
          <c:showLegendKey val="0"/>
          <c:showVal val="1"/>
          <c:showCatName val="0"/>
          <c:showSerName val="0"/>
          <c:showPercent val="0"/>
          <c:showBubbleSize val="0"/>
        </c:dLbls>
        <c:gapWidth val="60"/>
        <c:axId val="-856880624"/>
        <c:axId val="-856887696"/>
      </c:barChart>
      <c:lineChart>
        <c:grouping val="standard"/>
        <c:varyColors val="0"/>
        <c:ser>
          <c:idx val="2"/>
          <c:order val="1"/>
          <c:spPr>
            <a:ln w="31750" cap="rnd">
              <a:solidFill>
                <a:srgbClr val="BDD7EE"/>
              </a:solidFill>
              <a:prstDash val="sysDash"/>
              <a:round/>
            </a:ln>
            <a:effectLst/>
          </c:spPr>
          <c:marker>
            <c:symbol val="none"/>
          </c:marker>
          <c:dLbls>
            <c:delete val="1"/>
          </c:dLbls>
          <c:cat>
            <c:strRef>
              <c:f>[14]Benchmark!$O$60:$O$65</c:f>
              <c:strCache>
                <c:ptCount val="6"/>
                <c:pt idx="0">
                  <c:v>HLNE</c:v>
                </c:pt>
                <c:pt idx="1">
                  <c:v>ARES</c:v>
                </c:pt>
                <c:pt idx="2">
                  <c:v>STEP</c:v>
                </c:pt>
                <c:pt idx="3">
                  <c:v>CG</c:v>
                </c:pt>
                <c:pt idx="4">
                  <c:v>AMG</c:v>
                </c:pt>
                <c:pt idx="5">
                  <c:v>TPG</c:v>
                </c:pt>
              </c:strCache>
            </c:strRef>
          </c:cat>
          <c:val>
            <c:numRef>
              <c:f>[14]Benchmark!$Q$60:$Q$65</c:f>
              <c:numCache>
                <c:formatCode>General</c:formatCode>
                <c:ptCount val="6"/>
                <c:pt idx="1">
                  <c:v>15.057729582698284</c:v>
                </c:pt>
                <c:pt idx="2">
                  <c:v>15.057729582698284</c:v>
                </c:pt>
                <c:pt idx="3">
                  <c:v>15.057729582698284</c:v>
                </c:pt>
                <c:pt idx="4">
                  <c:v>15.057729582698284</c:v>
                </c:pt>
                <c:pt idx="5">
                  <c:v>15.057729582698284</c:v>
                </c:pt>
              </c:numCache>
            </c:numRef>
          </c:val>
          <c:smooth val="0"/>
          <c:extLst>
            <c:ext xmlns:c16="http://schemas.microsoft.com/office/drawing/2014/chart" uri="{C3380CC4-5D6E-409C-BE32-E72D297353CC}">
              <c16:uniqueId val="{00000003-D1BB-4C37-8494-13E2388BC0A9}"/>
            </c:ext>
          </c:extLst>
        </c:ser>
        <c:dLbls>
          <c:showLegendKey val="0"/>
          <c:showVal val="1"/>
          <c:showCatName val="0"/>
          <c:showSerName val="0"/>
          <c:showPercent val="0"/>
          <c:showBubbleSize val="0"/>
        </c:dLbls>
        <c:marker val="1"/>
        <c:smooth val="0"/>
        <c:axId val="-856880624"/>
        <c:axId val="-856887696"/>
      </c:lineChart>
      <c:catAx>
        <c:axId val="-856880624"/>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Light" panose="020B0204020104020204" pitchFamily="34" charset="0"/>
                <a:ea typeface="+mn-ea"/>
                <a:cs typeface="+mn-cs"/>
              </a:defRPr>
            </a:pPr>
            <a:endParaRPr lang="en-US"/>
          </a:p>
        </c:txPr>
        <c:crossAx val="-856887696"/>
        <c:crosses val="autoZero"/>
        <c:auto val="1"/>
        <c:lblAlgn val="ctr"/>
        <c:lblOffset val="100"/>
        <c:noMultiLvlLbl val="0"/>
      </c:catAx>
      <c:valAx>
        <c:axId val="-856887696"/>
        <c:scaling>
          <c:orientation val="minMax"/>
          <c:max val="30"/>
        </c:scaling>
        <c:delete val="1"/>
        <c:axPos val="l"/>
        <c:numFmt formatCode="#,##0.0\x_);\(#,##0.0\x\);&quot;-&quot;" sourceLinked="0"/>
        <c:majorTickMark val="out"/>
        <c:minorTickMark val="none"/>
        <c:tickLblPos val="nextTo"/>
        <c:crossAx val="-856880624"/>
        <c:crosses val="autoZero"/>
        <c:crossBetween val="between"/>
        <c:maj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b="0">
          <a:solidFill>
            <a:sysClr val="windowText" lastClr="000000"/>
          </a:solidFill>
          <a:latin typeface="Abadi ExtraLight" panose="020B0204020104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355F"/>
            </a:solidFill>
            <a:ln>
              <a:noFill/>
            </a:ln>
            <a:effectLst/>
          </c:spPr>
          <c:invertIfNegative val="0"/>
          <c:dPt>
            <c:idx val="0"/>
            <c:invertIfNegative val="0"/>
            <c:bubble3D val="0"/>
            <c:spPr>
              <a:solidFill>
                <a:srgbClr val="760000"/>
              </a:solidFill>
              <a:ln>
                <a:noFill/>
              </a:ln>
              <a:effectLst/>
            </c:spPr>
            <c:extLst>
              <c:ext xmlns:c16="http://schemas.microsoft.com/office/drawing/2014/chart" uri="{C3380CC4-5D6E-409C-BE32-E72D297353CC}">
                <c16:uniqueId val="{00000001-BFFE-46F1-BFA7-81ADCE8AED65}"/>
              </c:ext>
            </c:extLst>
          </c:dPt>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[14]Benchmark!$O$76:$O$81</c:f>
              <c:strCache>
                <c:ptCount val="6"/>
                <c:pt idx="0">
                  <c:v>HLNE</c:v>
                </c:pt>
                <c:pt idx="1">
                  <c:v>ARES</c:v>
                </c:pt>
                <c:pt idx="2">
                  <c:v>CG</c:v>
                </c:pt>
                <c:pt idx="3">
                  <c:v>AMG</c:v>
                </c:pt>
                <c:pt idx="4">
                  <c:v>TPG</c:v>
                </c:pt>
                <c:pt idx="5">
                  <c:v>STEP</c:v>
                </c:pt>
              </c:strCache>
            </c:strRef>
          </c:cat>
          <c:val>
            <c:numRef>
              <c:f>[14]Benchmark!$P$76:$P$81</c:f>
              <c:numCache>
                <c:formatCode>General</c:formatCode>
                <c:ptCount val="6"/>
                <c:pt idx="0">
                  <c:v>1.12887</c:v>
                </c:pt>
                <c:pt idx="1">
                  <c:v>1.7771396440834248</c:v>
                </c:pt>
                <c:pt idx="2">
                  <c:v>1.496045098595441</c:v>
                </c:pt>
                <c:pt idx="3">
                  <c:v>0.60188899402623774</c:v>
                </c:pt>
                <c:pt idx="4">
                  <c:v>0.44078930564596686</c:v>
                </c:pt>
                <c:pt idx="5">
                  <c:v>0</c:v>
                </c:pt>
              </c:numCache>
            </c:numRef>
          </c:val>
          <c:extLst>
            <c:ext xmlns:c16="http://schemas.microsoft.com/office/drawing/2014/chart" uri="{C3380CC4-5D6E-409C-BE32-E72D297353CC}">
              <c16:uniqueId val="{00000002-BFFE-46F1-BFA7-81ADCE8AED65}"/>
            </c:ext>
          </c:extLst>
        </c:ser>
        <c:dLbls>
          <c:showLegendKey val="0"/>
          <c:showVal val="1"/>
          <c:showCatName val="0"/>
          <c:showSerName val="0"/>
          <c:showPercent val="0"/>
          <c:showBubbleSize val="0"/>
        </c:dLbls>
        <c:gapWidth val="60"/>
        <c:axId val="-856889872"/>
        <c:axId val="-856893136"/>
      </c:barChart>
      <c:lineChart>
        <c:grouping val="standard"/>
        <c:varyColors val="0"/>
        <c:ser>
          <c:idx val="2"/>
          <c:order val="1"/>
          <c:spPr>
            <a:ln w="31750" cap="rnd">
              <a:solidFill>
                <a:srgbClr val="BDD7EE"/>
              </a:solidFill>
              <a:prstDash val="sysDash"/>
              <a:round/>
            </a:ln>
            <a:effectLst/>
          </c:spPr>
          <c:marker>
            <c:symbol val="none"/>
          </c:marker>
          <c:dLbls>
            <c:delete val="1"/>
          </c:dLbls>
          <c:cat>
            <c:strRef>
              <c:f>[14]Benchmark!$O$76:$O$81</c:f>
              <c:strCache>
                <c:ptCount val="6"/>
                <c:pt idx="0">
                  <c:v>HLNE</c:v>
                </c:pt>
                <c:pt idx="1">
                  <c:v>ARES</c:v>
                </c:pt>
                <c:pt idx="2">
                  <c:v>CG</c:v>
                </c:pt>
                <c:pt idx="3">
                  <c:v>AMG</c:v>
                </c:pt>
                <c:pt idx="4">
                  <c:v>TPG</c:v>
                </c:pt>
                <c:pt idx="5">
                  <c:v>STEP</c:v>
                </c:pt>
              </c:strCache>
            </c:strRef>
          </c:cat>
          <c:val>
            <c:numRef>
              <c:f>[14]Benchmark!$Q$76:$Q$81</c:f>
              <c:numCache>
                <c:formatCode>General</c:formatCode>
                <c:ptCount val="6"/>
                <c:pt idx="1">
                  <c:v>0.60188899402623774</c:v>
                </c:pt>
                <c:pt idx="2">
                  <c:v>0.60188899402623774</c:v>
                </c:pt>
                <c:pt idx="3">
                  <c:v>0.60188899402623774</c:v>
                </c:pt>
                <c:pt idx="4">
                  <c:v>0.60188899402623774</c:v>
                </c:pt>
                <c:pt idx="5">
                  <c:v>0.60188899402623774</c:v>
                </c:pt>
              </c:numCache>
            </c:numRef>
          </c:val>
          <c:smooth val="0"/>
          <c:extLst>
            <c:ext xmlns:c16="http://schemas.microsoft.com/office/drawing/2014/chart" uri="{C3380CC4-5D6E-409C-BE32-E72D297353CC}">
              <c16:uniqueId val="{00000003-BFFE-46F1-BFA7-81ADCE8AED65}"/>
            </c:ext>
          </c:extLst>
        </c:ser>
        <c:dLbls>
          <c:showLegendKey val="0"/>
          <c:showVal val="1"/>
          <c:showCatName val="0"/>
          <c:showSerName val="0"/>
          <c:showPercent val="0"/>
          <c:showBubbleSize val="0"/>
        </c:dLbls>
        <c:marker val="1"/>
        <c:smooth val="0"/>
        <c:axId val="-856889872"/>
        <c:axId val="-856893136"/>
      </c:lineChart>
      <c:catAx>
        <c:axId val="-856889872"/>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Light" panose="020B0204020104020204" pitchFamily="34" charset="0"/>
                <a:ea typeface="+mn-ea"/>
                <a:cs typeface="+mn-cs"/>
              </a:defRPr>
            </a:pPr>
            <a:endParaRPr lang="en-US"/>
          </a:p>
        </c:txPr>
        <c:crossAx val="-856893136"/>
        <c:crosses val="autoZero"/>
        <c:auto val="1"/>
        <c:lblAlgn val="ctr"/>
        <c:lblOffset val="100"/>
        <c:noMultiLvlLbl val="0"/>
      </c:catAx>
      <c:valAx>
        <c:axId val="-856893136"/>
        <c:scaling>
          <c:orientation val="minMax"/>
          <c:max val="3"/>
        </c:scaling>
        <c:delete val="1"/>
        <c:axPos val="l"/>
        <c:numFmt formatCode="#,##0.0\x_);\(#,##0.0\x\);&quot;-&quot;" sourceLinked="0"/>
        <c:majorTickMark val="out"/>
        <c:minorTickMark val="none"/>
        <c:tickLblPos val="nextTo"/>
        <c:crossAx val="-856889872"/>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b="0">
          <a:solidFill>
            <a:sysClr val="windowText" lastClr="000000"/>
          </a:solidFill>
          <a:latin typeface="Abadi ExtraLight" panose="020B0204020104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355F"/>
            </a:solidFill>
            <a:ln>
              <a:noFill/>
            </a:ln>
            <a:effectLst/>
          </c:spPr>
          <c:invertIfNegative val="0"/>
          <c:dPt>
            <c:idx val="0"/>
            <c:invertIfNegative val="0"/>
            <c:bubble3D val="0"/>
            <c:spPr>
              <a:solidFill>
                <a:srgbClr val="760000"/>
              </a:solidFill>
              <a:ln>
                <a:noFill/>
              </a:ln>
              <a:effectLst/>
            </c:spPr>
            <c:extLst>
              <c:ext xmlns:c16="http://schemas.microsoft.com/office/drawing/2014/chart" uri="{C3380CC4-5D6E-409C-BE32-E72D297353CC}">
                <c16:uniqueId val="{00000001-0378-483C-A2B3-BDC94AD3295B}"/>
              </c:ext>
            </c:extLst>
          </c:dPt>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[14]Benchmark!$O$92:$O$97</c:f>
              <c:strCache>
                <c:ptCount val="6"/>
                <c:pt idx="0">
                  <c:v>HLNE</c:v>
                </c:pt>
                <c:pt idx="1">
                  <c:v>AMG</c:v>
                </c:pt>
                <c:pt idx="2">
                  <c:v>TPG</c:v>
                </c:pt>
                <c:pt idx="3">
                  <c:v>ARES</c:v>
                </c:pt>
                <c:pt idx="4">
                  <c:v>STEP</c:v>
                </c:pt>
                <c:pt idx="5">
                  <c:v>STEP</c:v>
                </c:pt>
              </c:strCache>
            </c:strRef>
          </c:cat>
          <c:val>
            <c:numRef>
              <c:f>[14]Benchmark!$P$92:$P$97</c:f>
              <c:numCache>
                <c:formatCode>General</c:formatCode>
                <c:ptCount val="6"/>
                <c:pt idx="0">
                  <c:v>25.283000000000001</c:v>
                </c:pt>
                <c:pt idx="1">
                  <c:v>5.5363806579122068</c:v>
                </c:pt>
                <c:pt idx="2">
                  <c:v>2.3097000337843219</c:v>
                </c:pt>
                <c:pt idx="3">
                  <c:v>1.2455605328204442</c:v>
                </c:pt>
                <c:pt idx="4">
                  <c:v>0</c:v>
                </c:pt>
                <c:pt idx="5">
                  <c:v>0</c:v>
                </c:pt>
              </c:numCache>
            </c:numRef>
          </c:val>
          <c:extLst>
            <c:ext xmlns:c16="http://schemas.microsoft.com/office/drawing/2014/chart" uri="{C3380CC4-5D6E-409C-BE32-E72D297353CC}">
              <c16:uniqueId val="{00000002-0378-483C-A2B3-BDC94AD3295B}"/>
            </c:ext>
          </c:extLst>
        </c:ser>
        <c:dLbls>
          <c:showLegendKey val="0"/>
          <c:showVal val="1"/>
          <c:showCatName val="0"/>
          <c:showSerName val="0"/>
          <c:showPercent val="0"/>
          <c:showBubbleSize val="0"/>
        </c:dLbls>
        <c:gapWidth val="60"/>
        <c:axId val="-856892592"/>
        <c:axId val="-856887152"/>
      </c:barChart>
      <c:lineChart>
        <c:grouping val="standard"/>
        <c:varyColors val="0"/>
        <c:ser>
          <c:idx val="2"/>
          <c:order val="1"/>
          <c:spPr>
            <a:ln w="25400" cap="rnd">
              <a:solidFill>
                <a:srgbClr val="BDD7EE"/>
              </a:solidFill>
              <a:prstDash val="sysDash"/>
              <a:round/>
            </a:ln>
            <a:effectLst/>
          </c:spPr>
          <c:marker>
            <c:symbol val="none"/>
          </c:marker>
          <c:dLbls>
            <c:delete val="1"/>
          </c:dLbls>
          <c:cat>
            <c:strRef>
              <c:f>[14]Benchmark!$O$92:$O$97</c:f>
              <c:strCache>
                <c:ptCount val="6"/>
                <c:pt idx="0">
                  <c:v>HLNE</c:v>
                </c:pt>
                <c:pt idx="1">
                  <c:v>AMG</c:v>
                </c:pt>
                <c:pt idx="2">
                  <c:v>TPG</c:v>
                </c:pt>
                <c:pt idx="3">
                  <c:v>ARES</c:v>
                </c:pt>
                <c:pt idx="4">
                  <c:v>STEP</c:v>
                </c:pt>
                <c:pt idx="5">
                  <c:v>STEP</c:v>
                </c:pt>
              </c:strCache>
            </c:strRef>
          </c:cat>
          <c:val>
            <c:numRef>
              <c:f>[14]Benchmark!$Q$92:$Q$97</c:f>
              <c:numCache>
                <c:formatCode>General</c:formatCode>
                <c:ptCount val="6"/>
                <c:pt idx="1">
                  <c:v>1.2455605328204442</c:v>
                </c:pt>
                <c:pt idx="2">
                  <c:v>1.2455605328204442</c:v>
                </c:pt>
                <c:pt idx="3">
                  <c:v>1.2455605328204442</c:v>
                </c:pt>
                <c:pt idx="4">
                  <c:v>1.2455605328204442</c:v>
                </c:pt>
                <c:pt idx="5">
                  <c:v>1.2455605328204442</c:v>
                </c:pt>
              </c:numCache>
            </c:numRef>
          </c:val>
          <c:smooth val="0"/>
          <c:extLst>
            <c:ext xmlns:c16="http://schemas.microsoft.com/office/drawing/2014/chart" uri="{C3380CC4-5D6E-409C-BE32-E72D297353CC}">
              <c16:uniqueId val="{00000003-0378-483C-A2B3-BDC94AD3295B}"/>
            </c:ext>
          </c:extLst>
        </c:ser>
        <c:dLbls>
          <c:showLegendKey val="0"/>
          <c:showVal val="1"/>
          <c:showCatName val="0"/>
          <c:showSerName val="0"/>
          <c:showPercent val="0"/>
          <c:showBubbleSize val="0"/>
        </c:dLbls>
        <c:marker val="1"/>
        <c:smooth val="0"/>
        <c:axId val="-856892592"/>
        <c:axId val="-856887152"/>
      </c:lineChart>
      <c:catAx>
        <c:axId val="-856892592"/>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Light" panose="020B0204020104020204" pitchFamily="34" charset="0"/>
                <a:ea typeface="+mn-ea"/>
                <a:cs typeface="+mn-cs"/>
              </a:defRPr>
            </a:pPr>
            <a:endParaRPr lang="en-US"/>
          </a:p>
        </c:txPr>
        <c:crossAx val="-856887152"/>
        <c:crosses val="autoZero"/>
        <c:auto val="1"/>
        <c:lblAlgn val="ctr"/>
        <c:lblOffset val="100"/>
        <c:noMultiLvlLbl val="0"/>
      </c:catAx>
      <c:valAx>
        <c:axId val="-856887152"/>
        <c:scaling>
          <c:orientation val="minMax"/>
          <c:max val="20"/>
        </c:scaling>
        <c:delete val="1"/>
        <c:axPos val="l"/>
        <c:numFmt formatCode="#,##0.0\x_);\(#,##0.0\x\);&quot;-&quot;" sourceLinked="0"/>
        <c:majorTickMark val="out"/>
        <c:minorTickMark val="none"/>
        <c:tickLblPos val="nextTo"/>
        <c:crossAx val="-856892592"/>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b="0">
          <a:solidFill>
            <a:sysClr val="windowText" lastClr="000000"/>
          </a:solidFill>
          <a:latin typeface="Abadi ExtraLight" panose="020B0204020104020204"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355F"/>
            </a:solidFill>
            <a:ln>
              <a:noFill/>
            </a:ln>
            <a:effectLst/>
          </c:spPr>
          <c:invertIfNegative val="0"/>
          <c:dPt>
            <c:idx val="0"/>
            <c:invertIfNegative val="0"/>
            <c:bubble3D val="0"/>
            <c:spPr>
              <a:solidFill>
                <a:srgbClr val="760000"/>
              </a:solidFill>
              <a:ln>
                <a:noFill/>
              </a:ln>
              <a:effectLst/>
            </c:spPr>
            <c:extLst>
              <c:ext xmlns:c16="http://schemas.microsoft.com/office/drawing/2014/chart" uri="{C3380CC4-5D6E-409C-BE32-E72D297353CC}">
                <c16:uniqueId val="{00000001-A9AB-40CD-AD98-D2D0C842008D}"/>
              </c:ext>
            </c:extLst>
          </c:dPt>
          <c:dLbls>
            <c:spPr>
              <a:noFill/>
              <a:ln>
                <a:noFill/>
              </a:ln>
              <a:effectLst/>
            </c:spPr>
            <c:txPr>
              <a:bodyPr rot="0" vert="horz"/>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[14]Benchmark!$O$108:$O$113</c:f>
              <c:strCache>
                <c:ptCount val="6"/>
                <c:pt idx="0">
                  <c:v>HLNE</c:v>
                </c:pt>
                <c:pt idx="1">
                  <c:v>CG</c:v>
                </c:pt>
                <c:pt idx="2">
                  <c:v>AMG</c:v>
                </c:pt>
                <c:pt idx="3">
                  <c:v>ARES</c:v>
                </c:pt>
                <c:pt idx="4">
                  <c:v>TPG</c:v>
                </c:pt>
                <c:pt idx="5">
                  <c:v>STEP</c:v>
                </c:pt>
              </c:strCache>
            </c:strRef>
          </c:cat>
          <c:val>
            <c:numRef>
              <c:f>[14]Benchmark!$P$108:$P$113</c:f>
              <c:numCache>
                <c:formatCode>General</c:formatCode>
                <c:ptCount val="6"/>
                <c:pt idx="0">
                  <c:v>0.45278799999999997</c:v>
                </c:pt>
                <c:pt idx="1">
                  <c:v>0.39500048020009759</c:v>
                </c:pt>
                <c:pt idx="2">
                  <c:v>0.32042965629527448</c:v>
                </c:pt>
                <c:pt idx="3">
                  <c:v>0.24498644490542421</c:v>
                </c:pt>
                <c:pt idx="4">
                  <c:v>7.9914230173154605E-2</c:v>
                </c:pt>
                <c:pt idx="5">
                  <c:v>-0.23218800872710016</c:v>
                </c:pt>
              </c:numCache>
            </c:numRef>
          </c:val>
          <c:extLst>
            <c:ext xmlns:c16="http://schemas.microsoft.com/office/drawing/2014/chart" uri="{C3380CC4-5D6E-409C-BE32-E72D297353CC}">
              <c16:uniqueId val="{00000002-A9AB-40CD-AD98-D2D0C842008D}"/>
            </c:ext>
          </c:extLst>
        </c:ser>
        <c:dLbls>
          <c:showLegendKey val="0"/>
          <c:showVal val="1"/>
          <c:showCatName val="0"/>
          <c:showSerName val="0"/>
          <c:showPercent val="0"/>
          <c:showBubbleSize val="0"/>
        </c:dLbls>
        <c:gapWidth val="60"/>
        <c:axId val="-856892048"/>
        <c:axId val="-856886064"/>
      </c:barChart>
      <c:lineChart>
        <c:grouping val="standard"/>
        <c:varyColors val="0"/>
        <c:ser>
          <c:idx val="2"/>
          <c:order val="1"/>
          <c:spPr>
            <a:ln w="31750" cap="rnd">
              <a:solidFill>
                <a:srgbClr val="BDD7EE"/>
              </a:solidFill>
              <a:prstDash val="sysDash"/>
              <a:round/>
            </a:ln>
            <a:effectLst/>
          </c:spPr>
          <c:marker>
            <c:symbol val="none"/>
          </c:marker>
          <c:dLbls>
            <c:delete val="1"/>
          </c:dLbls>
          <c:cat>
            <c:strRef>
              <c:f>[14]Benchmark!$O$108:$O$113</c:f>
              <c:strCache>
                <c:ptCount val="6"/>
                <c:pt idx="0">
                  <c:v>HLNE</c:v>
                </c:pt>
                <c:pt idx="1">
                  <c:v>CG</c:v>
                </c:pt>
                <c:pt idx="2">
                  <c:v>AMG</c:v>
                </c:pt>
                <c:pt idx="3">
                  <c:v>ARES</c:v>
                </c:pt>
                <c:pt idx="4">
                  <c:v>TPG</c:v>
                </c:pt>
                <c:pt idx="5">
                  <c:v>STEP</c:v>
                </c:pt>
              </c:strCache>
            </c:strRef>
          </c:cat>
          <c:val>
            <c:numRef>
              <c:f>[14]Benchmark!$Q$108:$Q$113</c:f>
              <c:numCache>
                <c:formatCode>General</c:formatCode>
                <c:ptCount val="6"/>
                <c:pt idx="1">
                  <c:v>0.24498644490542421</c:v>
                </c:pt>
                <c:pt idx="2">
                  <c:v>0.24498644490542421</c:v>
                </c:pt>
                <c:pt idx="3">
                  <c:v>0.24498644490542421</c:v>
                </c:pt>
                <c:pt idx="4">
                  <c:v>0.24498644490542421</c:v>
                </c:pt>
                <c:pt idx="5">
                  <c:v>0.24498644490542421</c:v>
                </c:pt>
              </c:numCache>
            </c:numRef>
          </c:val>
          <c:smooth val="0"/>
          <c:extLst>
            <c:ext xmlns:c16="http://schemas.microsoft.com/office/drawing/2014/chart" uri="{C3380CC4-5D6E-409C-BE32-E72D297353CC}">
              <c16:uniqueId val="{00000003-A9AB-40CD-AD98-D2D0C842008D}"/>
            </c:ext>
          </c:extLst>
        </c:ser>
        <c:dLbls>
          <c:showLegendKey val="0"/>
          <c:showVal val="1"/>
          <c:showCatName val="0"/>
          <c:showSerName val="0"/>
          <c:showPercent val="0"/>
          <c:showBubbleSize val="0"/>
        </c:dLbls>
        <c:marker val="1"/>
        <c:smooth val="0"/>
        <c:axId val="-856892048"/>
        <c:axId val="-856886064"/>
      </c:lineChart>
      <c:catAx>
        <c:axId val="-856892048"/>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vert="horz"/>
          <a:lstStyle/>
          <a:p>
            <a:pPr>
              <a:defRPr/>
            </a:pPr>
            <a:endParaRPr lang="en-US"/>
          </a:p>
        </c:txPr>
        <c:crossAx val="-856886064"/>
        <c:crosses val="autoZero"/>
        <c:auto val="1"/>
        <c:lblAlgn val="ctr"/>
        <c:lblOffset val="100"/>
        <c:noMultiLvlLbl val="0"/>
      </c:catAx>
      <c:valAx>
        <c:axId val="-856886064"/>
        <c:scaling>
          <c:orientation val="minMax"/>
          <c:max val="0.5"/>
        </c:scaling>
        <c:delete val="1"/>
        <c:axPos val="l"/>
        <c:numFmt formatCode="#,##0.0%_);\(#,##0%\)" sourceLinked="0"/>
        <c:majorTickMark val="out"/>
        <c:minorTickMark val="none"/>
        <c:tickLblPos val="nextTo"/>
        <c:crossAx val="-856892048"/>
        <c:crosses val="autoZero"/>
        <c:crossBetween val="between"/>
        <c:majorUnit val="5.000000000000001E-2"/>
      </c:valAx>
    </c:plotArea>
    <c:plotVisOnly val="1"/>
    <c:dispBlanksAs val="gap"/>
    <c:showDLblsOverMax val="0"/>
    <c:extLst/>
  </c:chart>
  <c:spPr>
    <a:solidFill>
      <a:schemeClr val="bg1"/>
    </a:solidFill>
    <a:ln w="9525" cap="flat" cmpd="sng" algn="ctr">
      <a:noFill/>
      <a:round/>
    </a:ln>
    <a:effectLst/>
  </c:spPr>
  <c:txPr>
    <a:bodyPr/>
    <a:lstStyle/>
    <a:p>
      <a:pPr>
        <a:defRPr sz="800">
          <a:solidFill>
            <a:sysClr val="windowText" lastClr="000000"/>
          </a:solidFill>
          <a:latin typeface="Abadi ExtraLight" panose="020B0204020104020204"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355F"/>
            </a:solidFill>
            <a:ln>
              <a:noFill/>
            </a:ln>
            <a:effectLst/>
          </c:spPr>
          <c:invertIfNegative val="0"/>
          <c:dPt>
            <c:idx val="0"/>
            <c:invertIfNegative val="0"/>
            <c:bubble3D val="0"/>
            <c:spPr>
              <a:solidFill>
                <a:srgbClr val="760000"/>
              </a:solidFill>
              <a:ln>
                <a:noFill/>
              </a:ln>
              <a:effectLst/>
            </c:spPr>
            <c:extLst>
              <c:ext xmlns:c16="http://schemas.microsoft.com/office/drawing/2014/chart" uri="{C3380CC4-5D6E-409C-BE32-E72D297353CC}">
                <c16:uniqueId val="{00000001-93D0-4311-8CBC-6ABB9DBD2308}"/>
              </c:ext>
            </c:extLst>
          </c:dPt>
          <c:dLbls>
            <c:spPr>
              <a:noFill/>
              <a:ln>
                <a:noFill/>
              </a:ln>
              <a:effectLst/>
            </c:spPr>
            <c:txPr>
              <a:bodyPr rot="0" vert="horz"/>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[14]Benchmark!$O$124:$O$129</c:f>
              <c:strCache>
                <c:ptCount val="6"/>
                <c:pt idx="0">
                  <c:v>HLNE</c:v>
                </c:pt>
                <c:pt idx="1">
                  <c:v>TPG</c:v>
                </c:pt>
                <c:pt idx="2">
                  <c:v>ARES</c:v>
                </c:pt>
                <c:pt idx="3">
                  <c:v>STEP</c:v>
                </c:pt>
                <c:pt idx="4">
                  <c:v>CG</c:v>
                </c:pt>
                <c:pt idx="5">
                  <c:v>AMG</c:v>
                </c:pt>
              </c:strCache>
            </c:strRef>
          </c:cat>
          <c:val>
            <c:numRef>
              <c:f>[14]Benchmark!$P$124:$P$129</c:f>
              <c:numCache>
                <c:formatCode>General</c:formatCode>
                <c:ptCount val="6"/>
                <c:pt idx="0">
                  <c:v>1.7068E-2</c:v>
                </c:pt>
                <c:pt idx="1">
                  <c:v>3.0870000000000002E-2</c:v>
                </c:pt>
                <c:pt idx="2">
                  <c:v>2.9745000000000001E-2</c:v>
                </c:pt>
                <c:pt idx="3">
                  <c:v>2.3503E-2</c:v>
                </c:pt>
                <c:pt idx="4">
                  <c:v>2.2682999999999998E-2</c:v>
                </c:pt>
                <c:pt idx="5">
                  <c:v>1.6899999999999999E-4</c:v>
                </c:pt>
              </c:numCache>
            </c:numRef>
          </c:val>
          <c:extLst>
            <c:ext xmlns:c16="http://schemas.microsoft.com/office/drawing/2014/chart" uri="{C3380CC4-5D6E-409C-BE32-E72D297353CC}">
              <c16:uniqueId val="{00000002-93D0-4311-8CBC-6ABB9DBD2308}"/>
            </c:ext>
          </c:extLst>
        </c:ser>
        <c:dLbls>
          <c:showLegendKey val="0"/>
          <c:showVal val="1"/>
          <c:showCatName val="0"/>
          <c:showSerName val="0"/>
          <c:showPercent val="0"/>
          <c:showBubbleSize val="0"/>
        </c:dLbls>
        <c:gapWidth val="60"/>
        <c:axId val="-856891504"/>
        <c:axId val="-856889328"/>
      </c:barChart>
      <c:lineChart>
        <c:grouping val="standard"/>
        <c:varyColors val="0"/>
        <c:ser>
          <c:idx val="2"/>
          <c:order val="1"/>
          <c:spPr>
            <a:ln w="31750" cap="rnd">
              <a:solidFill>
                <a:srgbClr val="BDD7EE"/>
              </a:solidFill>
              <a:prstDash val="sysDash"/>
              <a:round/>
            </a:ln>
            <a:effectLst/>
          </c:spPr>
          <c:marker>
            <c:symbol val="none"/>
          </c:marker>
          <c:dLbls>
            <c:delete val="1"/>
          </c:dLbls>
          <c:cat>
            <c:strRef>
              <c:f>[14]Benchmark!$O$124:$O$129</c:f>
              <c:strCache>
                <c:ptCount val="6"/>
                <c:pt idx="0">
                  <c:v>HLNE</c:v>
                </c:pt>
                <c:pt idx="1">
                  <c:v>TPG</c:v>
                </c:pt>
                <c:pt idx="2">
                  <c:v>ARES</c:v>
                </c:pt>
                <c:pt idx="3">
                  <c:v>STEP</c:v>
                </c:pt>
                <c:pt idx="4">
                  <c:v>CG</c:v>
                </c:pt>
                <c:pt idx="5">
                  <c:v>AMG</c:v>
                </c:pt>
              </c:strCache>
            </c:strRef>
          </c:cat>
          <c:val>
            <c:numRef>
              <c:f>[14]Benchmark!$Q$124:$Q$129</c:f>
              <c:numCache>
                <c:formatCode>General</c:formatCode>
                <c:ptCount val="6"/>
                <c:pt idx="1">
                  <c:v>2.3503E-2</c:v>
                </c:pt>
                <c:pt idx="2">
                  <c:v>2.3503E-2</c:v>
                </c:pt>
                <c:pt idx="3">
                  <c:v>2.3503E-2</c:v>
                </c:pt>
                <c:pt idx="4">
                  <c:v>2.3503E-2</c:v>
                </c:pt>
                <c:pt idx="5">
                  <c:v>2.3503E-2</c:v>
                </c:pt>
              </c:numCache>
            </c:numRef>
          </c:val>
          <c:smooth val="0"/>
          <c:extLst>
            <c:ext xmlns:c16="http://schemas.microsoft.com/office/drawing/2014/chart" uri="{C3380CC4-5D6E-409C-BE32-E72D297353CC}">
              <c16:uniqueId val="{00000003-93D0-4311-8CBC-6ABB9DBD2308}"/>
            </c:ext>
          </c:extLst>
        </c:ser>
        <c:dLbls>
          <c:showLegendKey val="0"/>
          <c:showVal val="1"/>
          <c:showCatName val="0"/>
          <c:showSerName val="0"/>
          <c:showPercent val="0"/>
          <c:showBubbleSize val="0"/>
        </c:dLbls>
        <c:marker val="1"/>
        <c:smooth val="0"/>
        <c:axId val="-856891504"/>
        <c:axId val="-856889328"/>
      </c:lineChart>
      <c:catAx>
        <c:axId val="-856891504"/>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vert="horz"/>
          <a:lstStyle/>
          <a:p>
            <a:pPr>
              <a:defRPr/>
            </a:pPr>
            <a:endParaRPr lang="en-US"/>
          </a:p>
        </c:txPr>
        <c:crossAx val="-856889328"/>
        <c:crosses val="autoZero"/>
        <c:auto val="1"/>
        <c:lblAlgn val="ctr"/>
        <c:lblOffset val="100"/>
        <c:noMultiLvlLbl val="0"/>
      </c:catAx>
      <c:valAx>
        <c:axId val="-856889328"/>
        <c:scaling>
          <c:orientation val="minMax"/>
          <c:max val="3.5000000000000003E-2"/>
          <c:min val="0"/>
        </c:scaling>
        <c:delete val="1"/>
        <c:axPos val="l"/>
        <c:numFmt formatCode="#,##0.0%_);\(#,##0%\)" sourceLinked="0"/>
        <c:majorTickMark val="out"/>
        <c:minorTickMark val="none"/>
        <c:tickLblPos val="nextTo"/>
        <c:crossAx val="-856891504"/>
        <c:crosses val="autoZero"/>
        <c:crossBetween val="between"/>
        <c:majorUnit val="1.0000000000000002E-2"/>
      </c:valAx>
    </c:plotArea>
    <c:plotVisOnly val="1"/>
    <c:dispBlanksAs val="gap"/>
    <c:showDLblsOverMax val="0"/>
    <c:extLst/>
  </c:chart>
  <c:spPr>
    <a:solidFill>
      <a:schemeClr val="bg1"/>
    </a:solidFill>
    <a:ln w="9525" cap="flat" cmpd="sng" algn="ctr">
      <a:noFill/>
      <a:round/>
    </a:ln>
    <a:effectLst/>
  </c:spPr>
  <c:txPr>
    <a:bodyPr/>
    <a:lstStyle/>
    <a:p>
      <a:pPr>
        <a:defRPr sz="800">
          <a:solidFill>
            <a:sysClr val="windowText" lastClr="000000"/>
          </a:solidFill>
          <a:latin typeface="Abadi ExtraLight" panose="020B0204020104020204"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355F"/>
            </a:solidFill>
            <a:ln>
              <a:noFill/>
            </a:ln>
            <a:effectLst/>
          </c:spPr>
          <c:invertIfNegative val="0"/>
          <c:dPt>
            <c:idx val="1"/>
            <c:invertIfNegative val="0"/>
            <c:bubble3D val="0"/>
            <c:spPr>
              <a:solidFill>
                <a:srgbClr val="003560"/>
              </a:solidFill>
              <a:ln>
                <a:noFill/>
              </a:ln>
              <a:effectLst/>
            </c:spPr>
            <c:extLst>
              <c:ext xmlns:c16="http://schemas.microsoft.com/office/drawing/2014/chart" uri="{C3380CC4-5D6E-409C-BE32-E72D297353CC}">
                <c16:uniqueId val="{00000001-1C3B-4887-B64B-23B16A507DE6}"/>
              </c:ext>
            </c:extLst>
          </c:dPt>
          <c:dPt>
            <c:idx val="4"/>
            <c:invertIfNegative val="0"/>
            <c:bubble3D val="0"/>
            <c:spPr>
              <a:solidFill>
                <a:srgbClr val="760000"/>
              </a:solidFill>
              <a:ln>
                <a:noFill/>
              </a:ln>
              <a:effectLst/>
            </c:spPr>
            <c:extLst>
              <c:ext xmlns:c16="http://schemas.microsoft.com/office/drawing/2014/chart" uri="{C3380CC4-5D6E-409C-BE32-E72D297353CC}">
                <c16:uniqueId val="{00000003-1C3B-4887-B64B-23B16A507DE6}"/>
              </c:ext>
            </c:extLst>
          </c:dPt>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Abadi Extra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[14]Benchmark!$O$140:$O$145</c:f>
              <c:strCache>
                <c:ptCount val="6"/>
                <c:pt idx="0">
                  <c:v>AMG</c:v>
                </c:pt>
                <c:pt idx="1">
                  <c:v>CG</c:v>
                </c:pt>
                <c:pt idx="2">
                  <c:v>STEP</c:v>
                </c:pt>
                <c:pt idx="3">
                  <c:v>TPG</c:v>
                </c:pt>
                <c:pt idx="4">
                  <c:v>HLNE</c:v>
                </c:pt>
                <c:pt idx="5">
                  <c:v>ARES</c:v>
                </c:pt>
              </c:strCache>
            </c:strRef>
          </c:cat>
          <c:val>
            <c:numRef>
              <c:f>[14]Benchmark!$P$140:$P$145</c:f>
              <c:numCache>
                <c:formatCode>General</c:formatCode>
                <c:ptCount val="6"/>
                <c:pt idx="0">
                  <c:v>0.23480000000000001</c:v>
                </c:pt>
                <c:pt idx="1">
                  <c:v>0.106</c:v>
                </c:pt>
                <c:pt idx="2">
                  <c:v>7.1900000000000006E-2</c:v>
                </c:pt>
                <c:pt idx="3">
                  <c:v>-0.13900000000000001</c:v>
                </c:pt>
                <c:pt idx="4">
                  <c:v>-0.20710000000000001</c:v>
                </c:pt>
                <c:pt idx="5">
                  <c:v>-0.21199999999999999</c:v>
                </c:pt>
              </c:numCache>
            </c:numRef>
          </c:val>
          <c:extLst>
            <c:ext xmlns:c16="http://schemas.microsoft.com/office/drawing/2014/chart" uri="{C3380CC4-5D6E-409C-BE32-E72D297353CC}">
              <c16:uniqueId val="{00000004-1C3B-4887-B64B-23B16A507DE6}"/>
            </c:ext>
          </c:extLst>
        </c:ser>
        <c:dLbls>
          <c:showLegendKey val="0"/>
          <c:showVal val="0"/>
          <c:showCatName val="0"/>
          <c:showSerName val="0"/>
          <c:showPercent val="0"/>
          <c:showBubbleSize val="0"/>
        </c:dLbls>
        <c:gapWidth val="182"/>
        <c:axId val="-856888784"/>
        <c:axId val="-856886608"/>
      </c:barChart>
      <c:catAx>
        <c:axId val="-856888784"/>
        <c:scaling>
          <c:orientation val="minMax"/>
        </c:scaling>
        <c:delete val="0"/>
        <c:axPos val="l"/>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badi ExtraLight" panose="020B0204020104020204" pitchFamily="34" charset="0"/>
                <a:ea typeface="+mn-ea"/>
                <a:cs typeface="+mn-cs"/>
              </a:defRPr>
            </a:pPr>
            <a:endParaRPr lang="en-US"/>
          </a:p>
        </c:txPr>
        <c:crossAx val="-856886608"/>
        <c:crosses val="autoZero"/>
        <c:auto val="1"/>
        <c:lblAlgn val="ctr"/>
        <c:lblOffset val="100"/>
        <c:noMultiLvlLbl val="0"/>
      </c:catAx>
      <c:valAx>
        <c:axId val="-856886608"/>
        <c:scaling>
          <c:orientation val="minMax"/>
        </c:scaling>
        <c:delete val="0"/>
        <c:axPos val="b"/>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badi ExtraLight" panose="020B0204020104020204" pitchFamily="34" charset="0"/>
                <a:ea typeface="+mn-ea"/>
                <a:cs typeface="+mn-cs"/>
              </a:defRPr>
            </a:pPr>
            <a:endParaRPr lang="en-US"/>
          </a:p>
        </c:txPr>
        <c:crossAx val="-8568887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800">
          <a:latin typeface="Abadi ExtraLight" panose="020B0204020104020204" pitchFamily="34" charset="0"/>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355F"/>
            </a:solidFill>
            <a:ln>
              <a:noFill/>
            </a:ln>
            <a:effectLst/>
          </c:spPr>
          <c:invertIfNegative val="0"/>
          <c:dPt>
            <c:idx val="1"/>
            <c:invertIfNegative val="0"/>
            <c:bubble3D val="0"/>
            <c:spPr>
              <a:solidFill>
                <a:srgbClr val="003560"/>
              </a:solidFill>
              <a:ln>
                <a:noFill/>
              </a:ln>
              <a:effectLst/>
            </c:spPr>
            <c:extLst>
              <c:ext xmlns:c16="http://schemas.microsoft.com/office/drawing/2014/chart" uri="{C3380CC4-5D6E-409C-BE32-E72D297353CC}">
                <c16:uniqueId val="{00000001-08EB-46AC-92D2-6DFC0F65262A}"/>
              </c:ext>
            </c:extLst>
          </c:dPt>
          <c:dPt>
            <c:idx val="5"/>
            <c:invertIfNegative val="0"/>
            <c:bubble3D val="0"/>
            <c:spPr>
              <a:solidFill>
                <a:srgbClr val="760000"/>
              </a:solidFill>
              <a:ln>
                <a:noFill/>
              </a:ln>
              <a:effectLst/>
            </c:spPr>
            <c:extLst>
              <c:ext xmlns:c16="http://schemas.microsoft.com/office/drawing/2014/chart" uri="{C3380CC4-5D6E-409C-BE32-E72D297353CC}">
                <c16:uniqueId val="{00000003-08EB-46AC-92D2-6DFC0F65262A}"/>
              </c:ext>
            </c:extLst>
          </c:dPt>
          <c:dLbls>
            <c:spPr>
              <a:noFill/>
              <a:ln>
                <a:noFill/>
              </a:ln>
              <a:effectLst/>
            </c:spPr>
            <c:txPr>
              <a:bodyPr rot="0" vert="horz"/>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[14]Benchmark!$O$156:$O$161</c:f>
              <c:strCache>
                <c:ptCount val="6"/>
                <c:pt idx="0">
                  <c:v>AMG</c:v>
                </c:pt>
                <c:pt idx="1">
                  <c:v>CG</c:v>
                </c:pt>
                <c:pt idx="2">
                  <c:v>STEP</c:v>
                </c:pt>
                <c:pt idx="3">
                  <c:v>TPG</c:v>
                </c:pt>
                <c:pt idx="4">
                  <c:v>ARES</c:v>
                </c:pt>
                <c:pt idx="5">
                  <c:v>HLNE</c:v>
                </c:pt>
              </c:strCache>
            </c:strRef>
          </c:cat>
          <c:val>
            <c:numRef>
              <c:f>[14]Benchmark!$P$156:$P$161</c:f>
              <c:numCache>
                <c:formatCode>General</c:formatCode>
                <c:ptCount val="6"/>
                <c:pt idx="0">
                  <c:v>0.2392</c:v>
                </c:pt>
                <c:pt idx="1">
                  <c:v>0.1958</c:v>
                </c:pt>
                <c:pt idx="2">
                  <c:v>5.6000000000000001E-2</c:v>
                </c:pt>
                <c:pt idx="3">
                  <c:v>-8.0100000000000005E-2</c:v>
                </c:pt>
                <c:pt idx="4">
                  <c:v>-0.107</c:v>
                </c:pt>
                <c:pt idx="5">
                  <c:v>-0.31480000000000002</c:v>
                </c:pt>
              </c:numCache>
            </c:numRef>
          </c:val>
          <c:extLst>
            <c:ext xmlns:c16="http://schemas.microsoft.com/office/drawing/2014/chart" uri="{C3380CC4-5D6E-409C-BE32-E72D297353CC}">
              <c16:uniqueId val="{00000004-08EB-46AC-92D2-6DFC0F65262A}"/>
            </c:ext>
          </c:extLst>
        </c:ser>
        <c:dLbls>
          <c:showLegendKey val="0"/>
          <c:showVal val="0"/>
          <c:showCatName val="0"/>
          <c:showSerName val="0"/>
          <c:showPercent val="0"/>
          <c:showBubbleSize val="0"/>
        </c:dLbls>
        <c:gapWidth val="182"/>
        <c:axId val="-856888240"/>
        <c:axId val="-856881168"/>
      </c:barChart>
      <c:catAx>
        <c:axId val="-856888240"/>
        <c:scaling>
          <c:orientation val="minMax"/>
        </c:scaling>
        <c:delete val="0"/>
        <c:axPos val="l"/>
        <c:numFmt formatCode="General" sourceLinked="1"/>
        <c:majorTickMark val="out"/>
        <c:minorTickMark val="none"/>
        <c:tickLblPos val="low"/>
        <c:spPr>
          <a:noFill/>
          <a:ln w="9525" cap="flat" cmpd="sng" algn="ctr">
            <a:solidFill>
              <a:schemeClr val="tx1"/>
            </a:solidFill>
            <a:round/>
          </a:ln>
          <a:effectLst/>
        </c:spPr>
        <c:txPr>
          <a:bodyPr rot="-60000000" vert="horz"/>
          <a:lstStyle/>
          <a:p>
            <a:pPr>
              <a:defRPr sz="800"/>
            </a:pPr>
            <a:endParaRPr lang="en-US"/>
          </a:p>
        </c:txPr>
        <c:crossAx val="-856881168"/>
        <c:crosses val="autoZero"/>
        <c:auto val="1"/>
        <c:lblAlgn val="ctr"/>
        <c:lblOffset val="100"/>
        <c:noMultiLvlLbl val="0"/>
      </c:catAx>
      <c:valAx>
        <c:axId val="-856881168"/>
        <c:scaling>
          <c:orientation val="minMax"/>
        </c:scaling>
        <c:delete val="0"/>
        <c:axPos val="b"/>
        <c:numFmt formatCode="#,##0%_);\(#,##0%\)" sourceLinked="0"/>
        <c:majorTickMark val="none"/>
        <c:minorTickMark val="none"/>
        <c:tickLblPos val="nextTo"/>
        <c:spPr>
          <a:noFill/>
          <a:ln>
            <a:noFill/>
          </a:ln>
          <a:effectLst/>
        </c:spPr>
        <c:txPr>
          <a:bodyPr rot="-60000000" vert="horz"/>
          <a:lstStyle/>
          <a:p>
            <a:pPr>
              <a:defRPr sz="800"/>
            </a:pPr>
            <a:endParaRPr lang="en-US"/>
          </a:p>
        </c:txPr>
        <c:crossAx val="-856888240"/>
        <c:crosses val="autoZero"/>
        <c:crossBetween val="between"/>
      </c:valAx>
    </c:plotArea>
    <c:plotVisOnly val="1"/>
    <c:dispBlanksAs val="gap"/>
    <c:showDLblsOverMax val="0"/>
  </c:chart>
  <c:spPr>
    <a:noFill/>
    <a:ln w="9525" cap="flat" cmpd="sng" algn="ctr">
      <a:noFill/>
      <a:round/>
    </a:ln>
    <a:effectLst/>
  </c:spPr>
  <c:txPr>
    <a:bodyPr/>
    <a:lstStyle/>
    <a:p>
      <a:pPr>
        <a:defRPr>
          <a:latin typeface="Abadi ExtraLight" panose="020B0204020104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2</xdr:col>
      <xdr:colOff>178594</xdr:colOff>
      <xdr:row>6</xdr:row>
      <xdr:rowOff>71433</xdr:rowOff>
    </xdr:from>
    <xdr:to>
      <xdr:col>5</xdr:col>
      <xdr:colOff>1265869</xdr:colOff>
      <xdr:row>12</xdr:row>
      <xdr:rowOff>74250</xdr:rowOff>
    </xdr:to>
    <xdr:pic>
      <xdr:nvPicPr>
        <xdr:cNvPr id="3" name="Logo 6">
          <a:extLst>
            <a:ext uri="{FF2B5EF4-FFF2-40B4-BE49-F238E27FC236}">
              <a16:creationId xmlns:a16="http://schemas.microsoft.com/office/drawing/2014/main" id="{FE24E552-7D59-15F1-6ACB-56F499617042}"/>
            </a:ext>
          </a:extLst>
        </xdr:cNvPr>
        <xdr:cNvPicPr>
          <a:picLocks noChangeAspect="1"/>
        </xdr:cNvPicPr>
      </xdr:nvPicPr>
      <xdr:blipFill dpi="330">
        <a:blip xmlns:r="http://schemas.openxmlformats.org/officeDocument/2006/relationships" r:embed="rId1"/>
        <a:stretch>
          <a:fillRect/>
        </a:stretch>
      </xdr:blipFill>
      <xdr:spPr>
        <a:xfrm>
          <a:off x="416719" y="1131089"/>
          <a:ext cx="3920963" cy="10029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47625</xdr:colOff>
      <xdr:row>4</xdr:row>
      <xdr:rowOff>28574</xdr:rowOff>
    </xdr:from>
    <xdr:ext cx="4429125" cy="2085975"/>
    <xdr:graphicFrame macro="">
      <xdr:nvGraphicFramePr>
        <xdr:cNvPr id="428830159" name="Chart 1">
          <a:extLst>
            <a:ext uri="{FF2B5EF4-FFF2-40B4-BE49-F238E27FC236}">
              <a16:creationId xmlns:a16="http://schemas.microsoft.com/office/drawing/2014/main" id="{00000000-0008-0000-0300-0000CF6D8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twoCellAnchor>
    <xdr:from>
      <xdr:col>2</xdr:col>
      <xdr:colOff>11906</xdr:colOff>
      <xdr:row>3</xdr:row>
      <xdr:rowOff>-1</xdr:rowOff>
    </xdr:from>
    <xdr:to>
      <xdr:col>12</xdr:col>
      <xdr:colOff>592138</xdr:colOff>
      <xdr:row>27</xdr:row>
      <xdr:rowOff>-1</xdr:rowOff>
    </xdr:to>
    <xdr:graphicFrame macro="">
      <xdr:nvGraphicFramePr>
        <xdr:cNvPr id="2" name="Chart 1">
          <a:extLst>
            <a:ext uri="{FF2B5EF4-FFF2-40B4-BE49-F238E27FC236}">
              <a16:creationId xmlns:a16="http://schemas.microsoft.com/office/drawing/2014/main" id="{2D1D2818-5301-4549-90B6-8D189C871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5</xdr:col>
      <xdr:colOff>219075</xdr:colOff>
      <xdr:row>2</xdr:row>
      <xdr:rowOff>47625</xdr:rowOff>
    </xdr:from>
    <xdr:ext cx="2000250" cy="495300"/>
    <xdr:pic>
      <xdr:nvPicPr>
        <xdr:cNvPr id="2" name="image3.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8</xdr:row>
      <xdr:rowOff>0</xdr:rowOff>
    </xdr:from>
    <xdr:ext cx="952500" cy="400050"/>
    <xdr:pic>
      <xdr:nvPicPr>
        <xdr:cNvPr id="3" name="image2.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114299</xdr:colOff>
      <xdr:row>9</xdr:row>
      <xdr:rowOff>171449</xdr:rowOff>
    </xdr:from>
    <xdr:ext cx="5343525" cy="2276475"/>
    <xdr:graphicFrame macro="">
      <xdr:nvGraphicFramePr>
        <xdr:cNvPr id="491454806" name="Chart 4">
          <a:extLst>
            <a:ext uri="{FF2B5EF4-FFF2-40B4-BE49-F238E27FC236}">
              <a16:creationId xmlns:a16="http://schemas.microsoft.com/office/drawing/2014/main" id="{00000000-0008-0000-0F00-000056014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114299</xdr:colOff>
      <xdr:row>32</xdr:row>
      <xdr:rowOff>171449</xdr:rowOff>
    </xdr:from>
    <xdr:ext cx="5400675" cy="2238375"/>
    <xdr:graphicFrame macro="">
      <xdr:nvGraphicFramePr>
        <xdr:cNvPr id="906450124" name="Chart 5">
          <a:extLst>
            <a:ext uri="{FF2B5EF4-FFF2-40B4-BE49-F238E27FC236}">
              <a16:creationId xmlns:a16="http://schemas.microsoft.com/office/drawing/2014/main" id="{00000000-0008-0000-0F00-0000CC540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10</xdr:col>
      <xdr:colOff>0</xdr:colOff>
      <xdr:row>33</xdr:row>
      <xdr:rowOff>0</xdr:rowOff>
    </xdr:from>
    <xdr:ext cx="5133975" cy="2066925"/>
    <xdr:graphicFrame macro="">
      <xdr:nvGraphicFramePr>
        <xdr:cNvPr id="1544014828" name="Chart 6">
          <a:extLst>
            <a:ext uri="{FF2B5EF4-FFF2-40B4-BE49-F238E27FC236}">
              <a16:creationId xmlns:a16="http://schemas.microsoft.com/office/drawing/2014/main" id="{00000000-0008-0000-0F00-0000ECCB0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0</xdr:colOff>
      <xdr:row>73</xdr:row>
      <xdr:rowOff>0</xdr:rowOff>
    </xdr:from>
    <xdr:ext cx="5429250" cy="2066925"/>
    <xdr:graphicFrame macro="">
      <xdr:nvGraphicFramePr>
        <xdr:cNvPr id="2114429040" name="Chart 7">
          <a:extLst>
            <a:ext uri="{FF2B5EF4-FFF2-40B4-BE49-F238E27FC236}">
              <a16:creationId xmlns:a16="http://schemas.microsoft.com/office/drawing/2014/main" id="{00000000-0008-0000-0F00-000070A00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10</xdr:col>
      <xdr:colOff>0</xdr:colOff>
      <xdr:row>73</xdr:row>
      <xdr:rowOff>0</xdr:rowOff>
    </xdr:from>
    <xdr:ext cx="5267325" cy="2131218"/>
    <xdr:graphicFrame macro="">
      <xdr:nvGraphicFramePr>
        <xdr:cNvPr id="1958554603" name="Chart 8">
          <a:extLst>
            <a:ext uri="{FF2B5EF4-FFF2-40B4-BE49-F238E27FC236}">
              <a16:creationId xmlns:a16="http://schemas.microsoft.com/office/drawing/2014/main" id="{00000000-0008-0000-0F00-0000EB2BB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3</xdr:col>
      <xdr:colOff>309562</xdr:colOff>
      <xdr:row>139</xdr:row>
      <xdr:rowOff>107156</xdr:rowOff>
    </xdr:from>
    <xdr:ext cx="3790950" cy="2076450"/>
    <xdr:graphicFrame macro="">
      <xdr:nvGraphicFramePr>
        <xdr:cNvPr id="827074315" name="Chart 9">
          <a:extLst>
            <a:ext uri="{FF2B5EF4-FFF2-40B4-BE49-F238E27FC236}">
              <a16:creationId xmlns:a16="http://schemas.microsoft.com/office/drawing/2014/main" id="{00000000-0008-0000-0F00-00000B274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2</xdr:col>
      <xdr:colOff>66675</xdr:colOff>
      <xdr:row>92</xdr:row>
      <xdr:rowOff>76200</xdr:rowOff>
    </xdr:from>
    <xdr:ext cx="8534400" cy="3102769"/>
    <xdr:graphicFrame macro="">
      <xdr:nvGraphicFramePr>
        <xdr:cNvPr id="1847019210" name="Chart 12">
          <a:extLst>
            <a:ext uri="{FF2B5EF4-FFF2-40B4-BE49-F238E27FC236}">
              <a16:creationId xmlns:a16="http://schemas.microsoft.com/office/drawing/2014/main" id="{00000000-0008-0000-0F00-0000CA461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2</xdr:col>
      <xdr:colOff>476250</xdr:colOff>
      <xdr:row>118</xdr:row>
      <xdr:rowOff>95250</xdr:rowOff>
    </xdr:from>
    <xdr:ext cx="3724275" cy="2019300"/>
    <xdr:graphicFrame macro="">
      <xdr:nvGraphicFramePr>
        <xdr:cNvPr id="217027408" name="Chart 13">
          <a:extLst>
            <a:ext uri="{FF2B5EF4-FFF2-40B4-BE49-F238E27FC236}">
              <a16:creationId xmlns:a16="http://schemas.microsoft.com/office/drawing/2014/main" id="{00000000-0008-0000-0F00-00005093E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twoCellAnchor>
    <xdr:from>
      <xdr:col>5</xdr:col>
      <xdr:colOff>142876</xdr:colOff>
      <xdr:row>196</xdr:row>
      <xdr:rowOff>130968</xdr:rowOff>
    </xdr:from>
    <xdr:to>
      <xdr:col>12</xdr:col>
      <xdr:colOff>642938</xdr:colOff>
      <xdr:row>215</xdr:row>
      <xdr:rowOff>15432</xdr:rowOff>
    </xdr:to>
    <xdr:graphicFrame macro="">
      <xdr:nvGraphicFramePr>
        <xdr:cNvPr id="2" name="Chart 1">
          <a:extLst>
            <a:ext uri="{FF2B5EF4-FFF2-40B4-BE49-F238E27FC236}">
              <a16:creationId xmlns:a16="http://schemas.microsoft.com/office/drawing/2014/main" id="{4E0841EC-0686-45F6-9A3F-F512234E9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261937</xdr:colOff>
      <xdr:row>183</xdr:row>
      <xdr:rowOff>23813</xdr:rowOff>
    </xdr:from>
    <xdr:to>
      <xdr:col>12</xdr:col>
      <xdr:colOff>583405</xdr:colOff>
      <xdr:row>196</xdr:row>
      <xdr:rowOff>120895</xdr:rowOff>
    </xdr:to>
    <xdr:graphicFrame macro="">
      <xdr:nvGraphicFramePr>
        <xdr:cNvPr id="5" name="Chart 4">
          <a:extLst>
            <a:ext uri="{FF2B5EF4-FFF2-40B4-BE49-F238E27FC236}">
              <a16:creationId xmlns:a16="http://schemas.microsoft.com/office/drawing/2014/main" id="{26F94CE6-CE23-4A8F-ADFE-C779D635C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95250</xdr:colOff>
      <xdr:row>9</xdr:row>
      <xdr:rowOff>11906</xdr:rowOff>
    </xdr:from>
    <xdr:to>
      <xdr:col>12</xdr:col>
      <xdr:colOff>655545</xdr:colOff>
      <xdr:row>20</xdr:row>
      <xdr:rowOff>72420</xdr:rowOff>
    </xdr:to>
    <xdr:graphicFrame macro="">
      <xdr:nvGraphicFramePr>
        <xdr:cNvPr id="2" name="Chart 1">
          <a:extLst>
            <a:ext uri="{FF2B5EF4-FFF2-40B4-BE49-F238E27FC236}">
              <a16:creationId xmlns:a16="http://schemas.microsoft.com/office/drawing/2014/main" id="{0E87AD72-7E7A-42A9-A860-BF4819C1B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595312</xdr:colOff>
      <xdr:row>24</xdr:row>
      <xdr:rowOff>154781</xdr:rowOff>
    </xdr:from>
    <xdr:to>
      <xdr:col>12</xdr:col>
      <xdr:colOff>441232</xdr:colOff>
      <xdr:row>36</xdr:row>
      <xdr:rowOff>48606</xdr:rowOff>
    </xdr:to>
    <xdr:graphicFrame macro="">
      <xdr:nvGraphicFramePr>
        <xdr:cNvPr id="3" name="Chart 2">
          <a:extLst>
            <a:ext uri="{FF2B5EF4-FFF2-40B4-BE49-F238E27FC236}">
              <a16:creationId xmlns:a16="http://schemas.microsoft.com/office/drawing/2014/main" id="{D9D9FAFB-6B81-481D-B6CC-FD62394DB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654844</xdr:colOff>
      <xdr:row>41</xdr:row>
      <xdr:rowOff>119062</xdr:rowOff>
    </xdr:from>
    <xdr:to>
      <xdr:col>12</xdr:col>
      <xdr:colOff>512670</xdr:colOff>
      <xdr:row>53</xdr:row>
      <xdr:rowOff>12887</xdr:rowOff>
    </xdr:to>
    <xdr:graphicFrame macro="">
      <xdr:nvGraphicFramePr>
        <xdr:cNvPr id="5" name="Chart 4">
          <a:extLst>
            <a:ext uri="{FF2B5EF4-FFF2-40B4-BE49-F238E27FC236}">
              <a16:creationId xmlns:a16="http://schemas.microsoft.com/office/drawing/2014/main" id="{F0625FF3-470A-4F21-B8A5-BAEB0B79B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654845</xdr:colOff>
      <xdr:row>57</xdr:row>
      <xdr:rowOff>142874</xdr:rowOff>
    </xdr:from>
    <xdr:to>
      <xdr:col>12</xdr:col>
      <xdr:colOff>512671</xdr:colOff>
      <xdr:row>69</xdr:row>
      <xdr:rowOff>36699</xdr:rowOff>
    </xdr:to>
    <xdr:graphicFrame macro="">
      <xdr:nvGraphicFramePr>
        <xdr:cNvPr id="6" name="Chart 5">
          <a:extLst>
            <a:ext uri="{FF2B5EF4-FFF2-40B4-BE49-F238E27FC236}">
              <a16:creationId xmlns:a16="http://schemas.microsoft.com/office/drawing/2014/main" id="{D0DBD932-0B5F-414C-B25F-EA235BA22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500062</xdr:colOff>
      <xdr:row>72</xdr:row>
      <xdr:rowOff>142875</xdr:rowOff>
    </xdr:from>
    <xdr:to>
      <xdr:col>12</xdr:col>
      <xdr:colOff>357888</xdr:colOff>
      <xdr:row>84</xdr:row>
      <xdr:rowOff>36701</xdr:rowOff>
    </xdr:to>
    <xdr:graphicFrame macro="">
      <xdr:nvGraphicFramePr>
        <xdr:cNvPr id="8" name="Chart 7">
          <a:extLst>
            <a:ext uri="{FF2B5EF4-FFF2-40B4-BE49-F238E27FC236}">
              <a16:creationId xmlns:a16="http://schemas.microsoft.com/office/drawing/2014/main" id="{150F090F-06CC-49E0-99D4-369ED0DB6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392906</xdr:colOff>
      <xdr:row>89</xdr:row>
      <xdr:rowOff>71438</xdr:rowOff>
    </xdr:from>
    <xdr:to>
      <xdr:col>12</xdr:col>
      <xdr:colOff>250732</xdr:colOff>
      <xdr:row>100</xdr:row>
      <xdr:rowOff>131951</xdr:rowOff>
    </xdr:to>
    <xdr:graphicFrame macro="">
      <xdr:nvGraphicFramePr>
        <xdr:cNvPr id="9" name="Chart 8">
          <a:extLst>
            <a:ext uri="{FF2B5EF4-FFF2-40B4-BE49-F238E27FC236}">
              <a16:creationId xmlns:a16="http://schemas.microsoft.com/office/drawing/2014/main" id="{FB78ED0B-C9B2-421E-8E50-BFAF60EB4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71437</xdr:colOff>
      <xdr:row>105</xdr:row>
      <xdr:rowOff>95250</xdr:rowOff>
    </xdr:from>
    <xdr:to>
      <xdr:col>12</xdr:col>
      <xdr:colOff>631732</xdr:colOff>
      <xdr:row>116</xdr:row>
      <xdr:rowOff>155763</xdr:rowOff>
    </xdr:to>
    <xdr:graphicFrame macro="">
      <xdr:nvGraphicFramePr>
        <xdr:cNvPr id="10" name="Chart 9">
          <a:extLst>
            <a:ext uri="{FF2B5EF4-FFF2-40B4-BE49-F238E27FC236}">
              <a16:creationId xmlns:a16="http://schemas.microsoft.com/office/drawing/2014/main" id="{7AEC0045-4964-4669-8CD1-C87F02A25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35719</xdr:colOff>
      <xdr:row>121</xdr:row>
      <xdr:rowOff>71435</xdr:rowOff>
    </xdr:from>
    <xdr:to>
      <xdr:col>12</xdr:col>
      <xdr:colOff>596014</xdr:colOff>
      <xdr:row>132</xdr:row>
      <xdr:rowOff>131948</xdr:rowOff>
    </xdr:to>
    <xdr:graphicFrame macro="">
      <xdr:nvGraphicFramePr>
        <xdr:cNvPr id="11" name="Chart 10">
          <a:extLst>
            <a:ext uri="{FF2B5EF4-FFF2-40B4-BE49-F238E27FC236}">
              <a16:creationId xmlns:a16="http://schemas.microsoft.com/office/drawing/2014/main" id="{63EB3943-F22C-42B8-B2B3-EE7B59B86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511969</xdr:colOff>
      <xdr:row>136</xdr:row>
      <xdr:rowOff>59532</xdr:rowOff>
    </xdr:from>
    <xdr:to>
      <xdr:col>12</xdr:col>
      <xdr:colOff>366236</xdr:colOff>
      <xdr:row>148</xdr:row>
      <xdr:rowOff>79773</xdr:rowOff>
    </xdr:to>
    <xdr:graphicFrame macro="">
      <xdr:nvGraphicFramePr>
        <xdr:cNvPr id="12" name="Chart 11">
          <a:extLst>
            <a:ext uri="{FF2B5EF4-FFF2-40B4-BE49-F238E27FC236}">
              <a16:creationId xmlns:a16="http://schemas.microsoft.com/office/drawing/2014/main" id="{3543A401-E17E-4872-AC10-B55712480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535781</xdr:colOff>
      <xdr:row>152</xdr:row>
      <xdr:rowOff>83345</xdr:rowOff>
    </xdr:from>
    <xdr:to>
      <xdr:col>12</xdr:col>
      <xdr:colOff>394049</xdr:colOff>
      <xdr:row>164</xdr:row>
      <xdr:rowOff>103919</xdr:rowOff>
    </xdr:to>
    <xdr:graphicFrame macro="">
      <xdr:nvGraphicFramePr>
        <xdr:cNvPr id="13" name="Chart 12">
          <a:extLst>
            <a:ext uri="{FF2B5EF4-FFF2-40B4-BE49-F238E27FC236}">
              <a16:creationId xmlns:a16="http://schemas.microsoft.com/office/drawing/2014/main" id="{05B9FE7F-9804-4689-8D2F-55AFB1D72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ERGER"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WORK\HARBOR\MERGER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dghebre\Application%20Data\Microsoft\Excel\Sample\CRL%20Budget%202011%20with%20win%20Fin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_RA%20Clients\_Current\LinQuest%20Corporation\Project%20Jigsaw\Due%20Diligence\Jigsaw%20Due%20Diligence\3%20%20Financial%20&amp;%20Accounting%20Items\3.2%20YTD%202011%20IS,%20BS,%20CF\Mosaic_Inc%20__Forecast_May2011%20Actuals%20Rev%206%2020.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Detailed%20Comps%20I2"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tur37131/Downloads/POWER5.XLA"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latim/Downloads/Owl%20Fund%20Model_CAPIQ%20Comps%20Shee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Users\davidbrinkley\Documents\Castellum%20Capital\Clients\IA&amp;T\Financial%20Model%20May%202013\Financial%20Model%20(IAT)%205.10.1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Outsourcing\Client%20Folders\CRL%20Technologies\Budget\2011\2011%20baseline%20v1\CRL%20Budget%202011%20v1-baseline%2012-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Documents%20and%20Settings\dghebre\Desktop\FY11_CFF_Feb_2011-MAK%20v4.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sclient\C\Documents%20and%20Settings\Mark\My%20Documents\PP%20LLC\2006%20Projections%20-%20working%20file\2006%20projections%20-%20working%20fil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latim/Downloads/CapIQ%20Comps%20and%20Transactions%20Builder.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Outsourcing\Client%20Folders\Mosaic,%20Inc\Budget\Bgt%20Work%20Files\Mosaic_Inc%20__Budget_2011%20Working0-4%2025%202011.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C:\Users\tur37131\Downloads\Micron%20Technology,%20Inc.%20(MU)_Valuation%20Workbook%20(17-Jan-2025).xlsx" TargetMode="External"/><Relationship Id="rId1" Type="http://schemas.openxmlformats.org/officeDocument/2006/relationships/externalLinkPath" Target="/Users/tur37131/Downloads/Micron%20Technology,%20Inc.%20(MU)_Valuation%20Workbook%20(17-Jan-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sheetName val="Ref"/>
      <sheetName val="Template Information"/>
      <sheetName val="Magenta"/>
      <sheetName val="Magenta Data"/>
      <sheetName val="Blue"/>
      <sheetName val="Blue Data"/>
      <sheetName val="Red"/>
      <sheetName val="Red Data"/>
      <sheetName val="Cyan"/>
      <sheetName val="Cyan Data"/>
      <sheetName val="Green"/>
      <sheetName val="Green Data"/>
      <sheetName val="Yellow"/>
      <sheetName val="Yello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1 budget assumptions"/>
      <sheetName val="Summary Balance Sheet"/>
      <sheetName val="Summary Cash Flow Statement"/>
      <sheetName val="Profit &amp; Loss"/>
      <sheetName val="Capital budget"/>
      <sheetName val="Fringe Benefits Pool"/>
      <sheetName val="Overhead Pool"/>
      <sheetName val="G &amp; A Pool"/>
      <sheetName val="SMH"/>
      <sheetName val="Rate rec"/>
      <sheetName val="Wrap"/>
      <sheetName val="Labor budget"/>
      <sheetName val="P&amp;L Assumptions"/>
      <sheetName val="Vacation"/>
      <sheetName val="Salaries"/>
      <sheetName val="Facility SC"/>
      <sheetName val="Sub cost"/>
      <sheetName val="Price"/>
      <sheetName val="per head data"/>
      <sheetName val="2010 Labor Rates 091130"/>
    </sheetNames>
    <sheetDataSet>
      <sheetData sheetId="0" refreshError="1"/>
      <sheetData sheetId="1" refreshError="1"/>
      <sheetData sheetId="2" refreshError="1"/>
      <sheetData sheetId="3">
        <row r="17">
          <cell r="D17" t="str">
            <v>SFX 44 · Subcontracts</v>
          </cell>
        </row>
      </sheetData>
      <sheetData sheetId="4" refreshError="1"/>
      <sheetData sheetId="5">
        <row r="46">
          <cell r="C46">
            <v>0.3129109534939285</v>
          </cell>
        </row>
      </sheetData>
      <sheetData sheetId="6"/>
      <sheetData sheetId="7">
        <row r="59">
          <cell r="E59">
            <v>227480.56</v>
          </cell>
        </row>
      </sheetData>
      <sheetData sheetId="8"/>
      <sheetData sheetId="9" refreshError="1"/>
      <sheetData sheetId="10" refreshError="1"/>
      <sheetData sheetId="11"/>
      <sheetData sheetId="12">
        <row r="3">
          <cell r="A3" t="str">
            <v>Budget for the Period Ended December 31, 2011</v>
          </cell>
        </row>
        <row r="40">
          <cell r="M40">
            <v>0.21970000000000001</v>
          </cell>
          <cell r="N40">
            <v>9.2999999999999999E-2</v>
          </cell>
          <cell r="O40">
            <v>0.32100000000000001</v>
          </cell>
          <cell r="P40">
            <v>1.7611000000000001</v>
          </cell>
        </row>
      </sheetData>
      <sheetData sheetId="13">
        <row r="56">
          <cell r="F56">
            <v>152797.46461538458</v>
          </cell>
          <cell r="G56">
            <v>7303.4886153846155</v>
          </cell>
          <cell r="H56">
            <v>10091.950153846154</v>
          </cell>
          <cell r="I56">
            <v>11921.434846153847</v>
          </cell>
          <cell r="J56">
            <v>9582.2386153846146</v>
          </cell>
          <cell r="K56">
            <v>15536.757846153847</v>
          </cell>
          <cell r="L56">
            <v>16721.853999999999</v>
          </cell>
          <cell r="M56">
            <v>16345.988615384615</v>
          </cell>
          <cell r="N56">
            <v>18077.911692307694</v>
          </cell>
          <cell r="O56">
            <v>20683.886769230769</v>
          </cell>
          <cell r="P56">
            <v>13789.257846153845</v>
          </cell>
          <cell r="Q56">
            <v>13789.257846153845</v>
          </cell>
        </row>
      </sheetData>
      <sheetData sheetId="14">
        <row r="2">
          <cell r="A2" t="str">
            <v>001000 Velez Carlos</v>
          </cell>
          <cell r="G2">
            <v>176987.2</v>
          </cell>
          <cell r="K2">
            <v>178757.07200000001</v>
          </cell>
        </row>
        <row r="3">
          <cell r="A3" t="str">
            <v>001001 Velez Elsa</v>
          </cell>
          <cell r="G3">
            <v>129792</v>
          </cell>
          <cell r="K3">
            <v>134983.67999999999</v>
          </cell>
        </row>
        <row r="4">
          <cell r="A4" t="str">
            <v>001002 Fordham Joseph</v>
          </cell>
          <cell r="G4">
            <v>157497.60000000001</v>
          </cell>
          <cell r="K4">
            <v>162222.52800000002</v>
          </cell>
        </row>
        <row r="5">
          <cell r="A5" t="str">
            <v>001003 Test Employee</v>
          </cell>
          <cell r="G5">
            <v>42000</v>
          </cell>
          <cell r="K5">
            <v>43260</v>
          </cell>
        </row>
        <row r="6">
          <cell r="A6" t="str">
            <v>001004 Eckardt Jon</v>
          </cell>
          <cell r="G6">
            <v>139256</v>
          </cell>
          <cell r="K6">
            <v>143433.68</v>
          </cell>
        </row>
        <row r="7">
          <cell r="A7" t="str">
            <v>001005 Mooradian Stephen</v>
          </cell>
          <cell r="G7">
            <v>133910.39999999999</v>
          </cell>
          <cell r="K7">
            <v>137927.712</v>
          </cell>
        </row>
        <row r="8">
          <cell r="A8" t="str">
            <v>001006 Moore Jeffrey</v>
          </cell>
          <cell r="G8">
            <v>124384</v>
          </cell>
          <cell r="K8">
            <v>128115.52</v>
          </cell>
        </row>
        <row r="9">
          <cell r="A9" t="str">
            <v>001008 Foremaster Melvin</v>
          </cell>
          <cell r="G9">
            <v>165505.59999999998</v>
          </cell>
          <cell r="K9">
            <v>168815.71199999997</v>
          </cell>
        </row>
        <row r="10">
          <cell r="A10" t="str">
            <v>001010 Lee Daniel</v>
          </cell>
          <cell r="G10">
            <v>160700.80000000002</v>
          </cell>
          <cell r="K10">
            <v>167128.83200000002</v>
          </cell>
        </row>
        <row r="11">
          <cell r="A11" t="str">
            <v>001013 Chayka Christine</v>
          </cell>
          <cell r="G11">
            <v>101816</v>
          </cell>
          <cell r="K11">
            <v>104870.48</v>
          </cell>
        </row>
        <row r="12">
          <cell r="A12" t="str">
            <v>001014 Furlow CW</v>
          </cell>
          <cell r="G12">
            <v>175156.8</v>
          </cell>
          <cell r="K12">
            <v>176908.36799999999</v>
          </cell>
        </row>
        <row r="13">
          <cell r="A13" t="str">
            <v>001015 Ledman Albert</v>
          </cell>
          <cell r="G13">
            <v>127316.8</v>
          </cell>
          <cell r="K13">
            <v>131136.304</v>
          </cell>
        </row>
        <row r="14">
          <cell r="A14" t="str">
            <v>001016 Albertson Melissa</v>
          </cell>
          <cell r="G14">
            <v>120432</v>
          </cell>
          <cell r="K14">
            <v>124044.96</v>
          </cell>
        </row>
        <row r="15">
          <cell r="A15" t="str">
            <v>001017 Lambert Deryk</v>
          </cell>
          <cell r="G15">
            <v>126900.8</v>
          </cell>
          <cell r="K15">
            <v>130707.82400000001</v>
          </cell>
        </row>
        <row r="16">
          <cell r="A16" t="str">
            <v>001018 Graves Stephen</v>
          </cell>
          <cell r="G16">
            <v>100152</v>
          </cell>
          <cell r="K16">
            <v>103156.56</v>
          </cell>
        </row>
        <row r="17">
          <cell r="A17" t="str">
            <v>001019 Keyworth Crystal</v>
          </cell>
          <cell r="G17">
            <v>98820.800000000003</v>
          </cell>
          <cell r="K17">
            <v>101785.424</v>
          </cell>
        </row>
        <row r="18">
          <cell r="A18" t="str">
            <v>001021 Fecht Bruce</v>
          </cell>
          <cell r="G18">
            <v>154523.20000000001</v>
          </cell>
          <cell r="K18">
            <v>159158.89600000001</v>
          </cell>
        </row>
        <row r="19">
          <cell r="A19" t="str">
            <v>001022 Schied Charles</v>
          </cell>
          <cell r="G19">
            <v>185016</v>
          </cell>
          <cell r="K19">
            <v>185016</v>
          </cell>
        </row>
        <row r="20">
          <cell r="A20" t="str">
            <v>001023 Erhardt William</v>
          </cell>
          <cell r="G20">
            <v>156020.80000000002</v>
          </cell>
          <cell r="K20">
            <v>160701.42400000003</v>
          </cell>
        </row>
        <row r="21">
          <cell r="A21" t="str">
            <v>001024 Ledman Kendra</v>
          </cell>
          <cell r="G21">
            <v>69555.199999999997</v>
          </cell>
          <cell r="K21">
            <v>71641.856</v>
          </cell>
        </row>
        <row r="22">
          <cell r="A22" t="str">
            <v>001025 Horan Tracy</v>
          </cell>
          <cell r="G22">
            <v>88420.800000000003</v>
          </cell>
          <cell r="K22">
            <v>91073.423999999999</v>
          </cell>
        </row>
        <row r="23">
          <cell r="A23" t="str">
            <v>001026 Bischof Kathleen</v>
          </cell>
          <cell r="G23">
            <v>57033.600000000006</v>
          </cell>
          <cell r="K23">
            <v>58744.608000000007</v>
          </cell>
        </row>
        <row r="24">
          <cell r="A24" t="str">
            <v>001027 McQuay Jaime</v>
          </cell>
          <cell r="G24">
            <v>101524.8</v>
          </cell>
          <cell r="K24">
            <v>104570.54400000001</v>
          </cell>
        </row>
        <row r="25">
          <cell r="A25" t="str">
            <v>001028 Mooradian Deborah</v>
          </cell>
          <cell r="G25">
            <v>94785.600000000006</v>
          </cell>
          <cell r="K25">
            <v>97629.168000000005</v>
          </cell>
        </row>
        <row r="26">
          <cell r="A26" t="str">
            <v>001032 Floyd Dionne</v>
          </cell>
          <cell r="G26">
            <v>75774.399999999994</v>
          </cell>
          <cell r="K26">
            <v>78047.631999999998</v>
          </cell>
        </row>
        <row r="27">
          <cell r="G27">
            <v>123616.48000000001</v>
          </cell>
        </row>
        <row r="28">
          <cell r="A28" t="str">
            <v>001035 Padilla Marcell</v>
          </cell>
          <cell r="G28">
            <v>137009.60000000001</v>
          </cell>
          <cell r="K28">
            <v>141119.88800000001</v>
          </cell>
        </row>
        <row r="29">
          <cell r="A29" t="str">
            <v>001036 Slayton Kim</v>
          </cell>
          <cell r="G29">
            <v>140004.80000000002</v>
          </cell>
          <cell r="K29">
            <v>144204.94400000002</v>
          </cell>
        </row>
        <row r="30">
          <cell r="A30" t="str">
            <v>001038 Guy David</v>
          </cell>
          <cell r="G30">
            <v>60008</v>
          </cell>
          <cell r="K30">
            <v>61808.240000000005</v>
          </cell>
        </row>
        <row r="31">
          <cell r="A31" t="str">
            <v>001039 Dukes Robert</v>
          </cell>
          <cell r="G31">
            <v>147014.40000000002</v>
          </cell>
          <cell r="K31">
            <v>151424.83200000002</v>
          </cell>
        </row>
        <row r="32">
          <cell r="G32">
            <v>145017.60000000001</v>
          </cell>
          <cell r="K32">
            <v>149368.128</v>
          </cell>
        </row>
        <row r="33">
          <cell r="A33" t="str">
            <v>TBD Long, Philip</v>
          </cell>
          <cell r="K33">
            <v>86531.535999999993</v>
          </cell>
        </row>
        <row r="34">
          <cell r="A34" t="str">
            <v>TBD Hawitt, Michelle</v>
          </cell>
          <cell r="K34">
            <v>72113.183999999994</v>
          </cell>
        </row>
        <row r="35">
          <cell r="A35" t="str">
            <v>TBD Moore, Marbert</v>
          </cell>
          <cell r="K35">
            <v>144204.94400000002</v>
          </cell>
        </row>
        <row r="36">
          <cell r="A36" t="str">
            <v>TBD Negron, Juan</v>
          </cell>
          <cell r="K36">
            <v>113311.53599999999</v>
          </cell>
        </row>
        <row r="37">
          <cell r="A37" t="str">
            <v>TBD Short, Amie</v>
          </cell>
          <cell r="K37">
            <v>123616.48000000001</v>
          </cell>
        </row>
        <row r="38">
          <cell r="K38">
            <v>87559.887999999992</v>
          </cell>
        </row>
        <row r="39">
          <cell r="A39" t="str">
            <v>TBD Tygrett, Kelly</v>
          </cell>
          <cell r="K39">
            <v>123616.48000000001</v>
          </cell>
        </row>
        <row r="40">
          <cell r="A40" t="str">
            <v>TBD Bot, Penny</v>
          </cell>
          <cell r="K40">
            <v>160680</v>
          </cell>
        </row>
        <row r="41">
          <cell r="A41" t="str">
            <v>TBD New Hire 1</v>
          </cell>
          <cell r="K41">
            <v>170000</v>
          </cell>
        </row>
        <row r="42">
          <cell r="A42" t="str">
            <v>TBD New Hire 2</v>
          </cell>
          <cell r="K42">
            <v>250000</v>
          </cell>
        </row>
        <row r="43">
          <cell r="A43" t="str">
            <v>TBD New Hire 3</v>
          </cell>
          <cell r="K43">
            <v>145000</v>
          </cell>
        </row>
        <row r="44">
          <cell r="A44" t="str">
            <v>TBD New Hire 4</v>
          </cell>
          <cell r="K44">
            <v>85000</v>
          </cell>
        </row>
        <row r="68">
          <cell r="P68">
            <v>368407.17172799999</v>
          </cell>
          <cell r="Q68">
            <v>70584.564799999993</v>
          </cell>
        </row>
      </sheetData>
      <sheetData sheetId="15"/>
      <sheetData sheetId="16" refreshError="1"/>
      <sheetData sheetId="17" refreshError="1"/>
      <sheetData sheetId="18" refreshError="1"/>
      <sheetData sheetId="19">
        <row r="5">
          <cell r="A5" t="str">
            <v>Velez Carlos</v>
          </cell>
        </row>
        <row r="12">
          <cell r="E12" t="str">
            <v>001000</v>
          </cell>
        </row>
        <row r="18">
          <cell r="A18" t="str">
            <v>Fordham Joseph</v>
          </cell>
        </row>
        <row r="25">
          <cell r="E25" t="str">
            <v>001002</v>
          </cell>
        </row>
        <row r="31">
          <cell r="A31" t="str">
            <v>Eckardt Jon</v>
          </cell>
        </row>
        <row r="38">
          <cell r="E38" t="str">
            <v>001004</v>
          </cell>
        </row>
        <row r="44">
          <cell r="A44" t="str">
            <v>Mooradian Stephen</v>
          </cell>
        </row>
        <row r="51">
          <cell r="E51" t="str">
            <v>001005</v>
          </cell>
        </row>
        <row r="57">
          <cell r="A57" t="str">
            <v>Moore Jeffrey</v>
          </cell>
        </row>
        <row r="64">
          <cell r="E64" t="str">
            <v>001006</v>
          </cell>
        </row>
        <row r="70">
          <cell r="A70" t="str">
            <v>Foremaster Melvin</v>
          </cell>
        </row>
        <row r="77">
          <cell r="E77" t="str">
            <v>001008</v>
          </cell>
        </row>
        <row r="96">
          <cell r="A96" t="str">
            <v>Lee Daniel</v>
          </cell>
        </row>
        <row r="103">
          <cell r="E103" t="str">
            <v>001010</v>
          </cell>
        </row>
        <row r="135">
          <cell r="A135" t="str">
            <v>Chayka Christine</v>
          </cell>
        </row>
        <row r="142">
          <cell r="E142" t="str">
            <v>001013</v>
          </cell>
        </row>
        <row r="148">
          <cell r="A148" t="str">
            <v>Furlow CW</v>
          </cell>
        </row>
        <row r="155">
          <cell r="E155" t="str">
            <v>001014</v>
          </cell>
        </row>
        <row r="161">
          <cell r="A161" t="str">
            <v>Ledman Albert</v>
          </cell>
        </row>
        <row r="168">
          <cell r="E168" t="str">
            <v>001015</v>
          </cell>
        </row>
        <row r="174">
          <cell r="A174" t="str">
            <v>Albertson Melissa</v>
          </cell>
        </row>
        <row r="181">
          <cell r="E181" t="str">
            <v>001016</v>
          </cell>
        </row>
        <row r="187">
          <cell r="A187" t="str">
            <v>Lambert Deryk</v>
          </cell>
        </row>
        <row r="194">
          <cell r="E194" t="str">
            <v>001017</v>
          </cell>
        </row>
        <row r="200">
          <cell r="A200" t="str">
            <v>Graves Stephen</v>
          </cell>
        </row>
        <row r="207">
          <cell r="E207" t="str">
            <v>001018</v>
          </cell>
        </row>
        <row r="213">
          <cell r="A213" t="str">
            <v>Keyworth Crystal</v>
          </cell>
        </row>
        <row r="220">
          <cell r="E220" t="str">
            <v>001019</v>
          </cell>
        </row>
        <row r="239">
          <cell r="A239" t="str">
            <v>Fecht Bruce</v>
          </cell>
        </row>
        <row r="246">
          <cell r="E246" t="str">
            <v>001021</v>
          </cell>
        </row>
        <row r="252">
          <cell r="A252" t="str">
            <v>Schied Charles</v>
          </cell>
        </row>
        <row r="259">
          <cell r="E259" t="str">
            <v>001022</v>
          </cell>
        </row>
        <row r="265">
          <cell r="A265" t="str">
            <v>Erhardt William</v>
          </cell>
        </row>
        <row r="272">
          <cell r="E272" t="str">
            <v>001023</v>
          </cell>
        </row>
        <row r="278">
          <cell r="A278" t="str">
            <v>Ledman Kendra</v>
          </cell>
        </row>
        <row r="285">
          <cell r="E285" t="str">
            <v>001024</v>
          </cell>
        </row>
        <row r="291">
          <cell r="A291" t="str">
            <v>Horan Tracy</v>
          </cell>
        </row>
        <row r="298">
          <cell r="E298" t="str">
            <v>001025</v>
          </cell>
        </row>
        <row r="304">
          <cell r="A304" t="str">
            <v>Bischof Kathleen</v>
          </cell>
        </row>
        <row r="311">
          <cell r="E311" t="str">
            <v>001026</v>
          </cell>
        </row>
        <row r="317">
          <cell r="A317" t="str">
            <v>McQuay Jaime</v>
          </cell>
        </row>
        <row r="324">
          <cell r="E324" t="str">
            <v>001027</v>
          </cell>
        </row>
        <row r="330">
          <cell r="A330" t="str">
            <v>Mooradian Deborah</v>
          </cell>
        </row>
        <row r="337">
          <cell r="E337" t="str">
            <v>001028</v>
          </cell>
        </row>
        <row r="343">
          <cell r="A343" t="str">
            <v>Floyd Dionne</v>
          </cell>
        </row>
        <row r="350">
          <cell r="E350" t="str">
            <v>001032</v>
          </cell>
        </row>
        <row r="356">
          <cell r="A356" t="str">
            <v>Chan Libby</v>
          </cell>
        </row>
        <row r="363">
          <cell r="E363" t="str">
            <v>001033</v>
          </cell>
        </row>
        <row r="382">
          <cell r="A382" t="str">
            <v>Padilla Marcell</v>
          </cell>
        </row>
        <row r="389">
          <cell r="E389" t="str">
            <v>001035</v>
          </cell>
        </row>
        <row r="395">
          <cell r="A395" t="str">
            <v>Slayton Kim</v>
          </cell>
        </row>
        <row r="402">
          <cell r="E402" t="str">
            <v>001036</v>
          </cell>
        </row>
        <row r="421">
          <cell r="A421" t="str">
            <v>Guy David</v>
          </cell>
        </row>
        <row r="428">
          <cell r="E428" t="str">
            <v>001038</v>
          </cell>
        </row>
        <row r="434">
          <cell r="A434" t="str">
            <v>Dukes Robert</v>
          </cell>
        </row>
        <row r="441">
          <cell r="E441" t="str">
            <v>001039</v>
          </cell>
        </row>
        <row r="673">
          <cell r="A673" t="str">
            <v>Velez Elsa</v>
          </cell>
        </row>
        <row r="680">
          <cell r="E680" t="str">
            <v>001001</v>
          </cell>
        </row>
        <row r="710">
          <cell r="A710" t="str">
            <v>Test Employee</v>
          </cell>
        </row>
        <row r="716">
          <cell r="N716">
            <v>43260.41</v>
          </cell>
        </row>
        <row r="717">
          <cell r="E717" t="str">
            <v>001003</v>
          </cell>
        </row>
        <row r="735">
          <cell r="E735" t="str">
            <v>TBD</v>
          </cell>
        </row>
        <row r="772">
          <cell r="N772">
            <v>85000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P&amp;L Summary"/>
      <sheetName val="Summary Balance Sheet"/>
      <sheetName val="Summary Cash Flow Statement"/>
      <sheetName val="Profit &amp; Loss"/>
      <sheetName val="LABOR PVT"/>
      <sheetName val="Labor budget"/>
      <sheetName val="P&amp;L Assumptions"/>
      <sheetName val="Rate Summary &amp; WRAP"/>
      <sheetName val="BaselineBgt"/>
      <sheetName val="Fringe Benefits Pool"/>
      <sheetName val="Overhead Pool"/>
      <sheetName val="Mat_Hand."/>
      <sheetName val="G &amp; A Pool"/>
      <sheetName val="Rate recon"/>
      <sheetName val="Consultants"/>
      <sheetName val="Labor Utilization Analysis"/>
      <sheetName val="Price"/>
      <sheetName val="Facilities Breakout"/>
      <sheetName val="PBC - FY11 CFF &amp; ACTUALS"/>
      <sheetName val="PBC-Pay Roll &amp; Taxes"/>
      <sheetName val="PBC - The Utilization model"/>
      <sheetName val="PBCFringe"/>
      <sheetName val="PBC - Overhead"/>
      <sheetName val="PBC G&amp;A"/>
      <sheetName val="PBC - FY11 CFF - the PLAN"/>
      <sheetName val="COA"/>
      <sheetName val="VACA"/>
      <sheetName val="04 12 Items"/>
      <sheetName val="Sheet1"/>
    </sheetNames>
    <sheetDataSet>
      <sheetData sheetId="0" refreshError="1"/>
      <sheetData sheetId="1" refreshError="1"/>
      <sheetData sheetId="2">
        <row r="12">
          <cell r="C12">
            <v>682144.54</v>
          </cell>
        </row>
      </sheetData>
      <sheetData sheetId="3" refreshError="1"/>
      <sheetData sheetId="4"/>
      <sheetData sheetId="5" refreshError="1"/>
      <sheetData sheetId="6">
        <row r="3">
          <cell r="M3" t="str">
            <v>work days</v>
          </cell>
        </row>
        <row r="139">
          <cell r="DO139" t="str">
            <v>Brad  Beil</v>
          </cell>
          <cell r="DP139">
            <v>0.84617360376695649</v>
          </cell>
          <cell r="DQ139">
            <v>4.6054818010814465E-2</v>
          </cell>
          <cell r="DR139">
            <v>0</v>
          </cell>
          <cell r="DS139">
            <v>0</v>
          </cell>
          <cell r="DT139">
            <v>0</v>
          </cell>
          <cell r="DU139">
            <v>0.10777157822222908</v>
          </cell>
          <cell r="DV139">
            <v>1</v>
          </cell>
        </row>
        <row r="140">
          <cell r="DO140" t="str">
            <v>Pat   Duecy</v>
          </cell>
          <cell r="DP140">
            <v>0.85409099828200097</v>
          </cell>
          <cell r="DQ140">
            <v>4.5606596648539215E-2</v>
          </cell>
          <cell r="DR140">
            <v>0</v>
          </cell>
          <cell r="DS140">
            <v>0</v>
          </cell>
          <cell r="DT140">
            <v>0</v>
          </cell>
          <cell r="DU140">
            <v>0.10030240506945978</v>
          </cell>
          <cell r="DV140">
            <v>0.99999999999999989</v>
          </cell>
        </row>
        <row r="141">
          <cell r="DO141" t="str">
            <v>Cynthia  Femano</v>
          </cell>
          <cell r="DP141">
            <v>0.8589137417752053</v>
          </cell>
          <cell r="DQ141">
            <v>4.3375534872181057E-2</v>
          </cell>
          <cell r="DR141">
            <v>0</v>
          </cell>
          <cell r="DS141">
            <v>0</v>
          </cell>
          <cell r="DT141">
            <v>0</v>
          </cell>
          <cell r="DU141">
            <v>9.7710723352613646E-2</v>
          </cell>
          <cell r="DV141">
            <v>1</v>
          </cell>
        </row>
        <row r="142">
          <cell r="DO142" t="str">
            <v>Lillet  Flynn</v>
          </cell>
          <cell r="DP142">
            <v>0.79710532172662196</v>
          </cell>
          <cell r="DQ142">
            <v>0</v>
          </cell>
          <cell r="DR142">
            <v>0</v>
          </cell>
          <cell r="DS142">
            <v>0</v>
          </cell>
          <cell r="DT142">
            <v>0</v>
          </cell>
          <cell r="DU142">
            <v>0.20289467827337804</v>
          </cell>
          <cell r="DV142">
            <v>1</v>
          </cell>
        </row>
        <row r="143">
          <cell r="DO143" t="str">
            <v>Art  Hughes -142 hrs</v>
          </cell>
          <cell r="DP143">
            <v>0.84617349953085497</v>
          </cell>
          <cell r="DQ143">
            <v>4.605483794569705E-2</v>
          </cell>
          <cell r="DR143">
            <v>0</v>
          </cell>
          <cell r="DS143">
            <v>0</v>
          </cell>
          <cell r="DT143">
            <v>0</v>
          </cell>
          <cell r="DU143">
            <v>0.107771662523448</v>
          </cell>
          <cell r="DV143">
            <v>1</v>
          </cell>
        </row>
        <row r="144">
          <cell r="DO144" t="str">
            <v>Art  Hughes -40 hrs</v>
          </cell>
          <cell r="DP144">
            <v>0.846173637700392</v>
          </cell>
          <cell r="DQ144">
            <v>4.6054726857471986E-2</v>
          </cell>
          <cell r="DR144">
            <v>0</v>
          </cell>
          <cell r="DS144">
            <v>0</v>
          </cell>
          <cell r="DT144">
            <v>0</v>
          </cell>
          <cell r="DU144">
            <v>0.1077716354421361</v>
          </cell>
          <cell r="DV144">
            <v>1.0000000000000002</v>
          </cell>
        </row>
        <row r="145">
          <cell r="DO145" t="str">
            <v>Mike  Kenworthy</v>
          </cell>
          <cell r="DP145">
            <v>0.85506000226225209</v>
          </cell>
          <cell r="DQ145">
            <v>4.6237663522740377E-2</v>
          </cell>
          <cell r="DR145">
            <v>0</v>
          </cell>
          <cell r="DS145">
            <v>0</v>
          </cell>
          <cell r="DT145">
            <v>0</v>
          </cell>
          <cell r="DU145">
            <v>9.8702334215007487E-2</v>
          </cell>
          <cell r="DV145">
            <v>1</v>
          </cell>
        </row>
        <row r="146">
          <cell r="DO146" t="str">
            <v>Steve  Mace</v>
          </cell>
          <cell r="DP146">
            <v>0.84617370150123183</v>
          </cell>
          <cell r="DQ146">
            <v>4.6054934040869147E-2</v>
          </cell>
          <cell r="DR146">
            <v>0</v>
          </cell>
          <cell r="DS146">
            <v>0</v>
          </cell>
          <cell r="DT146">
            <v>0</v>
          </cell>
          <cell r="DU146">
            <v>0.1077713644578991</v>
          </cell>
          <cell r="DV146">
            <v>1</v>
          </cell>
        </row>
        <row r="147">
          <cell r="DO147" t="str">
            <v>Jerry  Makowka</v>
          </cell>
          <cell r="DP147">
            <v>0.72343230037301143</v>
          </cell>
          <cell r="DQ147">
            <v>4.6054866743395019E-2</v>
          </cell>
          <cell r="DR147">
            <v>0</v>
          </cell>
          <cell r="DS147">
            <v>0.12274160354985476</v>
          </cell>
          <cell r="DT147">
            <v>0</v>
          </cell>
          <cell r="DU147">
            <v>0.10777122933373873</v>
          </cell>
          <cell r="DV147">
            <v>0.99999999999999989</v>
          </cell>
        </row>
        <row r="148">
          <cell r="DO148" t="str">
            <v>Mark  Mazzocco</v>
          </cell>
          <cell r="DP148">
            <v>0.84617372693603965</v>
          </cell>
          <cell r="DQ148">
            <v>4.6054960915513671E-2</v>
          </cell>
          <cell r="DR148">
            <v>0</v>
          </cell>
          <cell r="DS148">
            <v>0</v>
          </cell>
          <cell r="DT148">
            <v>0</v>
          </cell>
          <cell r="DU148">
            <v>0.10777131214844658</v>
          </cell>
          <cell r="DV148">
            <v>0.99999999999999989</v>
          </cell>
        </row>
        <row r="149">
          <cell r="DO149" t="str">
            <v>Len  Natkin-10%</v>
          </cell>
          <cell r="DP149">
            <v>0.84588935932867759</v>
          </cell>
          <cell r="DQ149">
            <v>4.6467420976624797E-2</v>
          </cell>
          <cell r="DR149">
            <v>0</v>
          </cell>
          <cell r="DS149">
            <v>0</v>
          </cell>
          <cell r="DT149">
            <v>0</v>
          </cell>
          <cell r="DU149">
            <v>0.10764321969469774</v>
          </cell>
          <cell r="DV149">
            <v>1.0000000000000002</v>
          </cell>
        </row>
        <row r="150">
          <cell r="DO150" t="str">
            <v>Jay  Patel</v>
          </cell>
          <cell r="DP150">
            <v>0.84617376927138799</v>
          </cell>
          <cell r="DQ150">
            <v>4.6054887567339851E-2</v>
          </cell>
          <cell r="DR150">
            <v>0</v>
          </cell>
          <cell r="DS150">
            <v>0</v>
          </cell>
          <cell r="DT150">
            <v>0</v>
          </cell>
          <cell r="DU150">
            <v>0.10777134316127226</v>
          </cell>
          <cell r="DV150">
            <v>1.0000000000000002</v>
          </cell>
        </row>
        <row r="151">
          <cell r="DO151" t="str">
            <v>Ken  Platek</v>
          </cell>
          <cell r="DP151">
            <v>0.82766965175934692</v>
          </cell>
          <cell r="DQ151">
            <v>4.6382948202608312E-2</v>
          </cell>
          <cell r="DR151">
            <v>0</v>
          </cell>
          <cell r="DS151">
            <v>0</v>
          </cell>
          <cell r="DT151">
            <v>0</v>
          </cell>
          <cell r="DU151">
            <v>0.12594740003804483</v>
          </cell>
          <cell r="DV151">
            <v>1</v>
          </cell>
        </row>
        <row r="152">
          <cell r="DO152" t="str">
            <v>Derek  Rose</v>
          </cell>
          <cell r="DP152">
            <v>0.84617388574626251</v>
          </cell>
          <cell r="DQ152">
            <v>4.6055018779243694E-2</v>
          </cell>
          <cell r="DR152">
            <v>0</v>
          </cell>
          <cell r="DS152">
            <v>0</v>
          </cell>
          <cell r="DT152">
            <v>0</v>
          </cell>
          <cell r="DU152">
            <v>0.10777109547449386</v>
          </cell>
          <cell r="DV152">
            <v>1</v>
          </cell>
        </row>
        <row r="153">
          <cell r="DO153" t="str">
            <v>Muriel  Ward</v>
          </cell>
          <cell r="DP153">
            <v>0.85907781632030911</v>
          </cell>
          <cell r="DQ153">
            <v>4.7872885676896244E-2</v>
          </cell>
          <cell r="DR153">
            <v>0</v>
          </cell>
          <cell r="DS153">
            <v>0</v>
          </cell>
          <cell r="DT153">
            <v>0</v>
          </cell>
          <cell r="DU153">
            <v>9.3049298002794767E-2</v>
          </cell>
          <cell r="DV153">
            <v>1.0000000000000002</v>
          </cell>
        </row>
        <row r="154">
          <cell r="DO154" t="str">
            <v>Dan  Seely</v>
          </cell>
          <cell r="DP154">
            <v>0.85541561733495985</v>
          </cell>
          <cell r="DQ154">
            <v>5.1278811533467125E-2</v>
          </cell>
          <cell r="DR154">
            <v>0</v>
          </cell>
          <cell r="DS154">
            <v>0</v>
          </cell>
          <cell r="DT154">
            <v>0</v>
          </cell>
          <cell r="DU154">
            <v>9.3305571131573076E-2</v>
          </cell>
          <cell r="DV154">
            <v>1</v>
          </cell>
        </row>
        <row r="155">
          <cell r="DO155" t="str">
            <v>Sharon  Ocheltree</v>
          </cell>
          <cell r="DP155">
            <v>0</v>
          </cell>
          <cell r="DQ155">
            <v>0</v>
          </cell>
          <cell r="DR155">
            <v>0.7</v>
          </cell>
          <cell r="DS155">
            <v>0</v>
          </cell>
          <cell r="DT155">
            <v>0.19999999999999998</v>
          </cell>
          <cell r="DU155">
            <v>9.9999999999999992E-2</v>
          </cell>
          <cell r="DV155">
            <v>0.99999999999999989</v>
          </cell>
        </row>
        <row r="156">
          <cell r="DO156" t="str">
            <v>Gwyn  Whittaker</v>
          </cell>
          <cell r="DP156">
            <v>0</v>
          </cell>
          <cell r="DQ156">
            <v>0</v>
          </cell>
          <cell r="DR156">
            <v>0.89999982935214062</v>
          </cell>
          <cell r="DS156">
            <v>0</v>
          </cell>
          <cell r="DT156">
            <v>0</v>
          </cell>
          <cell r="DU156">
            <v>0.10000017064785935</v>
          </cell>
          <cell r="DV156">
            <v>1</v>
          </cell>
        </row>
        <row r="157">
          <cell r="DO157" t="str">
            <v>New1-Rajiv Shah</v>
          </cell>
          <cell r="DP157">
            <v>0.83395312857427928</v>
          </cell>
          <cell r="DQ157">
            <v>4.5803096451394666E-2</v>
          </cell>
          <cell r="DR157">
            <v>0</v>
          </cell>
          <cell r="DS157">
            <v>0</v>
          </cell>
          <cell r="DT157">
            <v>0</v>
          </cell>
          <cell r="DU157">
            <v>0.12024377497432602</v>
          </cell>
          <cell r="DV157">
            <v>1</v>
          </cell>
        </row>
        <row r="158">
          <cell r="DO158" t="str">
            <v xml:space="preserve">New2Simmie Adams </v>
          </cell>
          <cell r="DP158">
            <v>0.83449381477137985</v>
          </cell>
          <cell r="DQ158">
            <v>4.7073414806143167E-2</v>
          </cell>
          <cell r="DR158">
            <v>0</v>
          </cell>
          <cell r="DS158">
            <v>0</v>
          </cell>
          <cell r="DT158">
            <v>0</v>
          </cell>
          <cell r="DU158">
            <v>0.11843277042247703</v>
          </cell>
          <cell r="DV158">
            <v>1</v>
          </cell>
        </row>
        <row r="159">
          <cell r="DO159" t="str">
            <v>New3-Chuck Spangler</v>
          </cell>
          <cell r="DP159">
            <v>0.83517999986726899</v>
          </cell>
          <cell r="DQ159">
            <v>4.3253724211467073E-2</v>
          </cell>
          <cell r="DR159">
            <v>0</v>
          </cell>
          <cell r="DS159">
            <v>0</v>
          </cell>
          <cell r="DT159">
            <v>0</v>
          </cell>
          <cell r="DU159">
            <v>0.12156627592126394</v>
          </cell>
          <cell r="DV159">
            <v>1</v>
          </cell>
        </row>
        <row r="160">
          <cell r="DO160" t="str">
            <v>New4-Mike Bennet</v>
          </cell>
          <cell r="DP160">
            <v>0.82266019022981862</v>
          </cell>
          <cell r="DQ160">
            <v>4.5897537178670504E-2</v>
          </cell>
          <cell r="DR160">
            <v>0</v>
          </cell>
          <cell r="DS160">
            <v>0</v>
          </cell>
          <cell r="DT160">
            <v>0</v>
          </cell>
          <cell r="DU160">
            <v>0.13144227259151098</v>
          </cell>
          <cell r="DV160">
            <v>1</v>
          </cell>
        </row>
        <row r="161">
          <cell r="DO161" t="str">
            <v>New5-Matt Meade</v>
          </cell>
          <cell r="DP161">
            <v>0.83111002229165165</v>
          </cell>
          <cell r="DQ161">
            <v>3.764104201207908E-2</v>
          </cell>
          <cell r="DR161">
            <v>0</v>
          </cell>
          <cell r="DS161">
            <v>0</v>
          </cell>
          <cell r="DT161">
            <v>0</v>
          </cell>
          <cell r="DU161">
            <v>0.13124893569626916</v>
          </cell>
          <cell r="DV161">
            <v>0.99999999999999989</v>
          </cell>
        </row>
        <row r="162">
          <cell r="DO162" t="str">
            <v>New6-Monica Milner</v>
          </cell>
          <cell r="DP162">
            <v>0.84079367785603787</v>
          </cell>
          <cell r="DQ162">
            <v>3.8107956397465399E-2</v>
          </cell>
          <cell r="DR162">
            <v>0</v>
          </cell>
          <cell r="DS162">
            <v>0</v>
          </cell>
          <cell r="DT162">
            <v>0</v>
          </cell>
          <cell r="DU162">
            <v>0.12109836574649677</v>
          </cell>
          <cell r="DV162">
            <v>1</v>
          </cell>
        </row>
        <row r="163">
          <cell r="DO163" t="str">
            <v>New7-John Anderson</v>
          </cell>
          <cell r="DP163">
            <v>0.84079379248977015</v>
          </cell>
          <cell r="DQ163">
            <v>3.8108319565501848E-2</v>
          </cell>
          <cell r="DR163">
            <v>0</v>
          </cell>
          <cell r="DS163">
            <v>0</v>
          </cell>
          <cell r="DT163">
            <v>0</v>
          </cell>
          <cell r="DU163">
            <v>0.12109788794472788</v>
          </cell>
          <cell r="DV163">
            <v>0.99999999999999989</v>
          </cell>
        </row>
        <row r="164">
          <cell r="DO164" t="str">
            <v>BD Support  Indirect_Hire1</v>
          </cell>
          <cell r="DP164">
            <v>0</v>
          </cell>
          <cell r="DQ164">
            <v>0</v>
          </cell>
          <cell r="DR164">
            <v>0.88610643220657925</v>
          </cell>
          <cell r="DS164">
            <v>0</v>
          </cell>
          <cell r="DT164">
            <v>0</v>
          </cell>
          <cell r="DU164">
            <v>0.11389356779342072</v>
          </cell>
          <cell r="DV164">
            <v>1</v>
          </cell>
        </row>
        <row r="165">
          <cell r="DO165" t="str">
            <v>New9- Bud Harrell</v>
          </cell>
          <cell r="DP165">
            <v>0.83449979015205611</v>
          </cell>
          <cell r="DQ165">
            <v>4.6639969892238654E-2</v>
          </cell>
          <cell r="DR165">
            <v>0</v>
          </cell>
          <cell r="DS165">
            <v>0</v>
          </cell>
          <cell r="DT165">
            <v>0</v>
          </cell>
          <cell r="DU165">
            <v>0.11886023995570535</v>
          </cell>
          <cell r="DV165">
            <v>1</v>
          </cell>
        </row>
        <row r="166">
          <cell r="DO166" t="str">
            <v>TBD</v>
          </cell>
          <cell r="DP166">
            <v>0</v>
          </cell>
          <cell r="DQ166">
            <v>0</v>
          </cell>
          <cell r="DR166">
            <v>0</v>
          </cell>
          <cell r="DS166">
            <v>0</v>
          </cell>
          <cell r="DT166">
            <v>0</v>
          </cell>
          <cell r="DU166">
            <v>0</v>
          </cell>
          <cell r="DV166">
            <v>0</v>
          </cell>
        </row>
        <row r="167">
          <cell r="DO167" t="str">
            <v>Len  Natkin-80%A</v>
          </cell>
          <cell r="DP167">
            <v>0.84573991399187531</v>
          </cell>
          <cell r="DQ167">
            <v>4.6617105275598612E-2</v>
          </cell>
          <cell r="DR167">
            <v>0</v>
          </cell>
          <cell r="DS167">
            <v>0</v>
          </cell>
          <cell r="DT167">
            <v>0</v>
          </cell>
          <cell r="DU167">
            <v>0.10764298073252601</v>
          </cell>
          <cell r="DV167">
            <v>0.99999999999999989</v>
          </cell>
        </row>
        <row r="168">
          <cell r="DO168" t="str">
            <v>Len Natkin- 10%B</v>
          </cell>
          <cell r="DP168">
            <v>0.84573991399187531</v>
          </cell>
          <cell r="DQ168">
            <v>4.6617105275598612E-2</v>
          </cell>
          <cell r="DR168">
            <v>0</v>
          </cell>
          <cell r="DS168">
            <v>0</v>
          </cell>
          <cell r="DT168">
            <v>0</v>
          </cell>
          <cell r="DU168">
            <v>0.10764298073252601</v>
          </cell>
          <cell r="DV168">
            <v>0.99999999999999989</v>
          </cell>
        </row>
        <row r="169">
          <cell r="DO169" t="str">
            <v>Mike  Kenworthy</v>
          </cell>
          <cell r="DP169">
            <v>0.88014471792599924</v>
          </cell>
          <cell r="DQ169">
            <v>4.0838698829239177E-2</v>
          </cell>
          <cell r="DR169">
            <v>0</v>
          </cell>
          <cell r="DS169">
            <v>0</v>
          </cell>
          <cell r="DT169">
            <v>0</v>
          </cell>
          <cell r="DU169">
            <v>7.9016583244761546E-2</v>
          </cell>
          <cell r="DV169">
            <v>1</v>
          </cell>
        </row>
        <row r="170">
          <cell r="DO170" t="str">
            <v>New8-Frank McGuire</v>
          </cell>
          <cell r="DP170">
            <v>0.93922701256411012</v>
          </cell>
          <cell r="DQ170">
            <v>4.3579684888248052E-2</v>
          </cell>
          <cell r="DR170">
            <v>0</v>
          </cell>
          <cell r="DS170">
            <v>0</v>
          </cell>
          <cell r="DT170">
            <v>0</v>
          </cell>
          <cell r="DU170">
            <v>1.7193302547641801E-2</v>
          </cell>
          <cell r="DV170">
            <v>1</v>
          </cell>
        </row>
        <row r="171">
          <cell r="DO171" t="str">
            <v>TBD</v>
          </cell>
          <cell r="DP171">
            <v>0</v>
          </cell>
          <cell r="DQ171">
            <v>0</v>
          </cell>
          <cell r="DR171">
            <v>0</v>
          </cell>
          <cell r="DS171">
            <v>0</v>
          </cell>
          <cell r="DT171">
            <v>0</v>
          </cell>
          <cell r="DU171">
            <v>0</v>
          </cell>
          <cell r="DV171">
            <v>0</v>
          </cell>
        </row>
        <row r="172">
          <cell r="DP172">
            <v>0</v>
          </cell>
          <cell r="DQ172">
            <v>0</v>
          </cell>
          <cell r="DR172">
            <v>0</v>
          </cell>
          <cell r="DS172">
            <v>0</v>
          </cell>
          <cell r="DT172">
            <v>0</v>
          </cell>
          <cell r="DU172">
            <v>0</v>
          </cell>
          <cell r="DV172">
            <v>0</v>
          </cell>
        </row>
      </sheetData>
      <sheetData sheetId="7"/>
      <sheetData sheetId="8" refreshError="1"/>
      <sheetData sheetId="9" refreshError="1"/>
      <sheetData sheetId="10">
        <row r="11">
          <cell r="J11">
            <v>118895.31</v>
          </cell>
        </row>
      </sheetData>
      <sheetData sheetId="11">
        <row r="7">
          <cell r="E7">
            <v>194454.14</v>
          </cell>
        </row>
      </sheetData>
      <sheetData sheetId="12" refreshError="1"/>
      <sheetData sheetId="13">
        <row r="9">
          <cell r="F9">
            <v>69226.92</v>
          </cell>
        </row>
      </sheetData>
      <sheetData sheetId="14" refreshError="1"/>
      <sheetData sheetId="15">
        <row r="8">
          <cell r="H8">
            <v>13800</v>
          </cell>
        </row>
      </sheetData>
      <sheetData sheetId="16">
        <row r="64">
          <cell r="J64">
            <v>3089238.1947700866</v>
          </cell>
        </row>
      </sheetData>
      <sheetData sheetId="17" refreshError="1"/>
      <sheetData sheetId="18">
        <row r="6">
          <cell r="G6">
            <v>6002.97</v>
          </cell>
        </row>
      </sheetData>
      <sheetData sheetId="19">
        <row r="47">
          <cell r="I47">
            <v>287131.93</v>
          </cell>
        </row>
      </sheetData>
      <sheetData sheetId="20" refreshError="1"/>
      <sheetData sheetId="21" refreshError="1"/>
      <sheetData sheetId="22">
        <row r="22">
          <cell r="Q22">
            <v>408.6716369047619</v>
          </cell>
        </row>
      </sheetData>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_CACHE"/>
      <sheetName val="Comps"/>
      <sheetName val="data"/>
      <sheetName val="Key_Company"/>
      <sheetName val="Comp 1"/>
      <sheetName val="Comp 2"/>
      <sheetName val="Comp 3"/>
      <sheetName val="Comp 4"/>
      <sheetName val="Comp 5"/>
      <sheetName val="Comp 6"/>
      <sheetName val="Comp 7"/>
      <sheetName val="Comp 8"/>
      <sheetName val="Comp 9"/>
    </sheetNames>
    <sheetDataSet>
      <sheetData sheetId="0" refreshError="1"/>
      <sheetData sheetId="1" refreshError="1"/>
      <sheetData sheetId="2" refreshError="1">
        <row r="5">
          <cell r="A5" t="str">
            <v>USD</v>
          </cell>
        </row>
        <row r="6">
          <cell r="A6">
            <v>1000000</v>
          </cell>
        </row>
      </sheetData>
      <sheetData sheetId="3" refreshError="1">
        <row r="2">
          <cell r="C2" t="str">
            <v>NAS:AMZN</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5"/>
      <sheetName val="Macros"/>
      <sheetName val="Inputs"/>
      <sheetName val="Sales - Report First"/>
      <sheetName val="Debt"/>
      <sheetName val="POWER5.XLA"/>
      <sheetName val="Tecua"/>
      <sheetName val="URI"/>
      <sheetName val="Test"/>
      <sheetName val="proforma BS"/>
      <sheetName val="Stock Analysis"/>
      <sheetName val="merger"/>
      <sheetName val="Company summary items"/>
      <sheetName val="synthgraph"/>
      <sheetName val="Vergleichswerte"/>
      <sheetName val="IS &amp; CF"/>
      <sheetName val="Assumptions"/>
      <sheetName val="Mapping"/>
      <sheetName val="Rev Tracker"/>
      <sheetName val="INPUT"/>
      <sheetName val="Graph"/>
      <sheetName val="GER IFO vs Const"/>
      <sheetName val="Europe sales Graph"/>
      <sheetName val="EU Ind vs EU Cons"/>
      <sheetName val="rank"/>
      <sheetName val="GER_IFO_vs_Const"/>
      <sheetName val="Europe_sales_Graph"/>
      <sheetName val="EU_Ind_vs_EU_Cons"/>
      <sheetName val="POWER5_XLA"/>
      <sheetName val="Lookup"/>
      <sheetName val="Main Model"/>
      <sheetName val="Newer version"/>
      <sheetName val="Consolidated"/>
      <sheetName val="AcqIS"/>
      <sheetName val="AcqBSCF"/>
      <sheetName val="ASSUMPT"/>
      <sheetName val="Contract_Details"/>
      <sheetName val="BASE DATA"/>
      <sheetName val="Contents"/>
      <sheetName val="Insulin Sales - NA"/>
      <sheetName val="Business_Model"/>
      <sheetName val="Insulin Sales - EU"/>
      <sheetName val="Insulin Sales - Japan"/>
      <sheetName val="Performance"/>
      <sheetName val="pellet"/>
      <sheetName val="Pro Forma Income Statement"/>
      <sheetName val="Assum"/>
      <sheetName val="COMBINED"/>
      <sheetName val="Aggregation"/>
      <sheetName val="General"/>
      <sheetName val="GL Detail"/>
      <sheetName val="Pro Forma"/>
      <sheetName val="Cases"/>
      <sheetName val="S&amp;U"/>
      <sheetName val="Debt &amp; Interest"/>
      <sheetName val="McKinley P&amp;L"/>
      <sheetName val=" PT 08"/>
      <sheetName val=" PT 07"/>
      <sheetName val=" PT 11"/>
      <sheetName val=" PT 10"/>
      <sheetName val=" PT 12"/>
      <sheetName val=" PT 13"/>
      <sheetName val=" PT 09"/>
      <sheetName val=" PT 01"/>
      <sheetName val=" PT 04"/>
      <sheetName val=" PT 05"/>
      <sheetName val=" PT 03"/>
      <sheetName val="Overheads"/>
      <sheetName val="Données Spéc."/>
      <sheetName val="PV - CTLM"/>
      <sheetName val="PV - MTLK"/>
      <sheetName val="Deal Info &amp; Print Menu"/>
      <sheetName val="Product Trends"/>
      <sheetName val="EBITDA Bridge"/>
      <sheetName val="WC analytics (+data pages)"/>
      <sheetName val="Structures"/>
      <sheetName val="YEAR 1 "/>
      <sheetName val="Sched A9"/>
      <sheetName val="cd_Data"/>
      <sheetName val="yc_Formula"/>
      <sheetName val="Historical Actuals"/>
      <sheetName val="Tables"/>
      <sheetName val="Emory Vols Jan-Dec 2006"/>
      <sheetName val="Sheet1"/>
      <sheetName val="Pro Forma Credit "/>
      <sheetName val="Entrada Dados"/>
      <sheetName val="ENERGIA"/>
      <sheetName val="OPR"/>
      <sheetName val="Capital Expenditure Input Sheet"/>
      <sheetName val="Operating Expense Input Sheet"/>
      <sheetName val="Control"/>
      <sheetName val="Comet Reference Tab"/>
      <sheetName val="2000 Activity"/>
      <sheetName val="total Commonwealth"/>
      <sheetName val="INFO"/>
      <sheetName val="WKSHT"/>
      <sheetName val="CHK REQ"/>
      <sheetName val="SW 212218"/>
      <sheetName val="N.TX - 1997"/>
      <sheetName val="Customize Your Invoice"/>
      <sheetName val="Deal Matrix"/>
      <sheetName val="Model Driver"/>
      <sheetName val="DCF"/>
      <sheetName val="SummaryP&amp;L"/>
      <sheetName val="Assump"/>
      <sheetName val="Cover"/>
      <sheetName val="CF"/>
      <sheetName val="AssumptionsGroup"/>
      <sheetName val="Scenario Management"/>
      <sheetName val=" Cash Flow"/>
      <sheetName val=" P&amp;L-Projection"/>
      <sheetName val="P&amp;L"/>
      <sheetName val="SHELL"/>
      <sheetName val="S&amp;P"/>
      <sheetName val="LBO"/>
      <sheetName val="Active"/>
      <sheetName val="Currency"/>
      <sheetName val="FCC0504"/>
      <sheetName val="Dividend Analysis Assumptions"/>
      <sheetName val="Multiples.Summary"/>
      <sheetName val="Comps"/>
      <sheetName val="Ass"/>
      <sheetName val="Labor"/>
      <sheetName val="Drivers"/>
      <sheetName val="Cap"/>
      <sheetName val="Main"/>
      <sheetName val="CSI"/>
      <sheetName val="WACC"/>
      <sheetName val="\Applications\Microsoft Office "/>
      <sheetName val="AL1"/>
      <sheetName val="General Assump"/>
      <sheetName val="Summary"/>
      <sheetName val="List"/>
      <sheetName val="CloseTable"/>
      <sheetName val="CloseTable Prior"/>
      <sheetName val="Co List"/>
      <sheetName val="P"/>
      <sheetName val="Royal Carib. Model"/>
      <sheetName val="Annual"/>
      <sheetName val="BIS LIST-NTH 18"/>
      <sheetName val="Drop Down Lists"/>
      <sheetName val="DCF_a"/>
      <sheetName val="CASH FLOW MONTH FC"/>
      <sheetName val="Inc Stmt MONTH FC"/>
      <sheetName val="BS ASSETS FC"/>
      <sheetName val="SCIMED Old"/>
      <sheetName val="QuartRev"/>
      <sheetName val="//na1.salesforce.com/Applicatio"/>
      <sheetName val="\\sfdc\DFS\Applications\Microso"/>
      <sheetName val="\J\Applications\Microsoft Offic"/>
      <sheetName val="Calendar"/>
      <sheetName val="SegAutos"/>
      <sheetName val="Buyers Competitors (2)"/>
      <sheetName val="Trial Balance"/>
      <sheetName val="E&amp;Y Format"/>
      <sheetName val="CALCULATIONS"/>
      <sheetName val="Print Controls"/>
      <sheetName val="Input Page"/>
      <sheetName val="Calcs"/>
      <sheetName val="TargIS"/>
      <sheetName val="C_FB"/>
      <sheetName val="PF_IMP2"/>
      <sheetName val="FB"/>
      <sheetName val="MGMT_IS"/>
      <sheetName val="C_TOR"/>
      <sheetName val="STL"/>
      <sheetName val="NYN_91"/>
      <sheetName val="Fees"/>
      <sheetName val="2000_Activity"/>
      <sheetName val="total_Commonwealth"/>
      <sheetName val="CHK_REQ"/>
      <sheetName val="SW_212218"/>
      <sheetName val="N_TX_-_1997"/>
      <sheetName val="Customize_Your_Invoice"/>
      <sheetName val="Sales_-_Report_First"/>
      <sheetName val="Daily Sales"/>
      <sheetName val="Parameter"/>
      <sheetName val="#REF"/>
      <sheetName val="EXTRACT"/>
      <sheetName val="chad10 June02"/>
      <sheetName val="chad12 Dec02"/>
      <sheetName val="chad4"/>
      <sheetName val="DATA"/>
      <sheetName val="INÍCIO_OPER"/>
      <sheetName val="D &amp; A"/>
      <sheetName val="[POWER5.XLA]__qmaxsolutions_m_2"/>
      <sheetName val="POWER5_XLA1"/>
      <sheetName val="Rev_Tracker"/>
      <sheetName val="proforma_BS"/>
      <sheetName val="Stock_Analysis"/>
      <sheetName val="Company_summary_items"/>
      <sheetName val="Pro_Forma_Income_Statement"/>
      <sheetName val="Main_Model"/>
      <sheetName val="Newer_version"/>
      <sheetName val="GL_Detail"/>
      <sheetName val="Pro_Forma"/>
      <sheetName val="Debt_&amp;_Interest"/>
      <sheetName val="McKinley_P&amp;L"/>
      <sheetName val="_PT_08"/>
      <sheetName val="_PT_07"/>
      <sheetName val="_PT_11"/>
      <sheetName val="_PT_10"/>
      <sheetName val="_PT_12"/>
      <sheetName val="_PT_13"/>
      <sheetName val="_PT_09"/>
      <sheetName val="_PT_01"/>
      <sheetName val="_PT_04"/>
      <sheetName val="_PT_05"/>
      <sheetName val="_PT_03"/>
      <sheetName val="Données_Spéc_"/>
      <sheetName val="PV_-_CTLM"/>
      <sheetName val="PV_-_MTLK"/>
      <sheetName val="Deal_Info_&amp;_Print_Menu"/>
      <sheetName val="Product_Trends"/>
      <sheetName val="EBITDA_Bridge"/>
      <sheetName val="WC_analytics_(+data_pages)"/>
      <sheetName val="YEAR_1_"/>
      <sheetName val="Sched_A9"/>
      <sheetName val="Historical_Actuals"/>
      <sheetName val="Emory_Vols_Jan-Dec_2006"/>
      <sheetName val="Pro_Forma_Credit_"/>
      <sheetName val="Entrada_Dados"/>
      <sheetName val="Capital_Expenditure_Input_Sheet"/>
      <sheetName val="Operating_Expense_Input_Sheet"/>
      <sheetName val="Comet_Reference_Tab"/>
      <sheetName val="GER_IFO_vs_Const1"/>
      <sheetName val="Europe_sales_Graph1"/>
      <sheetName val="EU_Ind_vs_EU_Cons1"/>
      <sheetName val="Scenario_Management"/>
      <sheetName val="_Cash_Flow"/>
      <sheetName val="_P&amp;L-Projection"/>
      <sheetName val="Dividend_Analysis_Assumptions"/>
      <sheetName val="Multiples_Summary"/>
      <sheetName val="IS_&amp;_CF"/>
      <sheetName val="BASE_DATA"/>
      <sheetName val="Insulin_Sales_-_NA"/>
      <sheetName val="Insulin_Sales_-_EU"/>
      <sheetName val="Insulin_Sales_-_Japan"/>
      <sheetName val="Deal_Matrix"/>
      <sheetName val="Model_Driver"/>
      <sheetName val="chad10_June02"/>
      <sheetName val="chad12_Dec02"/>
      <sheetName val="CASH_FLOW_MONTH_FC"/>
      <sheetName val="Inc_Stmt_MONTH_FC"/>
      <sheetName val="BS_ASSETS_FC"/>
      <sheetName val="General_Assump"/>
      <sheetName val="\Applications\Microsoft_Office_"/>
      <sheetName val="CloseTable_Prior"/>
      <sheetName val="Co_List"/>
      <sheetName val="Royal_Carib__Model"/>
      <sheetName val="BIS_LIST-NTH_18"/>
      <sheetName val="Share Prices"/>
      <sheetName val="O1"/>
      <sheetName val="Consolidated Financials"/>
      <sheetName val="Equity Index"/>
      <sheetName val="Model"/>
      <sheetName val="BRSW"/>
      <sheetName val="sal"/>
      <sheetName val="check"/>
      <sheetName val="MACRs"/>
      <sheetName val="US Ops Account Detail"/>
      <sheetName val="Cashflow Model"/>
      <sheetName val="[POWER5.XLA][POWER5.XLA][POWER5"/>
      <sheetName val="[POWER5.XLA][POWER5.XLA]\Applic"/>
      <sheetName val="[POWER5.XLA][POWER5.XLA]//na1.s"/>
      <sheetName val="[POWER5.XLA][POWER5.XLA]\\sfdc\"/>
      <sheetName val="[POWER5.XLA]\Applications\Micro"/>
      <sheetName val="[POWER5.XLA]//na1.salesforce.co"/>
      <sheetName val="[POWER5.XLA]\\sfdc\DFS\Applicat"/>
      <sheetName val="Cap Sheet"/>
      <sheetName val="//aodocs.altirnao.com/webdav/PC"/>
      <sheetName val="//localhost/webdav/PCPK8Cq7c4LY"/>
      <sheetName val="//localhost/webdav/PCPQism4gC0V"/>
      <sheetName val="//localhost/FY%202015%20Close/F"/>
      <sheetName val="//aodocs.altirnao.com/webdav/PD"/>
      <sheetName val="//localhost/webdav/PCPyKv40Lr9R"/>
      <sheetName val="//qmaxsolutions-my_sharepoint_c"/>
      <sheetName val="//qmaxsolutions-my_sharepoint_1"/>
      <sheetName val="Main_Model1"/>
      <sheetName val="Newer_version1"/>
      <sheetName val="GL_Detail1"/>
      <sheetName val="Pro_Forma1"/>
      <sheetName val="McKinley_P&amp;L1"/>
      <sheetName val="Pro_Forma_Income_Statement1"/>
      <sheetName val="Deal_Matrix1"/>
      <sheetName val="Model_Driver1"/>
      <sheetName val="Insulin_Sales_-_NA1"/>
      <sheetName val="Insulin_Sales_-_EU1"/>
      <sheetName val="Insulin_Sales_-_Japan1"/>
      <sheetName val="Set-up"/>
      <sheetName val="D"/>
      <sheetName val="Model Summary"/>
      <sheetName val="Purchase vs. Rights"/>
      <sheetName val="CIH Sensitivities"/>
      <sheetName val="Tables for Memo Update 2-9-09"/>
      <sheetName val="summ2"/>
    </sheetNames>
    <definedNames>
      <definedName name="ChangeRange"/>
      <definedName name="ContentsHelp"/>
      <definedName name="CreateTable"/>
      <definedName name="DeleteRange"/>
      <definedName name="DeleteTable"/>
      <definedName name="MerrillPrintIt"/>
      <definedName name="NewRange"/>
      <definedName name="RedefinePrintTableRang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ver"/>
      <sheetName val="Summary"/>
      <sheetName val="Model Output"/>
      <sheetName val="Football Field"/>
      <sheetName val="Integrity"/>
      <sheetName val="Revenue Build"/>
      <sheetName val="Model"/>
      <sheetName val="Segment Analysis"/>
      <sheetName val="Drivers"/>
      <sheetName val="WACC"/>
      <sheetName val="_CIQHiddenCacheSheet"/>
      <sheetName val="Comparables"/>
      <sheetName val="Valuation"/>
      <sheetName val="CIQ ID Locater"/>
      <sheetName val="Multiples Data"/>
      <sheetName val="Charts"/>
      <sheetName val="Benchmark"/>
      <sheetName val="Pre-Earnings"/>
      <sheetName val="Post-Earnings"/>
    </sheetNames>
    <sheetDataSet>
      <sheetData sheetId="0" refreshError="1"/>
      <sheetData sheetId="1">
        <row r="19">
          <cell r="F19" t="str">
            <v>Stamps.com Inc.</v>
          </cell>
        </row>
      </sheetData>
      <sheetData sheetId="2" refreshError="1"/>
      <sheetData sheetId="3" refreshError="1"/>
      <sheetData sheetId="4" refreshError="1"/>
      <sheetData sheetId="5" refreshError="1"/>
      <sheetData sheetId="6">
        <row r="7">
          <cell r="C7" t="str">
            <v>Segment</v>
          </cell>
        </row>
        <row r="9">
          <cell r="C9" t="str">
            <v>Segment</v>
          </cell>
        </row>
        <row r="11">
          <cell r="C11" t="str">
            <v>Segment</v>
          </cell>
        </row>
        <row r="13">
          <cell r="C13" t="str">
            <v>Segment</v>
          </cell>
        </row>
        <row r="15">
          <cell r="C15" t="str">
            <v>Segment</v>
          </cell>
        </row>
        <row r="17">
          <cell r="C17" t="str">
            <v>Segment</v>
          </cell>
        </row>
        <row r="19">
          <cell r="C19" t="str">
            <v>Segment</v>
          </cell>
        </row>
        <row r="26">
          <cell r="C26" t="str">
            <v>Summary</v>
          </cell>
          <cell r="D26"/>
          <cell r="E26"/>
          <cell r="F26" t="str">
            <v>1Q18</v>
          </cell>
          <cell r="G26" t="str">
            <v>2Q18</v>
          </cell>
          <cell r="H26" t="str">
            <v>3Q18</v>
          </cell>
          <cell r="I26" t="str">
            <v>4Q18</v>
          </cell>
          <cell r="J26">
            <v>2018</v>
          </cell>
          <cell r="K26" t="str">
            <v>1Q19</v>
          </cell>
          <cell r="L26" t="str">
            <v>2Q19</v>
          </cell>
          <cell r="M26" t="str">
            <v>3Q19</v>
          </cell>
          <cell r="N26" t="str">
            <v>4Q19</v>
          </cell>
          <cell r="O26">
            <v>2019</v>
          </cell>
          <cell r="P26" t="str">
            <v>1Q20</v>
          </cell>
          <cell r="Q26" t="str">
            <v>2Q20</v>
          </cell>
          <cell r="R26" t="str">
            <v>3Q20</v>
          </cell>
          <cell r="S26" t="str">
            <v>4Q20</v>
          </cell>
          <cell r="T26">
            <v>2020</v>
          </cell>
          <cell r="U26" t="str">
            <v>1Q21</v>
          </cell>
          <cell r="V26" t="str">
            <v>2Q21</v>
          </cell>
          <cell r="W26" t="str">
            <v>3Q21e</v>
          </cell>
          <cell r="X26" t="str">
            <v>4Q21e</v>
          </cell>
          <cell r="Y26" t="str">
            <v>2021e</v>
          </cell>
          <cell r="Z26" t="str">
            <v>1Q22e</v>
          </cell>
          <cell r="AA26" t="str">
            <v>2Q22e</v>
          </cell>
          <cell r="AB26" t="str">
            <v>3Q22e</v>
          </cell>
          <cell r="AC26" t="str">
            <v>4Q22e</v>
          </cell>
          <cell r="AD26" t="str">
            <v>2022e</v>
          </cell>
          <cell r="AE26" t="str">
            <v>2023e</v>
          </cell>
          <cell r="AF26" t="str">
            <v>2024e</v>
          </cell>
          <cell r="AG26" t="str">
            <v>2025e</v>
          </cell>
        </row>
        <row r="27">
          <cell r="C27"/>
          <cell r="D27"/>
          <cell r="E27"/>
          <cell r="F27"/>
          <cell r="G27"/>
          <cell r="H27"/>
          <cell r="I27"/>
          <cell r="J27"/>
          <cell r="K27"/>
          <cell r="L27"/>
          <cell r="M27"/>
          <cell r="N27"/>
          <cell r="O27"/>
          <cell r="P27"/>
          <cell r="Q27"/>
          <cell r="R27"/>
          <cell r="S27"/>
          <cell r="T27"/>
          <cell r="U27"/>
          <cell r="V27"/>
          <cell r="W27"/>
          <cell r="X27"/>
          <cell r="Y27"/>
          <cell r="Z27"/>
          <cell r="AA27"/>
          <cell r="AB27"/>
          <cell r="AC27"/>
          <cell r="AD27"/>
          <cell r="AE27"/>
          <cell r="AF27"/>
          <cell r="AG27"/>
        </row>
        <row r="28">
          <cell r="C28" t="str">
            <v>Total Company Revenue</v>
          </cell>
          <cell r="D28"/>
          <cell r="E28"/>
          <cell r="F28">
            <v>133565</v>
          </cell>
          <cell r="G28">
            <v>139627</v>
          </cell>
          <cell r="H28">
            <v>143507</v>
          </cell>
          <cell r="I28">
            <v>170231</v>
          </cell>
          <cell r="J28">
            <v>586930</v>
          </cell>
          <cell r="K28">
            <v>136003</v>
          </cell>
          <cell r="L28">
            <v>138773</v>
          </cell>
          <cell r="M28">
            <v>136172</v>
          </cell>
          <cell r="N28">
            <v>160902</v>
          </cell>
          <cell r="O28">
            <v>571850</v>
          </cell>
          <cell r="P28">
            <v>151346</v>
          </cell>
          <cell r="Q28">
            <v>206730</v>
          </cell>
          <cell r="R28">
            <v>193917</v>
          </cell>
          <cell r="S28">
            <v>-467884</v>
          </cell>
          <cell r="T28">
            <v>84109</v>
          </cell>
          <cell r="U28">
            <v>151346</v>
          </cell>
          <cell r="V28">
            <v>206730</v>
          </cell>
          <cell r="W28">
            <v>217066.5</v>
          </cell>
          <cell r="X28">
            <v>227919.82499999998</v>
          </cell>
          <cell r="Y28">
            <v>803062.32499999995</v>
          </cell>
          <cell r="Z28">
            <v>239315.81625000003</v>
          </cell>
          <cell r="AA28">
            <v>251281.60706250003</v>
          </cell>
          <cell r="AB28">
            <v>263845.68741562503</v>
          </cell>
          <cell r="AC28">
            <v>277037.9717864063</v>
          </cell>
          <cell r="AD28">
            <v>1031481.0825145314</v>
          </cell>
          <cell r="AE28">
            <v>1083055.1366402581</v>
          </cell>
          <cell r="AF28">
            <v>1137207.893472271</v>
          </cell>
          <cell r="AG28">
            <v>1194068.2881458844</v>
          </cell>
        </row>
        <row r="29">
          <cell r="C29" t="str">
            <v>% Growth</v>
          </cell>
          <cell r="D29"/>
          <cell r="E29"/>
          <cell r="F29"/>
          <cell r="G29">
            <v>4.5386141579006445E-2</v>
          </cell>
          <cell r="H29">
            <v>2.7788321742929334E-2</v>
          </cell>
          <cell r="I29">
            <v>0.18622088121136948</v>
          </cell>
          <cell r="J29"/>
          <cell r="K29">
            <v>-0.20106796059472132</v>
          </cell>
          <cell r="L29">
            <v>2.0367197782401814E-2</v>
          </cell>
          <cell r="M29">
            <v>-1.8742839024882385E-2</v>
          </cell>
          <cell r="N29">
            <v>0.18160855388773012</v>
          </cell>
          <cell r="O29">
            <v>-2.5693012795392933E-2</v>
          </cell>
          <cell r="P29">
            <v>-5.9390187816186213E-2</v>
          </cell>
          <cell r="Q29">
            <v>0.36594293869676098</v>
          </cell>
          <cell r="R29">
            <v>-6.1979393411696448E-2</v>
          </cell>
          <cell r="S29">
            <v>-3.412805478632611</v>
          </cell>
          <cell r="T29">
            <v>-0.85291772317915537</v>
          </cell>
          <cell r="U29">
            <v>-1.3234690649819185</v>
          </cell>
          <cell r="V29">
            <v>0.36594293869676098</v>
          </cell>
          <cell r="W29">
            <v>5.0000000000000044E-2</v>
          </cell>
          <cell r="X29">
            <v>4.9999999999999822E-2</v>
          </cell>
          <cell r="Y29">
            <v>8.5478762677002447</v>
          </cell>
          <cell r="Z29">
            <v>5.0000000000000266E-2</v>
          </cell>
          <cell r="AA29">
            <v>5.0000000000000044E-2</v>
          </cell>
          <cell r="AB29">
            <v>5.0000000000000044E-2</v>
          </cell>
          <cell r="AC29">
            <v>5.0000000000000044E-2</v>
          </cell>
          <cell r="AD29">
            <v>0.28443465768927889</v>
          </cell>
          <cell r="AE29">
            <v>5.0000000000000044E-2</v>
          </cell>
          <cell r="AF29">
            <v>5.0000000000000044E-2</v>
          </cell>
          <cell r="AG29">
            <v>4.9999999999999822E-2</v>
          </cell>
        </row>
        <row r="30">
          <cell r="C30" t="str">
            <v>Service Revenue</v>
          </cell>
          <cell r="D30"/>
          <cell r="E30"/>
          <cell r="F30">
            <v>120916</v>
          </cell>
          <cell r="G30">
            <v>125206</v>
          </cell>
          <cell r="H30">
            <v>127810</v>
          </cell>
          <cell r="I30">
            <v>156750</v>
          </cell>
          <cell r="J30">
            <v>530682</v>
          </cell>
          <cell r="K30">
            <v>123907</v>
          </cell>
          <cell r="L30">
            <v>127429</v>
          </cell>
          <cell r="M30">
            <v>124643</v>
          </cell>
          <cell r="N30">
            <v>147549</v>
          </cell>
          <cell r="O30">
            <v>523528</v>
          </cell>
          <cell r="P30">
            <v>139136</v>
          </cell>
          <cell r="Q30">
            <v>186990</v>
          </cell>
          <cell r="R30">
            <v>183779</v>
          </cell>
          <cell r="S30">
            <v>-486710</v>
          </cell>
          <cell r="T30">
            <v>23195</v>
          </cell>
          <cell r="U30">
            <v>139136</v>
          </cell>
          <cell r="V30">
            <v>186990</v>
          </cell>
          <cell r="W30">
            <v>196339.5</v>
          </cell>
          <cell r="X30">
            <v>206156.47500000001</v>
          </cell>
          <cell r="Y30">
            <v>728621.97499999998</v>
          </cell>
          <cell r="Z30">
            <v>216464.29875000002</v>
          </cell>
          <cell r="AA30">
            <v>227287.51368750003</v>
          </cell>
          <cell r="AB30">
            <v>238651.88937187503</v>
          </cell>
          <cell r="AC30">
            <v>250584.48384046881</v>
          </cell>
          <cell r="AD30">
            <v>932988.18564984389</v>
          </cell>
          <cell r="AE30">
            <v>979637.59493233613</v>
          </cell>
          <cell r="AF30">
            <v>1028619.4746789529</v>
          </cell>
          <cell r="AG30">
            <v>1080050.4484129006</v>
          </cell>
        </row>
        <row r="31">
          <cell r="C31" t="str">
            <v>% Growth</v>
          </cell>
          <cell r="D31"/>
          <cell r="E31"/>
          <cell r="F31"/>
          <cell r="G31">
            <v>3.5479175626054404E-2</v>
          </cell>
          <cell r="H31">
            <v>2.0797725348625562E-2</v>
          </cell>
          <cell r="I31">
            <v>0.2264298568187153</v>
          </cell>
          <cell r="J31"/>
          <cell r="K31">
            <v>-0.20952472089314189</v>
          </cell>
          <cell r="L31">
            <v>2.842454421461249E-2</v>
          </cell>
          <cell r="M31">
            <v>-2.1863155168760695E-2</v>
          </cell>
          <cell r="N31">
            <v>0.18377285527466447</v>
          </cell>
          <cell r="O31">
            <v>-1.3480766259266419E-2</v>
          </cell>
          <cell r="P31">
            <v>-5.7018346447620827E-2</v>
          </cell>
          <cell r="Q31">
            <v>0.34393686752529895</v>
          </cell>
          <cell r="R31">
            <v>-1.7172041285630213E-2</v>
          </cell>
          <cell r="S31">
            <v>-3.6483439348347746</v>
          </cell>
          <cell r="T31">
            <v>-0.95569482434559372</v>
          </cell>
          <cell r="U31">
            <v>-1.2858704361940374</v>
          </cell>
          <cell r="V31">
            <v>0.34393686752529895</v>
          </cell>
          <cell r="W31">
            <v>5.0000000000000044E-2</v>
          </cell>
          <cell r="X31">
            <v>5.0000000000000044E-2</v>
          </cell>
          <cell r="Y31">
            <v>30.412889631386072</v>
          </cell>
          <cell r="Z31">
            <v>5.0000000000000044E-2</v>
          </cell>
          <cell r="AA31">
            <v>5.0000000000000044E-2</v>
          </cell>
          <cell r="AB31">
            <v>5.0000000000000044E-2</v>
          </cell>
          <cell r="AC31">
            <v>5.0000000000000044E-2</v>
          </cell>
          <cell r="AD31">
            <v>0.28048318286014351</v>
          </cell>
          <cell r="AE31">
            <v>5.0000000000000044E-2</v>
          </cell>
          <cell r="AF31">
            <v>5.0000000000000044E-2</v>
          </cell>
          <cell r="AG31">
            <v>5.0000000000000044E-2</v>
          </cell>
        </row>
        <row r="32">
          <cell r="C32" t="str">
            <v>% of Total Revenue</v>
          </cell>
          <cell r="D32"/>
          <cell r="E32"/>
          <cell r="F32">
            <v>0.90529704638191144</v>
          </cell>
          <cell r="G32">
            <v>0.8967176835425813</v>
          </cell>
          <cell r="H32">
            <v>0.89061857609733319</v>
          </cell>
          <cell r="I32">
            <v>0.92080760848494103</v>
          </cell>
          <cell r="J32">
            <v>0.90416574378545989</v>
          </cell>
          <cell r="K32">
            <v>0.91106078542385094</v>
          </cell>
          <cell r="L32">
            <v>0.91825499196529581</v>
          </cell>
          <cell r="M32">
            <v>0.91533501747789559</v>
          </cell>
          <cell r="N32">
            <v>0.91701159712122904</v>
          </cell>
          <cell r="O32">
            <v>0.91549881962052981</v>
          </cell>
          <cell r="P32">
            <v>0.91932393323906814</v>
          </cell>
          <cell r="Q32">
            <v>0.90451313307212311</v>
          </cell>
          <cell r="R32">
            <v>0.9477199007822934</v>
          </cell>
          <cell r="S32">
            <v>1.0402364688683521</v>
          </cell>
          <cell r="T32">
            <v>0.27577310394844784</v>
          </cell>
          <cell r="U32">
            <v>0.91932393323906814</v>
          </cell>
          <cell r="V32">
            <v>0.90451313307212311</v>
          </cell>
          <cell r="W32">
            <v>0.90451313307212311</v>
          </cell>
          <cell r="X32">
            <v>0.90451313307212311</v>
          </cell>
          <cell r="Y32">
            <v>0.90730439259493345</v>
          </cell>
          <cell r="Z32">
            <v>0.904513133072123</v>
          </cell>
          <cell r="AA32">
            <v>0.90451313307212311</v>
          </cell>
          <cell r="AB32">
            <v>0.90451313307212311</v>
          </cell>
          <cell r="AC32">
            <v>0.90451313307212311</v>
          </cell>
          <cell r="AD32">
            <v>0.904513133072123</v>
          </cell>
          <cell r="AE32">
            <v>0.904513133072123</v>
          </cell>
          <cell r="AF32">
            <v>0.904513133072123</v>
          </cell>
          <cell r="AG32">
            <v>0.90451313307212311</v>
          </cell>
        </row>
        <row r="33">
          <cell r="C33" t="str">
            <v>Product Revenue</v>
          </cell>
          <cell r="D33"/>
          <cell r="E33"/>
          <cell r="F33">
            <v>5679</v>
          </cell>
          <cell r="G33">
            <v>4892</v>
          </cell>
          <cell r="H33">
            <v>4705</v>
          </cell>
          <cell r="I33">
            <v>5148</v>
          </cell>
          <cell r="J33">
            <v>20424</v>
          </cell>
          <cell r="K33">
            <v>5405</v>
          </cell>
          <cell r="L33">
            <v>4785</v>
          </cell>
          <cell r="M33">
            <v>5116</v>
          </cell>
          <cell r="N33">
            <v>5188</v>
          </cell>
          <cell r="O33">
            <v>20494</v>
          </cell>
          <cell r="P33">
            <v>5956</v>
          </cell>
          <cell r="Q33">
            <v>6827</v>
          </cell>
          <cell r="R33">
            <v>5816</v>
          </cell>
          <cell r="S33">
            <v>42116</v>
          </cell>
          <cell r="T33">
            <v>60715</v>
          </cell>
          <cell r="U33">
            <v>5956</v>
          </cell>
          <cell r="V33">
            <v>6827</v>
          </cell>
          <cell r="W33">
            <v>7168.35</v>
          </cell>
          <cell r="X33">
            <v>7526.7675000000008</v>
          </cell>
          <cell r="Y33">
            <v>27478.1175</v>
          </cell>
          <cell r="Z33">
            <v>7903.1058750000011</v>
          </cell>
          <cell r="AA33">
            <v>8298.2611687500012</v>
          </cell>
          <cell r="AB33">
            <v>8713.1742271875009</v>
          </cell>
          <cell r="AC33">
            <v>9148.8329385468769</v>
          </cell>
          <cell r="AD33">
            <v>34063.374209484376</v>
          </cell>
          <cell r="AE33">
            <v>35766.5429199586</v>
          </cell>
          <cell r="AF33">
            <v>37554.870065956529</v>
          </cell>
          <cell r="AG33">
            <v>39432.613569254354</v>
          </cell>
        </row>
        <row r="34">
          <cell r="C34" t="str">
            <v>% Growth</v>
          </cell>
          <cell r="D34"/>
          <cell r="E34"/>
          <cell r="F34"/>
          <cell r="G34">
            <v>-0.13858073604507837</v>
          </cell>
          <cell r="H34">
            <v>-3.8225674570727675E-2</v>
          </cell>
          <cell r="I34">
            <v>9.4155154091392079E-2</v>
          </cell>
          <cell r="J34"/>
          <cell r="K34">
            <v>4.9922299922299906E-2</v>
          </cell>
          <cell r="L34">
            <v>-0.1147086031452359</v>
          </cell>
          <cell r="M34">
            <v>6.9174503657262187E-2</v>
          </cell>
          <cell r="N34">
            <v>1.4073494917904661E-2</v>
          </cell>
          <cell r="O34">
            <v>3.4273403838620542E-3</v>
          </cell>
          <cell r="P34">
            <v>0.14803392444101782</v>
          </cell>
          <cell r="Q34">
            <v>0.14623908663532581</v>
          </cell>
          <cell r="R34">
            <v>-0.14808847224256627</v>
          </cell>
          <cell r="S34">
            <v>6.2414030261348001</v>
          </cell>
          <cell r="T34">
            <v>1.9625744120230313</v>
          </cell>
          <cell r="U34">
            <v>-0.85858106182923355</v>
          </cell>
          <cell r="V34">
            <v>0.14623908663532581</v>
          </cell>
          <cell r="W34">
            <v>5.0000000000000044E-2</v>
          </cell>
          <cell r="X34">
            <v>5.0000000000000044E-2</v>
          </cell>
          <cell r="Y34">
            <v>-0.54742456559334596</v>
          </cell>
          <cell r="Z34">
            <v>5.0000000000000044E-2</v>
          </cell>
          <cell r="AA34">
            <v>5.0000000000000044E-2</v>
          </cell>
          <cell r="AB34">
            <v>5.0000000000000044E-2</v>
          </cell>
          <cell r="AC34">
            <v>5.0000000000000044E-2</v>
          </cell>
          <cell r="AD34">
            <v>0.23965458003025053</v>
          </cell>
          <cell r="AE34">
            <v>5.0000000000000044E-2</v>
          </cell>
          <cell r="AF34">
            <v>5.0000000000000044E-2</v>
          </cell>
          <cell r="AG34">
            <v>5.0000000000000044E-2</v>
          </cell>
        </row>
        <row r="35">
          <cell r="C35" t="str">
            <v>% of Total Revenue</v>
          </cell>
          <cell r="D35"/>
          <cell r="E35"/>
          <cell r="F35">
            <v>4.2518623890989406E-2</v>
          </cell>
          <cell r="G35">
            <v>3.5036203599590338E-2</v>
          </cell>
          <cell r="H35">
            <v>3.2785857135888843E-2</v>
          </cell>
          <cell r="I35">
            <v>3.0241260404979115E-2</v>
          </cell>
          <cell r="J35">
            <v>3.4798016799277597E-2</v>
          </cell>
          <cell r="K35">
            <v>3.9741770402123483E-2</v>
          </cell>
          <cell r="L35">
            <v>3.4480770755118073E-2</v>
          </cell>
          <cell r="M35">
            <v>3.7570131892018917E-2</v>
          </cell>
          <cell r="N35">
            <v>3.2243228797653227E-2</v>
          </cell>
          <cell r="O35">
            <v>3.5838069423799947E-2</v>
          </cell>
          <cell r="P35">
            <v>3.9353534285676527E-2</v>
          </cell>
          <cell r="Q35">
            <v>3.3023750786049438E-2</v>
          </cell>
          <cell r="R35">
            <v>2.9992213163363708E-2</v>
          </cell>
          <cell r="S35">
            <v>-9.0013764095374066E-2</v>
          </cell>
          <cell r="T35">
            <v>0.72186091856995094</v>
          </cell>
          <cell r="U35">
            <v>3.9353534285676527E-2</v>
          </cell>
          <cell r="V35">
            <v>3.3023750786049438E-2</v>
          </cell>
          <cell r="W35">
            <v>3.3023750786049438E-2</v>
          </cell>
          <cell r="X35">
            <v>3.3023750786049445E-2</v>
          </cell>
          <cell r="Y35">
            <v>3.4216668675124316E-2</v>
          </cell>
          <cell r="Z35">
            <v>3.3023750786049438E-2</v>
          </cell>
          <cell r="AA35">
            <v>3.3023750786049438E-2</v>
          </cell>
          <cell r="AB35">
            <v>3.3023750786049438E-2</v>
          </cell>
          <cell r="AC35">
            <v>3.3023750786049438E-2</v>
          </cell>
          <cell r="AD35">
            <v>3.3023750786049431E-2</v>
          </cell>
          <cell r="AE35">
            <v>3.3023750786049431E-2</v>
          </cell>
          <cell r="AF35">
            <v>3.3023750786049431E-2</v>
          </cell>
          <cell r="AG35">
            <v>3.3023750786049438E-2</v>
          </cell>
        </row>
        <row r="36">
          <cell r="C36" t="str">
            <v>Insurance Revenue</v>
          </cell>
          <cell r="D36"/>
          <cell r="E36"/>
          <cell r="F36">
            <v>4368</v>
          </cell>
          <cell r="G36">
            <v>4293</v>
          </cell>
          <cell r="H36">
            <v>4023</v>
          </cell>
          <cell r="I36">
            <v>3505</v>
          </cell>
          <cell r="J36">
            <v>16189</v>
          </cell>
          <cell r="K36">
            <v>3334</v>
          </cell>
          <cell r="L36">
            <v>3431</v>
          </cell>
          <cell r="M36">
            <v>3106</v>
          </cell>
          <cell r="N36">
            <v>3231</v>
          </cell>
          <cell r="O36">
            <v>13102</v>
          </cell>
          <cell r="P36">
            <v>3180</v>
          </cell>
          <cell r="Q36">
            <v>4096</v>
          </cell>
          <cell r="R36">
            <v>4322</v>
          </cell>
          <cell r="S36">
            <v>-11324</v>
          </cell>
          <cell r="T36">
            <v>274</v>
          </cell>
          <cell r="U36">
            <v>3180</v>
          </cell>
          <cell r="V36">
            <v>4096</v>
          </cell>
          <cell r="W36">
            <v>4300.8</v>
          </cell>
          <cell r="X36">
            <v>4515.84</v>
          </cell>
          <cell r="Y36">
            <v>16092.64</v>
          </cell>
          <cell r="Z36">
            <v>4741.6320000000005</v>
          </cell>
          <cell r="AA36">
            <v>4978.713600000001</v>
          </cell>
          <cell r="AB36">
            <v>5227.6492800000015</v>
          </cell>
          <cell r="AC36">
            <v>5489.0317440000017</v>
          </cell>
          <cell r="AD36">
            <v>20437.026624000006</v>
          </cell>
          <cell r="AE36">
            <v>21458.877955200005</v>
          </cell>
          <cell r="AF36">
            <v>22531.821852960005</v>
          </cell>
          <cell r="AG36">
            <v>23658.412945608008</v>
          </cell>
        </row>
        <row r="37">
          <cell r="C37" t="str">
            <v>% Growth</v>
          </cell>
          <cell r="D37"/>
          <cell r="E37"/>
          <cell r="F37"/>
          <cell r="G37">
            <v>-1.717032967032972E-2</v>
          </cell>
          <cell r="H37">
            <v>-6.2893081761006275E-2</v>
          </cell>
          <cell r="I37">
            <v>-0.12875963211533681</v>
          </cell>
          <cell r="J37"/>
          <cell r="K37">
            <v>-4.8787446504992893E-2</v>
          </cell>
          <cell r="L37">
            <v>2.9094181163767274E-2</v>
          </cell>
          <cell r="M37">
            <v>-9.4724570096181848E-2</v>
          </cell>
          <cell r="N37">
            <v>4.0244687701223469E-2</v>
          </cell>
          <cell r="O37">
            <v>-0.1906850330471308</v>
          </cell>
          <cell r="P37">
            <v>-1.578458681522743E-2</v>
          </cell>
          <cell r="Q37">
            <v>0.28805031446540874</v>
          </cell>
          <cell r="R37">
            <v>5.517578125E-2</v>
          </cell>
          <cell r="S37">
            <v>-3.6200832947709394</v>
          </cell>
          <cell r="T37">
            <v>-0.97908716226530301</v>
          </cell>
          <cell r="U37">
            <v>-1.2808194984104557</v>
          </cell>
          <cell r="V37">
            <v>0.28805031446540874</v>
          </cell>
          <cell r="W37">
            <v>5.0000000000000044E-2</v>
          </cell>
          <cell r="X37">
            <v>5.0000000000000044E-2</v>
          </cell>
          <cell r="Y37">
            <v>57.732262773722624</v>
          </cell>
          <cell r="Z37">
            <v>5.0000000000000044E-2</v>
          </cell>
          <cell r="AA37">
            <v>5.0000000000000044E-2</v>
          </cell>
          <cell r="AB37">
            <v>5.0000000000000044E-2</v>
          </cell>
          <cell r="AC37">
            <v>5.0000000000000044E-2</v>
          </cell>
          <cell r="AD37">
            <v>0.26996108929299401</v>
          </cell>
          <cell r="AE37">
            <v>5.0000000000000044E-2</v>
          </cell>
          <cell r="AF37">
            <v>5.0000000000000044E-2</v>
          </cell>
          <cell r="AG37">
            <v>5.0000000000000044E-2</v>
          </cell>
        </row>
        <row r="38">
          <cell r="C38" t="str">
            <v>% of Total Revenue</v>
          </cell>
          <cell r="D38"/>
          <cell r="E38"/>
          <cell r="F38">
            <v>3.2703178227829144E-2</v>
          </cell>
          <cell r="G38">
            <v>3.0746202382060776E-2</v>
          </cell>
          <cell r="H38">
            <v>2.8033475718954474E-2</v>
          </cell>
          <cell r="I38">
            <v>2.0589669331672843E-2</v>
          </cell>
          <cell r="J38">
            <v>2.7582505579881757E-2</v>
          </cell>
          <cell r="K38">
            <v>2.4514165128710397E-2</v>
          </cell>
          <cell r="L38">
            <v>2.472382956338769E-2</v>
          </cell>
          <cell r="M38">
            <v>2.2809388126780836E-2</v>
          </cell>
          <cell r="N38">
            <v>2.0080545922362681E-2</v>
          </cell>
          <cell r="O38">
            <v>2.2911602693013903E-2</v>
          </cell>
          <cell r="P38">
            <v>2.1011457190807818E-2</v>
          </cell>
          <cell r="Q38">
            <v>1.9813283026169401E-2</v>
          </cell>
          <cell r="R38">
            <v>2.2287886054342839E-2</v>
          </cell>
          <cell r="S38">
            <v>2.420258012669807E-2</v>
          </cell>
          <cell r="T38">
            <v>3.2576775374811256E-3</v>
          </cell>
          <cell r="U38">
            <v>2.1011457190807818E-2</v>
          </cell>
          <cell r="V38">
            <v>1.9813283026169401E-2</v>
          </cell>
          <cell r="W38">
            <v>1.9813283026169401E-2</v>
          </cell>
          <cell r="X38">
            <v>1.9813283026169401E-2</v>
          </cell>
          <cell r="Y38">
            <v>2.0039092233594697E-2</v>
          </cell>
          <cell r="Z38">
            <v>1.9813283026169397E-2</v>
          </cell>
          <cell r="AA38">
            <v>1.9813283026169401E-2</v>
          </cell>
          <cell r="AB38">
            <v>1.9813283026169404E-2</v>
          </cell>
          <cell r="AC38">
            <v>1.9813283026169401E-2</v>
          </cell>
          <cell r="AD38">
            <v>1.9813283026169401E-2</v>
          </cell>
          <cell r="AE38">
            <v>1.9813283026169397E-2</v>
          </cell>
          <cell r="AF38">
            <v>1.9813283026169397E-2</v>
          </cell>
          <cell r="AG38">
            <v>1.9813283026169404E-2</v>
          </cell>
        </row>
        <row r="39">
          <cell r="C39" t="str">
            <v>Customized Postage Revenue</v>
          </cell>
          <cell r="D39"/>
          <cell r="E39"/>
          <cell r="F39">
            <v>2580</v>
          </cell>
          <cell r="G39">
            <v>5218</v>
          </cell>
          <cell r="H39">
            <v>6957</v>
          </cell>
          <cell r="I39">
            <v>4828</v>
          </cell>
          <cell r="J39">
            <v>19583</v>
          </cell>
          <cell r="K39">
            <v>3357</v>
          </cell>
          <cell r="L39">
            <v>3128</v>
          </cell>
          <cell r="M39">
            <v>3307</v>
          </cell>
          <cell r="N39">
            <v>4934</v>
          </cell>
          <cell r="O39">
            <v>14726</v>
          </cell>
          <cell r="P39">
            <v>3074</v>
          </cell>
          <cell r="Q39">
            <v>8817</v>
          </cell>
          <cell r="R39">
            <v>0</v>
          </cell>
          <cell r="S39">
            <v>-11966</v>
          </cell>
          <cell r="T39">
            <v>-75</v>
          </cell>
          <cell r="U39">
            <v>3074</v>
          </cell>
          <cell r="V39">
            <v>8817</v>
          </cell>
          <cell r="W39">
            <v>9257.85</v>
          </cell>
          <cell r="X39">
            <v>9720.7425000000003</v>
          </cell>
          <cell r="Y39">
            <v>30869.592499999999</v>
          </cell>
          <cell r="Z39">
            <v>10206.779625000001</v>
          </cell>
          <cell r="AA39">
            <v>10717.118606250002</v>
          </cell>
          <cell r="AB39">
            <v>11252.974536562502</v>
          </cell>
          <cell r="AC39">
            <v>11815.623263390627</v>
          </cell>
          <cell r="AD39">
            <v>43992.496031203133</v>
          </cell>
          <cell r="AE39">
            <v>46192.120832763292</v>
          </cell>
          <cell r="AF39">
            <v>48501.726874401458</v>
          </cell>
          <cell r="AG39">
            <v>50926.813218121533</v>
          </cell>
        </row>
        <row r="40">
          <cell r="C40" t="str">
            <v>% Growth</v>
          </cell>
          <cell r="D40"/>
          <cell r="E40"/>
          <cell r="F40"/>
          <cell r="G40">
            <v>1.0224806201550387</v>
          </cell>
          <cell r="H40">
            <v>0.33326945189727875</v>
          </cell>
          <cell r="I40">
            <v>-0.30602271093862299</v>
          </cell>
          <cell r="J40"/>
          <cell r="K40">
            <v>-0.30468102734051372</v>
          </cell>
          <cell r="L40">
            <v>-6.8215668751861802E-2</v>
          </cell>
          <cell r="M40">
            <v>5.7225063938618925E-2</v>
          </cell>
          <cell r="N40">
            <v>0.4919866948896281</v>
          </cell>
          <cell r="O40">
            <v>-0.24802124291477301</v>
          </cell>
          <cell r="P40">
            <v>-0.37697608431293073</v>
          </cell>
          <cell r="Q40">
            <v>1.8682498373454783</v>
          </cell>
          <cell r="R40">
            <v>-1</v>
          </cell>
          <cell r="S40" t="str">
            <v>N/A</v>
          </cell>
          <cell r="T40">
            <v>-1.0050930327312237</v>
          </cell>
          <cell r="U40">
            <v>-1.2568945345144575</v>
          </cell>
          <cell r="V40">
            <v>1.8682498373454783</v>
          </cell>
          <cell r="W40">
            <v>5.0000000000000044E-2</v>
          </cell>
          <cell r="X40">
            <v>5.0000000000000044E-2</v>
          </cell>
          <cell r="Y40">
            <v>-412.59456666666665</v>
          </cell>
          <cell r="Z40">
            <v>5.0000000000000044E-2</v>
          </cell>
          <cell r="AA40">
            <v>5.0000000000000044E-2</v>
          </cell>
          <cell r="AB40">
            <v>5.0000000000000044E-2</v>
          </cell>
          <cell r="AC40">
            <v>5.0000000000000044E-2</v>
          </cell>
          <cell r="AD40">
            <v>0.42510776684865981</v>
          </cell>
          <cell r="AE40">
            <v>5.0000000000000044E-2</v>
          </cell>
          <cell r="AF40">
            <v>5.0000000000000044E-2</v>
          </cell>
          <cell r="AG40">
            <v>5.0000000000000044E-2</v>
          </cell>
        </row>
        <row r="41">
          <cell r="C41" t="str">
            <v>% of Total Revenue</v>
          </cell>
          <cell r="D41"/>
          <cell r="E41"/>
          <cell r="F41">
            <v>1.9316437689514469E-2</v>
          </cell>
          <cell r="G41">
            <v>3.7370995581083886E-2</v>
          </cell>
          <cell r="H41">
            <v>4.8478471433449237E-2</v>
          </cell>
          <cell r="I41">
            <v>2.8361461778406989E-2</v>
          </cell>
          <cell r="J41">
            <v>3.3365137239534527E-2</v>
          </cell>
          <cell r="K41">
            <v>2.4683279045315178E-2</v>
          </cell>
          <cell r="L41">
            <v>2.2540407716198398E-2</v>
          </cell>
          <cell r="M41">
            <v>2.4285462503304645E-2</v>
          </cell>
          <cell r="N41">
            <v>3.0664628158755019E-2</v>
          </cell>
          <cell r="O41">
            <v>2.5751508262656292E-2</v>
          </cell>
          <cell r="P41">
            <v>2.0311075284447557E-2</v>
          </cell>
          <cell r="Q41">
            <v>4.2649833115658106E-2</v>
          </cell>
          <cell r="R41">
            <v>0</v>
          </cell>
          <cell r="S41">
            <v>2.5574715100324011E-2</v>
          </cell>
          <cell r="T41">
            <v>-8.9170005587987022E-4</v>
          </cell>
          <cell r="U41">
            <v>2.0311075284447557E-2</v>
          </cell>
          <cell r="V41">
            <v>4.2649833115658106E-2</v>
          </cell>
          <cell r="W41">
            <v>4.2649833115658106E-2</v>
          </cell>
          <cell r="X41">
            <v>4.2649833115658106E-2</v>
          </cell>
          <cell r="Y41">
            <v>3.8439846496347588E-2</v>
          </cell>
          <cell r="Z41">
            <v>4.2649833115658106E-2</v>
          </cell>
          <cell r="AA41">
            <v>4.2649833115658106E-2</v>
          </cell>
          <cell r="AB41">
            <v>4.2649833115658106E-2</v>
          </cell>
          <cell r="AC41">
            <v>4.2649833115658106E-2</v>
          </cell>
          <cell r="AD41">
            <v>4.2649833115658106E-2</v>
          </cell>
          <cell r="AE41">
            <v>4.2649833115658099E-2</v>
          </cell>
          <cell r="AF41">
            <v>4.2649833115658106E-2</v>
          </cell>
          <cell r="AG41">
            <v>4.2649833115658113E-2</v>
          </cell>
        </row>
        <row r="42">
          <cell r="C42" t="str">
            <v>Other Revenue</v>
          </cell>
          <cell r="D42"/>
          <cell r="E42"/>
          <cell r="F42">
            <v>22</v>
          </cell>
          <cell r="G42">
            <v>18</v>
          </cell>
          <cell r="H42">
            <v>12</v>
          </cell>
          <cell r="I42">
            <v>0</v>
          </cell>
          <cell r="J42">
            <v>52</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row>
        <row r="43">
          <cell r="C43" t="str">
            <v>% Growth</v>
          </cell>
          <cell r="D43"/>
          <cell r="E43"/>
          <cell r="F43"/>
          <cell r="G43">
            <v>-0.18181818181818177</v>
          </cell>
          <cell r="H43">
            <v>-0.33333333333333337</v>
          </cell>
          <cell r="I43">
            <v>-1</v>
          </cell>
          <cell r="J43"/>
          <cell r="K43" t="str">
            <v>N/A</v>
          </cell>
          <cell r="L43" t="str">
            <v>N/A</v>
          </cell>
          <cell r="M43" t="str">
            <v>N/A</v>
          </cell>
          <cell r="N43" t="str">
            <v>N/A</v>
          </cell>
          <cell r="O43">
            <v>-1</v>
          </cell>
          <cell r="P43" t="str">
            <v>N/A</v>
          </cell>
          <cell r="Q43" t="str">
            <v>N/A</v>
          </cell>
          <cell r="R43" t="str">
            <v>N/A</v>
          </cell>
          <cell r="S43" t="str">
            <v>N/A</v>
          </cell>
          <cell r="T43" t="str">
            <v>N/A</v>
          </cell>
          <cell r="U43" t="str">
            <v>N/A</v>
          </cell>
          <cell r="V43" t="str">
            <v>N/A</v>
          </cell>
          <cell r="W43" t="str">
            <v>--</v>
          </cell>
          <cell r="X43" t="str">
            <v>--</v>
          </cell>
          <cell r="Y43" t="str">
            <v>--</v>
          </cell>
          <cell r="Z43" t="str">
            <v>--</v>
          </cell>
          <cell r="AA43" t="str">
            <v>--</v>
          </cell>
          <cell r="AB43" t="str">
            <v>--</v>
          </cell>
          <cell r="AC43" t="str">
            <v>--</v>
          </cell>
          <cell r="AD43" t="str">
            <v>--</v>
          </cell>
          <cell r="AE43" t="str">
            <v>--</v>
          </cell>
          <cell r="AF43" t="str">
            <v>--</v>
          </cell>
          <cell r="AG43" t="str">
            <v>--</v>
          </cell>
        </row>
        <row r="44">
          <cell r="C44" t="str">
            <v>% of Total Revenue</v>
          </cell>
          <cell r="D44"/>
          <cell r="E44"/>
          <cell r="F44">
            <v>1.6471380975554973E-4</v>
          </cell>
          <cell r="G44">
            <v>1.2891489468369298E-4</v>
          </cell>
          <cell r="H44">
            <v>8.3619614374211716E-5</v>
          </cell>
          <cell r="I44">
            <v>0</v>
          </cell>
          <cell r="J44">
            <v>8.8596595846182673E-5</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row>
        <row r="45">
          <cell r="C45" t="str">
            <v xml:space="preserve"> Revenue</v>
          </cell>
          <cell r="D45"/>
          <cell r="E45"/>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C46" t="str">
            <v>% Growth</v>
          </cell>
          <cell r="D46"/>
          <cell r="E46"/>
          <cell r="F46"/>
          <cell r="G46" t="str">
            <v>N/A</v>
          </cell>
          <cell r="H46" t="str">
            <v>N/A</v>
          </cell>
          <cell r="I46" t="str">
            <v>N/A</v>
          </cell>
          <cell r="J46"/>
          <cell r="K46" t="str">
            <v>N/A</v>
          </cell>
          <cell r="L46" t="str">
            <v>N/A</v>
          </cell>
          <cell r="M46" t="str">
            <v>N/A</v>
          </cell>
          <cell r="N46" t="str">
            <v>N/A</v>
          </cell>
          <cell r="O46" t="str">
            <v>N/A</v>
          </cell>
          <cell r="P46" t="str">
            <v>N/A</v>
          </cell>
          <cell r="Q46" t="str">
            <v>N/A</v>
          </cell>
          <cell r="R46" t="str">
            <v>N/A</v>
          </cell>
          <cell r="S46" t="str">
            <v>N/A</v>
          </cell>
          <cell r="T46" t="str">
            <v>N/A</v>
          </cell>
          <cell r="U46" t="str">
            <v>N/A</v>
          </cell>
          <cell r="V46" t="str">
            <v>N/A</v>
          </cell>
          <cell r="W46" t="str">
            <v>--</v>
          </cell>
          <cell r="X46" t="str">
            <v>--</v>
          </cell>
          <cell r="Y46" t="str">
            <v>--</v>
          </cell>
          <cell r="Z46" t="str">
            <v>--</v>
          </cell>
          <cell r="AA46" t="str">
            <v>--</v>
          </cell>
          <cell r="AB46" t="str">
            <v>--</v>
          </cell>
          <cell r="AC46" t="str">
            <v>--</v>
          </cell>
          <cell r="AD46" t="str">
            <v>--</v>
          </cell>
          <cell r="AE46" t="str">
            <v>--</v>
          </cell>
          <cell r="AF46" t="str">
            <v>--</v>
          </cell>
          <cell r="AG46" t="str">
            <v>--</v>
          </cell>
        </row>
        <row r="47">
          <cell r="C47" t="str">
            <v>% of Total Revenue</v>
          </cell>
          <cell r="D47"/>
          <cell r="E47"/>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row>
      </sheetData>
      <sheetData sheetId="7">
        <row r="25">
          <cell r="C25" t="str">
            <v>Income Statement</v>
          </cell>
        </row>
      </sheetData>
      <sheetData sheetId="8" refreshError="1"/>
      <sheetData sheetId="9" refreshError="1"/>
      <sheetData sheetId="10">
        <row r="6">
          <cell r="G6">
            <v>1.7999999999999999E-2</v>
          </cell>
        </row>
      </sheetData>
      <sheetData sheetId="11" refreshError="1"/>
      <sheetData sheetId="12" refreshError="1"/>
      <sheetData sheetId="13">
        <row r="220">
          <cell r="G220" t="str">
            <v>2002-2008</v>
          </cell>
        </row>
      </sheetData>
      <sheetData sheetId="14"/>
      <sheetData sheetId="15">
        <row r="14">
          <cell r="C14"/>
          <cell r="D14"/>
          <cell r="E14" t="str">
            <v>LTM P/E</v>
          </cell>
          <cell r="F14" t="str">
            <v>NTM P/E</v>
          </cell>
          <cell r="G14" t="str">
            <v>LTM EV/EBITDA</v>
          </cell>
          <cell r="H14" t="str">
            <v>NTM EV/EBITDA</v>
          </cell>
        </row>
        <row r="15">
          <cell r="C15" t="str">
            <v>2002-2018 Full Cycle</v>
          </cell>
          <cell r="D15"/>
          <cell r="E15">
            <v>18.205671476016477</v>
          </cell>
          <cell r="F15">
            <v>19.283640878196735</v>
          </cell>
          <cell r="G15">
            <v>11.082545507878535</v>
          </cell>
          <cell r="H15">
            <v>9.1811144040872925</v>
          </cell>
        </row>
        <row r="16">
          <cell r="C16" t="str">
            <v>2002-2018 Early Cycle</v>
          </cell>
          <cell r="D16"/>
          <cell r="E16">
            <v>16.631865018705398</v>
          </cell>
          <cell r="F16">
            <v>19.070116660836842</v>
          </cell>
          <cell r="G16">
            <v>10.158647187845514</v>
          </cell>
          <cell r="H16" t="e">
            <v>#DIV/0!</v>
          </cell>
        </row>
        <row r="17">
          <cell r="C17" t="str">
            <v>2002-2018 Mid Cycle</v>
          </cell>
          <cell r="D17"/>
          <cell r="E17">
            <v>23.398224311899781</v>
          </cell>
          <cell r="F17">
            <v>20.451988708480599</v>
          </cell>
          <cell r="G17">
            <v>12.071191686019064</v>
          </cell>
          <cell r="H17">
            <v>10.052153383638277</v>
          </cell>
        </row>
        <row r="18">
          <cell r="C18" t="str">
            <v>2002-2018 Late Cycle</v>
          </cell>
          <cell r="D18"/>
          <cell r="E18">
            <v>18.777389202344729</v>
          </cell>
          <cell r="F18">
            <v>19.764491245647761</v>
          </cell>
          <cell r="G18">
            <v>11.670348005383676</v>
          </cell>
          <cell r="H18">
            <v>10.020605620546235</v>
          </cell>
        </row>
        <row r="19">
          <cell r="C19" t="str">
            <v>2002-2008 Full Cycle</v>
          </cell>
          <cell r="D19"/>
          <cell r="E19">
            <v>20.990344859611792</v>
          </cell>
          <cell r="F19">
            <v>20.603814431351687</v>
          </cell>
          <cell r="G19">
            <v>11.793920525786316</v>
          </cell>
          <cell r="H19">
            <v>9.3541574754593846</v>
          </cell>
        </row>
        <row r="20">
          <cell r="C20" t="str">
            <v>2002-2008 Early Cycle</v>
          </cell>
          <cell r="D20"/>
          <cell r="E20">
            <v>21.249489240284277</v>
          </cell>
          <cell r="F20">
            <v>21.070348116173559</v>
          </cell>
          <cell r="G20">
            <v>10.883267445446497</v>
          </cell>
          <cell r="H20" t="e">
            <v>#DIV/0!</v>
          </cell>
        </row>
        <row r="21">
          <cell r="C21" t="str">
            <v>2002-2008 Mid Cycle</v>
          </cell>
          <cell r="D21"/>
          <cell r="E21">
            <v>29.710481817262107</v>
          </cell>
          <cell r="F21">
            <v>24.405532339385086</v>
          </cell>
          <cell r="G21">
            <v>15.0676972906251</v>
          </cell>
          <cell r="H21">
            <v>11.45371415582796</v>
          </cell>
        </row>
        <row r="22">
          <cell r="C22" t="str">
            <v>2002-2008 Late Cycle</v>
          </cell>
          <cell r="D22"/>
          <cell r="E22">
            <v>18.364666816607834</v>
          </cell>
          <cell r="F22">
            <v>19.049844200140832</v>
          </cell>
          <cell r="G22">
            <v>11.239462473426661</v>
          </cell>
          <cell r="H22">
            <v>9.0854268672387928</v>
          </cell>
        </row>
        <row r="23">
          <cell r="C23" t="str">
            <v>2009-2018 Full Cycle</v>
          </cell>
          <cell r="D23"/>
          <cell r="E23">
            <v>16.256400107499754</v>
          </cell>
          <cell r="F23">
            <v>18.359519390988275</v>
          </cell>
          <cell r="G23">
            <v>10.584582995343096</v>
          </cell>
          <cell r="H23">
            <v>9.1205493291070603</v>
          </cell>
        </row>
        <row r="24">
          <cell r="C24" t="str">
            <v>2009-2018 Early Cycle</v>
          </cell>
          <cell r="D24"/>
          <cell r="E24">
            <v>12.014240797126522</v>
          </cell>
          <cell r="F24">
            <v>17.069885205500125</v>
          </cell>
          <cell r="G24">
            <v>9.4340269302445314</v>
          </cell>
          <cell r="H24">
            <v>7.2319439347489265</v>
          </cell>
        </row>
        <row r="25">
          <cell r="C25" t="str">
            <v>2009-2018 Mid Cycle</v>
          </cell>
          <cell r="D25"/>
          <cell r="E25">
            <v>17.085966806537453</v>
          </cell>
          <cell r="F25">
            <v>16.498445077576111</v>
          </cell>
          <cell r="G25">
            <v>9.074686081413029</v>
          </cell>
          <cell r="H25">
            <v>8.6505926114485945</v>
          </cell>
        </row>
        <row r="26">
          <cell r="C26" t="str">
            <v>2009-2018 Late Cycle</v>
          </cell>
          <cell r="D26"/>
          <cell r="E26">
            <v>19.190111588081624</v>
          </cell>
          <cell r="F26">
            <v>20.479138291154694</v>
          </cell>
          <cell r="G26">
            <v>12.101233537340693</v>
          </cell>
          <cell r="H26">
            <v>10.955784373853678</v>
          </cell>
        </row>
        <row r="36">
          <cell r="C36"/>
          <cell r="D36"/>
          <cell r="E36" t="str">
            <v>LTM P/E</v>
          </cell>
          <cell r="F36" t="str">
            <v>NTM P/E</v>
          </cell>
          <cell r="G36" t="str">
            <v>LTM EV/EBITDA</v>
          </cell>
          <cell r="H36" t="str">
            <v>NTM EV/EBITDA</v>
          </cell>
        </row>
        <row r="37">
          <cell r="C37" t="str">
            <v>2002-2018 Full Cycle</v>
          </cell>
          <cell r="D37"/>
          <cell r="E37">
            <v>21.403246311846644</v>
          </cell>
          <cell r="F37">
            <v>17.95801719118516</v>
          </cell>
          <cell r="G37">
            <v>9.3132513318769821</v>
          </cell>
          <cell r="H37">
            <v>7.4958293757039796</v>
          </cell>
        </row>
        <row r="38">
          <cell r="C38" t="str">
            <v>2002-2018 Early Cycle</v>
          </cell>
          <cell r="D38"/>
          <cell r="E38">
            <v>16.765031355001287</v>
          </cell>
          <cell r="F38">
            <v>15.070760284253637</v>
          </cell>
          <cell r="G38">
            <v>7.1956599918680535</v>
          </cell>
          <cell r="H38" t="e">
            <v>#DIV/0!</v>
          </cell>
        </row>
        <row r="39">
          <cell r="C39" t="str">
            <v>2002-2018 Mid Cycle</v>
          </cell>
          <cell r="D39"/>
          <cell r="E39">
            <v>22.912136348927586</v>
          </cell>
          <cell r="F39">
            <v>15.912102391386668</v>
          </cell>
          <cell r="G39">
            <v>9.5909870477663883</v>
          </cell>
          <cell r="H39">
            <v>7.7035467903506643</v>
          </cell>
        </row>
        <row r="40">
          <cell r="C40" t="str">
            <v>2002-2018 Late Cycle</v>
          </cell>
          <cell r="D40"/>
          <cell r="E40">
            <v>26.940327540795085</v>
          </cell>
          <cell r="F40">
            <v>21.478063172950975</v>
          </cell>
          <cell r="G40">
            <v>10.918281569823044</v>
          </cell>
          <cell r="H40">
            <v>8.2211305895486859</v>
          </cell>
        </row>
        <row r="41">
          <cell r="C41" t="str">
            <v>2002-2008 Full Cycle</v>
          </cell>
          <cell r="D41"/>
          <cell r="E41">
            <v>20.255465760579177</v>
          </cell>
          <cell r="F41">
            <v>21.31317889161188</v>
          </cell>
          <cell r="G41">
            <v>9.1534450379630528</v>
          </cell>
          <cell r="H41">
            <v>7.9483918337634245</v>
          </cell>
        </row>
        <row r="42">
          <cell r="C42" t="str">
            <v>2002-2008 Early Cycle</v>
          </cell>
          <cell r="D42"/>
          <cell r="E42">
            <v>18.198782411247478</v>
          </cell>
          <cell r="F42">
            <v>16.297524839559937</v>
          </cell>
          <cell r="G42">
            <v>7.6015561158213041</v>
          </cell>
          <cell r="H42" t="e">
            <v>#DIV/0!</v>
          </cell>
        </row>
        <row r="43">
          <cell r="C43" t="str">
            <v>2002-2008 Mid Cycle</v>
          </cell>
          <cell r="D43"/>
          <cell r="E43">
            <v>21.941880465375629</v>
          </cell>
          <cell r="F43">
            <v>15.863134957078572</v>
          </cell>
          <cell r="G43">
            <v>9.2477638484750244</v>
          </cell>
          <cell r="H43">
            <v>8.2231007097959399</v>
          </cell>
        </row>
        <row r="44">
          <cell r="C44" t="str">
            <v>2002-2008 Late Cycle</v>
          </cell>
          <cell r="D44"/>
          <cell r="E44">
            <v>23.644373208869958</v>
          </cell>
          <cell r="F44">
            <v>24.783418033166104</v>
          </cell>
          <cell r="G44">
            <v>10.546863511930287</v>
          </cell>
          <cell r="H44">
            <v>7.8442993922775894</v>
          </cell>
        </row>
        <row r="45">
          <cell r="C45" t="str">
            <v>2009-2018 Full Cycle</v>
          </cell>
          <cell r="D45"/>
          <cell r="E45">
            <v>22.027168047407443</v>
          </cell>
          <cell r="F45">
            <v>16.38109119198457</v>
          </cell>
          <cell r="G45">
            <v>9.4041056715640821</v>
          </cell>
          <cell r="H45">
            <v>7.3480074672926108</v>
          </cell>
        </row>
        <row r="46">
          <cell r="C46" t="str">
            <v>2009-2018 Early Cycle</v>
          </cell>
          <cell r="D46"/>
          <cell r="E46">
            <v>15.331280298755098</v>
          </cell>
          <cell r="F46">
            <v>13.843995728947338</v>
          </cell>
          <cell r="G46">
            <v>6.789763867914802</v>
          </cell>
          <cell r="H46">
            <v>6.0055133144661292</v>
          </cell>
        </row>
        <row r="47">
          <cell r="C47" t="str">
            <v>2009-2018 Mid Cycle</v>
          </cell>
          <cell r="D47"/>
          <cell r="E47">
            <v>23.882392232479543</v>
          </cell>
          <cell r="F47">
            <v>15.961069825694764</v>
          </cell>
          <cell r="G47">
            <v>9.9342102470577522</v>
          </cell>
          <cell r="H47">
            <v>7.1839928709053877</v>
          </cell>
        </row>
        <row r="48">
          <cell r="C48" t="str">
            <v>2009-2018 Late Cycle</v>
          </cell>
          <cell r="D48"/>
          <cell r="E48">
            <v>30.236281872720213</v>
          </cell>
          <cell r="F48">
            <v>18.172708312735843</v>
          </cell>
          <cell r="G48">
            <v>11.2896996277158</v>
          </cell>
          <cell r="H48">
            <v>8.5979617868197806</v>
          </cell>
        </row>
        <row r="58">
          <cell r="C58"/>
          <cell r="D58"/>
          <cell r="E58" t="str">
            <v>LTM P/E</v>
          </cell>
          <cell r="F58" t="str">
            <v>NTM P/E</v>
          </cell>
          <cell r="G58" t="str">
            <v>LTM EV/EBITDA</v>
          </cell>
          <cell r="H58" t="str">
            <v>NTM EV/EBITDA</v>
          </cell>
        </row>
        <row r="59">
          <cell r="C59" t="str">
            <v>2002-2018 Full Cycle</v>
          </cell>
          <cell r="D59"/>
          <cell r="E59">
            <v>17.451844369442512</v>
          </cell>
          <cell r="F59">
            <v>14.789390590177238</v>
          </cell>
          <cell r="G59">
            <v>9.0736330644380931</v>
          </cell>
          <cell r="H59">
            <v>8.2467031760817928</v>
          </cell>
        </row>
        <row r="60">
          <cell r="C60" t="str">
            <v>2002-2018 Early Cycle</v>
          </cell>
          <cell r="D60"/>
          <cell r="E60">
            <v>16.511356338309774</v>
          </cell>
          <cell r="F60">
            <v>14.249403727801335</v>
          </cell>
          <cell r="G60">
            <v>8.0081879799852764</v>
          </cell>
          <cell r="H60" t="e">
            <v>#DIV/0!</v>
          </cell>
        </row>
        <row r="61">
          <cell r="C61" t="str">
            <v>2002-2018 Mid Cycle</v>
          </cell>
          <cell r="D61"/>
          <cell r="E61">
            <v>18.174451528888053</v>
          </cell>
          <cell r="F61">
            <v>15.177675768515218</v>
          </cell>
          <cell r="G61">
            <v>9.1033872247162755</v>
          </cell>
          <cell r="H61">
            <v>8.1673101789748106</v>
          </cell>
        </row>
        <row r="62">
          <cell r="C62" t="str">
            <v>2002-2018 Late Cycle</v>
          </cell>
          <cell r="D62"/>
          <cell r="E62">
            <v>18.375615705208343</v>
          </cell>
          <cell r="F62">
            <v>16.379830180926785</v>
          </cell>
          <cell r="G62">
            <v>10.316037257276058</v>
          </cell>
          <cell r="H62">
            <v>9.7916138824697967</v>
          </cell>
        </row>
        <row r="63">
          <cell r="C63" t="str">
            <v>2002-2008 Full Cycle</v>
          </cell>
          <cell r="D63"/>
          <cell r="E63">
            <v>19.372174186392851</v>
          </cell>
          <cell r="F63">
            <v>16.698670553729919</v>
          </cell>
          <cell r="G63">
            <v>9.6234398026286101</v>
          </cell>
          <cell r="H63">
            <v>8.299118515323439</v>
          </cell>
        </row>
        <row r="64">
          <cell r="C64" t="str">
            <v>2002-2008 Early Cycle</v>
          </cell>
          <cell r="D64"/>
          <cell r="E64">
            <v>22.394953041679578</v>
          </cell>
          <cell r="F64">
            <v>19.063007806196822</v>
          </cell>
          <cell r="G64">
            <v>10.384988120065191</v>
          </cell>
          <cell r="H64" t="e">
            <v>#DIV/0!</v>
          </cell>
        </row>
        <row r="65">
          <cell r="C65" t="str">
            <v>2002-2008 Mid Cycle</v>
          </cell>
          <cell r="D65"/>
          <cell r="E65">
            <v>19.262472338714346</v>
          </cell>
          <cell r="F65">
            <v>17.294949146403418</v>
          </cell>
          <cell r="G65">
            <v>9.8177655309079377</v>
          </cell>
          <cell r="H65">
            <v>8.656236152701716</v>
          </cell>
        </row>
        <row r="66">
          <cell r="C66" t="str">
            <v>2002-2008 Late Cycle</v>
          </cell>
          <cell r="D66"/>
          <cell r="E66">
            <v>17.224511078395345</v>
          </cell>
          <cell r="F66">
            <v>14.896640295870613</v>
          </cell>
          <cell r="G66">
            <v>8.9307838896084188</v>
          </cell>
          <cell r="H66">
            <v>8.2881320038219322</v>
          </cell>
        </row>
        <row r="67">
          <cell r="C67" t="str">
            <v>2009-2018 Full Cycle</v>
          </cell>
          <cell r="D67"/>
          <cell r="E67">
            <v>16.187707655771675</v>
          </cell>
          <cell r="F67">
            <v>13.567451413503498</v>
          </cell>
          <cell r="G67">
            <v>8.6942664150866467</v>
          </cell>
          <cell r="H67">
            <v>8.2278336539548018</v>
          </cell>
        </row>
        <row r="68">
          <cell r="C68" t="str">
            <v>2009-2018 Early Cycle</v>
          </cell>
          <cell r="D68"/>
          <cell r="E68">
            <v>10.627759634939974</v>
          </cell>
          <cell r="F68">
            <v>9.4357996494058476</v>
          </cell>
          <cell r="G68">
            <v>5.6313878399053614</v>
          </cell>
          <cell r="H68">
            <v>5.4314602700251715</v>
          </cell>
        </row>
        <row r="69">
          <cell r="C69" t="str">
            <v>2009-2018 Mid Cycle</v>
          </cell>
          <cell r="D69"/>
          <cell r="E69">
            <v>17.086430719061759</v>
          </cell>
          <cell r="F69">
            <v>13.060402390627019</v>
          </cell>
          <cell r="G69">
            <v>8.3890089185246133</v>
          </cell>
          <cell r="H69">
            <v>7.6783842052479061</v>
          </cell>
        </row>
        <row r="70">
          <cell r="C70" t="str">
            <v>2009-2018 Late Cycle</v>
          </cell>
          <cell r="D70"/>
          <cell r="E70">
            <v>19.526720332021341</v>
          </cell>
          <cell r="F70">
            <v>17.863020065982958</v>
          </cell>
          <cell r="G70">
            <v>11.701290624943695</v>
          </cell>
          <cell r="H70">
            <v>11.295095761117661</v>
          </cell>
        </row>
        <row r="80">
          <cell r="C80"/>
          <cell r="D80"/>
          <cell r="E80" t="str">
            <v>LTM P/E</v>
          </cell>
          <cell r="F80" t="str">
            <v>NTM P/E</v>
          </cell>
          <cell r="G80" t="str">
            <v>LTM EV/EBITDA</v>
          </cell>
          <cell r="H80" t="str">
            <v>NTM EV/EBITDA</v>
          </cell>
        </row>
        <row r="81">
          <cell r="C81" t="str">
            <v>2002-2018 Full Cycle</v>
          </cell>
          <cell r="D81"/>
          <cell r="E81">
            <v>23.989111745649577</v>
          </cell>
          <cell r="F81">
            <v>16.203546988432574</v>
          </cell>
          <cell r="G81">
            <v>9.8661131234978807</v>
          </cell>
          <cell r="H81">
            <v>9.2441464344112774</v>
          </cell>
        </row>
        <row r="82">
          <cell r="C82" t="str">
            <v>2002-2018 Early Cycle</v>
          </cell>
          <cell r="D82"/>
          <cell r="E82">
            <v>16.283161986472258</v>
          </cell>
          <cell r="F82">
            <v>15.362904308645149</v>
          </cell>
          <cell r="G82">
            <v>9.8819850551453499</v>
          </cell>
          <cell r="H82">
            <v>9.2905553065414104</v>
          </cell>
        </row>
        <row r="83">
          <cell r="C83" t="str">
            <v>2002-2018 Mid Cycle</v>
          </cell>
          <cell r="D83"/>
          <cell r="E83">
            <v>30.517340865834477</v>
          </cell>
          <cell r="F83">
            <v>16.5008457582353</v>
          </cell>
          <cell r="G83">
            <v>10.780763119234088</v>
          </cell>
          <cell r="H83">
            <v>10.071622690062998</v>
          </cell>
        </row>
        <row r="84">
          <cell r="C84" t="str">
            <v>2002-2018 Late Cycle</v>
          </cell>
          <cell r="D84"/>
          <cell r="E84">
            <v>27.069477185753225</v>
          </cell>
          <cell r="F84">
            <v>15.714148641486672</v>
          </cell>
          <cell r="G84">
            <v>9.9615819121752605</v>
          </cell>
          <cell r="H84">
            <v>9.1156722981071887</v>
          </cell>
        </row>
        <row r="85">
          <cell r="C85" t="str">
            <v>2002-2008 Full Cycle</v>
          </cell>
          <cell r="D85"/>
          <cell r="E85" t="e">
            <v>#REF!</v>
          </cell>
          <cell r="F85" t="e">
            <v>#REF!</v>
          </cell>
          <cell r="G85" t="e">
            <v>#REF!</v>
          </cell>
          <cell r="H85" t="e">
            <v>#REF!</v>
          </cell>
        </row>
        <row r="86">
          <cell r="C86" t="str">
            <v>2002-2008 Early Cycle</v>
          </cell>
          <cell r="D86"/>
          <cell r="E86" t="e">
            <v>#REF!</v>
          </cell>
          <cell r="F86" t="e">
            <v>#REF!</v>
          </cell>
          <cell r="G86" t="e">
            <v>#REF!</v>
          </cell>
          <cell r="H86" t="e">
            <v>#REF!</v>
          </cell>
        </row>
        <row r="87">
          <cell r="C87" t="str">
            <v>2002-2008 Mid Cycle</v>
          </cell>
          <cell r="D87"/>
          <cell r="E87">
            <v>17.392478722963279</v>
          </cell>
          <cell r="F87">
            <v>16.634595658438169</v>
          </cell>
          <cell r="G87">
            <v>10.588664830685548</v>
          </cell>
          <cell r="H87">
            <v>10.397760806394952</v>
          </cell>
        </row>
        <row r="88">
          <cell r="C88" t="str">
            <v>2002-2008 Late Cycle</v>
          </cell>
          <cell r="D88"/>
          <cell r="E88">
            <v>15.514922285786557</v>
          </cell>
          <cell r="F88">
            <v>15.144611461447708</v>
          </cell>
          <cell r="G88">
            <v>9.2118889612689792</v>
          </cell>
          <cell r="H88">
            <v>9.1385054997468451</v>
          </cell>
        </row>
        <row r="89">
          <cell r="C89" t="str">
            <v>2009-2018 Full Cycle</v>
          </cell>
          <cell r="D89"/>
          <cell r="E89">
            <v>27.069477185753225</v>
          </cell>
          <cell r="F89">
            <v>15.714148641486672</v>
          </cell>
          <cell r="G89">
            <v>9.9615819121752605</v>
          </cell>
          <cell r="H89">
            <v>9.1156722981071887</v>
          </cell>
        </row>
        <row r="90">
          <cell r="C90" t="str">
            <v>2009-2018 Early Cycle</v>
          </cell>
          <cell r="D90"/>
          <cell r="E90">
            <v>14.82226101462237</v>
          </cell>
          <cell r="F90">
            <v>14.365408382331177</v>
          </cell>
          <cell r="G90">
            <v>8.0232548958417986</v>
          </cell>
          <cell r="H90">
            <v>7.6333590435799241</v>
          </cell>
        </row>
        <row r="91">
          <cell r="C91" t="str">
            <v>2009-2018 Mid Cycle</v>
          </cell>
          <cell r="D91"/>
          <cell r="E91">
            <v>15.173845249981238</v>
          </cell>
          <cell r="F91">
            <v>14.091212958852129</v>
          </cell>
          <cell r="G91">
            <v>9.1753052796051513</v>
          </cell>
          <cell r="H91">
            <v>8.1833498066878683</v>
          </cell>
        </row>
        <row r="92">
          <cell r="C92" t="str">
            <v>2009-2018 Late Cycle</v>
          </cell>
          <cell r="D92"/>
          <cell r="E92">
            <v>45.5197594458824</v>
          </cell>
          <cell r="F92">
            <v>17.857080055022895</v>
          </cell>
          <cell r="G92">
            <v>12.349637277199196</v>
          </cell>
          <cell r="H92">
            <v>11.004739880379152</v>
          </cell>
        </row>
        <row r="93">
          <cell r="C93"/>
          <cell r="D93"/>
          <cell r="E93"/>
          <cell r="F93"/>
          <cell r="G93"/>
          <cell r="H93"/>
        </row>
      </sheetData>
      <sheetData sheetId="16" refreshError="1"/>
      <sheetData sheetId="17" refreshError="1"/>
      <sheetData sheetId="18" refreshError="1"/>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B Pipeline Schedule"/>
      <sheetName val="Financial Model"/>
      <sheetName val="Revenue Waterfall - Final"/>
      <sheetName val="2013 CRS"/>
      <sheetName val="2013 Monthly P&amp;L"/>
      <sheetName val="2012 Monthly P&amp;L"/>
      <sheetName val="2012 CRS"/>
      <sheetName val="Earnings Adj."/>
      <sheetName val="Fringe Adjustments"/>
      <sheetName val="Monthly Balance Sheets"/>
      <sheetName val="WC Schedule"/>
      <sheetName val="Jan 2013"/>
      <sheetName val="Feb 2013"/>
      <sheetName val="Mar 2013"/>
      <sheetName val="Jan"/>
      <sheetName val="Feb"/>
      <sheetName val="Mar"/>
      <sheetName val="Apr"/>
      <sheetName val="May"/>
      <sheetName val="June"/>
      <sheetName val="July"/>
      <sheetName val="Aug"/>
      <sheetName val="Sept"/>
      <sheetName val="Oct"/>
      <sheetName val="Nov"/>
      <sheetName val="Dec"/>
      <sheetName val="Valuation"/>
      <sheetName val="Financial Chart"/>
      <sheetName val="Pro Forma EBITDA"/>
      <sheetName val="Earnings Adjustments"/>
      <sheetName val="Balance Sheets-Mar-13"/>
      <sheetName val="Balance Sheets"/>
      <sheetName val="Chart Data"/>
      <sheetName val="Revenue Waterfall"/>
      <sheetName val="Staffing Forecast 2013"/>
      <sheetName val="P&amp;L Trend Mar-13"/>
      <sheetName val="Total Inc by Project Mar-13"/>
      <sheetName val="Backlog Schedule"/>
      <sheetName val="P&amp;L - Actual vs Budget (Feb 13)"/>
      <sheetName val="P&amp;L Trend (Feb 13)"/>
      <sheetName val="Invoice Schedule"/>
      <sheetName val="Wage Forecast"/>
      <sheetName val="Indirect Forecast"/>
      <sheetName val="Planning Worksheet"/>
      <sheetName val="2013 Forecast"/>
      <sheetName val="P&amp;L Trend (2)"/>
      <sheetName val="Total Inc by Project by Mon (2)"/>
      <sheetName val="Billiability Trend (2)"/>
      <sheetName val="P&amp;L Trend"/>
      <sheetName val="Total Inc by Project by Month"/>
      <sheetName val="Billability by Employee"/>
      <sheetName val="Employee Hours"/>
      <sheetName val="Sheet2"/>
      <sheetName val="Billiability Trend"/>
      <sheetName val="VV Proj Detail"/>
      <sheetName val="VV Sub Time Detail"/>
      <sheetName val="Staffing Forecast 20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1">
          <cell r="C1" t="str">
            <v>Level</v>
          </cell>
          <cell r="P1" t="str">
            <v>Gender</v>
          </cell>
        </row>
        <row r="2">
          <cell r="C2" t="str">
            <v>3 - Jr. Analyst</v>
          </cell>
          <cell r="P2" t="str">
            <v>=F</v>
          </cell>
        </row>
        <row r="6">
          <cell r="C6" t="str">
            <v>Annual Salary</v>
          </cell>
          <cell r="P6" t="str">
            <v>Gender</v>
          </cell>
        </row>
        <row r="7">
          <cell r="C7">
            <v>72000</v>
          </cell>
          <cell r="P7" t="str">
            <v>M</v>
          </cell>
        </row>
        <row r="8">
          <cell r="C8">
            <v>62000</v>
          </cell>
          <cell r="P8" t="str">
            <v>F</v>
          </cell>
        </row>
        <row r="9">
          <cell r="C9">
            <v>135000</v>
          </cell>
          <cell r="P9" t="str">
            <v>M</v>
          </cell>
        </row>
        <row r="10">
          <cell r="C10">
            <v>83000</v>
          </cell>
          <cell r="P10" t="str">
            <v>M</v>
          </cell>
        </row>
        <row r="11">
          <cell r="C11">
            <v>130000</v>
          </cell>
          <cell r="P11" t="str">
            <v>M</v>
          </cell>
        </row>
        <row r="12">
          <cell r="C12">
            <v>130000</v>
          </cell>
          <cell r="P12" t="str">
            <v>M</v>
          </cell>
        </row>
        <row r="13">
          <cell r="C13">
            <v>85000</v>
          </cell>
          <cell r="P13" t="str">
            <v>M</v>
          </cell>
        </row>
        <row r="14">
          <cell r="C14">
            <v>120000</v>
          </cell>
          <cell r="P14" t="str">
            <v>F</v>
          </cell>
        </row>
        <row r="15">
          <cell r="C15">
            <v>200000</v>
          </cell>
          <cell r="P15" t="str">
            <v>M</v>
          </cell>
        </row>
        <row r="16">
          <cell r="C16">
            <v>200000</v>
          </cell>
          <cell r="P16" t="str">
            <v>M</v>
          </cell>
        </row>
        <row r="17">
          <cell r="C17">
            <v>100800</v>
          </cell>
          <cell r="P17" t="str">
            <v>F</v>
          </cell>
        </row>
        <row r="18">
          <cell r="C18">
            <v>155000</v>
          </cell>
          <cell r="P18" t="str">
            <v>M</v>
          </cell>
        </row>
        <row r="19">
          <cell r="C19">
            <v>70000</v>
          </cell>
        </row>
        <row r="21">
          <cell r="C21" t="str">
            <v>Salary</v>
          </cell>
          <cell r="P21" t="str">
            <v>Gender</v>
          </cell>
        </row>
        <row r="22">
          <cell r="C22">
            <v>118000</v>
          </cell>
          <cell r="P22" t="str">
            <v>F</v>
          </cell>
        </row>
        <row r="23">
          <cell r="C23">
            <v>135000</v>
          </cell>
          <cell r="P23" t="str">
            <v>F</v>
          </cell>
        </row>
        <row r="25">
          <cell r="C25" t="str">
            <v>IAT Pay Rate Per Hour</v>
          </cell>
          <cell r="P25" t="str">
            <v>Gender</v>
          </cell>
        </row>
        <row r="26">
          <cell r="C26">
            <v>156</v>
          </cell>
          <cell r="P26" t="str">
            <v>M</v>
          </cell>
        </row>
        <row r="27">
          <cell r="C27">
            <v>152.5</v>
          </cell>
        </row>
        <row r="28">
          <cell r="C28">
            <v>156</v>
          </cell>
        </row>
        <row r="29">
          <cell r="C29">
            <v>156</v>
          </cell>
          <cell r="P29" t="str">
            <v>M</v>
          </cell>
        </row>
        <row r="30">
          <cell r="C30">
            <v>90</v>
          </cell>
          <cell r="P30" t="str">
            <v>F</v>
          </cell>
        </row>
        <row r="33">
          <cell r="P33" t="str">
            <v>M</v>
          </cell>
        </row>
        <row r="34">
          <cell r="C34">
            <v>102.84</v>
          </cell>
          <cell r="P34" t="str">
            <v>F</v>
          </cell>
        </row>
        <row r="35">
          <cell r="C35">
            <v>150</v>
          </cell>
          <cell r="P35" t="str">
            <v>M</v>
          </cell>
        </row>
        <row r="36">
          <cell r="C36">
            <v>125</v>
          </cell>
          <cell r="P36" t="str">
            <v>F</v>
          </cell>
        </row>
        <row r="37">
          <cell r="C37">
            <v>125</v>
          </cell>
        </row>
        <row r="38">
          <cell r="C38">
            <v>197.16</v>
          </cell>
          <cell r="P38" t="str">
            <v>M</v>
          </cell>
        </row>
        <row r="39">
          <cell r="C39">
            <v>125</v>
          </cell>
          <cell r="P39" t="str">
            <v>M</v>
          </cell>
        </row>
        <row r="43">
          <cell r="C43">
            <v>124.5</v>
          </cell>
          <cell r="P43" t="str">
            <v>M</v>
          </cell>
        </row>
        <row r="44">
          <cell r="C44">
            <v>125</v>
          </cell>
          <cell r="P44" t="str">
            <v>M</v>
          </cell>
        </row>
        <row r="46">
          <cell r="C46">
            <v>125</v>
          </cell>
          <cell r="P46" t="str">
            <v>M</v>
          </cell>
        </row>
        <row r="47">
          <cell r="C47">
            <v>130</v>
          </cell>
          <cell r="P47" t="str">
            <v>M</v>
          </cell>
        </row>
        <row r="48">
          <cell r="C48">
            <v>100</v>
          </cell>
          <cell r="P48" t="str">
            <v>M</v>
          </cell>
        </row>
      </sheetData>
      <sheetData sheetId="44"/>
      <sheetData sheetId="45"/>
      <sheetData sheetId="46"/>
      <sheetData sheetId="47"/>
      <sheetData sheetId="48"/>
      <sheetData sheetId="49"/>
      <sheetData sheetId="50"/>
      <sheetData sheetId="51"/>
      <sheetData sheetId="52">
        <row r="6">
          <cell r="D6" t="str">
            <v>Yes</v>
          </cell>
        </row>
        <row r="7">
          <cell r="D7" t="str">
            <v>No</v>
          </cell>
        </row>
      </sheetData>
      <sheetData sheetId="53"/>
      <sheetData sheetId="54"/>
      <sheetData sheetId="55"/>
      <sheetData sheetId="5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1 budget assumptions"/>
      <sheetName val="Summary Balance Sheet"/>
      <sheetName val="Summary Cash Flow Statement"/>
      <sheetName val="Profit &amp; Loss"/>
      <sheetName val="Labor budget"/>
      <sheetName val="labor rates"/>
      <sheetName val="Rate Rec"/>
      <sheetName val="Fringe Benefits Pool"/>
      <sheetName val="Overhead Pool"/>
      <sheetName val="G &amp; A Pool"/>
      <sheetName val="P&amp;L Assumptions"/>
      <sheetName val="SMH"/>
      <sheetName val="Facility SC"/>
      <sheetName val="Salaries"/>
      <sheetName val="2010 Labor Rates 091130"/>
      <sheetName val="Vacation"/>
    </sheetNames>
    <sheetDataSet>
      <sheetData sheetId="0"/>
      <sheetData sheetId="1"/>
      <sheetData sheetId="2"/>
      <sheetData sheetId="3">
        <row r="20">
          <cell r="Z20">
            <v>0</v>
          </cell>
        </row>
      </sheetData>
      <sheetData sheetId="4"/>
      <sheetData sheetId="5"/>
      <sheetData sheetId="6"/>
      <sheetData sheetId="7"/>
      <sheetData sheetId="8"/>
      <sheetData sheetId="9"/>
      <sheetData sheetId="10">
        <row r="47">
          <cell r="M47">
            <v>0.21970000000000001</v>
          </cell>
        </row>
      </sheetData>
      <sheetData sheetId="11"/>
      <sheetData sheetId="12"/>
      <sheetData sheetId="13">
        <row r="2">
          <cell r="A2" t="str">
            <v>001000 Velez Carlos</v>
          </cell>
        </row>
        <row r="17">
          <cell r="G17">
            <v>98820.800000000003</v>
          </cell>
        </row>
        <row r="26">
          <cell r="A26" t="str">
            <v>001028 Mooradian Deborah</v>
          </cell>
        </row>
      </sheetData>
      <sheetData sheetId="14">
        <row r="5">
          <cell r="A5" t="str">
            <v>Velez Carlos</v>
          </cell>
        </row>
        <row r="226">
          <cell r="A226" t="str">
            <v>Caruso Natalie</v>
          </cell>
        </row>
        <row r="233">
          <cell r="E233" t="str">
            <v>001020</v>
          </cell>
        </row>
        <row r="513">
          <cell r="A513" t="str">
            <v>New Employee 1</v>
          </cell>
        </row>
        <row r="520">
          <cell r="E520" t="str">
            <v>001044</v>
          </cell>
        </row>
        <row r="526">
          <cell r="A526" t="str">
            <v>New Employee 2</v>
          </cell>
        </row>
        <row r="533">
          <cell r="E533" t="str">
            <v>001045</v>
          </cell>
        </row>
        <row r="539">
          <cell r="A539" t="str">
            <v>New Employee 3</v>
          </cell>
        </row>
        <row r="546">
          <cell r="E546" t="str">
            <v>001046</v>
          </cell>
        </row>
        <row r="552">
          <cell r="A552" t="str">
            <v>New Employee 4</v>
          </cell>
        </row>
        <row r="565">
          <cell r="A565" t="str">
            <v>New Employee 5</v>
          </cell>
        </row>
        <row r="591">
          <cell r="A591" t="str">
            <v>New Employee 7</v>
          </cell>
        </row>
        <row r="604">
          <cell r="A604" t="str">
            <v>New Employee 8</v>
          </cell>
        </row>
        <row r="617">
          <cell r="A617" t="str">
            <v>New Employee 9</v>
          </cell>
        </row>
        <row r="630">
          <cell r="A630" t="str">
            <v>New Employee 10</v>
          </cell>
        </row>
        <row r="643">
          <cell r="A643" t="str">
            <v>New Employee 11</v>
          </cell>
        </row>
        <row r="656">
          <cell r="A656" t="str">
            <v>New Employee 12</v>
          </cell>
        </row>
      </sheetData>
      <sheetData sheetId="1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11 CFF &amp; ACTUALS"/>
      <sheetName val="FY11 CFF - the PLAN"/>
      <sheetName val="Pay Roll &amp; Taxes"/>
      <sheetName val="Fringe"/>
      <sheetName val="Overhead"/>
      <sheetName val="G&amp;A"/>
      <sheetName val="Wrap Rate Calculation 2011"/>
      <sheetName val="Rate Rec"/>
      <sheetName val="The Utilization model"/>
      <sheetName val="FY11 Sales Forecast"/>
      <sheetName val="2011 Chart of Accounts "/>
      <sheetName val="Sheet1"/>
    </sheetNames>
    <sheetDataSet>
      <sheetData sheetId="0">
        <row r="23">
          <cell r="K23">
            <v>23018.74</v>
          </cell>
        </row>
      </sheetData>
      <sheetData sheetId="1">
        <row r="14">
          <cell r="X14">
            <v>0.91541666666666655</v>
          </cell>
        </row>
      </sheetData>
      <sheetData sheetId="2">
        <row r="4">
          <cell r="E4">
            <v>7295.833333333333</v>
          </cell>
        </row>
        <row r="66">
          <cell r="R66">
            <v>2128637.1996029248</v>
          </cell>
        </row>
        <row r="67">
          <cell r="R67">
            <v>318935.37512193271</v>
          </cell>
        </row>
        <row r="68">
          <cell r="R68">
            <v>117259.65928155277</v>
          </cell>
        </row>
        <row r="69">
          <cell r="R69">
            <v>419406</v>
          </cell>
        </row>
        <row r="70">
          <cell r="R70">
            <v>2984238.2340064105</v>
          </cell>
        </row>
        <row r="76">
          <cell r="B76">
            <v>6621.6</v>
          </cell>
        </row>
        <row r="123">
          <cell r="R123">
            <v>169589.76609182372</v>
          </cell>
        </row>
      </sheetData>
      <sheetData sheetId="3">
        <row r="22">
          <cell r="Q22">
            <v>408.6716369047619</v>
          </cell>
        </row>
      </sheetData>
      <sheetData sheetId="4">
        <row r="4">
          <cell r="D4">
            <v>0</v>
          </cell>
        </row>
      </sheetData>
      <sheetData sheetId="5">
        <row r="4">
          <cell r="E4">
            <v>24513</v>
          </cell>
        </row>
      </sheetData>
      <sheetData sheetId="6"/>
      <sheetData sheetId="7"/>
      <sheetData sheetId="8">
        <row r="4">
          <cell r="B4">
            <v>0.8347457627118644</v>
          </cell>
        </row>
      </sheetData>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Key Assumptions"/>
      <sheetName val="P &amp; L updates"/>
      <sheetName val="Summary Balance Sheet"/>
      <sheetName val="Summary Cash Flow Statement"/>
      <sheetName val="Labor budget"/>
      <sheetName val="Capital Budget"/>
      <sheetName val="Billing Projections Wksht"/>
      <sheetName val="Labor categories &amp; bill rates"/>
      <sheetName val="Benefits"/>
      <sheetName val="Deltek SC assumptions"/>
      <sheetName val="B&amp;C allocations"/>
      <sheetName val="Assumptions"/>
      <sheetName val="Start up costs"/>
      <sheetName val="Loan Amortization Schedule"/>
      <sheetName val="Loan Amortization Schedule (2)"/>
      <sheetName val="Summary Statement of Income"/>
      <sheetName val="Statement of Inco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Loan Amortization Schedule</v>
          </cell>
        </row>
        <row r="4">
          <cell r="B4" t="str">
            <v>Enter values</v>
          </cell>
          <cell r="F4" t="str">
            <v>Loan summary</v>
          </cell>
        </row>
        <row r="5">
          <cell r="C5" t="str">
            <v>Loan amount</v>
          </cell>
          <cell r="D5">
            <v>71900</v>
          </cell>
          <cell r="G5" t="str">
            <v>Scheduled payment</v>
          </cell>
          <cell r="H5">
            <v>1440.7285040253385</v>
          </cell>
        </row>
        <row r="6">
          <cell r="C6" t="str">
            <v>Annual interest rate</v>
          </cell>
          <cell r="D6">
            <v>7.4999999999999997E-2</v>
          </cell>
          <cell r="G6" t="str">
            <v>Scheduled number of payments</v>
          </cell>
          <cell r="H6">
            <v>60</v>
          </cell>
        </row>
        <row r="7">
          <cell r="C7" t="str">
            <v>Loan period in years</v>
          </cell>
          <cell r="D7">
            <v>5</v>
          </cell>
          <cell r="G7" t="str">
            <v>Actual number of payments</v>
          </cell>
          <cell r="H7">
            <v>50</v>
          </cell>
        </row>
        <row r="8">
          <cell r="C8" t="str">
            <v>Number of payments per year</v>
          </cell>
          <cell r="D8">
            <v>12</v>
          </cell>
          <cell r="G8" t="str">
            <v>Total early payments</v>
          </cell>
          <cell r="H8">
            <v>0</v>
          </cell>
        </row>
        <row r="9">
          <cell r="C9" t="str">
            <v>Start date of loan</v>
          </cell>
          <cell r="D9">
            <v>38961</v>
          </cell>
          <cell r="G9" t="str">
            <v>Total interest</v>
          </cell>
          <cell r="H9">
            <v>14060.593917840954</v>
          </cell>
        </row>
        <row r="10">
          <cell r="C10" t="str">
            <v>Optional extra payments</v>
          </cell>
          <cell r="D10">
            <v>0</v>
          </cell>
        </row>
        <row r="12">
          <cell r="B12" t="str">
            <v>Lender name:</v>
          </cell>
          <cell r="C12" t="str">
            <v>HP Lease Agreement # 50024446</v>
          </cell>
        </row>
        <row r="16">
          <cell r="A16" t="str">
            <v>PmtNo.</v>
          </cell>
          <cell r="B16" t="str">
            <v>Payment Date</v>
          </cell>
          <cell r="C16" t="str">
            <v>Beginning Balance</v>
          </cell>
          <cell r="D16" t="str">
            <v>Scheduled Payment</v>
          </cell>
          <cell r="E16" t="str">
            <v>Extra Payment</v>
          </cell>
          <cell r="F16" t="str">
            <v>Total Payment</v>
          </cell>
          <cell r="G16" t="str">
            <v>Principal</v>
          </cell>
          <cell r="H16" t="str">
            <v>Interest</v>
          </cell>
          <cell r="I16" t="str">
            <v>Ending Balance</v>
          </cell>
          <cell r="J16" t="str">
            <v>Cumulative Interest</v>
          </cell>
        </row>
        <row r="18">
          <cell r="A18">
            <v>1</v>
          </cell>
          <cell r="B18">
            <v>38991</v>
          </cell>
          <cell r="C18">
            <v>71900</v>
          </cell>
          <cell r="D18">
            <v>1440.7285040253385</v>
          </cell>
          <cell r="E18">
            <v>0</v>
          </cell>
          <cell r="F18">
            <v>1440.7285040253385</v>
          </cell>
          <cell r="G18">
            <v>991.35350402533845</v>
          </cell>
          <cell r="H18">
            <v>449.37499999999994</v>
          </cell>
          <cell r="I18">
            <v>70908.646495974666</v>
          </cell>
          <cell r="J18">
            <v>449.37499999999994</v>
          </cell>
        </row>
        <row r="19">
          <cell r="A19">
            <v>2</v>
          </cell>
          <cell r="B19">
            <v>39022</v>
          </cell>
          <cell r="C19">
            <v>70908.646495974666</v>
          </cell>
          <cell r="D19">
            <v>1440.7285040253385</v>
          </cell>
          <cell r="E19">
            <v>0</v>
          </cell>
          <cell r="F19">
            <v>1440.7285040253385</v>
          </cell>
          <cell r="G19">
            <v>997.5494634254967</v>
          </cell>
          <cell r="H19">
            <v>443.1790405998417</v>
          </cell>
          <cell r="I19">
            <v>69911.097032549165</v>
          </cell>
          <cell r="J19">
            <v>892.55404059984164</v>
          </cell>
        </row>
        <row r="20">
          <cell r="A20">
            <v>3</v>
          </cell>
          <cell r="B20">
            <v>39052</v>
          </cell>
          <cell r="C20">
            <v>69911.097032549165</v>
          </cell>
          <cell r="D20">
            <v>1440.7285040253385</v>
          </cell>
          <cell r="E20">
            <v>0</v>
          </cell>
          <cell r="F20">
            <v>1440.7285040253385</v>
          </cell>
          <cell r="G20">
            <v>1003.7841475719063</v>
          </cell>
          <cell r="H20">
            <v>436.94435645343225</v>
          </cell>
          <cell r="I20">
            <v>68907.312884977262</v>
          </cell>
          <cell r="J20">
            <v>1329.4983970532739</v>
          </cell>
        </row>
        <row r="21">
          <cell r="A21">
            <v>4</v>
          </cell>
          <cell r="B21">
            <v>39083</v>
          </cell>
          <cell r="C21">
            <v>68907.312884977262</v>
          </cell>
          <cell r="D21">
            <v>1440.7285040253385</v>
          </cell>
          <cell r="E21">
            <v>0</v>
          </cell>
          <cell r="F21">
            <v>1440.7285040253385</v>
          </cell>
          <cell r="G21">
            <v>1010.0577984942306</v>
          </cell>
          <cell r="H21">
            <v>430.67070553110784</v>
          </cell>
          <cell r="I21">
            <v>67897.255086483026</v>
          </cell>
          <cell r="J21">
            <v>1760.1691025843818</v>
          </cell>
        </row>
        <row r="22">
          <cell r="A22">
            <v>5</v>
          </cell>
          <cell r="B22">
            <v>39114</v>
          </cell>
          <cell r="C22">
            <v>67897.255086483026</v>
          </cell>
          <cell r="D22">
            <v>1440.7285040253385</v>
          </cell>
          <cell r="E22">
            <v>0</v>
          </cell>
          <cell r="F22">
            <v>1440.7285040253385</v>
          </cell>
          <cell r="G22">
            <v>1016.3706597348196</v>
          </cell>
          <cell r="H22">
            <v>424.35784429051887</v>
          </cell>
          <cell r="I22">
            <v>66880.884426748205</v>
          </cell>
          <cell r="J22">
            <v>2184.5269468749007</v>
          </cell>
        </row>
        <row r="23">
          <cell r="A23">
            <v>6</v>
          </cell>
          <cell r="B23">
            <v>39142</v>
          </cell>
          <cell r="C23">
            <v>66880.884426748205</v>
          </cell>
          <cell r="D23">
            <v>1440.7285040253385</v>
          </cell>
          <cell r="E23">
            <v>0</v>
          </cell>
          <cell r="F23">
            <v>1440.7285040253385</v>
          </cell>
          <cell r="G23">
            <v>1022.7229763581622</v>
          </cell>
          <cell r="H23">
            <v>418.00552766717624</v>
          </cell>
          <cell r="I23">
            <v>65858.161450390049</v>
          </cell>
          <cell r="J23">
            <v>2602.5324745420767</v>
          </cell>
        </row>
        <row r="24">
          <cell r="A24">
            <v>7</v>
          </cell>
          <cell r="B24">
            <v>39173</v>
          </cell>
          <cell r="C24">
            <v>65858.161450390049</v>
          </cell>
          <cell r="D24">
            <v>1440.7285040253385</v>
          </cell>
          <cell r="E24">
            <v>0</v>
          </cell>
          <cell r="F24">
            <v>1440.7285040253385</v>
          </cell>
          <cell r="G24">
            <v>1029.1149949604007</v>
          </cell>
          <cell r="H24">
            <v>411.61350906493777</v>
          </cell>
          <cell r="I24">
            <v>64829.046455429649</v>
          </cell>
          <cell r="J24">
            <v>3014.1459836070144</v>
          </cell>
        </row>
        <row r="25">
          <cell r="A25">
            <v>8</v>
          </cell>
          <cell r="B25">
            <v>39203</v>
          </cell>
          <cell r="C25">
            <v>64829.046455429649</v>
          </cell>
          <cell r="D25">
            <v>1440.7285040253385</v>
          </cell>
          <cell r="E25">
            <v>0</v>
          </cell>
          <cell r="F25">
            <v>1440.7285040253385</v>
          </cell>
          <cell r="G25">
            <v>1035.5469636789032</v>
          </cell>
          <cell r="H25">
            <v>405.18154034643527</v>
          </cell>
          <cell r="I25">
            <v>63793.499491750743</v>
          </cell>
          <cell r="J25">
            <v>3419.3275239534496</v>
          </cell>
        </row>
        <row r="26">
          <cell r="A26">
            <v>9</v>
          </cell>
          <cell r="B26">
            <v>39234</v>
          </cell>
          <cell r="C26">
            <v>63793.499491750743</v>
          </cell>
          <cell r="D26">
            <v>1440.7285040253385</v>
          </cell>
          <cell r="E26">
            <v>0</v>
          </cell>
          <cell r="F26">
            <v>1440.7285040253385</v>
          </cell>
          <cell r="G26">
            <v>1042.0191322018964</v>
          </cell>
          <cell r="H26">
            <v>398.7093718234421</v>
          </cell>
          <cell r="I26">
            <v>62751.480359548848</v>
          </cell>
          <cell r="J26">
            <v>3818.0368957768915</v>
          </cell>
        </row>
        <row r="27">
          <cell r="A27">
            <v>10</v>
          </cell>
          <cell r="B27">
            <v>39264</v>
          </cell>
          <cell r="C27">
            <v>62751.480359548848</v>
          </cell>
          <cell r="D27">
            <v>1440.7285040253385</v>
          </cell>
          <cell r="E27">
            <v>0</v>
          </cell>
          <cell r="F27">
            <v>1440.7285040253385</v>
          </cell>
          <cell r="G27">
            <v>1048.5317517781582</v>
          </cell>
          <cell r="H27">
            <v>392.19675224718026</v>
          </cell>
          <cell r="I27">
            <v>61702.94860777069</v>
          </cell>
          <cell r="J27">
            <v>4210.233648024072</v>
          </cell>
        </row>
        <row r="28">
          <cell r="A28">
            <v>11</v>
          </cell>
          <cell r="B28">
            <v>39295</v>
          </cell>
          <cell r="C28">
            <v>61702.94860777069</v>
          </cell>
          <cell r="D28">
            <v>1440.7285040253385</v>
          </cell>
          <cell r="E28">
            <v>0</v>
          </cell>
          <cell r="F28">
            <v>1440.7285040253385</v>
          </cell>
          <cell r="G28">
            <v>1055.0850752267716</v>
          </cell>
          <cell r="H28">
            <v>385.64342879856684</v>
          </cell>
          <cell r="I28">
            <v>60647.863532543917</v>
          </cell>
          <cell r="J28">
            <v>4595.8770768226386</v>
          </cell>
        </row>
        <row r="29">
          <cell r="A29">
            <v>12</v>
          </cell>
          <cell r="B29">
            <v>39326</v>
          </cell>
          <cell r="C29">
            <v>60647.863532543917</v>
          </cell>
          <cell r="D29">
            <v>1440.7285040253385</v>
          </cell>
          <cell r="E29">
            <v>0</v>
          </cell>
          <cell r="F29">
            <v>1440.7285040253385</v>
          </cell>
          <cell r="G29">
            <v>1061.6793569469389</v>
          </cell>
          <cell r="H29">
            <v>379.04914707839947</v>
          </cell>
          <cell r="I29">
            <v>59586.18417559698</v>
          </cell>
          <cell r="J29">
            <v>4974.9262239010377</v>
          </cell>
        </row>
        <row r="30">
          <cell r="A30">
            <v>13</v>
          </cell>
          <cell r="B30">
            <v>39356</v>
          </cell>
          <cell r="C30">
            <v>59586.18417559698</v>
          </cell>
          <cell r="D30">
            <v>1440.7285040253385</v>
          </cell>
          <cell r="E30">
            <v>0</v>
          </cell>
          <cell r="F30">
            <v>1440.7285040253385</v>
          </cell>
          <cell r="G30">
            <v>1068.3148529278574</v>
          </cell>
          <cell r="H30">
            <v>372.41365109748108</v>
          </cell>
          <cell r="I30">
            <v>58517.869322669125</v>
          </cell>
          <cell r="J30">
            <v>5347.339874998519</v>
          </cell>
        </row>
        <row r="31">
          <cell r="A31">
            <v>14</v>
          </cell>
          <cell r="B31">
            <v>39387</v>
          </cell>
          <cell r="C31">
            <v>58517.869322669125</v>
          </cell>
          <cell r="D31">
            <v>1440.7285040253385</v>
          </cell>
          <cell r="E31">
            <v>0</v>
          </cell>
          <cell r="F31">
            <v>1440.7285040253385</v>
          </cell>
          <cell r="G31">
            <v>1074.9918207586563</v>
          </cell>
          <cell r="H31">
            <v>365.73668326668206</v>
          </cell>
          <cell r="I31">
            <v>57442.877501910465</v>
          </cell>
          <cell r="J31">
            <v>5713.0765582652011</v>
          </cell>
        </row>
        <row r="32">
          <cell r="A32">
            <v>15</v>
          </cell>
          <cell r="B32">
            <v>39417</v>
          </cell>
          <cell r="C32">
            <v>57442.877501910465</v>
          </cell>
          <cell r="D32">
            <v>1440.7285040253385</v>
          </cell>
          <cell r="E32">
            <v>0</v>
          </cell>
          <cell r="F32">
            <v>1440.7285040253385</v>
          </cell>
          <cell r="G32">
            <v>1081.710519638398</v>
          </cell>
          <cell r="H32">
            <v>359.01798438694044</v>
          </cell>
          <cell r="I32">
            <v>56361.166982272065</v>
          </cell>
          <cell r="J32">
            <v>6072.0945426521412</v>
          </cell>
        </row>
        <row r="33">
          <cell r="A33">
            <v>16</v>
          </cell>
          <cell r="B33">
            <v>39448</v>
          </cell>
          <cell r="C33">
            <v>56361.166982272065</v>
          </cell>
          <cell r="D33">
            <v>1440.7285040253385</v>
          </cell>
          <cell r="E33">
            <v>0</v>
          </cell>
          <cell r="F33">
            <v>1440.7285040253385</v>
          </cell>
          <cell r="G33">
            <v>1088.471210386138</v>
          </cell>
          <cell r="H33">
            <v>352.25729363920044</v>
          </cell>
          <cell r="I33">
            <v>55272.695771885927</v>
          </cell>
          <cell r="J33">
            <v>6424.3518362913419</v>
          </cell>
        </row>
        <row r="34">
          <cell r="A34">
            <v>17</v>
          </cell>
          <cell r="B34">
            <v>39479</v>
          </cell>
          <cell r="C34">
            <v>55272.695771885927</v>
          </cell>
          <cell r="D34">
            <v>1440.7285040253385</v>
          </cell>
          <cell r="E34">
            <v>0</v>
          </cell>
          <cell r="F34">
            <v>1440.7285040253385</v>
          </cell>
          <cell r="G34">
            <v>1095.2741554510515</v>
          </cell>
          <cell r="H34">
            <v>345.454348574287</v>
          </cell>
          <cell r="I34">
            <v>54177.421616434876</v>
          </cell>
          <cell r="J34">
            <v>6769.8061848656289</v>
          </cell>
        </row>
        <row r="35">
          <cell r="A35">
            <v>18</v>
          </cell>
          <cell r="B35">
            <v>39508</v>
          </cell>
          <cell r="C35">
            <v>54177.421616434876</v>
          </cell>
          <cell r="D35">
            <v>1440.7285040253385</v>
          </cell>
          <cell r="E35">
            <v>0</v>
          </cell>
          <cell r="F35">
            <v>1440.7285040253385</v>
          </cell>
          <cell r="G35">
            <v>1102.1196189226205</v>
          </cell>
          <cell r="H35">
            <v>338.60888510271798</v>
          </cell>
          <cell r="I35">
            <v>53075.301997512259</v>
          </cell>
          <cell r="J35">
            <v>7108.4150699683469</v>
          </cell>
        </row>
        <row r="36">
          <cell r="A36">
            <v>19</v>
          </cell>
          <cell r="B36">
            <v>39539</v>
          </cell>
          <cell r="C36">
            <v>53075.301997512259</v>
          </cell>
          <cell r="D36">
            <v>1440.7285040253385</v>
          </cell>
          <cell r="E36">
            <v>0</v>
          </cell>
          <cell r="F36">
            <v>1440.7285040253385</v>
          </cell>
          <cell r="G36">
            <v>1109.0078665408869</v>
          </cell>
          <cell r="H36">
            <v>331.72063748445163</v>
          </cell>
          <cell r="I36">
            <v>51966.294130971371</v>
          </cell>
          <cell r="J36">
            <v>7440.1357074527987</v>
          </cell>
        </row>
        <row r="37">
          <cell r="A37">
            <v>20</v>
          </cell>
          <cell r="B37">
            <v>39569</v>
          </cell>
          <cell r="C37">
            <v>51966.294130971371</v>
          </cell>
          <cell r="D37">
            <v>1440.7285040253385</v>
          </cell>
          <cell r="E37">
            <v>0</v>
          </cell>
          <cell r="F37">
            <v>1440.7285040253385</v>
          </cell>
          <cell r="G37">
            <v>1115.9391657067674</v>
          </cell>
          <cell r="H37">
            <v>324.78933831857108</v>
          </cell>
          <cell r="I37">
            <v>50850.354965264603</v>
          </cell>
          <cell r="J37">
            <v>7764.9250457713697</v>
          </cell>
        </row>
        <row r="38">
          <cell r="A38">
            <v>21</v>
          </cell>
          <cell r="B38">
            <v>39600</v>
          </cell>
          <cell r="C38">
            <v>50850.354965264603</v>
          </cell>
          <cell r="D38">
            <v>1440.7285040253385</v>
          </cell>
          <cell r="E38">
            <v>0</v>
          </cell>
          <cell r="F38">
            <v>1440.7285040253385</v>
          </cell>
          <cell r="G38">
            <v>1122.9137854924347</v>
          </cell>
          <cell r="H38">
            <v>317.81471853290378</v>
          </cell>
          <cell r="I38">
            <v>49727.44117977217</v>
          </cell>
          <cell r="J38">
            <v>8082.7397643042732</v>
          </cell>
        </row>
        <row r="39">
          <cell r="A39">
            <v>22</v>
          </cell>
          <cell r="B39">
            <v>39630</v>
          </cell>
          <cell r="C39">
            <v>49727.44117977217</v>
          </cell>
          <cell r="D39">
            <v>1440.7285040253385</v>
          </cell>
          <cell r="E39">
            <v>0</v>
          </cell>
          <cell r="F39">
            <v>1440.7285040253385</v>
          </cell>
          <cell r="G39">
            <v>1129.9319966517623</v>
          </cell>
          <cell r="H39">
            <v>310.79650737357605</v>
          </cell>
          <cell r="I39">
            <v>48597.509183120404</v>
          </cell>
          <cell r="J39">
            <v>8393.5362716778491</v>
          </cell>
        </row>
        <row r="40">
          <cell r="A40">
            <v>23</v>
          </cell>
          <cell r="B40">
            <v>39661</v>
          </cell>
          <cell r="C40">
            <v>48597.509183120404</v>
          </cell>
          <cell r="D40">
            <v>1440.7285040253385</v>
          </cell>
          <cell r="E40">
            <v>0</v>
          </cell>
          <cell r="F40">
            <v>1440.7285040253385</v>
          </cell>
          <cell r="G40">
            <v>1136.9940716308361</v>
          </cell>
          <cell r="H40">
            <v>303.73443239450251</v>
          </cell>
          <cell r="I40">
            <v>47460.515111489571</v>
          </cell>
          <cell r="J40">
            <v>8697.2707040723508</v>
          </cell>
        </row>
        <row r="41">
          <cell r="A41">
            <v>24</v>
          </cell>
          <cell r="B41">
            <v>39692</v>
          </cell>
          <cell r="C41">
            <v>47460.515111489571</v>
          </cell>
          <cell r="D41">
            <v>1440.7285040253385</v>
          </cell>
          <cell r="E41">
            <v>0</v>
          </cell>
          <cell r="F41">
            <v>1440.7285040253385</v>
          </cell>
          <cell r="G41">
            <v>1144.1002845785288</v>
          </cell>
          <cell r="H41">
            <v>296.62821944680979</v>
          </cell>
          <cell r="I41">
            <v>46316.414826911045</v>
          </cell>
          <cell r="J41">
            <v>8993.8989235191602</v>
          </cell>
        </row>
        <row r="42">
          <cell r="A42">
            <v>25</v>
          </cell>
          <cell r="B42">
            <v>39722</v>
          </cell>
          <cell r="C42">
            <v>46316.414826911045</v>
          </cell>
          <cell r="D42">
            <v>1440.7285040253385</v>
          </cell>
          <cell r="E42">
            <v>0</v>
          </cell>
          <cell r="F42">
            <v>1440.7285040253385</v>
          </cell>
          <cell r="G42">
            <v>1151.2509113571446</v>
          </cell>
          <cell r="H42">
            <v>289.47759266819401</v>
          </cell>
          <cell r="I42">
            <v>45165.163915553901</v>
          </cell>
          <cell r="J42">
            <v>9283.3765161873544</v>
          </cell>
        </row>
        <row r="43">
          <cell r="A43">
            <v>26</v>
          </cell>
          <cell r="B43">
            <v>39753</v>
          </cell>
          <cell r="C43">
            <v>45165.163915553901</v>
          </cell>
          <cell r="D43">
            <v>1440.7285040253385</v>
          </cell>
          <cell r="E43">
            <v>0</v>
          </cell>
          <cell r="F43">
            <v>1440.7285040253385</v>
          </cell>
          <cell r="G43">
            <v>1158.4462295531266</v>
          </cell>
          <cell r="H43">
            <v>282.2822744722119</v>
          </cell>
          <cell r="I43">
            <v>44006.717686000775</v>
          </cell>
          <cell r="J43">
            <v>9565.6587906595669</v>
          </cell>
        </row>
        <row r="44">
          <cell r="A44">
            <v>27</v>
          </cell>
          <cell r="B44">
            <v>39783</v>
          </cell>
          <cell r="C44">
            <v>44006.717686000775</v>
          </cell>
          <cell r="D44">
            <v>1440.7285040253385</v>
          </cell>
          <cell r="E44">
            <v>0</v>
          </cell>
          <cell r="F44">
            <v>1440.7285040253385</v>
          </cell>
          <cell r="G44">
            <v>1165.6865184878336</v>
          </cell>
          <cell r="H44">
            <v>275.04198553750484</v>
          </cell>
          <cell r="I44">
            <v>42841.031167512941</v>
          </cell>
          <cell r="J44">
            <v>9840.7007761970708</v>
          </cell>
        </row>
        <row r="45">
          <cell r="A45">
            <v>28</v>
          </cell>
          <cell r="B45">
            <v>39814</v>
          </cell>
          <cell r="C45">
            <v>42841.031167512941</v>
          </cell>
          <cell r="D45">
            <v>1440.7285040253385</v>
          </cell>
          <cell r="E45">
            <v>0</v>
          </cell>
          <cell r="F45">
            <v>1440.7285040253385</v>
          </cell>
          <cell r="G45">
            <v>1172.9720592283825</v>
          </cell>
          <cell r="H45">
            <v>267.75644479695586</v>
          </cell>
          <cell r="I45">
            <v>41668.059108284557</v>
          </cell>
          <cell r="J45">
            <v>10108.457220994027</v>
          </cell>
        </row>
        <row r="46">
          <cell r="A46">
            <v>29</v>
          </cell>
          <cell r="B46">
            <v>39845</v>
          </cell>
          <cell r="C46">
            <v>41668.059108284557</v>
          </cell>
          <cell r="D46">
            <v>1440.7285040253385</v>
          </cell>
          <cell r="E46">
            <v>0</v>
          </cell>
          <cell r="F46">
            <v>1440.7285040253385</v>
          </cell>
          <cell r="G46">
            <v>1180.3031345985601</v>
          </cell>
          <cell r="H46">
            <v>260.42536942677845</v>
          </cell>
          <cell r="I46">
            <v>40487.755973685998</v>
          </cell>
          <cell r="J46">
            <v>10368.882590420806</v>
          </cell>
        </row>
        <row r="47">
          <cell r="A47">
            <v>30</v>
          </cell>
          <cell r="B47">
            <v>39873</v>
          </cell>
          <cell r="C47">
            <v>40487.755973685998</v>
          </cell>
          <cell r="D47">
            <v>1440.7285040253385</v>
          </cell>
          <cell r="E47">
            <v>0</v>
          </cell>
          <cell r="F47">
            <v>1440.7285040253385</v>
          </cell>
          <cell r="G47">
            <v>1187.680029189801</v>
          </cell>
          <cell r="H47">
            <v>253.04847483553749</v>
          </cell>
          <cell r="I47">
            <v>39300.075944496195</v>
          </cell>
          <cell r="J47">
            <v>10621.931065256344</v>
          </cell>
        </row>
        <row r="48">
          <cell r="A48">
            <v>31</v>
          </cell>
          <cell r="B48">
            <v>39904</v>
          </cell>
          <cell r="C48">
            <v>39300.075944496195</v>
          </cell>
          <cell r="D48">
            <v>1440.7285040253385</v>
          </cell>
          <cell r="E48">
            <v>0</v>
          </cell>
          <cell r="F48">
            <v>1440.7285040253385</v>
          </cell>
          <cell r="G48">
            <v>1195.1030293722372</v>
          </cell>
          <cell r="H48">
            <v>245.62547465310124</v>
          </cell>
          <cell r="I48">
            <v>38104.972915123959</v>
          </cell>
          <cell r="J48">
            <v>10867.556539909445</v>
          </cell>
        </row>
        <row r="49">
          <cell r="A49">
            <v>32</v>
          </cell>
          <cell r="B49">
            <v>39934</v>
          </cell>
          <cell r="C49">
            <v>38104.972915123959</v>
          </cell>
          <cell r="D49">
            <v>1440.7285040253385</v>
          </cell>
          <cell r="E49">
            <v>0</v>
          </cell>
          <cell r="F49">
            <v>1440.7285040253385</v>
          </cell>
          <cell r="G49">
            <v>1202.5724233058138</v>
          </cell>
          <cell r="H49">
            <v>238.15608071952474</v>
          </cell>
          <cell r="I49">
            <v>36902.400491818145</v>
          </cell>
          <cell r="J49">
            <v>11105.71262062897</v>
          </cell>
        </row>
        <row r="50">
          <cell r="A50">
            <v>33</v>
          </cell>
          <cell r="B50">
            <v>39965</v>
          </cell>
          <cell r="C50">
            <v>36902.400491818145</v>
          </cell>
          <cell r="D50">
            <v>1440.7285040253385</v>
          </cell>
          <cell r="E50">
            <v>0</v>
          </cell>
          <cell r="F50">
            <v>1440.7285040253385</v>
          </cell>
          <cell r="G50">
            <v>1210.088500951475</v>
          </cell>
          <cell r="H50">
            <v>230.64000307386343</v>
          </cell>
          <cell r="I50">
            <v>35692.31199086667</v>
          </cell>
          <cell r="J50">
            <v>11336.352623702835</v>
          </cell>
        </row>
        <row r="51">
          <cell r="A51">
            <v>34</v>
          </cell>
          <cell r="B51">
            <v>39995</v>
          </cell>
          <cell r="C51">
            <v>35692.31199086667</v>
          </cell>
          <cell r="D51">
            <v>1440.7285040253385</v>
          </cell>
          <cell r="E51">
            <v>0</v>
          </cell>
          <cell r="F51">
            <v>1440.7285040253385</v>
          </cell>
          <cell r="G51">
            <v>1217.6515540824219</v>
          </cell>
          <cell r="H51">
            <v>223.07694994291668</v>
          </cell>
          <cell r="I51">
            <v>34474.660436784252</v>
          </cell>
          <cell r="J51">
            <v>11559.429573645752</v>
          </cell>
        </row>
        <row r="52">
          <cell r="A52">
            <v>35</v>
          </cell>
          <cell r="B52">
            <v>40026</v>
          </cell>
          <cell r="C52">
            <v>34474.660436784252</v>
          </cell>
          <cell r="D52">
            <v>1440.7285040253385</v>
          </cell>
          <cell r="E52">
            <v>0</v>
          </cell>
          <cell r="F52">
            <v>1440.7285040253385</v>
          </cell>
          <cell r="G52">
            <v>1225.2618762954369</v>
          </cell>
          <cell r="H52">
            <v>215.46662772990157</v>
          </cell>
          <cell r="I52">
            <v>33249.398560488815</v>
          </cell>
          <cell r="J52">
            <v>11774.896201375654</v>
          </cell>
        </row>
        <row r="53">
          <cell r="A53">
            <v>36</v>
          </cell>
          <cell r="B53">
            <v>40057</v>
          </cell>
          <cell r="C53">
            <v>33249.398560488815</v>
          </cell>
          <cell r="D53">
            <v>1440.7285040253385</v>
          </cell>
          <cell r="E53">
            <v>0</v>
          </cell>
          <cell r="F53">
            <v>1440.7285040253385</v>
          </cell>
          <cell r="G53">
            <v>1232.9197630222834</v>
          </cell>
          <cell r="H53">
            <v>207.80874100305508</v>
          </cell>
          <cell r="I53">
            <v>32016.478797466531</v>
          </cell>
          <cell r="J53">
            <v>11982.704942378708</v>
          </cell>
        </row>
        <row r="54">
          <cell r="A54">
            <v>37</v>
          </cell>
          <cell r="B54">
            <v>40087</v>
          </cell>
          <cell r="C54">
            <v>32016.478797466531</v>
          </cell>
          <cell r="D54">
            <v>1440.7285040253385</v>
          </cell>
          <cell r="E54">
            <v>0</v>
          </cell>
          <cell r="F54">
            <v>1440.7285040253385</v>
          </cell>
          <cell r="G54">
            <v>1240.6255115411727</v>
          </cell>
          <cell r="H54">
            <v>200.10299248416581</v>
          </cell>
          <cell r="I54">
            <v>30775.853285925357</v>
          </cell>
          <cell r="J54">
            <v>12182.807934862874</v>
          </cell>
        </row>
        <row r="55">
          <cell r="A55">
            <v>38</v>
          </cell>
          <cell r="B55">
            <v>40118</v>
          </cell>
          <cell r="C55">
            <v>30775.853285925357</v>
          </cell>
          <cell r="D55">
            <v>1440.7285040253385</v>
          </cell>
          <cell r="E55">
            <v>0</v>
          </cell>
          <cell r="F55">
            <v>1440.7285040253385</v>
          </cell>
          <cell r="G55">
            <v>1248.3794209883049</v>
          </cell>
          <cell r="H55">
            <v>192.34908303703347</v>
          </cell>
          <cell r="I55">
            <v>29527.473864937052</v>
          </cell>
          <cell r="J55">
            <v>12375.157017899908</v>
          </cell>
        </row>
        <row r="56">
          <cell r="A56">
            <v>39</v>
          </cell>
          <cell r="B56">
            <v>40148</v>
          </cell>
          <cell r="C56">
            <v>29527.473864937052</v>
          </cell>
          <cell r="D56">
            <v>1440.7285040253385</v>
          </cell>
          <cell r="E56">
            <v>0</v>
          </cell>
          <cell r="F56">
            <v>1440.7285040253385</v>
          </cell>
          <cell r="G56">
            <v>1256.1817923694819</v>
          </cell>
          <cell r="H56">
            <v>184.54671165585657</v>
          </cell>
          <cell r="I56">
            <v>28271.292072567569</v>
          </cell>
          <cell r="J56">
            <v>12559.703729555764</v>
          </cell>
        </row>
        <row r="57">
          <cell r="A57">
            <v>40</v>
          </cell>
          <cell r="B57">
            <v>40179</v>
          </cell>
          <cell r="C57">
            <v>28271.292072567569</v>
          </cell>
          <cell r="D57">
            <v>1440.7285040253385</v>
          </cell>
          <cell r="E57">
            <v>0</v>
          </cell>
          <cell r="F57">
            <v>1440.7285040253385</v>
          </cell>
          <cell r="G57">
            <v>1264.0329285717912</v>
          </cell>
          <cell r="H57">
            <v>176.69557545354732</v>
          </cell>
          <cell r="I57">
            <v>27007.259143995776</v>
          </cell>
          <cell r="J57">
            <v>12736.39930500931</v>
          </cell>
        </row>
        <row r="58">
          <cell r="A58">
            <v>41</v>
          </cell>
          <cell r="B58">
            <v>40210</v>
          </cell>
          <cell r="C58">
            <v>27007.259143995776</v>
          </cell>
          <cell r="D58">
            <v>1440.7285040253385</v>
          </cell>
          <cell r="E58">
            <v>0</v>
          </cell>
          <cell r="F58">
            <v>1440.7285040253385</v>
          </cell>
          <cell r="G58">
            <v>1271.9331343753649</v>
          </cell>
          <cell r="H58">
            <v>168.79536964997359</v>
          </cell>
          <cell r="I58">
            <v>25735.32600962041</v>
          </cell>
          <cell r="J58">
            <v>12905.194674659284</v>
          </cell>
        </row>
        <row r="59">
          <cell r="A59">
            <v>42</v>
          </cell>
          <cell r="B59">
            <v>40238</v>
          </cell>
          <cell r="C59">
            <v>25735.32600962041</v>
          </cell>
          <cell r="D59">
            <v>1440.7285040253385</v>
          </cell>
          <cell r="E59">
            <v>0</v>
          </cell>
          <cell r="F59">
            <v>1440.7285040253385</v>
          </cell>
          <cell r="G59">
            <v>1279.8827164652109</v>
          </cell>
          <cell r="H59">
            <v>160.84578756012755</v>
          </cell>
          <cell r="I59">
            <v>24455.4432931552</v>
          </cell>
          <cell r="J59">
            <v>13066.040462219411</v>
          </cell>
        </row>
        <row r="60">
          <cell r="A60">
            <v>43</v>
          </cell>
          <cell r="B60">
            <v>40269</v>
          </cell>
          <cell r="C60">
            <v>24455.4432931552</v>
          </cell>
          <cell r="D60">
            <v>1440.7285040253385</v>
          </cell>
          <cell r="E60">
            <v>0</v>
          </cell>
          <cell r="F60">
            <v>1440.7285040253385</v>
          </cell>
          <cell r="G60">
            <v>1287.8819834431185</v>
          </cell>
          <cell r="H60">
            <v>152.84652058221999</v>
          </cell>
          <cell r="I60">
            <v>23167.56130971208</v>
          </cell>
          <cell r="J60">
            <v>13218.88698280163</v>
          </cell>
        </row>
        <row r="61">
          <cell r="A61">
            <v>44</v>
          </cell>
          <cell r="B61">
            <v>40299</v>
          </cell>
          <cell r="C61">
            <v>23167.56130971208</v>
          </cell>
          <cell r="D61">
            <v>1440.7285040253385</v>
          </cell>
          <cell r="E61">
            <v>0</v>
          </cell>
          <cell r="F61">
            <v>1440.7285040253385</v>
          </cell>
          <cell r="G61">
            <v>1295.931245839638</v>
          </cell>
          <cell r="H61">
            <v>144.79725818570049</v>
          </cell>
          <cell r="I61">
            <v>21871.630063872442</v>
          </cell>
          <cell r="J61">
            <v>13363.684240987332</v>
          </cell>
        </row>
        <row r="62">
          <cell r="A62">
            <v>45</v>
          </cell>
          <cell r="B62">
            <v>40330</v>
          </cell>
          <cell r="C62">
            <v>21871.630063872442</v>
          </cell>
          <cell r="D62">
            <v>1440.7285040253385</v>
          </cell>
          <cell r="E62">
            <v>0</v>
          </cell>
          <cell r="F62">
            <v>1440.7285040253385</v>
          </cell>
          <cell r="G62">
            <v>1304.0308161261357</v>
          </cell>
          <cell r="H62">
            <v>136.69768789920275</v>
          </cell>
          <cell r="I62">
            <v>20567.599247746308</v>
          </cell>
          <cell r="J62">
            <v>13500.381928886534</v>
          </cell>
        </row>
        <row r="63">
          <cell r="A63">
            <v>46</v>
          </cell>
          <cell r="B63">
            <v>40360</v>
          </cell>
          <cell r="C63">
            <v>20567.599247746308</v>
          </cell>
          <cell r="D63">
            <v>1440.7285040253385</v>
          </cell>
          <cell r="E63">
            <v>0</v>
          </cell>
          <cell r="F63">
            <v>1440.7285040253385</v>
          </cell>
          <cell r="G63">
            <v>1312.1810087269241</v>
          </cell>
          <cell r="H63">
            <v>128.54749529841442</v>
          </cell>
          <cell r="I63">
            <v>19255.418239019382</v>
          </cell>
          <cell r="J63">
            <v>13628.929424184949</v>
          </cell>
        </row>
        <row r="64">
          <cell r="A64">
            <v>47</v>
          </cell>
          <cell r="B64">
            <v>40391</v>
          </cell>
          <cell r="C64">
            <v>19255.418239019382</v>
          </cell>
          <cell r="D64">
            <v>1440.7285040253385</v>
          </cell>
          <cell r="E64">
            <v>0</v>
          </cell>
          <cell r="F64">
            <v>1440.7285040253385</v>
          </cell>
          <cell r="G64">
            <v>1320.3821400314673</v>
          </cell>
          <cell r="H64">
            <v>120.34636399387114</v>
          </cell>
          <cell r="I64">
            <v>17935.036098987915</v>
          </cell>
          <cell r="J64">
            <v>13749.27578817882</v>
          </cell>
        </row>
        <row r="65">
          <cell r="A65">
            <v>48</v>
          </cell>
          <cell r="B65">
            <v>40422</v>
          </cell>
          <cell r="C65">
            <v>17935.036098987915</v>
          </cell>
          <cell r="D65">
            <v>1440.7285040253385</v>
          </cell>
          <cell r="E65">
            <v>0</v>
          </cell>
          <cell r="F65">
            <v>1440.7285040253385</v>
          </cell>
          <cell r="G65">
            <v>1328.634528406664</v>
          </cell>
          <cell r="H65">
            <v>112.09397561867446</v>
          </cell>
          <cell r="I65">
            <v>16606.401570581253</v>
          </cell>
          <cell r="J65">
            <v>13861.369763797495</v>
          </cell>
        </row>
        <row r="66">
          <cell r="A66">
            <v>49</v>
          </cell>
          <cell r="B66">
            <v>40452</v>
          </cell>
          <cell r="C66">
            <v>16606.401570581253</v>
          </cell>
          <cell r="D66">
            <v>1440.7285040253385</v>
          </cell>
          <cell r="E66">
            <v>0</v>
          </cell>
          <cell r="F66">
            <v>1440.7285040253385</v>
          </cell>
          <cell r="G66">
            <v>1336.9384942092056</v>
          </cell>
          <cell r="H66">
            <v>103.79000981613284</v>
          </cell>
          <cell r="I66">
            <v>15269.463076372047</v>
          </cell>
          <cell r="J66">
            <v>13965.159773613628</v>
          </cell>
        </row>
        <row r="67">
          <cell r="A67">
            <v>50</v>
          </cell>
          <cell r="B67">
            <v>40483</v>
          </cell>
          <cell r="C67">
            <v>15269.463076372047</v>
          </cell>
          <cell r="D67">
            <v>70595.696697241612</v>
          </cell>
          <cell r="E67">
            <v>0</v>
          </cell>
          <cell r="F67">
            <v>15269.463076372047</v>
          </cell>
          <cell r="G67">
            <v>15174.028932144722</v>
          </cell>
          <cell r="H67">
            <v>95.434144227325291</v>
          </cell>
          <cell r="I67">
            <v>0</v>
          </cell>
          <cell r="J67">
            <v>14060.593917840954</v>
          </cell>
        </row>
        <row r="68">
          <cell r="A68">
            <v>51</v>
          </cell>
          <cell r="B68">
            <v>40513</v>
          </cell>
          <cell r="C68">
            <v>0</v>
          </cell>
          <cell r="D68">
            <v>1440.7285040253385</v>
          </cell>
          <cell r="E68">
            <v>0</v>
          </cell>
          <cell r="F68">
            <v>0</v>
          </cell>
          <cell r="G68">
            <v>0</v>
          </cell>
          <cell r="H68">
            <v>0</v>
          </cell>
          <cell r="I68">
            <v>0</v>
          </cell>
          <cell r="J68">
            <v>14060.593917840954</v>
          </cell>
        </row>
        <row r="69">
          <cell r="A69">
            <v>52</v>
          </cell>
          <cell r="B69">
            <v>40544</v>
          </cell>
          <cell r="C69">
            <v>0</v>
          </cell>
          <cell r="D69">
            <v>1440.7285040253385</v>
          </cell>
          <cell r="E69">
            <v>0</v>
          </cell>
          <cell r="F69">
            <v>0</v>
          </cell>
          <cell r="G69">
            <v>0</v>
          </cell>
          <cell r="H69">
            <v>0</v>
          </cell>
          <cell r="I69">
            <v>0</v>
          </cell>
          <cell r="J69">
            <v>14060.593917840954</v>
          </cell>
        </row>
        <row r="70">
          <cell r="A70">
            <v>53</v>
          </cell>
          <cell r="B70">
            <v>40575</v>
          </cell>
          <cell r="C70">
            <v>0</v>
          </cell>
          <cell r="D70">
            <v>1440.7285040253385</v>
          </cell>
          <cell r="E70">
            <v>0</v>
          </cell>
          <cell r="F70">
            <v>0</v>
          </cell>
          <cell r="G70">
            <v>0</v>
          </cell>
          <cell r="H70">
            <v>0</v>
          </cell>
          <cell r="I70">
            <v>0</v>
          </cell>
          <cell r="J70">
            <v>14060.593917840954</v>
          </cell>
        </row>
        <row r="71">
          <cell r="A71">
            <v>54</v>
          </cell>
          <cell r="B71">
            <v>40603</v>
          </cell>
          <cell r="C71">
            <v>0</v>
          </cell>
          <cell r="D71">
            <v>1440.7285040253385</v>
          </cell>
          <cell r="E71">
            <v>0</v>
          </cell>
          <cell r="F71">
            <v>0</v>
          </cell>
          <cell r="G71">
            <v>0</v>
          </cell>
          <cell r="H71">
            <v>0</v>
          </cell>
          <cell r="I71">
            <v>0</v>
          </cell>
          <cell r="J71">
            <v>14060.593917840954</v>
          </cell>
        </row>
        <row r="72">
          <cell r="A72">
            <v>55</v>
          </cell>
          <cell r="B72">
            <v>40634</v>
          </cell>
          <cell r="C72">
            <v>0</v>
          </cell>
          <cell r="D72">
            <v>1440.7285040253385</v>
          </cell>
          <cell r="E72">
            <v>0</v>
          </cell>
          <cell r="F72">
            <v>0</v>
          </cell>
          <cell r="G72">
            <v>0</v>
          </cell>
          <cell r="H72">
            <v>0</v>
          </cell>
          <cell r="I72">
            <v>0</v>
          </cell>
          <cell r="J72">
            <v>14060.593917840954</v>
          </cell>
        </row>
        <row r="73">
          <cell r="A73">
            <v>56</v>
          </cell>
          <cell r="B73">
            <v>40664</v>
          </cell>
          <cell r="C73">
            <v>0</v>
          </cell>
          <cell r="D73">
            <v>1440.7285040253385</v>
          </cell>
          <cell r="E73">
            <v>0</v>
          </cell>
          <cell r="F73">
            <v>0</v>
          </cell>
          <cell r="G73">
            <v>0</v>
          </cell>
          <cell r="H73">
            <v>0</v>
          </cell>
          <cell r="I73">
            <v>0</v>
          </cell>
          <cell r="J73">
            <v>14060.593917840954</v>
          </cell>
        </row>
        <row r="74">
          <cell r="A74">
            <v>57</v>
          </cell>
          <cell r="B74">
            <v>40695</v>
          </cell>
          <cell r="C74">
            <v>0</v>
          </cell>
          <cell r="D74">
            <v>1440.7285040253385</v>
          </cell>
          <cell r="E74">
            <v>0</v>
          </cell>
          <cell r="F74">
            <v>0</v>
          </cell>
          <cell r="G74">
            <v>0</v>
          </cell>
          <cell r="H74">
            <v>0</v>
          </cell>
          <cell r="I74">
            <v>0</v>
          </cell>
          <cell r="J74">
            <v>14060.593917840954</v>
          </cell>
        </row>
        <row r="75">
          <cell r="A75">
            <v>58</v>
          </cell>
          <cell r="B75">
            <v>40725</v>
          </cell>
          <cell r="C75">
            <v>0</v>
          </cell>
          <cell r="D75">
            <v>1440.7285040253385</v>
          </cell>
          <cell r="E75">
            <v>0</v>
          </cell>
          <cell r="F75">
            <v>0</v>
          </cell>
          <cell r="G75">
            <v>0</v>
          </cell>
          <cell r="H75">
            <v>0</v>
          </cell>
          <cell r="I75">
            <v>0</v>
          </cell>
          <cell r="J75">
            <v>14060.593917840954</v>
          </cell>
        </row>
        <row r="76">
          <cell r="A76">
            <v>59</v>
          </cell>
          <cell r="B76">
            <v>40756</v>
          </cell>
          <cell r="C76">
            <v>0</v>
          </cell>
          <cell r="D76">
            <v>1440.7285040253385</v>
          </cell>
          <cell r="E76">
            <v>0</v>
          </cell>
          <cell r="F76">
            <v>0</v>
          </cell>
          <cell r="G76">
            <v>0</v>
          </cell>
          <cell r="H76">
            <v>0</v>
          </cell>
          <cell r="I76">
            <v>0</v>
          </cell>
          <cell r="J76">
            <v>14060.593917840954</v>
          </cell>
        </row>
        <row r="77">
          <cell r="A77">
            <v>60</v>
          </cell>
          <cell r="B77">
            <v>40787</v>
          </cell>
          <cell r="C77">
            <v>0</v>
          </cell>
          <cell r="D77">
            <v>1440.7285040253385</v>
          </cell>
          <cell r="E77">
            <v>0</v>
          </cell>
          <cell r="F77">
            <v>0</v>
          </cell>
          <cell r="G77">
            <v>0</v>
          </cell>
          <cell r="H77">
            <v>0</v>
          </cell>
          <cell r="I77">
            <v>0</v>
          </cell>
          <cell r="J77">
            <v>14060.593917840954</v>
          </cell>
        </row>
        <row r="78">
          <cell r="A78">
            <v>61</v>
          </cell>
          <cell r="B78">
            <v>40817</v>
          </cell>
          <cell r="C78">
            <v>0</v>
          </cell>
          <cell r="D78">
            <v>1440.7285040253385</v>
          </cell>
          <cell r="E78">
            <v>0</v>
          </cell>
          <cell r="F78">
            <v>0</v>
          </cell>
          <cell r="G78">
            <v>0</v>
          </cell>
          <cell r="H78">
            <v>0</v>
          </cell>
          <cell r="I78">
            <v>0</v>
          </cell>
          <cell r="J78">
            <v>14060.593917840954</v>
          </cell>
        </row>
        <row r="79">
          <cell r="A79">
            <v>62</v>
          </cell>
          <cell r="B79">
            <v>40848</v>
          </cell>
          <cell r="C79">
            <v>0</v>
          </cell>
          <cell r="D79">
            <v>1440.7285040253385</v>
          </cell>
          <cell r="E79">
            <v>0</v>
          </cell>
          <cell r="F79">
            <v>0</v>
          </cell>
          <cell r="G79">
            <v>0</v>
          </cell>
          <cell r="H79">
            <v>0</v>
          </cell>
          <cell r="I79">
            <v>0</v>
          </cell>
          <cell r="J79">
            <v>14060.593917840954</v>
          </cell>
        </row>
        <row r="80">
          <cell r="A80">
            <v>63</v>
          </cell>
          <cell r="B80">
            <v>40878</v>
          </cell>
          <cell r="C80">
            <v>0</v>
          </cell>
          <cell r="D80">
            <v>1440.7285040253385</v>
          </cell>
          <cell r="E80">
            <v>0</v>
          </cell>
          <cell r="F80">
            <v>0</v>
          </cell>
          <cell r="G80">
            <v>0</v>
          </cell>
          <cell r="H80">
            <v>0</v>
          </cell>
          <cell r="I80">
            <v>0</v>
          </cell>
          <cell r="J80">
            <v>14060.593917840954</v>
          </cell>
        </row>
        <row r="81">
          <cell r="A81">
            <v>64</v>
          </cell>
          <cell r="B81">
            <v>40909</v>
          </cell>
          <cell r="C81">
            <v>0</v>
          </cell>
          <cell r="D81">
            <v>1440.7285040253385</v>
          </cell>
          <cell r="E81">
            <v>0</v>
          </cell>
          <cell r="F81">
            <v>0</v>
          </cell>
          <cell r="G81">
            <v>0</v>
          </cell>
          <cell r="H81">
            <v>0</v>
          </cell>
          <cell r="I81">
            <v>0</v>
          </cell>
          <cell r="J81">
            <v>14060.593917840954</v>
          </cell>
        </row>
        <row r="82">
          <cell r="A82">
            <v>65</v>
          </cell>
          <cell r="B82">
            <v>40940</v>
          </cell>
          <cell r="C82">
            <v>0</v>
          </cell>
          <cell r="D82">
            <v>1440.7285040253385</v>
          </cell>
          <cell r="E82">
            <v>0</v>
          </cell>
          <cell r="F82">
            <v>0</v>
          </cell>
          <cell r="G82">
            <v>0</v>
          </cell>
          <cell r="H82">
            <v>0</v>
          </cell>
          <cell r="I82">
            <v>0</v>
          </cell>
          <cell r="J82">
            <v>14060.593917840954</v>
          </cell>
        </row>
        <row r="83">
          <cell r="A83">
            <v>66</v>
          </cell>
          <cell r="B83">
            <v>40969</v>
          </cell>
          <cell r="C83">
            <v>0</v>
          </cell>
          <cell r="D83">
            <v>1440.7285040253385</v>
          </cell>
          <cell r="E83">
            <v>0</v>
          </cell>
          <cell r="F83">
            <v>0</v>
          </cell>
          <cell r="G83">
            <v>0</v>
          </cell>
          <cell r="H83">
            <v>0</v>
          </cell>
          <cell r="I83">
            <v>0</v>
          </cell>
          <cell r="J83">
            <v>14060.593917840954</v>
          </cell>
        </row>
        <row r="84">
          <cell r="A84">
            <v>67</v>
          </cell>
          <cell r="B84">
            <v>41000</v>
          </cell>
          <cell r="C84">
            <v>0</v>
          </cell>
          <cell r="D84">
            <v>1440.7285040253385</v>
          </cell>
          <cell r="E84">
            <v>0</v>
          </cell>
          <cell r="F84">
            <v>0</v>
          </cell>
          <cell r="G84">
            <v>0</v>
          </cell>
          <cell r="H84">
            <v>0</v>
          </cell>
          <cell r="I84">
            <v>0</v>
          </cell>
          <cell r="J84">
            <v>14060.593917840954</v>
          </cell>
        </row>
        <row r="85">
          <cell r="A85">
            <v>68</v>
          </cell>
          <cell r="B85">
            <v>41030</v>
          </cell>
          <cell r="C85">
            <v>0</v>
          </cell>
          <cell r="D85">
            <v>1440.7285040253385</v>
          </cell>
          <cell r="E85">
            <v>0</v>
          </cell>
          <cell r="F85">
            <v>0</v>
          </cell>
          <cell r="G85">
            <v>0</v>
          </cell>
          <cell r="H85">
            <v>0</v>
          </cell>
          <cell r="I85">
            <v>0</v>
          </cell>
          <cell r="J85">
            <v>14060.593917840954</v>
          </cell>
        </row>
        <row r="86">
          <cell r="A86">
            <v>69</v>
          </cell>
          <cell r="B86">
            <v>41061</v>
          </cell>
          <cell r="C86">
            <v>0</v>
          </cell>
          <cell r="D86">
            <v>1440.7285040253385</v>
          </cell>
          <cell r="E86">
            <v>0</v>
          </cell>
          <cell r="F86">
            <v>0</v>
          </cell>
          <cell r="G86">
            <v>0</v>
          </cell>
          <cell r="H86">
            <v>0</v>
          </cell>
          <cell r="I86">
            <v>0</v>
          </cell>
          <cell r="J86">
            <v>14060.593917840954</v>
          </cell>
        </row>
        <row r="87">
          <cell r="A87">
            <v>70</v>
          </cell>
          <cell r="B87">
            <v>41091</v>
          </cell>
          <cell r="C87">
            <v>0</v>
          </cell>
          <cell r="D87">
            <v>1440.7285040253385</v>
          </cell>
          <cell r="E87">
            <v>0</v>
          </cell>
          <cell r="F87">
            <v>0</v>
          </cell>
          <cell r="G87">
            <v>0</v>
          </cell>
          <cell r="H87">
            <v>0</v>
          </cell>
          <cell r="I87">
            <v>0</v>
          </cell>
          <cell r="J87">
            <v>14060.593917840954</v>
          </cell>
        </row>
        <row r="88">
          <cell r="A88">
            <v>71</v>
          </cell>
          <cell r="B88">
            <v>41122</v>
          </cell>
          <cell r="C88">
            <v>0</v>
          </cell>
          <cell r="D88">
            <v>1440.7285040253385</v>
          </cell>
          <cell r="E88">
            <v>0</v>
          </cell>
          <cell r="F88">
            <v>0</v>
          </cell>
          <cell r="G88">
            <v>0</v>
          </cell>
          <cell r="H88">
            <v>0</v>
          </cell>
          <cell r="I88">
            <v>0</v>
          </cell>
          <cell r="J88">
            <v>14060.593917840954</v>
          </cell>
        </row>
        <row r="89">
          <cell r="A89">
            <v>72</v>
          </cell>
          <cell r="B89">
            <v>41153</v>
          </cell>
          <cell r="C89">
            <v>0</v>
          </cell>
          <cell r="D89">
            <v>1440.7285040253385</v>
          </cell>
          <cell r="E89">
            <v>0</v>
          </cell>
          <cell r="F89">
            <v>0</v>
          </cell>
          <cell r="G89">
            <v>0</v>
          </cell>
          <cell r="H89">
            <v>0</v>
          </cell>
          <cell r="I89">
            <v>0</v>
          </cell>
          <cell r="J89">
            <v>14060.593917840954</v>
          </cell>
        </row>
        <row r="90">
          <cell r="A90">
            <v>73</v>
          </cell>
          <cell r="B90">
            <v>41183</v>
          </cell>
          <cell r="C90">
            <v>0</v>
          </cell>
          <cell r="D90">
            <v>1440.7285040253385</v>
          </cell>
          <cell r="E90">
            <v>0</v>
          </cell>
          <cell r="F90">
            <v>0</v>
          </cell>
          <cell r="G90">
            <v>0</v>
          </cell>
          <cell r="H90">
            <v>0</v>
          </cell>
          <cell r="I90">
            <v>0</v>
          </cell>
          <cell r="J90">
            <v>14060.593917840954</v>
          </cell>
        </row>
        <row r="91">
          <cell r="A91">
            <v>74</v>
          </cell>
          <cell r="B91">
            <v>41214</v>
          </cell>
          <cell r="C91">
            <v>0</v>
          </cell>
          <cell r="D91">
            <v>1440.7285040253385</v>
          </cell>
          <cell r="E91">
            <v>0</v>
          </cell>
          <cell r="F91">
            <v>0</v>
          </cell>
          <cell r="G91">
            <v>0</v>
          </cell>
          <cell r="H91">
            <v>0</v>
          </cell>
          <cell r="I91">
            <v>0</v>
          </cell>
          <cell r="J91">
            <v>14060.593917840954</v>
          </cell>
        </row>
        <row r="92">
          <cell r="A92">
            <v>75</v>
          </cell>
          <cell r="B92">
            <v>41244</v>
          </cell>
          <cell r="C92">
            <v>0</v>
          </cell>
          <cell r="D92">
            <v>1440.7285040253385</v>
          </cell>
          <cell r="E92">
            <v>0</v>
          </cell>
          <cell r="F92">
            <v>0</v>
          </cell>
          <cell r="G92">
            <v>0</v>
          </cell>
          <cell r="H92">
            <v>0</v>
          </cell>
          <cell r="I92">
            <v>0</v>
          </cell>
          <cell r="J92">
            <v>14060.593917840954</v>
          </cell>
        </row>
        <row r="93">
          <cell r="A93">
            <v>76</v>
          </cell>
          <cell r="B93">
            <v>41275</v>
          </cell>
          <cell r="C93">
            <v>0</v>
          </cell>
          <cell r="D93">
            <v>1440.7285040253385</v>
          </cell>
          <cell r="E93">
            <v>0</v>
          </cell>
          <cell r="F93">
            <v>0</v>
          </cell>
          <cell r="G93">
            <v>0</v>
          </cell>
          <cell r="H93">
            <v>0</v>
          </cell>
          <cell r="I93">
            <v>0</v>
          </cell>
          <cell r="J93">
            <v>14060.593917840954</v>
          </cell>
        </row>
        <row r="94">
          <cell r="A94">
            <v>77</v>
          </cell>
          <cell r="B94">
            <v>41306</v>
          </cell>
          <cell r="C94">
            <v>0</v>
          </cell>
          <cell r="D94">
            <v>1440.7285040253385</v>
          </cell>
          <cell r="E94">
            <v>0</v>
          </cell>
          <cell r="F94">
            <v>0</v>
          </cell>
          <cell r="G94">
            <v>0</v>
          </cell>
          <cell r="H94">
            <v>0</v>
          </cell>
          <cell r="I94">
            <v>0</v>
          </cell>
          <cell r="J94">
            <v>14060.593917840954</v>
          </cell>
        </row>
        <row r="95">
          <cell r="A95">
            <v>78</v>
          </cell>
          <cell r="B95">
            <v>41334</v>
          </cell>
          <cell r="C95">
            <v>0</v>
          </cell>
          <cell r="D95">
            <v>1440.7285040253385</v>
          </cell>
          <cell r="E95">
            <v>0</v>
          </cell>
          <cell r="F95">
            <v>0</v>
          </cell>
          <cell r="G95">
            <v>0</v>
          </cell>
          <cell r="H95">
            <v>0</v>
          </cell>
          <cell r="I95">
            <v>0</v>
          </cell>
          <cell r="J95">
            <v>14060.593917840954</v>
          </cell>
        </row>
        <row r="96">
          <cell r="A96">
            <v>79</v>
          </cell>
          <cell r="B96">
            <v>41365</v>
          </cell>
          <cell r="C96">
            <v>0</v>
          </cell>
          <cell r="D96">
            <v>1440.7285040253385</v>
          </cell>
          <cell r="E96">
            <v>0</v>
          </cell>
          <cell r="F96">
            <v>0</v>
          </cell>
          <cell r="G96">
            <v>0</v>
          </cell>
          <cell r="H96">
            <v>0</v>
          </cell>
          <cell r="I96">
            <v>0</v>
          </cell>
          <cell r="J96">
            <v>14060.593917840954</v>
          </cell>
        </row>
        <row r="97">
          <cell r="A97">
            <v>80</v>
          </cell>
          <cell r="B97">
            <v>41395</v>
          </cell>
          <cell r="C97">
            <v>0</v>
          </cell>
          <cell r="D97">
            <v>1440.7285040253385</v>
          </cell>
          <cell r="E97">
            <v>0</v>
          </cell>
          <cell r="F97">
            <v>0</v>
          </cell>
          <cell r="G97">
            <v>0</v>
          </cell>
          <cell r="H97">
            <v>0</v>
          </cell>
          <cell r="I97">
            <v>0</v>
          </cell>
          <cell r="J97">
            <v>14060.593917840954</v>
          </cell>
        </row>
        <row r="98">
          <cell r="A98">
            <v>81</v>
          </cell>
          <cell r="B98">
            <v>41426</v>
          </cell>
          <cell r="C98">
            <v>0</v>
          </cell>
          <cell r="D98">
            <v>1440.7285040253385</v>
          </cell>
          <cell r="E98">
            <v>0</v>
          </cell>
          <cell r="F98">
            <v>0</v>
          </cell>
          <cell r="G98">
            <v>0</v>
          </cell>
          <cell r="H98">
            <v>0</v>
          </cell>
          <cell r="I98">
            <v>0</v>
          </cell>
          <cell r="J98">
            <v>14060.593917840954</v>
          </cell>
        </row>
        <row r="99">
          <cell r="A99">
            <v>82</v>
          </cell>
          <cell r="B99">
            <v>41456</v>
          </cell>
          <cell r="C99">
            <v>0</v>
          </cell>
          <cell r="D99">
            <v>1440.7285040253385</v>
          </cell>
          <cell r="E99">
            <v>0</v>
          </cell>
          <cell r="F99">
            <v>0</v>
          </cell>
          <cell r="G99">
            <v>0</v>
          </cell>
          <cell r="H99">
            <v>0</v>
          </cell>
          <cell r="I99">
            <v>0</v>
          </cell>
          <cell r="J99">
            <v>14060.593917840954</v>
          </cell>
        </row>
        <row r="100">
          <cell r="A100">
            <v>83</v>
          </cell>
          <cell r="B100">
            <v>41487</v>
          </cell>
          <cell r="C100">
            <v>0</v>
          </cell>
          <cell r="D100">
            <v>1440.7285040253385</v>
          </cell>
          <cell r="E100">
            <v>0</v>
          </cell>
          <cell r="F100">
            <v>0</v>
          </cell>
          <cell r="G100">
            <v>0</v>
          </cell>
          <cell r="H100">
            <v>0</v>
          </cell>
          <cell r="I100">
            <v>0</v>
          </cell>
          <cell r="J100">
            <v>14060.593917840954</v>
          </cell>
        </row>
        <row r="101">
          <cell r="A101">
            <v>84</v>
          </cell>
          <cell r="B101">
            <v>41518</v>
          </cell>
          <cell r="C101">
            <v>0</v>
          </cell>
          <cell r="D101">
            <v>1440.7285040253385</v>
          </cell>
          <cell r="E101">
            <v>0</v>
          </cell>
          <cell r="F101">
            <v>0</v>
          </cell>
          <cell r="G101">
            <v>0</v>
          </cell>
          <cell r="H101">
            <v>0</v>
          </cell>
          <cell r="I101">
            <v>0</v>
          </cell>
          <cell r="J101">
            <v>14060.593917840954</v>
          </cell>
        </row>
        <row r="102">
          <cell r="A102">
            <v>85</v>
          </cell>
          <cell r="B102">
            <v>41548</v>
          </cell>
          <cell r="C102">
            <v>0</v>
          </cell>
          <cell r="D102">
            <v>1440.7285040253385</v>
          </cell>
          <cell r="E102">
            <v>0</v>
          </cell>
          <cell r="F102">
            <v>0</v>
          </cell>
          <cell r="G102">
            <v>0</v>
          </cell>
          <cell r="H102">
            <v>0</v>
          </cell>
          <cell r="I102">
            <v>0</v>
          </cell>
          <cell r="J102">
            <v>14060.593917840954</v>
          </cell>
        </row>
        <row r="103">
          <cell r="A103">
            <v>86</v>
          </cell>
          <cell r="B103">
            <v>41579</v>
          </cell>
          <cell r="C103">
            <v>0</v>
          </cell>
          <cell r="D103">
            <v>1440.7285040253385</v>
          </cell>
          <cell r="E103">
            <v>0</v>
          </cell>
          <cell r="F103">
            <v>0</v>
          </cell>
          <cell r="G103">
            <v>0</v>
          </cell>
          <cell r="H103">
            <v>0</v>
          </cell>
          <cell r="I103">
            <v>0</v>
          </cell>
          <cell r="J103">
            <v>14060.593917840954</v>
          </cell>
        </row>
        <row r="104">
          <cell r="A104">
            <v>87</v>
          </cell>
          <cell r="B104">
            <v>41609</v>
          </cell>
          <cell r="C104">
            <v>0</v>
          </cell>
          <cell r="D104">
            <v>1440.7285040253385</v>
          </cell>
          <cell r="E104">
            <v>0</v>
          </cell>
          <cell r="F104">
            <v>0</v>
          </cell>
          <cell r="G104">
            <v>0</v>
          </cell>
          <cell r="H104">
            <v>0</v>
          </cell>
          <cell r="I104">
            <v>0</v>
          </cell>
          <cell r="J104">
            <v>14060.593917840954</v>
          </cell>
        </row>
        <row r="105">
          <cell r="A105">
            <v>88</v>
          </cell>
          <cell r="B105">
            <v>41640</v>
          </cell>
          <cell r="C105">
            <v>0</v>
          </cell>
          <cell r="D105">
            <v>1440.7285040253385</v>
          </cell>
          <cell r="E105">
            <v>0</v>
          </cell>
          <cell r="F105">
            <v>0</v>
          </cell>
          <cell r="G105">
            <v>0</v>
          </cell>
          <cell r="H105">
            <v>0</v>
          </cell>
          <cell r="I105">
            <v>0</v>
          </cell>
          <cell r="J105">
            <v>14060.593917840954</v>
          </cell>
        </row>
        <row r="106">
          <cell r="A106">
            <v>89</v>
          </cell>
          <cell r="B106">
            <v>41671</v>
          </cell>
          <cell r="C106">
            <v>0</v>
          </cell>
          <cell r="D106">
            <v>1440.7285040253385</v>
          </cell>
          <cell r="E106">
            <v>0</v>
          </cell>
          <cell r="F106">
            <v>0</v>
          </cell>
          <cell r="G106">
            <v>0</v>
          </cell>
          <cell r="H106">
            <v>0</v>
          </cell>
          <cell r="I106">
            <v>0</v>
          </cell>
          <cell r="J106">
            <v>14060.593917840954</v>
          </cell>
        </row>
        <row r="107">
          <cell r="A107">
            <v>90</v>
          </cell>
          <cell r="B107">
            <v>41699</v>
          </cell>
          <cell r="C107">
            <v>0</v>
          </cell>
          <cell r="D107">
            <v>1440.7285040253385</v>
          </cell>
          <cell r="E107">
            <v>0</v>
          </cell>
          <cell r="F107">
            <v>0</v>
          </cell>
          <cell r="G107">
            <v>0</v>
          </cell>
          <cell r="H107">
            <v>0</v>
          </cell>
          <cell r="I107">
            <v>0</v>
          </cell>
          <cell r="J107">
            <v>14060.593917840954</v>
          </cell>
        </row>
        <row r="108">
          <cell r="A108">
            <v>91</v>
          </cell>
          <cell r="B108">
            <v>41730</v>
          </cell>
          <cell r="C108">
            <v>0</v>
          </cell>
          <cell r="D108">
            <v>1440.7285040253385</v>
          </cell>
          <cell r="E108">
            <v>0</v>
          </cell>
          <cell r="F108">
            <v>0</v>
          </cell>
          <cell r="G108">
            <v>0</v>
          </cell>
          <cell r="H108">
            <v>0</v>
          </cell>
          <cell r="I108">
            <v>0</v>
          </cell>
          <cell r="J108">
            <v>14060.593917840954</v>
          </cell>
        </row>
        <row r="109">
          <cell r="A109">
            <v>92</v>
          </cell>
          <cell r="B109">
            <v>41760</v>
          </cell>
          <cell r="C109">
            <v>0</v>
          </cell>
          <cell r="D109">
            <v>1440.7285040253385</v>
          </cell>
          <cell r="E109">
            <v>0</v>
          </cell>
          <cell r="F109">
            <v>0</v>
          </cell>
          <cell r="G109">
            <v>0</v>
          </cell>
          <cell r="H109">
            <v>0</v>
          </cell>
          <cell r="I109">
            <v>0</v>
          </cell>
          <cell r="J109">
            <v>14060.593917840954</v>
          </cell>
        </row>
        <row r="110">
          <cell r="A110">
            <v>93</v>
          </cell>
          <cell r="B110">
            <v>41791</v>
          </cell>
          <cell r="C110">
            <v>0</v>
          </cell>
          <cell r="D110">
            <v>1440.7285040253385</v>
          </cell>
          <cell r="E110">
            <v>0</v>
          </cell>
          <cell r="F110">
            <v>0</v>
          </cell>
          <cell r="G110">
            <v>0</v>
          </cell>
          <cell r="H110">
            <v>0</v>
          </cell>
          <cell r="I110">
            <v>0</v>
          </cell>
          <cell r="J110">
            <v>14060.593917840954</v>
          </cell>
        </row>
        <row r="111">
          <cell r="A111">
            <v>94</v>
          </cell>
          <cell r="B111">
            <v>41821</v>
          </cell>
          <cell r="C111">
            <v>0</v>
          </cell>
          <cell r="D111">
            <v>1440.7285040253385</v>
          </cell>
          <cell r="E111">
            <v>0</v>
          </cell>
          <cell r="F111">
            <v>0</v>
          </cell>
          <cell r="G111">
            <v>0</v>
          </cell>
          <cell r="H111">
            <v>0</v>
          </cell>
          <cell r="I111">
            <v>0</v>
          </cell>
          <cell r="J111">
            <v>14060.593917840954</v>
          </cell>
        </row>
        <row r="112">
          <cell r="A112">
            <v>95</v>
          </cell>
          <cell r="B112">
            <v>41852</v>
          </cell>
          <cell r="C112">
            <v>0</v>
          </cell>
          <cell r="D112">
            <v>1440.7285040253385</v>
          </cell>
          <cell r="E112">
            <v>0</v>
          </cell>
          <cell r="F112">
            <v>0</v>
          </cell>
          <cell r="G112">
            <v>0</v>
          </cell>
          <cell r="H112">
            <v>0</v>
          </cell>
          <cell r="I112">
            <v>0</v>
          </cell>
          <cell r="J112">
            <v>14060.593917840954</v>
          </cell>
        </row>
        <row r="113">
          <cell r="A113">
            <v>96</v>
          </cell>
          <cell r="B113">
            <v>41883</v>
          </cell>
          <cell r="C113">
            <v>0</v>
          </cell>
          <cell r="D113">
            <v>1440.7285040253385</v>
          </cell>
          <cell r="E113">
            <v>0</v>
          </cell>
          <cell r="F113">
            <v>0</v>
          </cell>
          <cell r="G113">
            <v>0</v>
          </cell>
          <cell r="H113">
            <v>0</v>
          </cell>
          <cell r="I113">
            <v>0</v>
          </cell>
          <cell r="J113">
            <v>14060.593917840954</v>
          </cell>
        </row>
        <row r="114">
          <cell r="A114">
            <v>97</v>
          </cell>
          <cell r="B114">
            <v>41913</v>
          </cell>
          <cell r="C114">
            <v>0</v>
          </cell>
          <cell r="D114">
            <v>1440.7285040253385</v>
          </cell>
          <cell r="E114">
            <v>0</v>
          </cell>
          <cell r="F114">
            <v>0</v>
          </cell>
          <cell r="G114">
            <v>0</v>
          </cell>
          <cell r="H114">
            <v>0</v>
          </cell>
          <cell r="I114">
            <v>0</v>
          </cell>
          <cell r="J114">
            <v>14060.593917840954</v>
          </cell>
        </row>
        <row r="115">
          <cell r="A115">
            <v>98</v>
          </cell>
          <cell r="B115">
            <v>41944</v>
          </cell>
          <cell r="C115">
            <v>0</v>
          </cell>
          <cell r="D115">
            <v>1440.7285040253385</v>
          </cell>
          <cell r="E115">
            <v>0</v>
          </cell>
          <cell r="F115">
            <v>0</v>
          </cell>
          <cell r="G115">
            <v>0</v>
          </cell>
          <cell r="H115">
            <v>0</v>
          </cell>
          <cell r="I115">
            <v>0</v>
          </cell>
          <cell r="J115">
            <v>14060.593917840954</v>
          </cell>
        </row>
        <row r="116">
          <cell r="A116">
            <v>99</v>
          </cell>
          <cell r="B116">
            <v>41974</v>
          </cell>
          <cell r="C116">
            <v>0</v>
          </cell>
          <cell r="D116">
            <v>1440.7285040253385</v>
          </cell>
          <cell r="E116">
            <v>0</v>
          </cell>
          <cell r="F116">
            <v>0</v>
          </cell>
          <cell r="G116">
            <v>0</v>
          </cell>
          <cell r="H116">
            <v>0</v>
          </cell>
          <cell r="I116">
            <v>0</v>
          </cell>
          <cell r="J116">
            <v>14060.593917840954</v>
          </cell>
        </row>
        <row r="117">
          <cell r="A117">
            <v>100</v>
          </cell>
          <cell r="B117">
            <v>42005</v>
          </cell>
          <cell r="C117">
            <v>0</v>
          </cell>
          <cell r="D117">
            <v>1440.7285040253385</v>
          </cell>
          <cell r="E117">
            <v>0</v>
          </cell>
          <cell r="F117">
            <v>0</v>
          </cell>
          <cell r="G117">
            <v>0</v>
          </cell>
          <cell r="H117">
            <v>0</v>
          </cell>
          <cell r="I117">
            <v>0</v>
          </cell>
          <cell r="J117">
            <v>14060.593917840954</v>
          </cell>
        </row>
        <row r="118">
          <cell r="A118">
            <v>101</v>
          </cell>
          <cell r="B118">
            <v>42036</v>
          </cell>
          <cell r="C118">
            <v>0</v>
          </cell>
          <cell r="D118">
            <v>1440.7285040253385</v>
          </cell>
          <cell r="E118">
            <v>0</v>
          </cell>
          <cell r="F118">
            <v>0</v>
          </cell>
          <cell r="G118">
            <v>0</v>
          </cell>
          <cell r="H118">
            <v>0</v>
          </cell>
          <cell r="I118">
            <v>0</v>
          </cell>
          <cell r="J118">
            <v>14060.593917840954</v>
          </cell>
        </row>
        <row r="119">
          <cell r="A119">
            <v>102</v>
          </cell>
          <cell r="B119">
            <v>42064</v>
          </cell>
          <cell r="C119">
            <v>0</v>
          </cell>
          <cell r="D119">
            <v>1440.7285040253385</v>
          </cell>
          <cell r="E119">
            <v>0</v>
          </cell>
          <cell r="F119">
            <v>0</v>
          </cell>
          <cell r="G119">
            <v>0</v>
          </cell>
          <cell r="H119">
            <v>0</v>
          </cell>
          <cell r="I119">
            <v>0</v>
          </cell>
          <cell r="J119">
            <v>14060.593917840954</v>
          </cell>
        </row>
        <row r="120">
          <cell r="A120">
            <v>103</v>
          </cell>
          <cell r="B120">
            <v>42095</v>
          </cell>
          <cell r="C120">
            <v>0</v>
          </cell>
          <cell r="D120">
            <v>1440.7285040253385</v>
          </cell>
          <cell r="E120">
            <v>0</v>
          </cell>
          <cell r="F120">
            <v>0</v>
          </cell>
          <cell r="G120">
            <v>0</v>
          </cell>
          <cell r="H120">
            <v>0</v>
          </cell>
          <cell r="I120">
            <v>0</v>
          </cell>
          <cell r="J120">
            <v>14060.593917840954</v>
          </cell>
        </row>
        <row r="121">
          <cell r="A121">
            <v>104</v>
          </cell>
          <cell r="B121">
            <v>42125</v>
          </cell>
          <cell r="C121">
            <v>0</v>
          </cell>
          <cell r="D121">
            <v>1440.7285040253385</v>
          </cell>
          <cell r="E121">
            <v>0</v>
          </cell>
          <cell r="F121">
            <v>0</v>
          </cell>
          <cell r="G121">
            <v>0</v>
          </cell>
          <cell r="H121">
            <v>0</v>
          </cell>
          <cell r="I121">
            <v>0</v>
          </cell>
          <cell r="J121">
            <v>14060.593917840954</v>
          </cell>
        </row>
        <row r="122">
          <cell r="A122">
            <v>105</v>
          </cell>
          <cell r="B122">
            <v>42156</v>
          </cell>
          <cell r="C122">
            <v>0</v>
          </cell>
          <cell r="D122">
            <v>1440.7285040253385</v>
          </cell>
          <cell r="E122">
            <v>0</v>
          </cell>
          <cell r="F122">
            <v>0</v>
          </cell>
          <cell r="G122">
            <v>0</v>
          </cell>
          <cell r="H122">
            <v>0</v>
          </cell>
          <cell r="I122">
            <v>0</v>
          </cell>
          <cell r="J122">
            <v>14060.593917840954</v>
          </cell>
        </row>
        <row r="123">
          <cell r="A123">
            <v>106</v>
          </cell>
          <cell r="B123">
            <v>42186</v>
          </cell>
          <cell r="C123">
            <v>0</v>
          </cell>
          <cell r="D123">
            <v>1440.7285040253385</v>
          </cell>
          <cell r="E123">
            <v>0</v>
          </cell>
          <cell r="F123">
            <v>0</v>
          </cell>
          <cell r="G123">
            <v>0</v>
          </cell>
          <cell r="H123">
            <v>0</v>
          </cell>
          <cell r="I123">
            <v>0</v>
          </cell>
          <cell r="J123">
            <v>14060.593917840954</v>
          </cell>
        </row>
        <row r="124">
          <cell r="A124">
            <v>107</v>
          </cell>
          <cell r="B124">
            <v>42217</v>
          </cell>
          <cell r="C124">
            <v>0</v>
          </cell>
          <cell r="D124">
            <v>1440.7285040253385</v>
          </cell>
          <cell r="E124">
            <v>0</v>
          </cell>
          <cell r="F124">
            <v>0</v>
          </cell>
          <cell r="G124">
            <v>0</v>
          </cell>
          <cell r="H124">
            <v>0</v>
          </cell>
          <cell r="I124">
            <v>0</v>
          </cell>
          <cell r="J124">
            <v>14060.593917840954</v>
          </cell>
        </row>
        <row r="125">
          <cell r="A125">
            <v>108</v>
          </cell>
          <cell r="B125">
            <v>42248</v>
          </cell>
          <cell r="C125">
            <v>0</v>
          </cell>
          <cell r="D125">
            <v>1440.7285040253385</v>
          </cell>
          <cell r="E125">
            <v>0</v>
          </cell>
          <cell r="F125">
            <v>0</v>
          </cell>
          <cell r="G125">
            <v>0</v>
          </cell>
          <cell r="H125">
            <v>0</v>
          </cell>
          <cell r="I125">
            <v>0</v>
          </cell>
          <cell r="J125">
            <v>14060.593917840954</v>
          </cell>
        </row>
        <row r="126">
          <cell r="A126">
            <v>109</v>
          </cell>
          <cell r="B126">
            <v>42278</v>
          </cell>
          <cell r="C126">
            <v>0</v>
          </cell>
          <cell r="D126">
            <v>1440.7285040253385</v>
          </cell>
          <cell r="E126">
            <v>0</v>
          </cell>
          <cell r="F126">
            <v>0</v>
          </cell>
          <cell r="G126">
            <v>0</v>
          </cell>
          <cell r="H126">
            <v>0</v>
          </cell>
          <cell r="I126">
            <v>0</v>
          </cell>
          <cell r="J126">
            <v>14060.593917840954</v>
          </cell>
        </row>
        <row r="127">
          <cell r="A127">
            <v>110</v>
          </cell>
          <cell r="B127">
            <v>42309</v>
          </cell>
          <cell r="C127">
            <v>0</v>
          </cell>
          <cell r="D127">
            <v>1440.7285040253385</v>
          </cell>
          <cell r="E127">
            <v>0</v>
          </cell>
          <cell r="F127">
            <v>0</v>
          </cell>
          <cell r="G127">
            <v>0</v>
          </cell>
          <cell r="H127">
            <v>0</v>
          </cell>
          <cell r="I127">
            <v>0</v>
          </cell>
          <cell r="J127">
            <v>14060.593917840954</v>
          </cell>
        </row>
        <row r="128">
          <cell r="A128">
            <v>111</v>
          </cell>
          <cell r="B128">
            <v>42339</v>
          </cell>
          <cell r="C128">
            <v>0</v>
          </cell>
          <cell r="D128">
            <v>1440.7285040253385</v>
          </cell>
          <cell r="E128">
            <v>0</v>
          </cell>
          <cell r="F128">
            <v>0</v>
          </cell>
          <cell r="G128">
            <v>0</v>
          </cell>
          <cell r="H128">
            <v>0</v>
          </cell>
          <cell r="I128">
            <v>0</v>
          </cell>
          <cell r="J128">
            <v>14060.593917840954</v>
          </cell>
        </row>
        <row r="129">
          <cell r="A129">
            <v>112</v>
          </cell>
          <cell r="B129">
            <v>42370</v>
          </cell>
          <cell r="C129">
            <v>0</v>
          </cell>
          <cell r="D129">
            <v>1440.7285040253385</v>
          </cell>
          <cell r="E129">
            <v>0</v>
          </cell>
          <cell r="F129">
            <v>0</v>
          </cell>
          <cell r="G129">
            <v>0</v>
          </cell>
          <cell r="H129">
            <v>0</v>
          </cell>
          <cell r="I129">
            <v>0</v>
          </cell>
          <cell r="J129">
            <v>14060.593917840954</v>
          </cell>
        </row>
        <row r="130">
          <cell r="A130">
            <v>113</v>
          </cell>
          <cell r="B130">
            <v>42401</v>
          </cell>
          <cell r="C130">
            <v>0</v>
          </cell>
          <cell r="D130">
            <v>1440.7285040253385</v>
          </cell>
          <cell r="E130">
            <v>0</v>
          </cell>
          <cell r="F130">
            <v>0</v>
          </cell>
          <cell r="G130">
            <v>0</v>
          </cell>
          <cell r="H130">
            <v>0</v>
          </cell>
          <cell r="I130">
            <v>0</v>
          </cell>
          <cell r="J130">
            <v>14060.593917840954</v>
          </cell>
        </row>
        <row r="131">
          <cell r="A131">
            <v>114</v>
          </cell>
          <cell r="B131">
            <v>42430</v>
          </cell>
          <cell r="C131">
            <v>0</v>
          </cell>
          <cell r="D131">
            <v>1440.7285040253385</v>
          </cell>
          <cell r="E131">
            <v>0</v>
          </cell>
          <cell r="F131">
            <v>0</v>
          </cell>
          <cell r="G131">
            <v>0</v>
          </cell>
          <cell r="H131">
            <v>0</v>
          </cell>
          <cell r="I131">
            <v>0</v>
          </cell>
          <cell r="J131">
            <v>14060.593917840954</v>
          </cell>
        </row>
        <row r="132">
          <cell r="A132">
            <v>115</v>
          </cell>
          <cell r="B132">
            <v>42461</v>
          </cell>
          <cell r="C132">
            <v>0</v>
          </cell>
          <cell r="D132">
            <v>1440.7285040253385</v>
          </cell>
          <cell r="E132">
            <v>0</v>
          </cell>
          <cell r="F132">
            <v>0</v>
          </cell>
          <cell r="G132">
            <v>0</v>
          </cell>
          <cell r="H132">
            <v>0</v>
          </cell>
          <cell r="I132">
            <v>0</v>
          </cell>
          <cell r="J132">
            <v>14060.593917840954</v>
          </cell>
        </row>
        <row r="133">
          <cell r="A133">
            <v>116</v>
          </cell>
          <cell r="B133">
            <v>42491</v>
          </cell>
          <cell r="C133">
            <v>0</v>
          </cell>
          <cell r="D133">
            <v>1440.7285040253385</v>
          </cell>
          <cell r="E133">
            <v>0</v>
          </cell>
          <cell r="F133">
            <v>0</v>
          </cell>
          <cell r="G133">
            <v>0</v>
          </cell>
          <cell r="H133">
            <v>0</v>
          </cell>
          <cell r="I133">
            <v>0</v>
          </cell>
          <cell r="J133">
            <v>14060.593917840954</v>
          </cell>
        </row>
        <row r="134">
          <cell r="A134">
            <v>117</v>
          </cell>
          <cell r="B134">
            <v>42522</v>
          </cell>
          <cell r="C134">
            <v>0</v>
          </cell>
          <cell r="D134">
            <v>1440.7285040253385</v>
          </cell>
          <cell r="E134">
            <v>0</v>
          </cell>
          <cell r="F134">
            <v>0</v>
          </cell>
          <cell r="G134">
            <v>0</v>
          </cell>
          <cell r="H134">
            <v>0</v>
          </cell>
          <cell r="I134">
            <v>0</v>
          </cell>
          <cell r="J134">
            <v>14060.593917840954</v>
          </cell>
        </row>
        <row r="135">
          <cell r="A135">
            <v>118</v>
          </cell>
          <cell r="B135">
            <v>42552</v>
          </cell>
          <cell r="C135">
            <v>0</v>
          </cell>
          <cell r="D135">
            <v>1440.7285040253385</v>
          </cell>
          <cell r="E135">
            <v>0</v>
          </cell>
          <cell r="F135">
            <v>0</v>
          </cell>
          <cell r="G135">
            <v>0</v>
          </cell>
          <cell r="H135">
            <v>0</v>
          </cell>
          <cell r="I135">
            <v>0</v>
          </cell>
          <cell r="J135">
            <v>14060.593917840954</v>
          </cell>
        </row>
        <row r="136">
          <cell r="A136">
            <v>119</v>
          </cell>
          <cell r="B136">
            <v>42583</v>
          </cell>
          <cell r="C136">
            <v>0</v>
          </cell>
          <cell r="D136">
            <v>1440.7285040253385</v>
          </cell>
          <cell r="E136">
            <v>0</v>
          </cell>
          <cell r="F136">
            <v>0</v>
          </cell>
          <cell r="G136">
            <v>0</v>
          </cell>
          <cell r="H136">
            <v>0</v>
          </cell>
          <cell r="I136">
            <v>0</v>
          </cell>
          <cell r="J136">
            <v>14060.593917840954</v>
          </cell>
        </row>
        <row r="137">
          <cell r="A137">
            <v>120</v>
          </cell>
          <cell r="B137">
            <v>42614</v>
          </cell>
          <cell r="C137">
            <v>0</v>
          </cell>
          <cell r="D137">
            <v>1440.7285040253385</v>
          </cell>
          <cell r="E137">
            <v>0</v>
          </cell>
          <cell r="F137">
            <v>0</v>
          </cell>
          <cell r="G137">
            <v>0</v>
          </cell>
          <cell r="H137">
            <v>0</v>
          </cell>
          <cell r="I137">
            <v>0</v>
          </cell>
          <cell r="J137">
            <v>14060.593917840954</v>
          </cell>
        </row>
        <row r="138">
          <cell r="A138">
            <v>121</v>
          </cell>
          <cell r="B138">
            <v>42644</v>
          </cell>
          <cell r="C138">
            <v>0</v>
          </cell>
          <cell r="D138">
            <v>1440.7285040253385</v>
          </cell>
          <cell r="E138">
            <v>0</v>
          </cell>
          <cell r="F138">
            <v>0</v>
          </cell>
          <cell r="G138">
            <v>0</v>
          </cell>
          <cell r="H138">
            <v>0</v>
          </cell>
          <cell r="I138">
            <v>0</v>
          </cell>
          <cell r="J138">
            <v>14060.593917840954</v>
          </cell>
        </row>
        <row r="139">
          <cell r="A139">
            <v>122</v>
          </cell>
          <cell r="B139">
            <v>42675</v>
          </cell>
          <cell r="C139">
            <v>0</v>
          </cell>
          <cell r="D139">
            <v>1440.7285040253385</v>
          </cell>
          <cell r="E139">
            <v>0</v>
          </cell>
          <cell r="F139">
            <v>0</v>
          </cell>
          <cell r="G139">
            <v>0</v>
          </cell>
          <cell r="H139">
            <v>0</v>
          </cell>
          <cell r="I139">
            <v>0</v>
          </cell>
          <cell r="J139">
            <v>14060.593917840954</v>
          </cell>
        </row>
        <row r="140">
          <cell r="A140">
            <v>123</v>
          </cell>
          <cell r="B140">
            <v>42705</v>
          </cell>
          <cell r="C140">
            <v>0</v>
          </cell>
          <cell r="D140">
            <v>1440.7285040253385</v>
          </cell>
          <cell r="E140">
            <v>0</v>
          </cell>
          <cell r="F140">
            <v>0</v>
          </cell>
          <cell r="G140">
            <v>0</v>
          </cell>
          <cell r="H140">
            <v>0</v>
          </cell>
          <cell r="I140">
            <v>0</v>
          </cell>
          <cell r="J140">
            <v>14060.593917840954</v>
          </cell>
        </row>
        <row r="141">
          <cell r="A141">
            <v>124</v>
          </cell>
          <cell r="B141">
            <v>42736</v>
          </cell>
          <cell r="C141">
            <v>0</v>
          </cell>
          <cell r="D141">
            <v>1440.7285040253385</v>
          </cell>
          <cell r="E141">
            <v>0</v>
          </cell>
          <cell r="F141">
            <v>0</v>
          </cell>
          <cell r="G141">
            <v>0</v>
          </cell>
          <cell r="H141">
            <v>0</v>
          </cell>
          <cell r="I141">
            <v>0</v>
          </cell>
          <cell r="J141">
            <v>14060.593917840954</v>
          </cell>
        </row>
        <row r="142">
          <cell r="A142">
            <v>125</v>
          </cell>
          <cell r="B142">
            <v>42767</v>
          </cell>
          <cell r="C142">
            <v>0</v>
          </cell>
          <cell r="D142">
            <v>1440.7285040253385</v>
          </cell>
          <cell r="E142">
            <v>0</v>
          </cell>
          <cell r="F142">
            <v>0</v>
          </cell>
          <cell r="G142">
            <v>0</v>
          </cell>
          <cell r="H142">
            <v>0</v>
          </cell>
          <cell r="I142">
            <v>0</v>
          </cell>
          <cell r="J142">
            <v>14060.593917840954</v>
          </cell>
        </row>
        <row r="143">
          <cell r="A143">
            <v>126</v>
          </cell>
          <cell r="B143">
            <v>42795</v>
          </cell>
          <cell r="C143">
            <v>0</v>
          </cell>
          <cell r="D143">
            <v>1440.7285040253385</v>
          </cell>
          <cell r="E143">
            <v>0</v>
          </cell>
          <cell r="F143">
            <v>0</v>
          </cell>
          <cell r="G143">
            <v>0</v>
          </cell>
          <cell r="H143">
            <v>0</v>
          </cell>
          <cell r="I143">
            <v>0</v>
          </cell>
          <cell r="J143">
            <v>14060.593917840954</v>
          </cell>
        </row>
        <row r="144">
          <cell r="A144">
            <v>127</v>
          </cell>
          <cell r="B144">
            <v>42826</v>
          </cell>
          <cell r="C144">
            <v>0</v>
          </cell>
          <cell r="D144">
            <v>1440.7285040253385</v>
          </cell>
          <cell r="E144">
            <v>0</v>
          </cell>
          <cell r="F144">
            <v>0</v>
          </cell>
          <cell r="G144">
            <v>0</v>
          </cell>
          <cell r="H144">
            <v>0</v>
          </cell>
          <cell r="I144">
            <v>0</v>
          </cell>
          <cell r="J144">
            <v>14060.593917840954</v>
          </cell>
        </row>
        <row r="145">
          <cell r="A145">
            <v>128</v>
          </cell>
          <cell r="B145">
            <v>42856</v>
          </cell>
          <cell r="C145">
            <v>0</v>
          </cell>
          <cell r="D145">
            <v>1440.7285040253385</v>
          </cell>
          <cell r="E145">
            <v>0</v>
          </cell>
          <cell r="F145">
            <v>0</v>
          </cell>
          <cell r="G145">
            <v>0</v>
          </cell>
          <cell r="H145">
            <v>0</v>
          </cell>
          <cell r="I145">
            <v>0</v>
          </cell>
          <cell r="J145">
            <v>14060.593917840954</v>
          </cell>
        </row>
        <row r="146">
          <cell r="A146">
            <v>129</v>
          </cell>
          <cell r="B146">
            <v>42887</v>
          </cell>
          <cell r="C146">
            <v>0</v>
          </cell>
          <cell r="D146">
            <v>1440.7285040253385</v>
          </cell>
          <cell r="E146">
            <v>0</v>
          </cell>
          <cell r="F146">
            <v>0</v>
          </cell>
          <cell r="G146">
            <v>0</v>
          </cell>
          <cell r="H146">
            <v>0</v>
          </cell>
          <cell r="I146">
            <v>0</v>
          </cell>
          <cell r="J146">
            <v>14060.593917840954</v>
          </cell>
        </row>
        <row r="147">
          <cell r="A147">
            <v>130</v>
          </cell>
          <cell r="B147">
            <v>42917</v>
          </cell>
          <cell r="C147">
            <v>0</v>
          </cell>
          <cell r="D147">
            <v>1440.7285040253385</v>
          </cell>
          <cell r="E147">
            <v>0</v>
          </cell>
          <cell r="F147">
            <v>0</v>
          </cell>
          <cell r="G147">
            <v>0</v>
          </cell>
          <cell r="H147">
            <v>0</v>
          </cell>
          <cell r="I147">
            <v>0</v>
          </cell>
          <cell r="J147">
            <v>14060.593917840954</v>
          </cell>
        </row>
        <row r="148">
          <cell r="A148">
            <v>131</v>
          </cell>
          <cell r="B148">
            <v>42948</v>
          </cell>
          <cell r="C148">
            <v>0</v>
          </cell>
          <cell r="D148">
            <v>1440.7285040253385</v>
          </cell>
          <cell r="E148">
            <v>0</v>
          </cell>
          <cell r="F148">
            <v>0</v>
          </cell>
          <cell r="G148">
            <v>0</v>
          </cell>
          <cell r="H148">
            <v>0</v>
          </cell>
          <cell r="I148">
            <v>0</v>
          </cell>
          <cell r="J148">
            <v>14060.593917840954</v>
          </cell>
        </row>
        <row r="149">
          <cell r="A149">
            <v>132</v>
          </cell>
          <cell r="B149">
            <v>42979</v>
          </cell>
          <cell r="C149">
            <v>0</v>
          </cell>
          <cell r="D149">
            <v>1440.7285040253385</v>
          </cell>
          <cell r="E149">
            <v>0</v>
          </cell>
          <cell r="F149">
            <v>0</v>
          </cell>
          <cell r="G149">
            <v>0</v>
          </cell>
          <cell r="H149">
            <v>0</v>
          </cell>
          <cell r="I149">
            <v>0</v>
          </cell>
          <cell r="J149">
            <v>14060.593917840954</v>
          </cell>
        </row>
        <row r="150">
          <cell r="A150">
            <v>133</v>
          </cell>
          <cell r="B150">
            <v>43009</v>
          </cell>
          <cell r="C150">
            <v>0</v>
          </cell>
          <cell r="D150">
            <v>1440.7285040253385</v>
          </cell>
          <cell r="E150">
            <v>0</v>
          </cell>
          <cell r="F150">
            <v>0</v>
          </cell>
          <cell r="G150">
            <v>0</v>
          </cell>
          <cell r="H150">
            <v>0</v>
          </cell>
          <cell r="I150">
            <v>0</v>
          </cell>
          <cell r="J150">
            <v>14060.593917840954</v>
          </cell>
        </row>
        <row r="151">
          <cell r="A151">
            <v>134</v>
          </cell>
          <cell r="B151">
            <v>43040</v>
          </cell>
          <cell r="C151">
            <v>0</v>
          </cell>
          <cell r="D151">
            <v>1440.7285040253385</v>
          </cell>
          <cell r="E151">
            <v>0</v>
          </cell>
          <cell r="F151">
            <v>0</v>
          </cell>
          <cell r="G151">
            <v>0</v>
          </cell>
          <cell r="H151">
            <v>0</v>
          </cell>
          <cell r="I151">
            <v>0</v>
          </cell>
          <cell r="J151">
            <v>14060.593917840954</v>
          </cell>
        </row>
        <row r="152">
          <cell r="A152">
            <v>135</v>
          </cell>
          <cell r="B152">
            <v>43070</v>
          </cell>
          <cell r="C152">
            <v>0</v>
          </cell>
          <cell r="D152">
            <v>1440.7285040253385</v>
          </cell>
          <cell r="E152">
            <v>0</v>
          </cell>
          <cell r="F152">
            <v>0</v>
          </cell>
          <cell r="G152">
            <v>0</v>
          </cell>
          <cell r="H152">
            <v>0</v>
          </cell>
          <cell r="I152">
            <v>0</v>
          </cell>
          <cell r="J152">
            <v>14060.593917840954</v>
          </cell>
        </row>
        <row r="153">
          <cell r="A153">
            <v>136</v>
          </cell>
          <cell r="B153">
            <v>43101</v>
          </cell>
          <cell r="C153">
            <v>0</v>
          </cell>
          <cell r="D153">
            <v>1440.7285040253385</v>
          </cell>
          <cell r="E153">
            <v>0</v>
          </cell>
          <cell r="F153">
            <v>0</v>
          </cell>
          <cell r="G153">
            <v>0</v>
          </cell>
          <cell r="H153">
            <v>0</v>
          </cell>
          <cell r="I153">
            <v>0</v>
          </cell>
          <cell r="J153">
            <v>14060.593917840954</v>
          </cell>
        </row>
        <row r="154">
          <cell r="A154">
            <v>137</v>
          </cell>
          <cell r="B154">
            <v>43132</v>
          </cell>
          <cell r="C154">
            <v>0</v>
          </cell>
          <cell r="D154">
            <v>1440.7285040253385</v>
          </cell>
          <cell r="E154">
            <v>0</v>
          </cell>
          <cell r="F154">
            <v>0</v>
          </cell>
          <cell r="G154">
            <v>0</v>
          </cell>
          <cell r="H154">
            <v>0</v>
          </cell>
          <cell r="I154">
            <v>0</v>
          </cell>
          <cell r="J154">
            <v>14060.593917840954</v>
          </cell>
        </row>
        <row r="155">
          <cell r="A155">
            <v>138</v>
          </cell>
          <cell r="B155">
            <v>43160</v>
          </cell>
          <cell r="C155">
            <v>0</v>
          </cell>
          <cell r="D155">
            <v>1440.7285040253385</v>
          </cell>
          <cell r="E155">
            <v>0</v>
          </cell>
          <cell r="F155">
            <v>0</v>
          </cell>
          <cell r="G155">
            <v>0</v>
          </cell>
          <cell r="H155">
            <v>0</v>
          </cell>
          <cell r="I155">
            <v>0</v>
          </cell>
          <cell r="J155">
            <v>14060.593917840954</v>
          </cell>
        </row>
        <row r="156">
          <cell r="A156">
            <v>139</v>
          </cell>
          <cell r="B156">
            <v>43191</v>
          </cell>
          <cell r="C156">
            <v>0</v>
          </cell>
          <cell r="D156">
            <v>1440.7285040253385</v>
          </cell>
          <cell r="E156">
            <v>0</v>
          </cell>
          <cell r="F156">
            <v>0</v>
          </cell>
          <cell r="G156">
            <v>0</v>
          </cell>
          <cell r="H156">
            <v>0</v>
          </cell>
          <cell r="I156">
            <v>0</v>
          </cell>
          <cell r="J156">
            <v>14060.593917840954</v>
          </cell>
        </row>
        <row r="157">
          <cell r="A157">
            <v>140</v>
          </cell>
          <cell r="B157">
            <v>43221</v>
          </cell>
          <cell r="C157">
            <v>0</v>
          </cell>
          <cell r="D157">
            <v>1440.7285040253385</v>
          </cell>
          <cell r="E157">
            <v>0</v>
          </cell>
          <cell r="F157">
            <v>0</v>
          </cell>
          <cell r="G157">
            <v>0</v>
          </cell>
          <cell r="H157">
            <v>0</v>
          </cell>
          <cell r="I157">
            <v>0</v>
          </cell>
          <cell r="J157">
            <v>14060.593917840954</v>
          </cell>
        </row>
        <row r="158">
          <cell r="A158">
            <v>141</v>
          </cell>
          <cell r="B158">
            <v>43252</v>
          </cell>
          <cell r="C158">
            <v>0</v>
          </cell>
          <cell r="D158">
            <v>1440.7285040253385</v>
          </cell>
          <cell r="E158">
            <v>0</v>
          </cell>
          <cell r="F158">
            <v>0</v>
          </cell>
          <cell r="G158">
            <v>0</v>
          </cell>
          <cell r="H158">
            <v>0</v>
          </cell>
          <cell r="I158">
            <v>0</v>
          </cell>
          <cell r="J158">
            <v>14060.593917840954</v>
          </cell>
        </row>
        <row r="159">
          <cell r="A159">
            <v>142</v>
          </cell>
          <cell r="B159">
            <v>43282</v>
          </cell>
          <cell r="C159">
            <v>0</v>
          </cell>
          <cell r="D159">
            <v>1440.7285040253385</v>
          </cell>
          <cell r="E159">
            <v>0</v>
          </cell>
          <cell r="F159">
            <v>0</v>
          </cell>
          <cell r="G159">
            <v>0</v>
          </cell>
          <cell r="H159">
            <v>0</v>
          </cell>
          <cell r="I159">
            <v>0</v>
          </cell>
          <cell r="J159">
            <v>14060.593917840954</v>
          </cell>
        </row>
        <row r="160">
          <cell r="A160">
            <v>143</v>
          </cell>
          <cell r="B160">
            <v>43313</v>
          </cell>
          <cell r="C160">
            <v>0</v>
          </cell>
          <cell r="D160">
            <v>1440.7285040253385</v>
          </cell>
          <cell r="E160">
            <v>0</v>
          </cell>
          <cell r="F160">
            <v>0</v>
          </cell>
          <cell r="G160">
            <v>0</v>
          </cell>
          <cell r="H160">
            <v>0</v>
          </cell>
          <cell r="I160">
            <v>0</v>
          </cell>
          <cell r="J160">
            <v>14060.593917840954</v>
          </cell>
        </row>
        <row r="161">
          <cell r="A161">
            <v>144</v>
          </cell>
          <cell r="B161">
            <v>43344</v>
          </cell>
          <cell r="C161">
            <v>0</v>
          </cell>
          <cell r="D161">
            <v>1440.7285040253385</v>
          </cell>
          <cell r="E161">
            <v>0</v>
          </cell>
          <cell r="F161">
            <v>0</v>
          </cell>
          <cell r="G161">
            <v>0</v>
          </cell>
          <cell r="H161">
            <v>0</v>
          </cell>
          <cell r="I161">
            <v>0</v>
          </cell>
          <cell r="J161">
            <v>14060.593917840954</v>
          </cell>
        </row>
        <row r="162">
          <cell r="A162">
            <v>145</v>
          </cell>
          <cell r="B162">
            <v>43374</v>
          </cell>
          <cell r="C162">
            <v>0</v>
          </cell>
          <cell r="D162">
            <v>1440.7285040253385</v>
          </cell>
          <cell r="E162">
            <v>0</v>
          </cell>
          <cell r="F162">
            <v>0</v>
          </cell>
          <cell r="G162">
            <v>0</v>
          </cell>
          <cell r="H162">
            <v>0</v>
          </cell>
          <cell r="I162">
            <v>0</v>
          </cell>
          <cell r="J162">
            <v>14060.593917840954</v>
          </cell>
        </row>
        <row r="163">
          <cell r="A163">
            <v>146</v>
          </cell>
          <cell r="B163">
            <v>43405</v>
          </cell>
          <cell r="C163">
            <v>0</v>
          </cell>
          <cell r="D163">
            <v>1440.7285040253385</v>
          </cell>
          <cell r="E163">
            <v>0</v>
          </cell>
          <cell r="F163">
            <v>0</v>
          </cell>
          <cell r="G163">
            <v>0</v>
          </cell>
          <cell r="H163">
            <v>0</v>
          </cell>
          <cell r="I163">
            <v>0</v>
          </cell>
          <cell r="J163">
            <v>14060.593917840954</v>
          </cell>
        </row>
        <row r="164">
          <cell r="A164">
            <v>147</v>
          </cell>
          <cell r="B164">
            <v>43435</v>
          </cell>
          <cell r="C164">
            <v>0</v>
          </cell>
          <cell r="D164">
            <v>1440.7285040253385</v>
          </cell>
          <cell r="E164">
            <v>0</v>
          </cell>
          <cell r="F164">
            <v>0</v>
          </cell>
          <cell r="G164">
            <v>0</v>
          </cell>
          <cell r="H164">
            <v>0</v>
          </cell>
          <cell r="I164">
            <v>0</v>
          </cell>
          <cell r="J164">
            <v>14060.593917840954</v>
          </cell>
        </row>
        <row r="165">
          <cell r="A165">
            <v>148</v>
          </cell>
          <cell r="B165">
            <v>43466</v>
          </cell>
          <cell r="C165">
            <v>0</v>
          </cell>
          <cell r="D165">
            <v>1440.7285040253385</v>
          </cell>
          <cell r="E165">
            <v>0</v>
          </cell>
          <cell r="F165">
            <v>0</v>
          </cell>
          <cell r="G165">
            <v>0</v>
          </cell>
          <cell r="H165">
            <v>0</v>
          </cell>
          <cell r="I165">
            <v>0</v>
          </cell>
          <cell r="J165">
            <v>14060.593917840954</v>
          </cell>
        </row>
        <row r="166">
          <cell r="A166">
            <v>149</v>
          </cell>
          <cell r="B166">
            <v>43497</v>
          </cell>
          <cell r="C166">
            <v>0</v>
          </cell>
          <cell r="D166">
            <v>1440.7285040253385</v>
          </cell>
          <cell r="E166">
            <v>0</v>
          </cell>
          <cell r="F166">
            <v>0</v>
          </cell>
          <cell r="G166">
            <v>0</v>
          </cell>
          <cell r="H166">
            <v>0</v>
          </cell>
          <cell r="I166">
            <v>0</v>
          </cell>
          <cell r="J166">
            <v>14060.593917840954</v>
          </cell>
        </row>
        <row r="167">
          <cell r="A167">
            <v>150</v>
          </cell>
          <cell r="B167">
            <v>43525</v>
          </cell>
          <cell r="C167">
            <v>0</v>
          </cell>
          <cell r="D167">
            <v>1440.7285040253385</v>
          </cell>
          <cell r="E167">
            <v>0</v>
          </cell>
          <cell r="F167">
            <v>0</v>
          </cell>
          <cell r="G167">
            <v>0</v>
          </cell>
          <cell r="H167">
            <v>0</v>
          </cell>
          <cell r="I167">
            <v>0</v>
          </cell>
          <cell r="J167">
            <v>14060.593917840954</v>
          </cell>
        </row>
        <row r="168">
          <cell r="A168">
            <v>151</v>
          </cell>
          <cell r="B168">
            <v>43556</v>
          </cell>
          <cell r="C168">
            <v>0</v>
          </cell>
          <cell r="D168">
            <v>1440.7285040253385</v>
          </cell>
          <cell r="E168">
            <v>0</v>
          </cell>
          <cell r="F168">
            <v>0</v>
          </cell>
          <cell r="G168">
            <v>0</v>
          </cell>
          <cell r="H168">
            <v>0</v>
          </cell>
          <cell r="I168">
            <v>0</v>
          </cell>
          <cell r="J168">
            <v>14060.593917840954</v>
          </cell>
        </row>
        <row r="169">
          <cell r="A169">
            <v>152</v>
          </cell>
          <cell r="B169">
            <v>43586</v>
          </cell>
          <cell r="C169">
            <v>0</v>
          </cell>
          <cell r="D169">
            <v>1440.7285040253385</v>
          </cell>
          <cell r="E169">
            <v>0</v>
          </cell>
          <cell r="F169">
            <v>0</v>
          </cell>
          <cell r="G169">
            <v>0</v>
          </cell>
          <cell r="H169">
            <v>0</v>
          </cell>
          <cell r="I169">
            <v>0</v>
          </cell>
          <cell r="J169">
            <v>14060.593917840954</v>
          </cell>
        </row>
        <row r="170">
          <cell r="A170">
            <v>153</v>
          </cell>
          <cell r="B170">
            <v>43617</v>
          </cell>
          <cell r="C170">
            <v>0</v>
          </cell>
          <cell r="D170">
            <v>1440.7285040253385</v>
          </cell>
          <cell r="E170">
            <v>0</v>
          </cell>
          <cell r="F170">
            <v>0</v>
          </cell>
          <cell r="G170">
            <v>0</v>
          </cell>
          <cell r="H170">
            <v>0</v>
          </cell>
          <cell r="I170">
            <v>0</v>
          </cell>
          <cell r="J170">
            <v>14060.593917840954</v>
          </cell>
        </row>
        <row r="171">
          <cell r="A171">
            <v>154</v>
          </cell>
          <cell r="B171">
            <v>43647</v>
          </cell>
          <cell r="C171">
            <v>0</v>
          </cell>
          <cell r="D171">
            <v>1440.7285040253385</v>
          </cell>
          <cell r="E171">
            <v>0</v>
          </cell>
          <cell r="F171">
            <v>0</v>
          </cell>
          <cell r="G171">
            <v>0</v>
          </cell>
          <cell r="H171">
            <v>0</v>
          </cell>
          <cell r="I171">
            <v>0</v>
          </cell>
          <cell r="J171">
            <v>14060.593917840954</v>
          </cell>
        </row>
        <row r="172">
          <cell r="A172">
            <v>155</v>
          </cell>
          <cell r="B172">
            <v>43678</v>
          </cell>
          <cell r="C172">
            <v>0</v>
          </cell>
          <cell r="D172">
            <v>1440.7285040253385</v>
          </cell>
          <cell r="E172">
            <v>0</v>
          </cell>
          <cell r="F172">
            <v>0</v>
          </cell>
          <cell r="G172">
            <v>0</v>
          </cell>
          <cell r="H172">
            <v>0</v>
          </cell>
          <cell r="I172">
            <v>0</v>
          </cell>
          <cell r="J172">
            <v>14060.593917840954</v>
          </cell>
        </row>
        <row r="173">
          <cell r="A173">
            <v>156</v>
          </cell>
          <cell r="B173">
            <v>43709</v>
          </cell>
          <cell r="C173">
            <v>0</v>
          </cell>
          <cell r="D173">
            <v>1440.7285040253385</v>
          </cell>
          <cell r="E173">
            <v>0</v>
          </cell>
          <cell r="F173">
            <v>0</v>
          </cell>
          <cell r="G173">
            <v>0</v>
          </cell>
          <cell r="H173">
            <v>0</v>
          </cell>
          <cell r="I173">
            <v>0</v>
          </cell>
          <cell r="J173">
            <v>14060.593917840954</v>
          </cell>
        </row>
        <row r="174">
          <cell r="A174">
            <v>157</v>
          </cell>
          <cell r="B174">
            <v>43739</v>
          </cell>
          <cell r="C174">
            <v>0</v>
          </cell>
          <cell r="D174">
            <v>1440.7285040253385</v>
          </cell>
          <cell r="E174">
            <v>0</v>
          </cell>
          <cell r="F174">
            <v>0</v>
          </cell>
          <cell r="G174">
            <v>0</v>
          </cell>
          <cell r="H174">
            <v>0</v>
          </cell>
          <cell r="I174">
            <v>0</v>
          </cell>
          <cell r="J174">
            <v>14060.593917840954</v>
          </cell>
        </row>
        <row r="175">
          <cell r="A175">
            <v>158</v>
          </cell>
          <cell r="B175">
            <v>43770</v>
          </cell>
          <cell r="C175">
            <v>0</v>
          </cell>
          <cell r="D175">
            <v>1440.7285040253385</v>
          </cell>
          <cell r="E175">
            <v>0</v>
          </cell>
          <cell r="F175">
            <v>0</v>
          </cell>
          <cell r="G175">
            <v>0</v>
          </cell>
          <cell r="H175">
            <v>0</v>
          </cell>
          <cell r="I175">
            <v>0</v>
          </cell>
          <cell r="J175">
            <v>14060.593917840954</v>
          </cell>
        </row>
        <row r="176">
          <cell r="A176">
            <v>159</v>
          </cell>
          <cell r="B176">
            <v>43800</v>
          </cell>
          <cell r="C176">
            <v>0</v>
          </cell>
          <cell r="D176">
            <v>1440.7285040253385</v>
          </cell>
          <cell r="E176">
            <v>0</v>
          </cell>
          <cell r="F176">
            <v>0</v>
          </cell>
          <cell r="G176">
            <v>0</v>
          </cell>
          <cell r="H176">
            <v>0</v>
          </cell>
          <cell r="I176">
            <v>0</v>
          </cell>
          <cell r="J176">
            <v>14060.593917840954</v>
          </cell>
        </row>
        <row r="177">
          <cell r="A177">
            <v>160</v>
          </cell>
          <cell r="B177">
            <v>43831</v>
          </cell>
          <cell r="C177">
            <v>0</v>
          </cell>
          <cell r="D177">
            <v>1440.7285040253385</v>
          </cell>
          <cell r="E177">
            <v>0</v>
          </cell>
          <cell r="F177">
            <v>0</v>
          </cell>
          <cell r="G177">
            <v>0</v>
          </cell>
          <cell r="H177">
            <v>0</v>
          </cell>
          <cell r="I177">
            <v>0</v>
          </cell>
          <cell r="J177">
            <v>14060.593917840954</v>
          </cell>
        </row>
        <row r="178">
          <cell r="A178">
            <v>161</v>
          </cell>
          <cell r="B178">
            <v>43862</v>
          </cell>
          <cell r="C178">
            <v>0</v>
          </cell>
          <cell r="D178">
            <v>1440.7285040253385</v>
          </cell>
          <cell r="E178">
            <v>0</v>
          </cell>
          <cell r="F178">
            <v>0</v>
          </cell>
          <cell r="G178">
            <v>0</v>
          </cell>
          <cell r="H178">
            <v>0</v>
          </cell>
          <cell r="I178">
            <v>0</v>
          </cell>
          <cell r="J178">
            <v>14060.593917840954</v>
          </cell>
        </row>
        <row r="179">
          <cell r="A179">
            <v>162</v>
          </cell>
          <cell r="B179">
            <v>43891</v>
          </cell>
          <cell r="C179">
            <v>0</v>
          </cell>
          <cell r="D179">
            <v>1440.7285040253385</v>
          </cell>
          <cell r="E179">
            <v>0</v>
          </cell>
          <cell r="F179">
            <v>0</v>
          </cell>
          <cell r="G179">
            <v>0</v>
          </cell>
          <cell r="H179">
            <v>0</v>
          </cell>
          <cell r="I179">
            <v>0</v>
          </cell>
          <cell r="J179">
            <v>14060.593917840954</v>
          </cell>
        </row>
        <row r="180">
          <cell r="A180">
            <v>163</v>
          </cell>
          <cell r="B180">
            <v>43922</v>
          </cell>
          <cell r="C180">
            <v>0</v>
          </cell>
          <cell r="D180">
            <v>1440.7285040253385</v>
          </cell>
          <cell r="E180">
            <v>0</v>
          </cell>
          <cell r="F180">
            <v>0</v>
          </cell>
          <cell r="G180">
            <v>0</v>
          </cell>
          <cell r="H180">
            <v>0</v>
          </cell>
          <cell r="I180">
            <v>0</v>
          </cell>
          <cell r="J180">
            <v>14060.593917840954</v>
          </cell>
        </row>
        <row r="181">
          <cell r="A181">
            <v>164</v>
          </cell>
          <cell r="B181">
            <v>43952</v>
          </cell>
          <cell r="C181">
            <v>0</v>
          </cell>
          <cell r="D181">
            <v>1440.7285040253385</v>
          </cell>
          <cell r="E181">
            <v>0</v>
          </cell>
          <cell r="F181">
            <v>0</v>
          </cell>
          <cell r="G181">
            <v>0</v>
          </cell>
          <cell r="H181">
            <v>0</v>
          </cell>
          <cell r="I181">
            <v>0</v>
          </cell>
          <cell r="J181">
            <v>14060.593917840954</v>
          </cell>
        </row>
        <row r="182">
          <cell r="A182">
            <v>165</v>
          </cell>
          <cell r="B182">
            <v>43983</v>
          </cell>
          <cell r="C182">
            <v>0</v>
          </cell>
          <cell r="D182">
            <v>1440.7285040253385</v>
          </cell>
          <cell r="E182">
            <v>0</v>
          </cell>
          <cell r="F182">
            <v>0</v>
          </cell>
          <cell r="G182">
            <v>0</v>
          </cell>
          <cell r="H182">
            <v>0</v>
          </cell>
          <cell r="I182">
            <v>0</v>
          </cell>
          <cell r="J182">
            <v>14060.593917840954</v>
          </cell>
        </row>
        <row r="183">
          <cell r="A183">
            <v>166</v>
          </cell>
          <cell r="B183">
            <v>44013</v>
          </cell>
          <cell r="C183">
            <v>0</v>
          </cell>
          <cell r="D183">
            <v>1440.7285040253385</v>
          </cell>
          <cell r="E183">
            <v>0</v>
          </cell>
          <cell r="F183">
            <v>0</v>
          </cell>
          <cell r="G183">
            <v>0</v>
          </cell>
          <cell r="H183">
            <v>0</v>
          </cell>
          <cell r="I183">
            <v>0</v>
          </cell>
          <cell r="J183">
            <v>14060.593917840954</v>
          </cell>
        </row>
        <row r="184">
          <cell r="A184">
            <v>167</v>
          </cell>
          <cell r="B184">
            <v>44044</v>
          </cell>
          <cell r="C184">
            <v>0</v>
          </cell>
          <cell r="D184">
            <v>1440.7285040253385</v>
          </cell>
          <cell r="E184">
            <v>0</v>
          </cell>
          <cell r="F184">
            <v>0</v>
          </cell>
          <cell r="G184">
            <v>0</v>
          </cell>
          <cell r="H184">
            <v>0</v>
          </cell>
          <cell r="I184">
            <v>0</v>
          </cell>
          <cell r="J184">
            <v>14060.593917840954</v>
          </cell>
        </row>
        <row r="185">
          <cell r="A185">
            <v>168</v>
          </cell>
          <cell r="B185">
            <v>44075</v>
          </cell>
          <cell r="C185">
            <v>0</v>
          </cell>
          <cell r="D185">
            <v>1440.7285040253385</v>
          </cell>
          <cell r="E185">
            <v>0</v>
          </cell>
          <cell r="F185">
            <v>0</v>
          </cell>
          <cell r="G185">
            <v>0</v>
          </cell>
          <cell r="H185">
            <v>0</v>
          </cell>
          <cell r="I185">
            <v>0</v>
          </cell>
          <cell r="J185">
            <v>14060.593917840954</v>
          </cell>
        </row>
        <row r="186">
          <cell r="A186">
            <v>169</v>
          </cell>
          <cell r="B186">
            <v>44105</v>
          </cell>
          <cell r="C186">
            <v>0</v>
          </cell>
          <cell r="D186">
            <v>1440.7285040253385</v>
          </cell>
          <cell r="E186">
            <v>0</v>
          </cell>
          <cell r="F186">
            <v>0</v>
          </cell>
          <cell r="G186">
            <v>0</v>
          </cell>
          <cell r="H186">
            <v>0</v>
          </cell>
          <cell r="I186">
            <v>0</v>
          </cell>
          <cell r="J186">
            <v>14060.593917840954</v>
          </cell>
        </row>
        <row r="187">
          <cell r="A187">
            <v>170</v>
          </cell>
          <cell r="B187">
            <v>44136</v>
          </cell>
          <cell r="C187">
            <v>0</v>
          </cell>
          <cell r="D187">
            <v>1440.7285040253385</v>
          </cell>
          <cell r="E187">
            <v>0</v>
          </cell>
          <cell r="F187">
            <v>0</v>
          </cell>
          <cell r="G187">
            <v>0</v>
          </cell>
          <cell r="H187">
            <v>0</v>
          </cell>
          <cell r="I187">
            <v>0</v>
          </cell>
          <cell r="J187">
            <v>14060.593917840954</v>
          </cell>
        </row>
        <row r="188">
          <cell r="A188">
            <v>171</v>
          </cell>
          <cell r="B188">
            <v>44166</v>
          </cell>
          <cell r="C188">
            <v>0</v>
          </cell>
          <cell r="D188">
            <v>1440.7285040253385</v>
          </cell>
          <cell r="E188">
            <v>0</v>
          </cell>
          <cell r="F188">
            <v>0</v>
          </cell>
          <cell r="G188">
            <v>0</v>
          </cell>
          <cell r="H188">
            <v>0</v>
          </cell>
          <cell r="I188">
            <v>0</v>
          </cell>
          <cell r="J188">
            <v>14060.593917840954</v>
          </cell>
        </row>
        <row r="189">
          <cell r="A189">
            <v>172</v>
          </cell>
          <cell r="B189">
            <v>44197</v>
          </cell>
          <cell r="C189">
            <v>0</v>
          </cell>
          <cell r="D189">
            <v>1440.7285040253385</v>
          </cell>
          <cell r="E189">
            <v>0</v>
          </cell>
          <cell r="F189">
            <v>0</v>
          </cell>
          <cell r="G189">
            <v>0</v>
          </cell>
          <cell r="H189">
            <v>0</v>
          </cell>
          <cell r="I189">
            <v>0</v>
          </cell>
          <cell r="J189">
            <v>14060.593917840954</v>
          </cell>
        </row>
        <row r="190">
          <cell r="A190">
            <v>173</v>
          </cell>
          <cell r="B190">
            <v>44228</v>
          </cell>
          <cell r="C190">
            <v>0</v>
          </cell>
          <cell r="D190">
            <v>1440.7285040253385</v>
          </cell>
          <cell r="E190">
            <v>0</v>
          </cell>
          <cell r="F190">
            <v>0</v>
          </cell>
          <cell r="G190">
            <v>0</v>
          </cell>
          <cell r="H190">
            <v>0</v>
          </cell>
          <cell r="I190">
            <v>0</v>
          </cell>
          <cell r="J190">
            <v>14060.593917840954</v>
          </cell>
        </row>
        <row r="191">
          <cell r="A191">
            <v>174</v>
          </cell>
          <cell r="B191">
            <v>44256</v>
          </cell>
          <cell r="C191">
            <v>0</v>
          </cell>
          <cell r="D191">
            <v>1440.7285040253385</v>
          </cell>
          <cell r="E191">
            <v>0</v>
          </cell>
          <cell r="F191">
            <v>0</v>
          </cell>
          <cell r="G191">
            <v>0</v>
          </cell>
          <cell r="H191">
            <v>0</v>
          </cell>
          <cell r="I191">
            <v>0</v>
          </cell>
          <cell r="J191">
            <v>14060.593917840954</v>
          </cell>
        </row>
        <row r="192">
          <cell r="A192">
            <v>175</v>
          </cell>
          <cell r="B192">
            <v>44287</v>
          </cell>
          <cell r="C192">
            <v>0</v>
          </cell>
          <cell r="D192">
            <v>1440.7285040253385</v>
          </cell>
          <cell r="E192">
            <v>0</v>
          </cell>
          <cell r="F192">
            <v>0</v>
          </cell>
          <cell r="G192">
            <v>0</v>
          </cell>
          <cell r="H192">
            <v>0</v>
          </cell>
          <cell r="I192">
            <v>0</v>
          </cell>
          <cell r="J192">
            <v>14060.593917840954</v>
          </cell>
        </row>
        <row r="193">
          <cell r="A193">
            <v>176</v>
          </cell>
          <cell r="B193">
            <v>44317</v>
          </cell>
          <cell r="C193">
            <v>0</v>
          </cell>
          <cell r="D193">
            <v>1440.7285040253385</v>
          </cell>
          <cell r="E193">
            <v>0</v>
          </cell>
          <cell r="F193">
            <v>0</v>
          </cell>
          <cell r="G193">
            <v>0</v>
          </cell>
          <cell r="H193">
            <v>0</v>
          </cell>
          <cell r="I193">
            <v>0</v>
          </cell>
          <cell r="J193">
            <v>14060.593917840954</v>
          </cell>
        </row>
        <row r="194">
          <cell r="A194">
            <v>177</v>
          </cell>
          <cell r="B194">
            <v>44348</v>
          </cell>
          <cell r="C194">
            <v>0</v>
          </cell>
          <cell r="D194">
            <v>1440.7285040253385</v>
          </cell>
          <cell r="E194">
            <v>0</v>
          </cell>
          <cell r="F194">
            <v>0</v>
          </cell>
          <cell r="G194">
            <v>0</v>
          </cell>
          <cell r="H194">
            <v>0</v>
          </cell>
          <cell r="I194">
            <v>0</v>
          </cell>
          <cell r="J194">
            <v>14060.593917840954</v>
          </cell>
        </row>
        <row r="195">
          <cell r="A195">
            <v>178</v>
          </cell>
          <cell r="B195">
            <v>44378</v>
          </cell>
          <cell r="C195">
            <v>0</v>
          </cell>
          <cell r="D195">
            <v>1440.7285040253385</v>
          </cell>
          <cell r="E195">
            <v>0</v>
          </cell>
          <cell r="F195">
            <v>0</v>
          </cell>
          <cell r="G195">
            <v>0</v>
          </cell>
          <cell r="H195">
            <v>0</v>
          </cell>
          <cell r="I195">
            <v>0</v>
          </cell>
          <cell r="J195">
            <v>14060.593917840954</v>
          </cell>
        </row>
        <row r="196">
          <cell r="A196">
            <v>179</v>
          </cell>
          <cell r="B196">
            <v>44409</v>
          </cell>
          <cell r="C196">
            <v>0</v>
          </cell>
          <cell r="D196">
            <v>1440.7285040253385</v>
          </cell>
          <cell r="E196">
            <v>0</v>
          </cell>
          <cell r="F196">
            <v>0</v>
          </cell>
          <cell r="G196">
            <v>0</v>
          </cell>
          <cell r="H196">
            <v>0</v>
          </cell>
          <cell r="I196">
            <v>0</v>
          </cell>
          <cell r="J196">
            <v>14060.593917840954</v>
          </cell>
        </row>
        <row r="197">
          <cell r="A197">
            <v>180</v>
          </cell>
          <cell r="B197">
            <v>44440</v>
          </cell>
          <cell r="C197">
            <v>0</v>
          </cell>
          <cell r="D197">
            <v>1440.7285040253385</v>
          </cell>
          <cell r="E197">
            <v>0</v>
          </cell>
          <cell r="F197">
            <v>0</v>
          </cell>
          <cell r="G197">
            <v>0</v>
          </cell>
          <cell r="H197">
            <v>0</v>
          </cell>
          <cell r="I197">
            <v>0</v>
          </cell>
          <cell r="J197">
            <v>14060.593917840954</v>
          </cell>
        </row>
        <row r="198">
          <cell r="A198">
            <v>181</v>
          </cell>
          <cell r="B198">
            <v>44470</v>
          </cell>
          <cell r="C198">
            <v>0</v>
          </cell>
          <cell r="D198">
            <v>1440.7285040253385</v>
          </cell>
          <cell r="E198">
            <v>0</v>
          </cell>
          <cell r="F198">
            <v>0</v>
          </cell>
          <cell r="G198">
            <v>0</v>
          </cell>
          <cell r="H198">
            <v>0</v>
          </cell>
          <cell r="I198">
            <v>0</v>
          </cell>
          <cell r="J198">
            <v>14060.593917840954</v>
          </cell>
        </row>
        <row r="199">
          <cell r="A199">
            <v>182</v>
          </cell>
          <cell r="B199">
            <v>44501</v>
          </cell>
          <cell r="C199">
            <v>0</v>
          </cell>
          <cell r="D199">
            <v>1440.7285040253385</v>
          </cell>
          <cell r="E199">
            <v>0</v>
          </cell>
          <cell r="F199">
            <v>0</v>
          </cell>
          <cell r="G199">
            <v>0</v>
          </cell>
          <cell r="H199">
            <v>0</v>
          </cell>
          <cell r="I199">
            <v>0</v>
          </cell>
          <cell r="J199">
            <v>14060.593917840954</v>
          </cell>
        </row>
        <row r="200">
          <cell r="A200">
            <v>183</v>
          </cell>
          <cell r="B200">
            <v>44531</v>
          </cell>
          <cell r="C200">
            <v>0</v>
          </cell>
          <cell r="D200">
            <v>1440.7285040253385</v>
          </cell>
          <cell r="E200">
            <v>0</v>
          </cell>
          <cell r="F200">
            <v>0</v>
          </cell>
          <cell r="G200">
            <v>0</v>
          </cell>
          <cell r="H200">
            <v>0</v>
          </cell>
          <cell r="I200">
            <v>0</v>
          </cell>
          <cell r="J200">
            <v>14060.593917840954</v>
          </cell>
        </row>
        <row r="201">
          <cell r="A201">
            <v>184</v>
          </cell>
          <cell r="B201">
            <v>44562</v>
          </cell>
          <cell r="C201">
            <v>0</v>
          </cell>
          <cell r="D201">
            <v>1440.7285040253385</v>
          </cell>
          <cell r="E201">
            <v>0</v>
          </cell>
          <cell r="F201">
            <v>0</v>
          </cell>
          <cell r="G201">
            <v>0</v>
          </cell>
          <cell r="H201">
            <v>0</v>
          </cell>
          <cell r="I201">
            <v>0</v>
          </cell>
          <cell r="J201">
            <v>14060.593917840954</v>
          </cell>
        </row>
        <row r="202">
          <cell r="A202">
            <v>185</v>
          </cell>
          <cell r="B202">
            <v>44593</v>
          </cell>
          <cell r="C202">
            <v>0</v>
          </cell>
          <cell r="D202">
            <v>1440.7285040253385</v>
          </cell>
          <cell r="E202">
            <v>0</v>
          </cell>
          <cell r="F202">
            <v>0</v>
          </cell>
          <cell r="G202">
            <v>0</v>
          </cell>
          <cell r="H202">
            <v>0</v>
          </cell>
          <cell r="I202">
            <v>0</v>
          </cell>
          <cell r="J202">
            <v>14060.593917840954</v>
          </cell>
        </row>
        <row r="203">
          <cell r="A203">
            <v>186</v>
          </cell>
          <cell r="B203">
            <v>44621</v>
          </cell>
          <cell r="C203">
            <v>0</v>
          </cell>
          <cell r="D203">
            <v>1440.7285040253385</v>
          </cell>
          <cell r="E203">
            <v>0</v>
          </cell>
          <cell r="F203">
            <v>0</v>
          </cell>
          <cell r="G203">
            <v>0</v>
          </cell>
          <cell r="H203">
            <v>0</v>
          </cell>
          <cell r="I203">
            <v>0</v>
          </cell>
          <cell r="J203">
            <v>14060.593917840954</v>
          </cell>
        </row>
        <row r="204">
          <cell r="A204">
            <v>187</v>
          </cell>
          <cell r="B204">
            <v>44652</v>
          </cell>
          <cell r="C204">
            <v>0</v>
          </cell>
          <cell r="D204">
            <v>1440.7285040253385</v>
          </cell>
          <cell r="E204">
            <v>0</v>
          </cell>
          <cell r="F204">
            <v>0</v>
          </cell>
          <cell r="G204">
            <v>0</v>
          </cell>
          <cell r="H204">
            <v>0</v>
          </cell>
          <cell r="I204">
            <v>0</v>
          </cell>
          <cell r="J204">
            <v>14060.593917840954</v>
          </cell>
        </row>
        <row r="205">
          <cell r="A205">
            <v>188</v>
          </cell>
          <cell r="B205">
            <v>44682</v>
          </cell>
          <cell r="C205">
            <v>0</v>
          </cell>
          <cell r="D205">
            <v>1440.7285040253385</v>
          </cell>
          <cell r="E205">
            <v>0</v>
          </cell>
          <cell r="F205">
            <v>0</v>
          </cell>
          <cell r="G205">
            <v>0</v>
          </cell>
          <cell r="H205">
            <v>0</v>
          </cell>
          <cell r="I205">
            <v>0</v>
          </cell>
          <cell r="J205">
            <v>14060.593917840954</v>
          </cell>
        </row>
        <row r="206">
          <cell r="A206">
            <v>189</v>
          </cell>
          <cell r="B206">
            <v>44713</v>
          </cell>
          <cell r="C206">
            <v>0</v>
          </cell>
          <cell r="D206">
            <v>1440.7285040253385</v>
          </cell>
          <cell r="E206">
            <v>0</v>
          </cell>
          <cell r="F206">
            <v>0</v>
          </cell>
          <cell r="G206">
            <v>0</v>
          </cell>
          <cell r="H206">
            <v>0</v>
          </cell>
          <cell r="I206">
            <v>0</v>
          </cell>
          <cell r="J206">
            <v>14060.593917840954</v>
          </cell>
        </row>
        <row r="207">
          <cell r="A207">
            <v>190</v>
          </cell>
          <cell r="B207">
            <v>44743</v>
          </cell>
          <cell r="C207">
            <v>0</v>
          </cell>
          <cell r="D207">
            <v>1440.7285040253385</v>
          </cell>
          <cell r="E207">
            <v>0</v>
          </cell>
          <cell r="F207">
            <v>0</v>
          </cell>
          <cell r="G207">
            <v>0</v>
          </cell>
          <cell r="H207">
            <v>0</v>
          </cell>
          <cell r="I207">
            <v>0</v>
          </cell>
          <cell r="J207">
            <v>14060.593917840954</v>
          </cell>
        </row>
        <row r="208">
          <cell r="A208">
            <v>191</v>
          </cell>
          <cell r="B208">
            <v>44774</v>
          </cell>
          <cell r="C208">
            <v>0</v>
          </cell>
          <cell r="D208">
            <v>1440.7285040253385</v>
          </cell>
          <cell r="E208">
            <v>0</v>
          </cell>
          <cell r="F208">
            <v>0</v>
          </cell>
          <cell r="G208">
            <v>0</v>
          </cell>
          <cell r="H208">
            <v>0</v>
          </cell>
          <cell r="I208">
            <v>0</v>
          </cell>
          <cell r="J208">
            <v>14060.593917840954</v>
          </cell>
        </row>
        <row r="209">
          <cell r="A209">
            <v>192</v>
          </cell>
          <cell r="B209">
            <v>44805</v>
          </cell>
          <cell r="C209">
            <v>0</v>
          </cell>
          <cell r="D209">
            <v>1440.7285040253385</v>
          </cell>
          <cell r="E209">
            <v>0</v>
          </cell>
          <cell r="F209">
            <v>0</v>
          </cell>
          <cell r="G209">
            <v>0</v>
          </cell>
          <cell r="H209">
            <v>0</v>
          </cell>
          <cell r="I209">
            <v>0</v>
          </cell>
          <cell r="J209">
            <v>14060.593917840954</v>
          </cell>
        </row>
        <row r="210">
          <cell r="A210">
            <v>193</v>
          </cell>
          <cell r="B210">
            <v>44835</v>
          </cell>
          <cell r="C210">
            <v>0</v>
          </cell>
          <cell r="D210">
            <v>1440.7285040253385</v>
          </cell>
          <cell r="E210">
            <v>0</v>
          </cell>
          <cell r="F210">
            <v>0</v>
          </cell>
          <cell r="G210">
            <v>0</v>
          </cell>
          <cell r="H210">
            <v>0</v>
          </cell>
          <cell r="I210">
            <v>0</v>
          </cell>
          <cell r="J210">
            <v>14060.593917840954</v>
          </cell>
        </row>
        <row r="211">
          <cell r="A211">
            <v>194</v>
          </cell>
          <cell r="B211">
            <v>44866</v>
          </cell>
          <cell r="C211">
            <v>0</v>
          </cell>
          <cell r="D211">
            <v>1440.7285040253385</v>
          </cell>
          <cell r="E211">
            <v>0</v>
          </cell>
          <cell r="F211">
            <v>0</v>
          </cell>
          <cell r="G211">
            <v>0</v>
          </cell>
          <cell r="H211">
            <v>0</v>
          </cell>
          <cell r="I211">
            <v>0</v>
          </cell>
          <cell r="J211">
            <v>14060.593917840954</v>
          </cell>
        </row>
        <row r="212">
          <cell r="A212">
            <v>195</v>
          </cell>
          <cell r="B212">
            <v>44896</v>
          </cell>
          <cell r="C212">
            <v>0</v>
          </cell>
          <cell r="D212">
            <v>1440.7285040253385</v>
          </cell>
          <cell r="E212">
            <v>0</v>
          </cell>
          <cell r="F212">
            <v>0</v>
          </cell>
          <cell r="G212">
            <v>0</v>
          </cell>
          <cell r="H212">
            <v>0</v>
          </cell>
          <cell r="I212">
            <v>0</v>
          </cell>
          <cell r="J212">
            <v>14060.593917840954</v>
          </cell>
        </row>
        <row r="213">
          <cell r="A213">
            <v>196</v>
          </cell>
          <cell r="B213">
            <v>44927</v>
          </cell>
          <cell r="C213">
            <v>0</v>
          </cell>
          <cell r="D213">
            <v>1440.7285040253385</v>
          </cell>
          <cell r="E213">
            <v>0</v>
          </cell>
          <cell r="F213">
            <v>0</v>
          </cell>
          <cell r="G213">
            <v>0</v>
          </cell>
          <cell r="H213">
            <v>0</v>
          </cell>
          <cell r="I213">
            <v>0</v>
          </cell>
          <cell r="J213">
            <v>14060.593917840954</v>
          </cell>
        </row>
        <row r="214">
          <cell r="A214">
            <v>197</v>
          </cell>
          <cell r="B214">
            <v>44958</v>
          </cell>
          <cell r="C214">
            <v>0</v>
          </cell>
          <cell r="D214">
            <v>1440.7285040253385</v>
          </cell>
          <cell r="E214">
            <v>0</v>
          </cell>
          <cell r="F214">
            <v>0</v>
          </cell>
          <cell r="G214">
            <v>0</v>
          </cell>
          <cell r="H214">
            <v>0</v>
          </cell>
          <cell r="I214">
            <v>0</v>
          </cell>
          <cell r="J214">
            <v>14060.593917840954</v>
          </cell>
        </row>
        <row r="215">
          <cell r="A215">
            <v>198</v>
          </cell>
          <cell r="B215">
            <v>44986</v>
          </cell>
          <cell r="C215">
            <v>0</v>
          </cell>
          <cell r="D215">
            <v>1440.7285040253385</v>
          </cell>
          <cell r="E215">
            <v>0</v>
          </cell>
          <cell r="F215">
            <v>0</v>
          </cell>
          <cell r="G215">
            <v>0</v>
          </cell>
          <cell r="H215">
            <v>0</v>
          </cell>
          <cell r="I215">
            <v>0</v>
          </cell>
          <cell r="J215">
            <v>14060.593917840954</v>
          </cell>
        </row>
        <row r="216">
          <cell r="A216">
            <v>199</v>
          </cell>
          <cell r="B216">
            <v>45017</v>
          </cell>
          <cell r="C216">
            <v>0</v>
          </cell>
          <cell r="D216">
            <v>1440.7285040253385</v>
          </cell>
          <cell r="E216">
            <v>0</v>
          </cell>
          <cell r="F216">
            <v>0</v>
          </cell>
          <cell r="G216">
            <v>0</v>
          </cell>
          <cell r="H216">
            <v>0</v>
          </cell>
          <cell r="I216">
            <v>0</v>
          </cell>
          <cell r="J216">
            <v>14060.593917840954</v>
          </cell>
        </row>
        <row r="217">
          <cell r="A217">
            <v>200</v>
          </cell>
          <cell r="B217">
            <v>45047</v>
          </cell>
          <cell r="C217">
            <v>0</v>
          </cell>
          <cell r="D217">
            <v>1440.7285040253385</v>
          </cell>
          <cell r="E217">
            <v>0</v>
          </cell>
          <cell r="F217">
            <v>0</v>
          </cell>
          <cell r="G217">
            <v>0</v>
          </cell>
          <cell r="H217">
            <v>0</v>
          </cell>
          <cell r="I217">
            <v>0</v>
          </cell>
          <cell r="J217">
            <v>14060.593917840954</v>
          </cell>
        </row>
        <row r="218">
          <cell r="A218">
            <v>201</v>
          </cell>
          <cell r="B218">
            <v>45078</v>
          </cell>
          <cell r="C218">
            <v>0</v>
          </cell>
          <cell r="D218">
            <v>1440.7285040253385</v>
          </cell>
          <cell r="E218">
            <v>0</v>
          </cell>
          <cell r="F218">
            <v>0</v>
          </cell>
          <cell r="G218">
            <v>0</v>
          </cell>
          <cell r="H218">
            <v>0</v>
          </cell>
          <cell r="I218">
            <v>0</v>
          </cell>
          <cell r="J218">
            <v>14060.593917840954</v>
          </cell>
        </row>
        <row r="219">
          <cell r="A219">
            <v>202</v>
          </cell>
          <cell r="B219">
            <v>45108</v>
          </cell>
          <cell r="C219">
            <v>0</v>
          </cell>
          <cell r="D219">
            <v>1440.7285040253385</v>
          </cell>
          <cell r="E219">
            <v>0</v>
          </cell>
          <cell r="F219">
            <v>0</v>
          </cell>
          <cell r="G219">
            <v>0</v>
          </cell>
          <cell r="H219">
            <v>0</v>
          </cell>
          <cell r="I219">
            <v>0</v>
          </cell>
          <cell r="J219">
            <v>14060.593917840954</v>
          </cell>
        </row>
        <row r="220">
          <cell r="A220">
            <v>203</v>
          </cell>
          <cell r="B220">
            <v>45139</v>
          </cell>
          <cell r="C220">
            <v>0</v>
          </cell>
          <cell r="D220">
            <v>1440.7285040253385</v>
          </cell>
          <cell r="E220">
            <v>0</v>
          </cell>
          <cell r="F220">
            <v>0</v>
          </cell>
          <cell r="G220">
            <v>0</v>
          </cell>
          <cell r="H220">
            <v>0</v>
          </cell>
          <cell r="I220">
            <v>0</v>
          </cell>
          <cell r="J220">
            <v>14060.593917840954</v>
          </cell>
        </row>
        <row r="221">
          <cell r="A221">
            <v>204</v>
          </cell>
          <cell r="B221">
            <v>45170</v>
          </cell>
          <cell r="C221">
            <v>0</v>
          </cell>
          <cell r="D221">
            <v>1440.7285040253385</v>
          </cell>
          <cell r="E221">
            <v>0</v>
          </cell>
          <cell r="F221">
            <v>0</v>
          </cell>
          <cell r="G221">
            <v>0</v>
          </cell>
          <cell r="H221">
            <v>0</v>
          </cell>
          <cell r="I221">
            <v>0</v>
          </cell>
          <cell r="J221">
            <v>14060.593917840954</v>
          </cell>
        </row>
        <row r="222">
          <cell r="A222">
            <v>205</v>
          </cell>
          <cell r="B222">
            <v>45200</v>
          </cell>
          <cell r="C222">
            <v>0</v>
          </cell>
          <cell r="D222">
            <v>1440.7285040253385</v>
          </cell>
          <cell r="E222">
            <v>0</v>
          </cell>
          <cell r="F222">
            <v>0</v>
          </cell>
          <cell r="G222">
            <v>0</v>
          </cell>
          <cell r="H222">
            <v>0</v>
          </cell>
          <cell r="I222">
            <v>0</v>
          </cell>
          <cell r="J222">
            <v>14060.593917840954</v>
          </cell>
        </row>
        <row r="223">
          <cell r="A223">
            <v>206</v>
          </cell>
          <cell r="B223">
            <v>45231</v>
          </cell>
          <cell r="C223">
            <v>0</v>
          </cell>
          <cell r="D223">
            <v>1440.7285040253385</v>
          </cell>
          <cell r="E223">
            <v>0</v>
          </cell>
          <cell r="F223">
            <v>0</v>
          </cell>
          <cell r="G223">
            <v>0</v>
          </cell>
          <cell r="H223">
            <v>0</v>
          </cell>
          <cell r="I223">
            <v>0</v>
          </cell>
          <cell r="J223">
            <v>14060.593917840954</v>
          </cell>
        </row>
        <row r="224">
          <cell r="A224">
            <v>207</v>
          </cell>
          <cell r="B224">
            <v>45261</v>
          </cell>
          <cell r="C224">
            <v>0</v>
          </cell>
          <cell r="D224">
            <v>1440.7285040253385</v>
          </cell>
          <cell r="E224">
            <v>0</v>
          </cell>
          <cell r="F224">
            <v>0</v>
          </cell>
          <cell r="G224">
            <v>0</v>
          </cell>
          <cell r="H224">
            <v>0</v>
          </cell>
          <cell r="I224">
            <v>0</v>
          </cell>
          <cell r="J224">
            <v>14060.593917840954</v>
          </cell>
        </row>
        <row r="225">
          <cell r="A225">
            <v>208</v>
          </cell>
          <cell r="B225">
            <v>45292</v>
          </cell>
          <cell r="C225">
            <v>0</v>
          </cell>
          <cell r="D225">
            <v>1440.7285040253385</v>
          </cell>
          <cell r="E225">
            <v>0</v>
          </cell>
          <cell r="F225">
            <v>0</v>
          </cell>
          <cell r="G225">
            <v>0</v>
          </cell>
          <cell r="H225">
            <v>0</v>
          </cell>
          <cell r="I225">
            <v>0</v>
          </cell>
          <cell r="J225">
            <v>14060.593917840954</v>
          </cell>
        </row>
        <row r="226">
          <cell r="A226">
            <v>209</v>
          </cell>
          <cell r="B226">
            <v>45323</v>
          </cell>
          <cell r="C226">
            <v>0</v>
          </cell>
          <cell r="D226">
            <v>1440.7285040253385</v>
          </cell>
          <cell r="E226">
            <v>0</v>
          </cell>
          <cell r="F226">
            <v>0</v>
          </cell>
          <cell r="G226">
            <v>0</v>
          </cell>
          <cell r="H226">
            <v>0</v>
          </cell>
          <cell r="I226">
            <v>0</v>
          </cell>
          <cell r="J226">
            <v>14060.593917840954</v>
          </cell>
        </row>
        <row r="227">
          <cell r="A227">
            <v>210</v>
          </cell>
          <cell r="B227">
            <v>45352</v>
          </cell>
          <cell r="C227">
            <v>0</v>
          </cell>
          <cell r="D227">
            <v>1440.7285040253385</v>
          </cell>
          <cell r="E227">
            <v>0</v>
          </cell>
          <cell r="F227">
            <v>0</v>
          </cell>
          <cell r="G227">
            <v>0</v>
          </cell>
          <cell r="H227">
            <v>0</v>
          </cell>
          <cell r="I227">
            <v>0</v>
          </cell>
          <cell r="J227">
            <v>14060.593917840954</v>
          </cell>
        </row>
        <row r="228">
          <cell r="A228">
            <v>211</v>
          </cell>
          <cell r="B228">
            <v>45383</v>
          </cell>
          <cell r="C228">
            <v>0</v>
          </cell>
          <cell r="D228">
            <v>1440.7285040253385</v>
          </cell>
          <cell r="E228">
            <v>0</v>
          </cell>
          <cell r="F228">
            <v>0</v>
          </cell>
          <cell r="G228">
            <v>0</v>
          </cell>
          <cell r="H228">
            <v>0</v>
          </cell>
          <cell r="I228">
            <v>0</v>
          </cell>
          <cell r="J228">
            <v>14060.593917840954</v>
          </cell>
        </row>
        <row r="229">
          <cell r="A229">
            <v>212</v>
          </cell>
          <cell r="B229">
            <v>45413</v>
          </cell>
          <cell r="C229">
            <v>0</v>
          </cell>
          <cell r="D229">
            <v>1440.7285040253385</v>
          </cell>
          <cell r="E229">
            <v>0</v>
          </cell>
          <cell r="F229">
            <v>0</v>
          </cell>
          <cell r="G229">
            <v>0</v>
          </cell>
          <cell r="H229">
            <v>0</v>
          </cell>
          <cell r="I229">
            <v>0</v>
          </cell>
          <cell r="J229">
            <v>14060.593917840954</v>
          </cell>
        </row>
        <row r="230">
          <cell r="A230">
            <v>213</v>
          </cell>
          <cell r="B230">
            <v>45444</v>
          </cell>
          <cell r="C230">
            <v>0</v>
          </cell>
          <cell r="D230">
            <v>1440.7285040253385</v>
          </cell>
          <cell r="E230">
            <v>0</v>
          </cell>
          <cell r="F230">
            <v>0</v>
          </cell>
          <cell r="G230">
            <v>0</v>
          </cell>
          <cell r="H230">
            <v>0</v>
          </cell>
          <cell r="I230">
            <v>0</v>
          </cell>
          <cell r="J230">
            <v>14060.593917840954</v>
          </cell>
        </row>
        <row r="231">
          <cell r="A231">
            <v>214</v>
          </cell>
          <cell r="B231">
            <v>45474</v>
          </cell>
          <cell r="C231">
            <v>0</v>
          </cell>
          <cell r="D231">
            <v>1440.7285040253385</v>
          </cell>
          <cell r="E231">
            <v>0</v>
          </cell>
          <cell r="F231">
            <v>0</v>
          </cell>
          <cell r="G231">
            <v>0</v>
          </cell>
          <cell r="H231">
            <v>0</v>
          </cell>
          <cell r="I231">
            <v>0</v>
          </cell>
          <cell r="J231">
            <v>14060.593917840954</v>
          </cell>
        </row>
        <row r="232">
          <cell r="A232">
            <v>215</v>
          </cell>
          <cell r="B232">
            <v>45505</v>
          </cell>
          <cell r="C232">
            <v>0</v>
          </cell>
          <cell r="D232">
            <v>1440.7285040253385</v>
          </cell>
          <cell r="E232">
            <v>0</v>
          </cell>
          <cell r="F232">
            <v>0</v>
          </cell>
          <cell r="G232">
            <v>0</v>
          </cell>
          <cell r="H232">
            <v>0</v>
          </cell>
          <cell r="I232">
            <v>0</v>
          </cell>
          <cell r="J232">
            <v>14060.593917840954</v>
          </cell>
        </row>
        <row r="233">
          <cell r="A233">
            <v>216</v>
          </cell>
          <cell r="B233">
            <v>45536</v>
          </cell>
          <cell r="C233">
            <v>0</v>
          </cell>
          <cell r="D233">
            <v>1440.7285040253385</v>
          </cell>
          <cell r="E233">
            <v>0</v>
          </cell>
          <cell r="F233">
            <v>0</v>
          </cell>
          <cell r="G233">
            <v>0</v>
          </cell>
          <cell r="H233">
            <v>0</v>
          </cell>
          <cell r="I233">
            <v>0</v>
          </cell>
          <cell r="J233">
            <v>14060.593917840954</v>
          </cell>
        </row>
        <row r="234">
          <cell r="A234">
            <v>217</v>
          </cell>
          <cell r="B234">
            <v>45566</v>
          </cell>
          <cell r="C234">
            <v>0</v>
          </cell>
          <cell r="D234">
            <v>1440.7285040253385</v>
          </cell>
          <cell r="E234">
            <v>0</v>
          </cell>
          <cell r="F234">
            <v>0</v>
          </cell>
          <cell r="G234">
            <v>0</v>
          </cell>
          <cell r="H234">
            <v>0</v>
          </cell>
          <cell r="I234">
            <v>0</v>
          </cell>
          <cell r="J234">
            <v>14060.593917840954</v>
          </cell>
        </row>
        <row r="235">
          <cell r="A235">
            <v>218</v>
          </cell>
          <cell r="B235">
            <v>45597</v>
          </cell>
          <cell r="C235">
            <v>0</v>
          </cell>
          <cell r="D235">
            <v>1440.7285040253385</v>
          </cell>
          <cell r="E235">
            <v>0</v>
          </cell>
          <cell r="F235">
            <v>0</v>
          </cell>
          <cell r="G235">
            <v>0</v>
          </cell>
          <cell r="H235">
            <v>0</v>
          </cell>
          <cell r="I235">
            <v>0</v>
          </cell>
          <cell r="J235">
            <v>14060.593917840954</v>
          </cell>
        </row>
        <row r="236">
          <cell r="A236">
            <v>219</v>
          </cell>
          <cell r="B236">
            <v>45627</v>
          </cell>
          <cell r="C236">
            <v>0</v>
          </cell>
          <cell r="D236">
            <v>1440.7285040253385</v>
          </cell>
          <cell r="E236">
            <v>0</v>
          </cell>
          <cell r="F236">
            <v>0</v>
          </cell>
          <cell r="G236">
            <v>0</v>
          </cell>
          <cell r="H236">
            <v>0</v>
          </cell>
          <cell r="I236">
            <v>0</v>
          </cell>
          <cell r="J236">
            <v>14060.593917840954</v>
          </cell>
        </row>
        <row r="237">
          <cell r="A237">
            <v>220</v>
          </cell>
          <cell r="B237">
            <v>45658</v>
          </cell>
          <cell r="C237">
            <v>0</v>
          </cell>
          <cell r="D237">
            <v>1440.7285040253385</v>
          </cell>
          <cell r="E237">
            <v>0</v>
          </cell>
          <cell r="F237">
            <v>0</v>
          </cell>
          <cell r="G237">
            <v>0</v>
          </cell>
          <cell r="H237">
            <v>0</v>
          </cell>
          <cell r="I237">
            <v>0</v>
          </cell>
          <cell r="J237">
            <v>14060.593917840954</v>
          </cell>
        </row>
        <row r="238">
          <cell r="A238">
            <v>221</v>
          </cell>
          <cell r="B238">
            <v>45689</v>
          </cell>
          <cell r="C238">
            <v>0</v>
          </cell>
          <cell r="D238">
            <v>1440.7285040253385</v>
          </cell>
          <cell r="E238">
            <v>0</v>
          </cell>
          <cell r="F238">
            <v>0</v>
          </cell>
          <cell r="G238">
            <v>0</v>
          </cell>
          <cell r="H238">
            <v>0</v>
          </cell>
          <cell r="I238">
            <v>0</v>
          </cell>
          <cell r="J238">
            <v>14060.593917840954</v>
          </cell>
        </row>
        <row r="239">
          <cell r="A239">
            <v>222</v>
          </cell>
          <cell r="B239">
            <v>45717</v>
          </cell>
          <cell r="C239">
            <v>0</v>
          </cell>
          <cell r="D239">
            <v>1440.7285040253385</v>
          </cell>
          <cell r="E239">
            <v>0</v>
          </cell>
          <cell r="F239">
            <v>0</v>
          </cell>
          <cell r="G239">
            <v>0</v>
          </cell>
          <cell r="H239">
            <v>0</v>
          </cell>
          <cell r="I239">
            <v>0</v>
          </cell>
          <cell r="J239">
            <v>14060.593917840954</v>
          </cell>
        </row>
        <row r="240">
          <cell r="A240">
            <v>223</v>
          </cell>
          <cell r="B240">
            <v>45748</v>
          </cell>
          <cell r="C240">
            <v>0</v>
          </cell>
          <cell r="D240">
            <v>1440.7285040253385</v>
          </cell>
          <cell r="E240">
            <v>0</v>
          </cell>
          <cell r="F240">
            <v>0</v>
          </cell>
          <cell r="G240">
            <v>0</v>
          </cell>
          <cell r="H240">
            <v>0</v>
          </cell>
          <cell r="I240">
            <v>0</v>
          </cell>
          <cell r="J240">
            <v>14060.593917840954</v>
          </cell>
        </row>
        <row r="241">
          <cell r="A241">
            <v>224</v>
          </cell>
          <cell r="B241">
            <v>45778</v>
          </cell>
          <cell r="C241">
            <v>0</v>
          </cell>
          <cell r="D241">
            <v>1440.7285040253385</v>
          </cell>
          <cell r="E241">
            <v>0</v>
          </cell>
          <cell r="F241">
            <v>0</v>
          </cell>
          <cell r="G241">
            <v>0</v>
          </cell>
          <cell r="H241">
            <v>0</v>
          </cell>
          <cell r="I241">
            <v>0</v>
          </cell>
          <cell r="J241">
            <v>14060.593917840954</v>
          </cell>
        </row>
        <row r="242">
          <cell r="A242">
            <v>225</v>
          </cell>
          <cell r="B242">
            <v>45809</v>
          </cell>
          <cell r="C242">
            <v>0</v>
          </cell>
          <cell r="D242">
            <v>1440.7285040253385</v>
          </cell>
          <cell r="E242">
            <v>0</v>
          </cell>
          <cell r="F242">
            <v>0</v>
          </cell>
          <cell r="G242">
            <v>0</v>
          </cell>
          <cell r="H242">
            <v>0</v>
          </cell>
          <cell r="I242">
            <v>0</v>
          </cell>
          <cell r="J242">
            <v>14060.593917840954</v>
          </cell>
        </row>
        <row r="243">
          <cell r="A243">
            <v>226</v>
          </cell>
          <cell r="B243">
            <v>45839</v>
          </cell>
          <cell r="C243">
            <v>0</v>
          </cell>
          <cell r="D243">
            <v>1440.7285040253385</v>
          </cell>
          <cell r="E243">
            <v>0</v>
          </cell>
          <cell r="F243">
            <v>0</v>
          </cell>
          <cell r="G243">
            <v>0</v>
          </cell>
          <cell r="H243">
            <v>0</v>
          </cell>
          <cell r="I243">
            <v>0</v>
          </cell>
          <cell r="J243">
            <v>14060.593917840954</v>
          </cell>
        </row>
        <row r="244">
          <cell r="A244">
            <v>227</v>
          </cell>
          <cell r="B244">
            <v>45870</v>
          </cell>
          <cell r="C244">
            <v>0</v>
          </cell>
          <cell r="D244">
            <v>1440.7285040253385</v>
          </cell>
          <cell r="E244">
            <v>0</v>
          </cell>
          <cell r="F244">
            <v>0</v>
          </cell>
          <cell r="G244">
            <v>0</v>
          </cell>
          <cell r="H244">
            <v>0</v>
          </cell>
          <cell r="I244">
            <v>0</v>
          </cell>
          <cell r="J244">
            <v>14060.593917840954</v>
          </cell>
        </row>
        <row r="245">
          <cell r="A245">
            <v>228</v>
          </cell>
          <cell r="B245">
            <v>45901</v>
          </cell>
          <cell r="C245">
            <v>0</v>
          </cell>
          <cell r="D245">
            <v>1440.7285040253385</v>
          </cell>
          <cell r="E245">
            <v>0</v>
          </cell>
          <cell r="F245">
            <v>0</v>
          </cell>
          <cell r="G245">
            <v>0</v>
          </cell>
          <cell r="H245">
            <v>0</v>
          </cell>
          <cell r="I245">
            <v>0</v>
          </cell>
          <cell r="J245">
            <v>14060.593917840954</v>
          </cell>
        </row>
        <row r="246">
          <cell r="A246">
            <v>229</v>
          </cell>
          <cell r="B246">
            <v>45931</v>
          </cell>
          <cell r="C246">
            <v>0</v>
          </cell>
          <cell r="D246">
            <v>1440.7285040253385</v>
          </cell>
          <cell r="E246">
            <v>0</v>
          </cell>
          <cell r="F246">
            <v>0</v>
          </cell>
          <cell r="G246">
            <v>0</v>
          </cell>
          <cell r="H246">
            <v>0</v>
          </cell>
          <cell r="I246">
            <v>0</v>
          </cell>
          <cell r="J246">
            <v>14060.593917840954</v>
          </cell>
        </row>
        <row r="247">
          <cell r="A247">
            <v>230</v>
          </cell>
          <cell r="B247">
            <v>45962</v>
          </cell>
          <cell r="C247">
            <v>0</v>
          </cell>
          <cell r="D247">
            <v>1440.7285040253385</v>
          </cell>
          <cell r="E247">
            <v>0</v>
          </cell>
          <cell r="F247">
            <v>0</v>
          </cell>
          <cell r="G247">
            <v>0</v>
          </cell>
          <cell r="H247">
            <v>0</v>
          </cell>
          <cell r="I247">
            <v>0</v>
          </cell>
          <cell r="J247">
            <v>14060.593917840954</v>
          </cell>
        </row>
        <row r="248">
          <cell r="A248">
            <v>231</v>
          </cell>
          <cell r="B248">
            <v>45992</v>
          </cell>
          <cell r="C248">
            <v>0</v>
          </cell>
          <cell r="D248">
            <v>1440.7285040253385</v>
          </cell>
          <cell r="E248">
            <v>0</v>
          </cell>
          <cell r="F248">
            <v>0</v>
          </cell>
          <cell r="G248">
            <v>0</v>
          </cell>
          <cell r="H248">
            <v>0</v>
          </cell>
          <cell r="I248">
            <v>0</v>
          </cell>
          <cell r="J248">
            <v>14060.593917840954</v>
          </cell>
        </row>
        <row r="249">
          <cell r="A249">
            <v>232</v>
          </cell>
          <cell r="B249">
            <v>46023</v>
          </cell>
          <cell r="C249">
            <v>0</v>
          </cell>
          <cell r="D249">
            <v>1440.7285040253385</v>
          </cell>
          <cell r="E249">
            <v>0</v>
          </cell>
          <cell r="F249">
            <v>0</v>
          </cell>
          <cell r="G249">
            <v>0</v>
          </cell>
          <cell r="H249">
            <v>0</v>
          </cell>
          <cell r="I249">
            <v>0</v>
          </cell>
          <cell r="J249">
            <v>14060.593917840954</v>
          </cell>
        </row>
        <row r="250">
          <cell r="A250">
            <v>233</v>
          </cell>
          <cell r="B250">
            <v>46054</v>
          </cell>
          <cell r="C250">
            <v>0</v>
          </cell>
          <cell r="D250">
            <v>1440.7285040253385</v>
          </cell>
          <cell r="E250">
            <v>0</v>
          </cell>
          <cell r="F250">
            <v>0</v>
          </cell>
          <cell r="G250">
            <v>0</v>
          </cell>
          <cell r="H250">
            <v>0</v>
          </cell>
          <cell r="I250">
            <v>0</v>
          </cell>
          <cell r="J250">
            <v>14060.593917840954</v>
          </cell>
        </row>
        <row r="251">
          <cell r="A251">
            <v>234</v>
          </cell>
          <cell r="B251">
            <v>46082</v>
          </cell>
          <cell r="C251">
            <v>0</v>
          </cell>
          <cell r="D251">
            <v>1440.7285040253385</v>
          </cell>
          <cell r="E251">
            <v>0</v>
          </cell>
          <cell r="F251">
            <v>0</v>
          </cell>
          <cell r="G251">
            <v>0</v>
          </cell>
          <cell r="H251">
            <v>0</v>
          </cell>
          <cell r="I251">
            <v>0</v>
          </cell>
          <cell r="J251">
            <v>14060.593917840954</v>
          </cell>
        </row>
        <row r="252">
          <cell r="A252">
            <v>235</v>
          </cell>
          <cell r="B252">
            <v>46113</v>
          </cell>
          <cell r="C252">
            <v>0</v>
          </cell>
          <cell r="D252">
            <v>1440.7285040253385</v>
          </cell>
          <cell r="E252">
            <v>0</v>
          </cell>
          <cell r="F252">
            <v>0</v>
          </cell>
          <cell r="G252">
            <v>0</v>
          </cell>
          <cell r="H252">
            <v>0</v>
          </cell>
          <cell r="I252">
            <v>0</v>
          </cell>
          <cell r="J252">
            <v>14060.593917840954</v>
          </cell>
        </row>
        <row r="253">
          <cell r="A253">
            <v>236</v>
          </cell>
          <cell r="B253">
            <v>46143</v>
          </cell>
          <cell r="C253">
            <v>0</v>
          </cell>
          <cell r="D253">
            <v>1440.7285040253385</v>
          </cell>
          <cell r="E253">
            <v>0</v>
          </cell>
          <cell r="F253">
            <v>0</v>
          </cell>
          <cell r="G253">
            <v>0</v>
          </cell>
          <cell r="H253">
            <v>0</v>
          </cell>
          <cell r="I253">
            <v>0</v>
          </cell>
          <cell r="J253">
            <v>14060.593917840954</v>
          </cell>
        </row>
        <row r="254">
          <cell r="A254">
            <v>237</v>
          </cell>
          <cell r="B254">
            <v>46174</v>
          </cell>
          <cell r="C254">
            <v>0</v>
          </cell>
          <cell r="D254">
            <v>1440.7285040253385</v>
          </cell>
          <cell r="E254">
            <v>0</v>
          </cell>
          <cell r="F254">
            <v>0</v>
          </cell>
          <cell r="G254">
            <v>0</v>
          </cell>
          <cell r="H254">
            <v>0</v>
          </cell>
          <cell r="I254">
            <v>0</v>
          </cell>
          <cell r="J254">
            <v>14060.593917840954</v>
          </cell>
        </row>
        <row r="255">
          <cell r="A255">
            <v>238</v>
          </cell>
          <cell r="B255">
            <v>46204</v>
          </cell>
          <cell r="C255">
            <v>0</v>
          </cell>
          <cell r="D255">
            <v>1440.7285040253385</v>
          </cell>
          <cell r="E255">
            <v>0</v>
          </cell>
          <cell r="F255">
            <v>0</v>
          </cell>
          <cell r="G255">
            <v>0</v>
          </cell>
          <cell r="H255">
            <v>0</v>
          </cell>
          <cell r="I255">
            <v>0</v>
          </cell>
          <cell r="J255">
            <v>14060.593917840954</v>
          </cell>
        </row>
        <row r="256">
          <cell r="A256">
            <v>239</v>
          </cell>
          <cell r="B256">
            <v>46235</v>
          </cell>
          <cell r="C256">
            <v>0</v>
          </cell>
          <cell r="D256">
            <v>1440.7285040253385</v>
          </cell>
          <cell r="E256">
            <v>0</v>
          </cell>
          <cell r="F256">
            <v>0</v>
          </cell>
          <cell r="G256">
            <v>0</v>
          </cell>
          <cell r="H256">
            <v>0</v>
          </cell>
          <cell r="I256">
            <v>0</v>
          </cell>
          <cell r="J256">
            <v>14060.593917840954</v>
          </cell>
        </row>
        <row r="257">
          <cell r="A257">
            <v>240</v>
          </cell>
          <cell r="B257">
            <v>46266</v>
          </cell>
          <cell r="C257">
            <v>0</v>
          </cell>
          <cell r="D257">
            <v>1440.7285040253385</v>
          </cell>
          <cell r="E257">
            <v>0</v>
          </cell>
          <cell r="F257">
            <v>0</v>
          </cell>
          <cell r="G257">
            <v>0</v>
          </cell>
          <cell r="H257">
            <v>0</v>
          </cell>
          <cell r="I257">
            <v>0</v>
          </cell>
          <cell r="J257">
            <v>14060.593917840954</v>
          </cell>
        </row>
        <row r="258">
          <cell r="A258">
            <v>241</v>
          </cell>
          <cell r="B258">
            <v>46296</v>
          </cell>
          <cell r="C258">
            <v>0</v>
          </cell>
          <cell r="D258">
            <v>1440.7285040253385</v>
          </cell>
          <cell r="E258">
            <v>0</v>
          </cell>
          <cell r="F258">
            <v>0</v>
          </cell>
          <cell r="G258">
            <v>0</v>
          </cell>
          <cell r="H258">
            <v>0</v>
          </cell>
          <cell r="I258">
            <v>0</v>
          </cell>
          <cell r="J258">
            <v>14060.593917840954</v>
          </cell>
        </row>
        <row r="259">
          <cell r="A259">
            <v>242</v>
          </cell>
          <cell r="B259">
            <v>46327</v>
          </cell>
          <cell r="C259">
            <v>0</v>
          </cell>
          <cell r="D259">
            <v>1440.7285040253385</v>
          </cell>
          <cell r="E259">
            <v>0</v>
          </cell>
          <cell r="F259">
            <v>0</v>
          </cell>
          <cell r="G259">
            <v>0</v>
          </cell>
          <cell r="H259">
            <v>0</v>
          </cell>
          <cell r="I259">
            <v>0</v>
          </cell>
          <cell r="J259">
            <v>14060.593917840954</v>
          </cell>
        </row>
        <row r="260">
          <cell r="A260">
            <v>243</v>
          </cell>
          <cell r="B260">
            <v>46357</v>
          </cell>
          <cell r="C260">
            <v>0</v>
          </cell>
          <cell r="D260">
            <v>1440.7285040253385</v>
          </cell>
          <cell r="E260">
            <v>0</v>
          </cell>
          <cell r="F260">
            <v>0</v>
          </cell>
          <cell r="G260">
            <v>0</v>
          </cell>
          <cell r="H260">
            <v>0</v>
          </cell>
          <cell r="I260">
            <v>0</v>
          </cell>
          <cell r="J260">
            <v>14060.593917840954</v>
          </cell>
        </row>
        <row r="261">
          <cell r="A261">
            <v>244</v>
          </cell>
          <cell r="B261">
            <v>46388</v>
          </cell>
          <cell r="C261">
            <v>0</v>
          </cell>
          <cell r="D261">
            <v>1440.7285040253385</v>
          </cell>
          <cell r="E261">
            <v>0</v>
          </cell>
          <cell r="F261">
            <v>0</v>
          </cell>
          <cell r="G261">
            <v>0</v>
          </cell>
          <cell r="H261">
            <v>0</v>
          </cell>
          <cell r="I261">
            <v>0</v>
          </cell>
          <cell r="J261">
            <v>14060.593917840954</v>
          </cell>
        </row>
        <row r="262">
          <cell r="A262">
            <v>245</v>
          </cell>
          <cell r="B262">
            <v>46419</v>
          </cell>
          <cell r="C262">
            <v>0</v>
          </cell>
          <cell r="D262">
            <v>1440.7285040253385</v>
          </cell>
          <cell r="E262">
            <v>0</v>
          </cell>
          <cell r="F262">
            <v>0</v>
          </cell>
          <cell r="G262">
            <v>0</v>
          </cell>
          <cell r="H262">
            <v>0</v>
          </cell>
          <cell r="I262">
            <v>0</v>
          </cell>
          <cell r="J262">
            <v>14060.593917840954</v>
          </cell>
        </row>
        <row r="263">
          <cell r="A263">
            <v>246</v>
          </cell>
          <cell r="B263">
            <v>46447</v>
          </cell>
          <cell r="C263">
            <v>0</v>
          </cell>
          <cell r="D263">
            <v>1440.7285040253385</v>
          </cell>
          <cell r="E263">
            <v>0</v>
          </cell>
          <cell r="F263">
            <v>0</v>
          </cell>
          <cell r="G263">
            <v>0</v>
          </cell>
          <cell r="H263">
            <v>0</v>
          </cell>
          <cell r="I263">
            <v>0</v>
          </cell>
          <cell r="J263">
            <v>14060.593917840954</v>
          </cell>
        </row>
        <row r="264">
          <cell r="A264">
            <v>247</v>
          </cell>
          <cell r="B264">
            <v>46478</v>
          </cell>
          <cell r="C264">
            <v>0</v>
          </cell>
          <cell r="D264">
            <v>1440.7285040253385</v>
          </cell>
          <cell r="E264">
            <v>0</v>
          </cell>
          <cell r="F264">
            <v>0</v>
          </cell>
          <cell r="G264">
            <v>0</v>
          </cell>
          <cell r="H264">
            <v>0</v>
          </cell>
          <cell r="I264">
            <v>0</v>
          </cell>
          <cell r="J264">
            <v>14060.593917840954</v>
          </cell>
        </row>
        <row r="265">
          <cell r="A265">
            <v>248</v>
          </cell>
          <cell r="B265">
            <v>46508</v>
          </cell>
          <cell r="C265">
            <v>0</v>
          </cell>
          <cell r="D265">
            <v>1440.7285040253385</v>
          </cell>
          <cell r="E265">
            <v>0</v>
          </cell>
          <cell r="F265">
            <v>0</v>
          </cell>
          <cell r="G265">
            <v>0</v>
          </cell>
          <cell r="H265">
            <v>0</v>
          </cell>
          <cell r="I265">
            <v>0</v>
          </cell>
          <cell r="J265">
            <v>14060.593917840954</v>
          </cell>
        </row>
        <row r="266">
          <cell r="A266">
            <v>249</v>
          </cell>
          <cell r="B266">
            <v>46539</v>
          </cell>
          <cell r="C266">
            <v>0</v>
          </cell>
          <cell r="D266">
            <v>1440.7285040253385</v>
          </cell>
          <cell r="E266">
            <v>0</v>
          </cell>
          <cell r="F266">
            <v>0</v>
          </cell>
          <cell r="G266">
            <v>0</v>
          </cell>
          <cell r="H266">
            <v>0</v>
          </cell>
          <cell r="I266">
            <v>0</v>
          </cell>
          <cell r="J266">
            <v>14060.593917840954</v>
          </cell>
        </row>
        <row r="267">
          <cell r="A267">
            <v>250</v>
          </cell>
          <cell r="B267">
            <v>46569</v>
          </cell>
          <cell r="C267">
            <v>0</v>
          </cell>
          <cell r="D267">
            <v>1440.7285040253385</v>
          </cell>
          <cell r="E267">
            <v>0</v>
          </cell>
          <cell r="F267">
            <v>0</v>
          </cell>
          <cell r="G267">
            <v>0</v>
          </cell>
          <cell r="H267">
            <v>0</v>
          </cell>
          <cell r="I267">
            <v>0</v>
          </cell>
          <cell r="J267">
            <v>14060.593917840954</v>
          </cell>
        </row>
        <row r="268">
          <cell r="A268">
            <v>251</v>
          </cell>
          <cell r="B268">
            <v>46600</v>
          </cell>
          <cell r="C268">
            <v>0</v>
          </cell>
          <cell r="D268">
            <v>1440.7285040253385</v>
          </cell>
          <cell r="E268">
            <v>0</v>
          </cell>
          <cell r="F268">
            <v>0</v>
          </cell>
          <cell r="G268">
            <v>0</v>
          </cell>
          <cell r="H268">
            <v>0</v>
          </cell>
          <cell r="I268">
            <v>0</v>
          </cell>
          <cell r="J268">
            <v>14060.593917840954</v>
          </cell>
        </row>
        <row r="269">
          <cell r="A269">
            <v>252</v>
          </cell>
          <cell r="B269">
            <v>46631</v>
          </cell>
          <cell r="C269">
            <v>0</v>
          </cell>
          <cell r="D269">
            <v>1440.7285040253385</v>
          </cell>
          <cell r="E269">
            <v>0</v>
          </cell>
          <cell r="F269">
            <v>0</v>
          </cell>
          <cell r="G269">
            <v>0</v>
          </cell>
          <cell r="H269">
            <v>0</v>
          </cell>
          <cell r="I269">
            <v>0</v>
          </cell>
          <cell r="J269">
            <v>14060.593917840954</v>
          </cell>
        </row>
        <row r="270">
          <cell r="A270">
            <v>253</v>
          </cell>
          <cell r="B270">
            <v>46661</v>
          </cell>
          <cell r="C270">
            <v>0</v>
          </cell>
          <cell r="D270">
            <v>1440.7285040253385</v>
          </cell>
          <cell r="E270">
            <v>0</v>
          </cell>
          <cell r="F270">
            <v>0</v>
          </cell>
          <cell r="G270">
            <v>0</v>
          </cell>
          <cell r="H270">
            <v>0</v>
          </cell>
          <cell r="I270">
            <v>0</v>
          </cell>
          <cell r="J270">
            <v>14060.593917840954</v>
          </cell>
        </row>
        <row r="271">
          <cell r="A271">
            <v>254</v>
          </cell>
          <cell r="B271">
            <v>46692</v>
          </cell>
          <cell r="C271">
            <v>0</v>
          </cell>
          <cell r="D271">
            <v>1440.7285040253385</v>
          </cell>
          <cell r="E271">
            <v>0</v>
          </cell>
          <cell r="F271">
            <v>0</v>
          </cell>
          <cell r="G271">
            <v>0</v>
          </cell>
          <cell r="H271">
            <v>0</v>
          </cell>
          <cell r="I271">
            <v>0</v>
          </cell>
          <cell r="J271">
            <v>14060.593917840954</v>
          </cell>
        </row>
        <row r="272">
          <cell r="A272">
            <v>255</v>
          </cell>
          <cell r="B272">
            <v>46722</v>
          </cell>
          <cell r="C272">
            <v>0</v>
          </cell>
          <cell r="D272">
            <v>1440.7285040253385</v>
          </cell>
          <cell r="E272">
            <v>0</v>
          </cell>
          <cell r="F272">
            <v>0</v>
          </cell>
          <cell r="G272">
            <v>0</v>
          </cell>
          <cell r="H272">
            <v>0</v>
          </cell>
          <cell r="I272">
            <v>0</v>
          </cell>
          <cell r="J272">
            <v>14060.593917840954</v>
          </cell>
        </row>
        <row r="273">
          <cell r="A273">
            <v>256</v>
          </cell>
          <cell r="B273">
            <v>46753</v>
          </cell>
          <cell r="C273">
            <v>0</v>
          </cell>
          <cell r="D273">
            <v>1440.7285040253385</v>
          </cell>
          <cell r="E273">
            <v>0</v>
          </cell>
          <cell r="F273">
            <v>0</v>
          </cell>
          <cell r="G273">
            <v>0</v>
          </cell>
          <cell r="H273">
            <v>0</v>
          </cell>
          <cell r="I273">
            <v>0</v>
          </cell>
          <cell r="J273">
            <v>14060.593917840954</v>
          </cell>
        </row>
        <row r="274">
          <cell r="A274">
            <v>257</v>
          </cell>
          <cell r="B274">
            <v>46784</v>
          </cell>
          <cell r="C274">
            <v>0</v>
          </cell>
          <cell r="D274">
            <v>1440.7285040253385</v>
          </cell>
          <cell r="E274">
            <v>0</v>
          </cell>
          <cell r="F274">
            <v>0</v>
          </cell>
          <cell r="G274">
            <v>0</v>
          </cell>
          <cell r="H274">
            <v>0</v>
          </cell>
          <cell r="I274">
            <v>0</v>
          </cell>
          <cell r="J274">
            <v>14060.593917840954</v>
          </cell>
        </row>
        <row r="275">
          <cell r="A275">
            <v>258</v>
          </cell>
          <cell r="B275">
            <v>46813</v>
          </cell>
          <cell r="C275">
            <v>0</v>
          </cell>
          <cell r="D275">
            <v>1440.7285040253385</v>
          </cell>
          <cell r="E275">
            <v>0</v>
          </cell>
          <cell r="F275">
            <v>0</v>
          </cell>
          <cell r="G275">
            <v>0</v>
          </cell>
          <cell r="H275">
            <v>0</v>
          </cell>
          <cell r="I275">
            <v>0</v>
          </cell>
          <cell r="J275">
            <v>14060.593917840954</v>
          </cell>
        </row>
        <row r="276">
          <cell r="A276">
            <v>259</v>
          </cell>
          <cell r="B276">
            <v>46844</v>
          </cell>
          <cell r="C276">
            <v>0</v>
          </cell>
          <cell r="D276">
            <v>1440.7285040253385</v>
          </cell>
          <cell r="E276">
            <v>0</v>
          </cell>
          <cell r="F276">
            <v>0</v>
          </cell>
          <cell r="G276">
            <v>0</v>
          </cell>
          <cell r="H276">
            <v>0</v>
          </cell>
          <cell r="I276">
            <v>0</v>
          </cell>
          <cell r="J276">
            <v>14060.593917840954</v>
          </cell>
        </row>
        <row r="277">
          <cell r="A277">
            <v>260</v>
          </cell>
          <cell r="B277">
            <v>46874</v>
          </cell>
          <cell r="C277">
            <v>0</v>
          </cell>
          <cell r="D277">
            <v>1440.7285040253385</v>
          </cell>
          <cell r="E277">
            <v>0</v>
          </cell>
          <cell r="F277">
            <v>0</v>
          </cell>
          <cell r="G277">
            <v>0</v>
          </cell>
          <cell r="H277">
            <v>0</v>
          </cell>
          <cell r="I277">
            <v>0</v>
          </cell>
          <cell r="J277">
            <v>14060.593917840954</v>
          </cell>
        </row>
        <row r="278">
          <cell r="A278">
            <v>261</v>
          </cell>
          <cell r="B278">
            <v>46905</v>
          </cell>
          <cell r="C278">
            <v>0</v>
          </cell>
          <cell r="D278">
            <v>1440.7285040253385</v>
          </cell>
          <cell r="E278">
            <v>0</v>
          </cell>
          <cell r="F278">
            <v>0</v>
          </cell>
          <cell r="G278">
            <v>0</v>
          </cell>
          <cell r="H278">
            <v>0</v>
          </cell>
          <cell r="I278">
            <v>0</v>
          </cell>
          <cell r="J278">
            <v>14060.593917840954</v>
          </cell>
        </row>
        <row r="279">
          <cell r="A279">
            <v>262</v>
          </cell>
          <cell r="B279">
            <v>46935</v>
          </cell>
          <cell r="C279">
            <v>0</v>
          </cell>
          <cell r="D279">
            <v>1440.7285040253385</v>
          </cell>
          <cell r="E279">
            <v>0</v>
          </cell>
          <cell r="F279">
            <v>0</v>
          </cell>
          <cell r="G279">
            <v>0</v>
          </cell>
          <cell r="H279">
            <v>0</v>
          </cell>
          <cell r="I279">
            <v>0</v>
          </cell>
          <cell r="J279">
            <v>14060.593917840954</v>
          </cell>
        </row>
        <row r="280">
          <cell r="A280">
            <v>263</v>
          </cell>
          <cell r="B280">
            <v>46966</v>
          </cell>
          <cell r="C280">
            <v>0</v>
          </cell>
          <cell r="D280">
            <v>1440.7285040253385</v>
          </cell>
          <cell r="E280">
            <v>0</v>
          </cell>
          <cell r="F280">
            <v>0</v>
          </cell>
          <cell r="G280">
            <v>0</v>
          </cell>
          <cell r="H280">
            <v>0</v>
          </cell>
          <cell r="I280">
            <v>0</v>
          </cell>
          <cell r="J280">
            <v>14060.593917840954</v>
          </cell>
        </row>
        <row r="281">
          <cell r="A281">
            <v>264</v>
          </cell>
          <cell r="B281">
            <v>46997</v>
          </cell>
          <cell r="C281">
            <v>0</v>
          </cell>
          <cell r="D281">
            <v>1440.7285040253385</v>
          </cell>
          <cell r="E281">
            <v>0</v>
          </cell>
          <cell r="F281">
            <v>0</v>
          </cell>
          <cell r="G281">
            <v>0</v>
          </cell>
          <cell r="H281">
            <v>0</v>
          </cell>
          <cell r="I281">
            <v>0</v>
          </cell>
          <cell r="J281">
            <v>14060.593917840954</v>
          </cell>
        </row>
        <row r="282">
          <cell r="A282">
            <v>265</v>
          </cell>
          <cell r="B282">
            <v>47027</v>
          </cell>
          <cell r="C282">
            <v>0</v>
          </cell>
          <cell r="D282">
            <v>1440.7285040253385</v>
          </cell>
          <cell r="E282">
            <v>0</v>
          </cell>
          <cell r="F282">
            <v>0</v>
          </cell>
          <cell r="G282">
            <v>0</v>
          </cell>
          <cell r="H282">
            <v>0</v>
          </cell>
          <cell r="I282">
            <v>0</v>
          </cell>
          <cell r="J282">
            <v>14060.593917840954</v>
          </cell>
        </row>
        <row r="283">
          <cell r="A283">
            <v>266</v>
          </cell>
          <cell r="B283">
            <v>47058</v>
          </cell>
          <cell r="C283">
            <v>0</v>
          </cell>
          <cell r="D283">
            <v>1440.7285040253385</v>
          </cell>
          <cell r="E283">
            <v>0</v>
          </cell>
          <cell r="F283">
            <v>0</v>
          </cell>
          <cell r="G283">
            <v>0</v>
          </cell>
          <cell r="H283">
            <v>0</v>
          </cell>
          <cell r="I283">
            <v>0</v>
          </cell>
          <cell r="J283">
            <v>14060.593917840954</v>
          </cell>
        </row>
        <row r="284">
          <cell r="A284">
            <v>267</v>
          </cell>
          <cell r="B284">
            <v>47088</v>
          </cell>
          <cell r="C284">
            <v>0</v>
          </cell>
          <cell r="D284">
            <v>1440.7285040253385</v>
          </cell>
          <cell r="E284">
            <v>0</v>
          </cell>
          <cell r="F284">
            <v>0</v>
          </cell>
          <cell r="G284">
            <v>0</v>
          </cell>
          <cell r="H284">
            <v>0</v>
          </cell>
          <cell r="I284">
            <v>0</v>
          </cell>
          <cell r="J284">
            <v>14060.593917840954</v>
          </cell>
        </row>
        <row r="285">
          <cell r="A285">
            <v>268</v>
          </cell>
          <cell r="B285">
            <v>47119</v>
          </cell>
          <cell r="C285">
            <v>0</v>
          </cell>
          <cell r="D285">
            <v>1440.7285040253385</v>
          </cell>
          <cell r="E285">
            <v>0</v>
          </cell>
          <cell r="F285">
            <v>0</v>
          </cell>
          <cell r="G285">
            <v>0</v>
          </cell>
          <cell r="H285">
            <v>0</v>
          </cell>
          <cell r="I285">
            <v>0</v>
          </cell>
          <cell r="J285">
            <v>14060.593917840954</v>
          </cell>
        </row>
        <row r="286">
          <cell r="A286">
            <v>269</v>
          </cell>
          <cell r="B286">
            <v>47150</v>
          </cell>
          <cell r="C286">
            <v>0</v>
          </cell>
          <cell r="D286">
            <v>1440.7285040253385</v>
          </cell>
          <cell r="E286">
            <v>0</v>
          </cell>
          <cell r="F286">
            <v>0</v>
          </cell>
          <cell r="G286">
            <v>0</v>
          </cell>
          <cell r="H286">
            <v>0</v>
          </cell>
          <cell r="I286">
            <v>0</v>
          </cell>
          <cell r="J286">
            <v>14060.593917840954</v>
          </cell>
        </row>
        <row r="287">
          <cell r="A287">
            <v>270</v>
          </cell>
          <cell r="B287">
            <v>47178</v>
          </cell>
          <cell r="C287">
            <v>0</v>
          </cell>
          <cell r="D287">
            <v>1440.7285040253385</v>
          </cell>
          <cell r="E287">
            <v>0</v>
          </cell>
          <cell r="F287">
            <v>0</v>
          </cell>
          <cell r="G287">
            <v>0</v>
          </cell>
          <cell r="H287">
            <v>0</v>
          </cell>
          <cell r="I287">
            <v>0</v>
          </cell>
          <cell r="J287">
            <v>14060.593917840954</v>
          </cell>
        </row>
        <row r="288">
          <cell r="A288">
            <v>271</v>
          </cell>
          <cell r="B288">
            <v>47209</v>
          </cell>
          <cell r="C288">
            <v>0</v>
          </cell>
          <cell r="D288">
            <v>1440.7285040253385</v>
          </cell>
          <cell r="E288">
            <v>0</v>
          </cell>
          <cell r="F288">
            <v>0</v>
          </cell>
          <cell r="G288">
            <v>0</v>
          </cell>
          <cell r="H288">
            <v>0</v>
          </cell>
          <cell r="I288">
            <v>0</v>
          </cell>
          <cell r="J288">
            <v>14060.593917840954</v>
          </cell>
        </row>
        <row r="289">
          <cell r="A289">
            <v>272</v>
          </cell>
          <cell r="B289">
            <v>47239</v>
          </cell>
          <cell r="C289">
            <v>0</v>
          </cell>
          <cell r="D289">
            <v>1440.7285040253385</v>
          </cell>
          <cell r="E289">
            <v>0</v>
          </cell>
          <cell r="F289">
            <v>0</v>
          </cell>
          <cell r="G289">
            <v>0</v>
          </cell>
          <cell r="H289">
            <v>0</v>
          </cell>
          <cell r="I289">
            <v>0</v>
          </cell>
          <cell r="J289">
            <v>14060.593917840954</v>
          </cell>
        </row>
        <row r="290">
          <cell r="A290">
            <v>273</v>
          </cell>
          <cell r="B290">
            <v>47270</v>
          </cell>
          <cell r="C290">
            <v>0</v>
          </cell>
          <cell r="D290">
            <v>1440.7285040253385</v>
          </cell>
          <cell r="E290">
            <v>0</v>
          </cell>
          <cell r="F290">
            <v>0</v>
          </cell>
          <cell r="G290">
            <v>0</v>
          </cell>
          <cell r="H290">
            <v>0</v>
          </cell>
          <cell r="I290">
            <v>0</v>
          </cell>
          <cell r="J290">
            <v>14060.593917840954</v>
          </cell>
        </row>
        <row r="291">
          <cell r="A291">
            <v>274</v>
          </cell>
          <cell r="B291">
            <v>47300</v>
          </cell>
          <cell r="C291">
            <v>0</v>
          </cell>
          <cell r="D291">
            <v>1440.7285040253385</v>
          </cell>
          <cell r="E291">
            <v>0</v>
          </cell>
          <cell r="F291">
            <v>0</v>
          </cell>
          <cell r="G291">
            <v>0</v>
          </cell>
          <cell r="H291">
            <v>0</v>
          </cell>
          <cell r="I291">
            <v>0</v>
          </cell>
          <cell r="J291">
            <v>14060.593917840954</v>
          </cell>
        </row>
        <row r="292">
          <cell r="A292">
            <v>275</v>
          </cell>
          <cell r="B292">
            <v>47331</v>
          </cell>
          <cell r="C292">
            <v>0</v>
          </cell>
          <cell r="D292">
            <v>1440.7285040253385</v>
          </cell>
          <cell r="E292">
            <v>0</v>
          </cell>
          <cell r="F292">
            <v>0</v>
          </cell>
          <cell r="G292">
            <v>0</v>
          </cell>
          <cell r="H292">
            <v>0</v>
          </cell>
          <cell r="I292">
            <v>0</v>
          </cell>
          <cell r="J292">
            <v>14060.593917840954</v>
          </cell>
        </row>
        <row r="293">
          <cell r="A293">
            <v>276</v>
          </cell>
          <cell r="B293">
            <v>47362</v>
          </cell>
          <cell r="C293">
            <v>0</v>
          </cell>
          <cell r="D293">
            <v>1440.7285040253385</v>
          </cell>
          <cell r="E293">
            <v>0</v>
          </cell>
          <cell r="F293">
            <v>0</v>
          </cell>
          <cell r="G293">
            <v>0</v>
          </cell>
          <cell r="H293">
            <v>0</v>
          </cell>
          <cell r="I293">
            <v>0</v>
          </cell>
          <cell r="J293">
            <v>14060.593917840954</v>
          </cell>
        </row>
        <row r="294">
          <cell r="A294">
            <v>277</v>
          </cell>
          <cell r="B294">
            <v>47392</v>
          </cell>
          <cell r="C294">
            <v>0</v>
          </cell>
          <cell r="D294">
            <v>1440.7285040253385</v>
          </cell>
          <cell r="E294">
            <v>0</v>
          </cell>
          <cell r="F294">
            <v>0</v>
          </cell>
          <cell r="G294">
            <v>0</v>
          </cell>
          <cell r="H294">
            <v>0</v>
          </cell>
          <cell r="I294">
            <v>0</v>
          </cell>
          <cell r="J294">
            <v>14060.593917840954</v>
          </cell>
        </row>
        <row r="295">
          <cell r="A295">
            <v>278</v>
          </cell>
          <cell r="B295">
            <v>47423</v>
          </cell>
          <cell r="C295">
            <v>0</v>
          </cell>
          <cell r="D295">
            <v>1440.7285040253385</v>
          </cell>
          <cell r="E295">
            <v>0</v>
          </cell>
          <cell r="F295">
            <v>0</v>
          </cell>
          <cell r="G295">
            <v>0</v>
          </cell>
          <cell r="H295">
            <v>0</v>
          </cell>
          <cell r="I295">
            <v>0</v>
          </cell>
          <cell r="J295">
            <v>14060.593917840954</v>
          </cell>
        </row>
        <row r="296">
          <cell r="A296">
            <v>279</v>
          </cell>
          <cell r="B296">
            <v>47453</v>
          </cell>
          <cell r="C296">
            <v>0</v>
          </cell>
          <cell r="D296">
            <v>1440.7285040253385</v>
          </cell>
          <cell r="E296">
            <v>0</v>
          </cell>
          <cell r="F296">
            <v>0</v>
          </cell>
          <cell r="G296">
            <v>0</v>
          </cell>
          <cell r="H296">
            <v>0</v>
          </cell>
          <cell r="I296">
            <v>0</v>
          </cell>
          <cell r="J296">
            <v>14060.593917840954</v>
          </cell>
        </row>
        <row r="297">
          <cell r="A297">
            <v>280</v>
          </cell>
          <cell r="B297">
            <v>47484</v>
          </cell>
          <cell r="C297">
            <v>0</v>
          </cell>
          <cell r="D297">
            <v>1440.7285040253385</v>
          </cell>
          <cell r="E297">
            <v>0</v>
          </cell>
          <cell r="F297">
            <v>0</v>
          </cell>
          <cell r="G297">
            <v>0</v>
          </cell>
          <cell r="H297">
            <v>0</v>
          </cell>
          <cell r="I297">
            <v>0</v>
          </cell>
          <cell r="J297">
            <v>14060.593917840954</v>
          </cell>
        </row>
        <row r="298">
          <cell r="A298">
            <v>281</v>
          </cell>
          <cell r="B298">
            <v>47515</v>
          </cell>
          <cell r="C298">
            <v>0</v>
          </cell>
          <cell r="D298">
            <v>1440.7285040253385</v>
          </cell>
          <cell r="E298">
            <v>0</v>
          </cell>
          <cell r="F298">
            <v>0</v>
          </cell>
          <cell r="G298">
            <v>0</v>
          </cell>
          <cell r="H298">
            <v>0</v>
          </cell>
          <cell r="I298">
            <v>0</v>
          </cell>
          <cell r="J298">
            <v>14060.593917840954</v>
          </cell>
        </row>
        <row r="299">
          <cell r="A299">
            <v>282</v>
          </cell>
          <cell r="B299">
            <v>47543</v>
          </cell>
          <cell r="C299">
            <v>0</v>
          </cell>
          <cell r="D299">
            <v>1440.7285040253385</v>
          </cell>
          <cell r="E299">
            <v>0</v>
          </cell>
          <cell r="F299">
            <v>0</v>
          </cell>
          <cell r="G299">
            <v>0</v>
          </cell>
          <cell r="H299">
            <v>0</v>
          </cell>
          <cell r="I299">
            <v>0</v>
          </cell>
          <cell r="J299">
            <v>14060.593917840954</v>
          </cell>
        </row>
        <row r="300">
          <cell r="A300">
            <v>283</v>
          </cell>
          <cell r="B300">
            <v>47574</v>
          </cell>
          <cell r="C300">
            <v>0</v>
          </cell>
          <cell r="D300">
            <v>1440.7285040253385</v>
          </cell>
          <cell r="E300">
            <v>0</v>
          </cell>
          <cell r="F300">
            <v>0</v>
          </cell>
          <cell r="G300">
            <v>0</v>
          </cell>
          <cell r="H300">
            <v>0</v>
          </cell>
          <cell r="I300">
            <v>0</v>
          </cell>
          <cell r="J300">
            <v>14060.593917840954</v>
          </cell>
        </row>
        <row r="301">
          <cell r="A301">
            <v>284</v>
          </cell>
          <cell r="B301">
            <v>47604</v>
          </cell>
          <cell r="C301">
            <v>0</v>
          </cell>
          <cell r="D301">
            <v>1440.7285040253385</v>
          </cell>
          <cell r="E301">
            <v>0</v>
          </cell>
          <cell r="F301">
            <v>0</v>
          </cell>
          <cell r="G301">
            <v>0</v>
          </cell>
          <cell r="H301">
            <v>0</v>
          </cell>
          <cell r="I301">
            <v>0</v>
          </cell>
          <cell r="J301">
            <v>14060.593917840954</v>
          </cell>
        </row>
        <row r="302">
          <cell r="A302">
            <v>285</v>
          </cell>
          <cell r="B302">
            <v>47635</v>
          </cell>
          <cell r="C302">
            <v>0</v>
          </cell>
          <cell r="D302">
            <v>1440.7285040253385</v>
          </cell>
          <cell r="E302">
            <v>0</v>
          </cell>
          <cell r="F302">
            <v>0</v>
          </cell>
          <cell r="G302">
            <v>0</v>
          </cell>
          <cell r="H302">
            <v>0</v>
          </cell>
          <cell r="I302">
            <v>0</v>
          </cell>
          <cell r="J302">
            <v>14060.593917840954</v>
          </cell>
        </row>
        <row r="303">
          <cell r="A303">
            <v>286</v>
          </cell>
          <cell r="B303">
            <v>47665</v>
          </cell>
          <cell r="C303">
            <v>0</v>
          </cell>
          <cell r="D303">
            <v>1440.7285040253385</v>
          </cell>
          <cell r="E303">
            <v>0</v>
          </cell>
          <cell r="F303">
            <v>0</v>
          </cell>
          <cell r="G303">
            <v>0</v>
          </cell>
          <cell r="H303">
            <v>0</v>
          </cell>
          <cell r="I303">
            <v>0</v>
          </cell>
          <cell r="J303">
            <v>14060.593917840954</v>
          </cell>
        </row>
        <row r="304">
          <cell r="A304">
            <v>287</v>
          </cell>
          <cell r="B304">
            <v>47696</v>
          </cell>
          <cell r="C304">
            <v>0</v>
          </cell>
          <cell r="D304">
            <v>1440.7285040253385</v>
          </cell>
          <cell r="E304">
            <v>0</v>
          </cell>
          <cell r="F304">
            <v>0</v>
          </cell>
          <cell r="G304">
            <v>0</v>
          </cell>
          <cell r="H304">
            <v>0</v>
          </cell>
          <cell r="I304">
            <v>0</v>
          </cell>
          <cell r="J304">
            <v>14060.593917840954</v>
          </cell>
        </row>
        <row r="305">
          <cell r="A305">
            <v>288</v>
          </cell>
          <cell r="B305">
            <v>47727</v>
          </cell>
          <cell r="C305">
            <v>0</v>
          </cell>
          <cell r="D305">
            <v>1440.7285040253385</v>
          </cell>
          <cell r="E305">
            <v>0</v>
          </cell>
          <cell r="F305">
            <v>0</v>
          </cell>
          <cell r="G305">
            <v>0</v>
          </cell>
          <cell r="H305">
            <v>0</v>
          </cell>
          <cell r="I305">
            <v>0</v>
          </cell>
          <cell r="J305">
            <v>14060.593917840954</v>
          </cell>
        </row>
        <row r="306">
          <cell r="A306">
            <v>289</v>
          </cell>
          <cell r="B306">
            <v>47757</v>
          </cell>
          <cell r="C306">
            <v>0</v>
          </cell>
          <cell r="D306">
            <v>1440.7285040253385</v>
          </cell>
          <cell r="E306">
            <v>0</v>
          </cell>
          <cell r="F306">
            <v>0</v>
          </cell>
          <cell r="G306">
            <v>0</v>
          </cell>
          <cell r="H306">
            <v>0</v>
          </cell>
          <cell r="I306">
            <v>0</v>
          </cell>
          <cell r="J306">
            <v>14060.593917840954</v>
          </cell>
        </row>
        <row r="307">
          <cell r="A307">
            <v>290</v>
          </cell>
          <cell r="B307">
            <v>47788</v>
          </cell>
          <cell r="C307">
            <v>0</v>
          </cell>
          <cell r="D307">
            <v>1440.7285040253385</v>
          </cell>
          <cell r="E307">
            <v>0</v>
          </cell>
          <cell r="F307">
            <v>0</v>
          </cell>
          <cell r="G307">
            <v>0</v>
          </cell>
          <cell r="H307">
            <v>0</v>
          </cell>
          <cell r="I307">
            <v>0</v>
          </cell>
          <cell r="J307">
            <v>14060.593917840954</v>
          </cell>
        </row>
        <row r="308">
          <cell r="A308">
            <v>291</v>
          </cell>
          <cell r="B308">
            <v>47818</v>
          </cell>
          <cell r="C308">
            <v>0</v>
          </cell>
          <cell r="D308">
            <v>1440.7285040253385</v>
          </cell>
          <cell r="E308">
            <v>0</v>
          </cell>
          <cell r="F308">
            <v>0</v>
          </cell>
          <cell r="G308">
            <v>0</v>
          </cell>
          <cell r="H308">
            <v>0</v>
          </cell>
          <cell r="I308">
            <v>0</v>
          </cell>
          <cell r="J308">
            <v>14060.593917840954</v>
          </cell>
        </row>
        <row r="309">
          <cell r="A309">
            <v>292</v>
          </cell>
          <cell r="B309">
            <v>47849</v>
          </cell>
          <cell r="C309">
            <v>0</v>
          </cell>
          <cell r="D309">
            <v>1440.7285040253385</v>
          </cell>
          <cell r="E309">
            <v>0</v>
          </cell>
          <cell r="F309">
            <v>0</v>
          </cell>
          <cell r="G309">
            <v>0</v>
          </cell>
          <cell r="H309">
            <v>0</v>
          </cell>
          <cell r="I309">
            <v>0</v>
          </cell>
          <cell r="J309">
            <v>14060.593917840954</v>
          </cell>
        </row>
        <row r="310">
          <cell r="A310">
            <v>293</v>
          </cell>
          <cell r="B310">
            <v>47880</v>
          </cell>
          <cell r="C310">
            <v>0</v>
          </cell>
          <cell r="D310">
            <v>1440.7285040253385</v>
          </cell>
          <cell r="E310">
            <v>0</v>
          </cell>
          <cell r="F310">
            <v>0</v>
          </cell>
          <cell r="G310">
            <v>0</v>
          </cell>
          <cell r="H310">
            <v>0</v>
          </cell>
          <cell r="I310">
            <v>0</v>
          </cell>
          <cell r="J310">
            <v>14060.593917840954</v>
          </cell>
        </row>
        <row r="311">
          <cell r="A311">
            <v>294</v>
          </cell>
          <cell r="B311">
            <v>47908</v>
          </cell>
          <cell r="C311">
            <v>0</v>
          </cell>
          <cell r="D311">
            <v>1440.7285040253385</v>
          </cell>
          <cell r="E311">
            <v>0</v>
          </cell>
          <cell r="F311">
            <v>0</v>
          </cell>
          <cell r="G311">
            <v>0</v>
          </cell>
          <cell r="H311">
            <v>0</v>
          </cell>
          <cell r="I311">
            <v>0</v>
          </cell>
          <cell r="J311">
            <v>14060.593917840954</v>
          </cell>
        </row>
        <row r="312">
          <cell r="A312">
            <v>295</v>
          </cell>
          <cell r="B312">
            <v>47939</v>
          </cell>
          <cell r="C312">
            <v>0</v>
          </cell>
          <cell r="D312">
            <v>1440.7285040253385</v>
          </cell>
          <cell r="E312">
            <v>0</v>
          </cell>
          <cell r="F312">
            <v>0</v>
          </cell>
          <cell r="G312">
            <v>0</v>
          </cell>
          <cell r="H312">
            <v>0</v>
          </cell>
          <cell r="I312">
            <v>0</v>
          </cell>
          <cell r="J312">
            <v>14060.593917840954</v>
          </cell>
        </row>
        <row r="313">
          <cell r="A313">
            <v>296</v>
          </cell>
          <cell r="B313">
            <v>47969</v>
          </cell>
          <cell r="C313">
            <v>0</v>
          </cell>
          <cell r="D313">
            <v>1440.7285040253385</v>
          </cell>
          <cell r="E313">
            <v>0</v>
          </cell>
          <cell r="F313">
            <v>0</v>
          </cell>
          <cell r="G313">
            <v>0</v>
          </cell>
          <cell r="H313">
            <v>0</v>
          </cell>
          <cell r="I313">
            <v>0</v>
          </cell>
          <cell r="J313">
            <v>14060.593917840954</v>
          </cell>
        </row>
        <row r="314">
          <cell r="A314">
            <v>297</v>
          </cell>
          <cell r="B314">
            <v>48000</v>
          </cell>
          <cell r="C314">
            <v>0</v>
          </cell>
          <cell r="D314">
            <v>1440.7285040253385</v>
          </cell>
          <cell r="E314">
            <v>0</v>
          </cell>
          <cell r="F314">
            <v>0</v>
          </cell>
          <cell r="G314">
            <v>0</v>
          </cell>
          <cell r="H314">
            <v>0</v>
          </cell>
          <cell r="I314">
            <v>0</v>
          </cell>
          <cell r="J314">
            <v>14060.593917840954</v>
          </cell>
        </row>
        <row r="315">
          <cell r="A315">
            <v>298</v>
          </cell>
          <cell r="B315">
            <v>48030</v>
          </cell>
          <cell r="C315">
            <v>0</v>
          </cell>
          <cell r="D315">
            <v>1440.7285040253385</v>
          </cell>
          <cell r="E315">
            <v>0</v>
          </cell>
          <cell r="F315">
            <v>0</v>
          </cell>
          <cell r="G315">
            <v>0</v>
          </cell>
          <cell r="H315">
            <v>0</v>
          </cell>
          <cell r="I315">
            <v>0</v>
          </cell>
          <cell r="J315">
            <v>14060.593917840954</v>
          </cell>
        </row>
        <row r="316">
          <cell r="A316">
            <v>299</v>
          </cell>
          <cell r="B316">
            <v>48061</v>
          </cell>
          <cell r="C316">
            <v>0</v>
          </cell>
          <cell r="D316">
            <v>1440.7285040253385</v>
          </cell>
          <cell r="E316">
            <v>0</v>
          </cell>
          <cell r="F316">
            <v>0</v>
          </cell>
          <cell r="G316">
            <v>0</v>
          </cell>
          <cell r="H316">
            <v>0</v>
          </cell>
          <cell r="I316">
            <v>0</v>
          </cell>
          <cell r="J316">
            <v>14060.593917840954</v>
          </cell>
        </row>
        <row r="317">
          <cell r="A317">
            <v>300</v>
          </cell>
          <cell r="B317">
            <v>48092</v>
          </cell>
          <cell r="C317">
            <v>0</v>
          </cell>
          <cell r="D317">
            <v>1440.7285040253385</v>
          </cell>
          <cell r="E317">
            <v>0</v>
          </cell>
          <cell r="F317">
            <v>0</v>
          </cell>
          <cell r="G317">
            <v>0</v>
          </cell>
          <cell r="H317">
            <v>0</v>
          </cell>
          <cell r="I317">
            <v>0</v>
          </cell>
          <cell r="J317">
            <v>14060.593917840954</v>
          </cell>
        </row>
        <row r="318">
          <cell r="A318">
            <v>301</v>
          </cell>
          <cell r="B318">
            <v>48122</v>
          </cell>
          <cell r="C318">
            <v>0</v>
          </cell>
          <cell r="D318">
            <v>1440.7285040253385</v>
          </cell>
          <cell r="E318">
            <v>0</v>
          </cell>
          <cell r="F318">
            <v>0</v>
          </cell>
          <cell r="G318">
            <v>0</v>
          </cell>
          <cell r="H318">
            <v>0</v>
          </cell>
          <cell r="I318">
            <v>0</v>
          </cell>
          <cell r="J318">
            <v>14060.593917840954</v>
          </cell>
        </row>
        <row r="319">
          <cell r="A319">
            <v>302</v>
          </cell>
          <cell r="B319">
            <v>48153</v>
          </cell>
          <cell r="C319">
            <v>0</v>
          </cell>
          <cell r="D319">
            <v>1440.7285040253385</v>
          </cell>
          <cell r="E319">
            <v>0</v>
          </cell>
          <cell r="F319">
            <v>0</v>
          </cell>
          <cell r="G319">
            <v>0</v>
          </cell>
          <cell r="H319">
            <v>0</v>
          </cell>
          <cell r="I319">
            <v>0</v>
          </cell>
          <cell r="J319">
            <v>14060.593917840954</v>
          </cell>
        </row>
        <row r="320">
          <cell r="A320">
            <v>303</v>
          </cell>
          <cell r="B320">
            <v>48183</v>
          </cell>
          <cell r="C320">
            <v>0</v>
          </cell>
          <cell r="D320">
            <v>1440.7285040253385</v>
          </cell>
          <cell r="E320">
            <v>0</v>
          </cell>
          <cell r="F320">
            <v>0</v>
          </cell>
          <cell r="G320">
            <v>0</v>
          </cell>
          <cell r="H320">
            <v>0</v>
          </cell>
          <cell r="I320">
            <v>0</v>
          </cell>
          <cell r="J320">
            <v>14060.593917840954</v>
          </cell>
        </row>
        <row r="321">
          <cell r="A321">
            <v>304</v>
          </cell>
          <cell r="B321">
            <v>48214</v>
          </cell>
          <cell r="C321">
            <v>0</v>
          </cell>
          <cell r="D321">
            <v>1440.7285040253385</v>
          </cell>
          <cell r="E321">
            <v>0</v>
          </cell>
          <cell r="F321">
            <v>0</v>
          </cell>
          <cell r="G321">
            <v>0</v>
          </cell>
          <cell r="H321">
            <v>0</v>
          </cell>
          <cell r="I321">
            <v>0</v>
          </cell>
          <cell r="J321">
            <v>14060.593917840954</v>
          </cell>
        </row>
        <row r="322">
          <cell r="A322">
            <v>305</v>
          </cell>
          <cell r="B322">
            <v>48245</v>
          </cell>
          <cell r="C322">
            <v>0</v>
          </cell>
          <cell r="D322">
            <v>1440.7285040253385</v>
          </cell>
          <cell r="E322">
            <v>0</v>
          </cell>
          <cell r="F322">
            <v>0</v>
          </cell>
          <cell r="G322">
            <v>0</v>
          </cell>
          <cell r="H322">
            <v>0</v>
          </cell>
          <cell r="I322">
            <v>0</v>
          </cell>
          <cell r="J322">
            <v>14060.593917840954</v>
          </cell>
        </row>
        <row r="323">
          <cell r="A323">
            <v>306</v>
          </cell>
          <cell r="B323">
            <v>48274</v>
          </cell>
          <cell r="C323">
            <v>0</v>
          </cell>
          <cell r="D323">
            <v>1440.7285040253385</v>
          </cell>
          <cell r="E323">
            <v>0</v>
          </cell>
          <cell r="F323">
            <v>0</v>
          </cell>
          <cell r="G323">
            <v>0</v>
          </cell>
          <cell r="H323">
            <v>0</v>
          </cell>
          <cell r="I323">
            <v>0</v>
          </cell>
          <cell r="J323">
            <v>14060.593917840954</v>
          </cell>
        </row>
        <row r="324">
          <cell r="A324">
            <v>307</v>
          </cell>
          <cell r="B324">
            <v>48305</v>
          </cell>
          <cell r="C324">
            <v>0</v>
          </cell>
          <cell r="D324">
            <v>1440.7285040253385</v>
          </cell>
          <cell r="E324">
            <v>0</v>
          </cell>
          <cell r="F324">
            <v>0</v>
          </cell>
          <cell r="G324">
            <v>0</v>
          </cell>
          <cell r="H324">
            <v>0</v>
          </cell>
          <cell r="I324">
            <v>0</v>
          </cell>
          <cell r="J324">
            <v>14060.593917840954</v>
          </cell>
        </row>
        <row r="325">
          <cell r="A325">
            <v>308</v>
          </cell>
          <cell r="B325">
            <v>48335</v>
          </cell>
          <cell r="C325">
            <v>0</v>
          </cell>
          <cell r="D325">
            <v>1440.7285040253385</v>
          </cell>
          <cell r="E325">
            <v>0</v>
          </cell>
          <cell r="F325">
            <v>0</v>
          </cell>
          <cell r="G325">
            <v>0</v>
          </cell>
          <cell r="H325">
            <v>0</v>
          </cell>
          <cell r="I325">
            <v>0</v>
          </cell>
          <cell r="J325">
            <v>14060.593917840954</v>
          </cell>
        </row>
        <row r="326">
          <cell r="A326">
            <v>309</v>
          </cell>
          <cell r="B326">
            <v>48366</v>
          </cell>
          <cell r="C326">
            <v>0</v>
          </cell>
          <cell r="D326">
            <v>1440.7285040253385</v>
          </cell>
          <cell r="E326">
            <v>0</v>
          </cell>
          <cell r="F326">
            <v>0</v>
          </cell>
          <cell r="G326">
            <v>0</v>
          </cell>
          <cell r="H326">
            <v>0</v>
          </cell>
          <cell r="I326">
            <v>0</v>
          </cell>
          <cell r="J326">
            <v>14060.593917840954</v>
          </cell>
        </row>
        <row r="327">
          <cell r="A327">
            <v>310</v>
          </cell>
          <cell r="B327">
            <v>48396</v>
          </cell>
          <cell r="C327">
            <v>0</v>
          </cell>
          <cell r="D327">
            <v>1440.7285040253385</v>
          </cell>
          <cell r="E327">
            <v>0</v>
          </cell>
          <cell r="F327">
            <v>0</v>
          </cell>
          <cell r="G327">
            <v>0</v>
          </cell>
          <cell r="H327">
            <v>0</v>
          </cell>
          <cell r="I327">
            <v>0</v>
          </cell>
          <cell r="J327">
            <v>14060.593917840954</v>
          </cell>
        </row>
        <row r="328">
          <cell r="A328">
            <v>311</v>
          </cell>
          <cell r="B328">
            <v>48427</v>
          </cell>
          <cell r="C328">
            <v>0</v>
          </cell>
          <cell r="D328">
            <v>1440.7285040253385</v>
          </cell>
          <cell r="E328">
            <v>0</v>
          </cell>
          <cell r="F328">
            <v>0</v>
          </cell>
          <cell r="G328">
            <v>0</v>
          </cell>
          <cell r="H328">
            <v>0</v>
          </cell>
          <cell r="I328">
            <v>0</v>
          </cell>
          <cell r="J328">
            <v>14060.593917840954</v>
          </cell>
        </row>
        <row r="329">
          <cell r="A329">
            <v>312</v>
          </cell>
          <cell r="B329">
            <v>48458</v>
          </cell>
          <cell r="C329">
            <v>0</v>
          </cell>
          <cell r="D329">
            <v>1440.7285040253385</v>
          </cell>
          <cell r="E329">
            <v>0</v>
          </cell>
          <cell r="F329">
            <v>0</v>
          </cell>
          <cell r="G329">
            <v>0</v>
          </cell>
          <cell r="H329">
            <v>0</v>
          </cell>
          <cell r="I329">
            <v>0</v>
          </cell>
          <cell r="J329">
            <v>14060.593917840954</v>
          </cell>
        </row>
        <row r="330">
          <cell r="A330">
            <v>313</v>
          </cell>
          <cell r="B330">
            <v>48488</v>
          </cell>
          <cell r="C330">
            <v>0</v>
          </cell>
          <cell r="D330">
            <v>1440.7285040253385</v>
          </cell>
          <cell r="E330">
            <v>0</v>
          </cell>
          <cell r="F330">
            <v>0</v>
          </cell>
          <cell r="G330">
            <v>0</v>
          </cell>
          <cell r="H330">
            <v>0</v>
          </cell>
          <cell r="I330">
            <v>0</v>
          </cell>
          <cell r="J330">
            <v>14060.593917840954</v>
          </cell>
        </row>
        <row r="331">
          <cell r="A331">
            <v>314</v>
          </cell>
          <cell r="B331">
            <v>48519</v>
          </cell>
          <cell r="C331">
            <v>0</v>
          </cell>
          <cell r="D331">
            <v>1440.7285040253385</v>
          </cell>
          <cell r="E331">
            <v>0</v>
          </cell>
          <cell r="F331">
            <v>0</v>
          </cell>
          <cell r="G331">
            <v>0</v>
          </cell>
          <cell r="H331">
            <v>0</v>
          </cell>
          <cell r="I331">
            <v>0</v>
          </cell>
          <cell r="J331">
            <v>14060.593917840954</v>
          </cell>
        </row>
        <row r="332">
          <cell r="A332">
            <v>315</v>
          </cell>
          <cell r="B332">
            <v>48549</v>
          </cell>
          <cell r="C332">
            <v>0</v>
          </cell>
          <cell r="D332">
            <v>1440.7285040253385</v>
          </cell>
          <cell r="E332">
            <v>0</v>
          </cell>
          <cell r="F332">
            <v>0</v>
          </cell>
          <cell r="G332">
            <v>0</v>
          </cell>
          <cell r="H332">
            <v>0</v>
          </cell>
          <cell r="I332">
            <v>0</v>
          </cell>
          <cell r="J332">
            <v>14060.593917840954</v>
          </cell>
        </row>
        <row r="333">
          <cell r="A333">
            <v>316</v>
          </cell>
          <cell r="B333">
            <v>48580</v>
          </cell>
          <cell r="C333">
            <v>0</v>
          </cell>
          <cell r="D333">
            <v>1440.7285040253385</v>
          </cell>
          <cell r="E333">
            <v>0</v>
          </cell>
          <cell r="F333">
            <v>0</v>
          </cell>
          <cell r="G333">
            <v>0</v>
          </cell>
          <cell r="H333">
            <v>0</v>
          </cell>
          <cell r="I333">
            <v>0</v>
          </cell>
          <cell r="J333">
            <v>14060.593917840954</v>
          </cell>
        </row>
        <row r="334">
          <cell r="A334">
            <v>317</v>
          </cell>
          <cell r="B334">
            <v>48611</v>
          </cell>
          <cell r="C334">
            <v>0</v>
          </cell>
          <cell r="D334">
            <v>1440.7285040253385</v>
          </cell>
          <cell r="E334">
            <v>0</v>
          </cell>
          <cell r="F334">
            <v>0</v>
          </cell>
          <cell r="G334">
            <v>0</v>
          </cell>
          <cell r="H334">
            <v>0</v>
          </cell>
          <cell r="I334">
            <v>0</v>
          </cell>
          <cell r="J334">
            <v>14060.593917840954</v>
          </cell>
        </row>
        <row r="335">
          <cell r="A335">
            <v>318</v>
          </cell>
          <cell r="B335">
            <v>48639</v>
          </cell>
          <cell r="C335">
            <v>0</v>
          </cell>
          <cell r="D335">
            <v>1440.7285040253385</v>
          </cell>
          <cell r="E335">
            <v>0</v>
          </cell>
          <cell r="F335">
            <v>0</v>
          </cell>
          <cell r="G335">
            <v>0</v>
          </cell>
          <cell r="H335">
            <v>0</v>
          </cell>
          <cell r="I335">
            <v>0</v>
          </cell>
          <cell r="J335">
            <v>14060.593917840954</v>
          </cell>
        </row>
        <row r="336">
          <cell r="A336">
            <v>319</v>
          </cell>
          <cell r="B336">
            <v>48670</v>
          </cell>
          <cell r="C336">
            <v>0</v>
          </cell>
          <cell r="D336">
            <v>1440.7285040253385</v>
          </cell>
          <cell r="E336">
            <v>0</v>
          </cell>
          <cell r="F336">
            <v>0</v>
          </cell>
          <cell r="G336">
            <v>0</v>
          </cell>
          <cell r="H336">
            <v>0</v>
          </cell>
          <cell r="I336">
            <v>0</v>
          </cell>
          <cell r="J336">
            <v>14060.593917840954</v>
          </cell>
        </row>
        <row r="337">
          <cell r="A337">
            <v>320</v>
          </cell>
          <cell r="B337">
            <v>48700</v>
          </cell>
          <cell r="C337">
            <v>0</v>
          </cell>
          <cell r="D337">
            <v>1440.7285040253385</v>
          </cell>
          <cell r="E337">
            <v>0</v>
          </cell>
          <cell r="F337">
            <v>0</v>
          </cell>
          <cell r="G337">
            <v>0</v>
          </cell>
          <cell r="H337">
            <v>0</v>
          </cell>
          <cell r="I337">
            <v>0</v>
          </cell>
          <cell r="J337">
            <v>14060.593917840954</v>
          </cell>
        </row>
        <row r="338">
          <cell r="A338">
            <v>321</v>
          </cell>
          <cell r="B338">
            <v>48731</v>
          </cell>
          <cell r="C338">
            <v>0</v>
          </cell>
          <cell r="D338">
            <v>1440.7285040253385</v>
          </cell>
          <cell r="E338">
            <v>0</v>
          </cell>
          <cell r="F338">
            <v>0</v>
          </cell>
          <cell r="G338">
            <v>0</v>
          </cell>
          <cell r="H338">
            <v>0</v>
          </cell>
          <cell r="I338">
            <v>0</v>
          </cell>
          <cell r="J338">
            <v>14060.593917840954</v>
          </cell>
        </row>
        <row r="339">
          <cell r="A339">
            <v>322</v>
          </cell>
          <cell r="B339">
            <v>48761</v>
          </cell>
          <cell r="C339">
            <v>0</v>
          </cell>
          <cell r="D339">
            <v>1440.7285040253385</v>
          </cell>
          <cell r="E339">
            <v>0</v>
          </cell>
          <cell r="F339">
            <v>0</v>
          </cell>
          <cell r="G339">
            <v>0</v>
          </cell>
          <cell r="H339">
            <v>0</v>
          </cell>
          <cell r="I339">
            <v>0</v>
          </cell>
          <cell r="J339">
            <v>14060.593917840954</v>
          </cell>
        </row>
        <row r="340">
          <cell r="A340">
            <v>323</v>
          </cell>
          <cell r="B340">
            <v>48792</v>
          </cell>
          <cell r="C340">
            <v>0</v>
          </cell>
          <cell r="D340">
            <v>1440.7285040253385</v>
          </cell>
          <cell r="E340">
            <v>0</v>
          </cell>
          <cell r="F340">
            <v>0</v>
          </cell>
          <cell r="G340">
            <v>0</v>
          </cell>
          <cell r="H340">
            <v>0</v>
          </cell>
          <cell r="I340">
            <v>0</v>
          </cell>
          <cell r="J340">
            <v>14060.593917840954</v>
          </cell>
        </row>
        <row r="341">
          <cell r="A341">
            <v>324</v>
          </cell>
          <cell r="B341">
            <v>48823</v>
          </cell>
          <cell r="C341">
            <v>0</v>
          </cell>
          <cell r="D341">
            <v>1440.7285040253385</v>
          </cell>
          <cell r="E341">
            <v>0</v>
          </cell>
          <cell r="F341">
            <v>0</v>
          </cell>
          <cell r="G341">
            <v>0</v>
          </cell>
          <cell r="H341">
            <v>0</v>
          </cell>
          <cell r="I341">
            <v>0</v>
          </cell>
          <cell r="J341">
            <v>14060.593917840954</v>
          </cell>
        </row>
        <row r="342">
          <cell r="A342">
            <v>325</v>
          </cell>
          <cell r="B342">
            <v>48853</v>
          </cell>
          <cell r="C342">
            <v>0</v>
          </cell>
          <cell r="D342">
            <v>1440.7285040253385</v>
          </cell>
          <cell r="E342">
            <v>0</v>
          </cell>
          <cell r="F342">
            <v>0</v>
          </cell>
          <cell r="G342">
            <v>0</v>
          </cell>
          <cell r="H342">
            <v>0</v>
          </cell>
          <cell r="I342">
            <v>0</v>
          </cell>
          <cell r="J342">
            <v>14060.593917840954</v>
          </cell>
        </row>
        <row r="343">
          <cell r="A343">
            <v>326</v>
          </cell>
          <cell r="B343">
            <v>48884</v>
          </cell>
          <cell r="C343">
            <v>0</v>
          </cell>
          <cell r="D343">
            <v>1440.7285040253385</v>
          </cell>
          <cell r="E343">
            <v>0</v>
          </cell>
          <cell r="F343">
            <v>0</v>
          </cell>
          <cell r="G343">
            <v>0</v>
          </cell>
          <cell r="H343">
            <v>0</v>
          </cell>
          <cell r="I343">
            <v>0</v>
          </cell>
          <cell r="J343">
            <v>14060.593917840954</v>
          </cell>
        </row>
        <row r="344">
          <cell r="A344">
            <v>327</v>
          </cell>
          <cell r="B344">
            <v>48914</v>
          </cell>
          <cell r="C344">
            <v>0</v>
          </cell>
          <cell r="D344">
            <v>1440.7285040253385</v>
          </cell>
          <cell r="E344">
            <v>0</v>
          </cell>
          <cell r="F344">
            <v>0</v>
          </cell>
          <cell r="G344">
            <v>0</v>
          </cell>
          <cell r="H344">
            <v>0</v>
          </cell>
          <cell r="I344">
            <v>0</v>
          </cell>
          <cell r="J344">
            <v>14060.593917840954</v>
          </cell>
        </row>
        <row r="345">
          <cell r="A345">
            <v>328</v>
          </cell>
          <cell r="B345">
            <v>48945</v>
          </cell>
          <cell r="C345">
            <v>0</v>
          </cell>
          <cell r="D345">
            <v>1440.7285040253385</v>
          </cell>
          <cell r="E345">
            <v>0</v>
          </cell>
          <cell r="F345">
            <v>0</v>
          </cell>
          <cell r="G345">
            <v>0</v>
          </cell>
          <cell r="H345">
            <v>0</v>
          </cell>
          <cell r="I345">
            <v>0</v>
          </cell>
          <cell r="J345">
            <v>14060.593917840954</v>
          </cell>
        </row>
        <row r="346">
          <cell r="A346">
            <v>329</v>
          </cell>
          <cell r="B346">
            <v>48976</v>
          </cell>
          <cell r="C346">
            <v>0</v>
          </cell>
          <cell r="D346">
            <v>1440.7285040253385</v>
          </cell>
          <cell r="E346">
            <v>0</v>
          </cell>
          <cell r="F346">
            <v>0</v>
          </cell>
          <cell r="G346">
            <v>0</v>
          </cell>
          <cell r="H346">
            <v>0</v>
          </cell>
          <cell r="I346">
            <v>0</v>
          </cell>
          <cell r="J346">
            <v>14060.593917840954</v>
          </cell>
        </row>
        <row r="347">
          <cell r="A347">
            <v>330</v>
          </cell>
          <cell r="B347">
            <v>49004</v>
          </cell>
          <cell r="C347">
            <v>0</v>
          </cell>
          <cell r="D347">
            <v>1440.7285040253385</v>
          </cell>
          <cell r="E347">
            <v>0</v>
          </cell>
          <cell r="F347">
            <v>0</v>
          </cell>
          <cell r="G347">
            <v>0</v>
          </cell>
          <cell r="H347">
            <v>0</v>
          </cell>
          <cell r="I347">
            <v>0</v>
          </cell>
          <cell r="J347">
            <v>14060.593917840954</v>
          </cell>
        </row>
        <row r="348">
          <cell r="A348">
            <v>331</v>
          </cell>
          <cell r="B348">
            <v>49035</v>
          </cell>
          <cell r="C348">
            <v>0</v>
          </cell>
          <cell r="D348">
            <v>1440.7285040253385</v>
          </cell>
          <cell r="E348">
            <v>0</v>
          </cell>
          <cell r="F348">
            <v>0</v>
          </cell>
          <cell r="G348">
            <v>0</v>
          </cell>
          <cell r="H348">
            <v>0</v>
          </cell>
          <cell r="I348">
            <v>0</v>
          </cell>
          <cell r="J348">
            <v>14060.593917840954</v>
          </cell>
        </row>
        <row r="349">
          <cell r="A349">
            <v>332</v>
          </cell>
          <cell r="B349">
            <v>49065</v>
          </cell>
          <cell r="C349">
            <v>0</v>
          </cell>
          <cell r="D349">
            <v>1440.7285040253385</v>
          </cell>
          <cell r="E349">
            <v>0</v>
          </cell>
          <cell r="F349">
            <v>0</v>
          </cell>
          <cell r="G349">
            <v>0</v>
          </cell>
          <cell r="H349">
            <v>0</v>
          </cell>
          <cell r="I349">
            <v>0</v>
          </cell>
          <cell r="J349">
            <v>14060.593917840954</v>
          </cell>
        </row>
        <row r="350">
          <cell r="A350">
            <v>333</v>
          </cell>
          <cell r="B350">
            <v>49096</v>
          </cell>
          <cell r="C350">
            <v>0</v>
          </cell>
          <cell r="D350">
            <v>1440.7285040253385</v>
          </cell>
          <cell r="E350">
            <v>0</v>
          </cell>
          <cell r="F350">
            <v>0</v>
          </cell>
          <cell r="G350">
            <v>0</v>
          </cell>
          <cell r="H350">
            <v>0</v>
          </cell>
          <cell r="I350">
            <v>0</v>
          </cell>
          <cell r="J350">
            <v>14060.593917840954</v>
          </cell>
        </row>
        <row r="351">
          <cell r="A351">
            <v>334</v>
          </cell>
          <cell r="B351">
            <v>49126</v>
          </cell>
          <cell r="C351">
            <v>0</v>
          </cell>
          <cell r="D351">
            <v>1440.7285040253385</v>
          </cell>
          <cell r="E351">
            <v>0</v>
          </cell>
          <cell r="F351">
            <v>0</v>
          </cell>
          <cell r="G351">
            <v>0</v>
          </cell>
          <cell r="H351">
            <v>0</v>
          </cell>
          <cell r="I351">
            <v>0</v>
          </cell>
          <cell r="J351">
            <v>14060.593917840954</v>
          </cell>
        </row>
        <row r="352">
          <cell r="A352">
            <v>335</v>
          </cell>
          <cell r="B352">
            <v>49157</v>
          </cell>
          <cell r="C352">
            <v>0</v>
          </cell>
          <cell r="D352">
            <v>1440.7285040253385</v>
          </cell>
          <cell r="E352">
            <v>0</v>
          </cell>
          <cell r="F352">
            <v>0</v>
          </cell>
          <cell r="G352">
            <v>0</v>
          </cell>
          <cell r="H352">
            <v>0</v>
          </cell>
          <cell r="I352">
            <v>0</v>
          </cell>
          <cell r="J352">
            <v>14060.593917840954</v>
          </cell>
        </row>
        <row r="353">
          <cell r="A353">
            <v>336</v>
          </cell>
          <cell r="B353">
            <v>49188</v>
          </cell>
          <cell r="C353">
            <v>0</v>
          </cell>
          <cell r="D353">
            <v>1440.7285040253385</v>
          </cell>
          <cell r="E353">
            <v>0</v>
          </cell>
          <cell r="F353">
            <v>0</v>
          </cell>
          <cell r="G353">
            <v>0</v>
          </cell>
          <cell r="H353">
            <v>0</v>
          </cell>
          <cell r="I353">
            <v>0</v>
          </cell>
          <cell r="J353">
            <v>14060.593917840954</v>
          </cell>
        </row>
        <row r="354">
          <cell r="A354">
            <v>337</v>
          </cell>
          <cell r="B354">
            <v>49218</v>
          </cell>
          <cell r="C354">
            <v>0</v>
          </cell>
          <cell r="D354">
            <v>1440.7285040253385</v>
          </cell>
          <cell r="E354">
            <v>0</v>
          </cell>
          <cell r="F354">
            <v>0</v>
          </cell>
          <cell r="G354">
            <v>0</v>
          </cell>
          <cell r="H354">
            <v>0</v>
          </cell>
          <cell r="I354">
            <v>0</v>
          </cell>
          <cell r="J354">
            <v>14060.593917840954</v>
          </cell>
        </row>
        <row r="355">
          <cell r="A355">
            <v>338</v>
          </cell>
          <cell r="B355">
            <v>49249</v>
          </cell>
          <cell r="C355">
            <v>0</v>
          </cell>
          <cell r="D355">
            <v>1440.7285040253385</v>
          </cell>
          <cell r="E355">
            <v>0</v>
          </cell>
          <cell r="F355">
            <v>0</v>
          </cell>
          <cell r="G355">
            <v>0</v>
          </cell>
          <cell r="H355">
            <v>0</v>
          </cell>
          <cell r="I355">
            <v>0</v>
          </cell>
          <cell r="J355">
            <v>14060.593917840954</v>
          </cell>
        </row>
        <row r="356">
          <cell r="A356">
            <v>339</v>
          </cell>
          <cell r="B356">
            <v>49279</v>
          </cell>
          <cell r="C356">
            <v>0</v>
          </cell>
          <cell r="D356">
            <v>1440.7285040253385</v>
          </cell>
          <cell r="E356">
            <v>0</v>
          </cell>
          <cell r="F356">
            <v>0</v>
          </cell>
          <cell r="G356">
            <v>0</v>
          </cell>
          <cell r="H356">
            <v>0</v>
          </cell>
          <cell r="I356">
            <v>0</v>
          </cell>
          <cell r="J356">
            <v>14060.593917840954</v>
          </cell>
        </row>
        <row r="357">
          <cell r="A357">
            <v>340</v>
          </cell>
          <cell r="B357">
            <v>49310</v>
          </cell>
          <cell r="C357">
            <v>0</v>
          </cell>
          <cell r="D357">
            <v>1440.7285040253385</v>
          </cell>
          <cell r="E357">
            <v>0</v>
          </cell>
          <cell r="F357">
            <v>0</v>
          </cell>
          <cell r="G357">
            <v>0</v>
          </cell>
          <cell r="H357">
            <v>0</v>
          </cell>
          <cell r="I357">
            <v>0</v>
          </cell>
          <cell r="J357">
            <v>14060.593917840954</v>
          </cell>
        </row>
        <row r="358">
          <cell r="A358">
            <v>341</v>
          </cell>
          <cell r="B358">
            <v>49341</v>
          </cell>
          <cell r="C358">
            <v>0</v>
          </cell>
          <cell r="D358">
            <v>1440.7285040253385</v>
          </cell>
          <cell r="E358">
            <v>0</v>
          </cell>
          <cell r="F358">
            <v>0</v>
          </cell>
          <cell r="G358">
            <v>0</v>
          </cell>
          <cell r="H358">
            <v>0</v>
          </cell>
          <cell r="I358">
            <v>0</v>
          </cell>
          <cell r="J358">
            <v>14060.593917840954</v>
          </cell>
        </row>
        <row r="359">
          <cell r="A359">
            <v>342</v>
          </cell>
          <cell r="B359">
            <v>49369</v>
          </cell>
          <cell r="C359">
            <v>0</v>
          </cell>
          <cell r="D359">
            <v>1440.7285040253385</v>
          </cell>
          <cell r="E359">
            <v>0</v>
          </cell>
          <cell r="F359">
            <v>0</v>
          </cell>
          <cell r="G359">
            <v>0</v>
          </cell>
          <cell r="H359">
            <v>0</v>
          </cell>
          <cell r="I359">
            <v>0</v>
          </cell>
          <cell r="J359">
            <v>14060.593917840954</v>
          </cell>
        </row>
        <row r="360">
          <cell r="A360">
            <v>343</v>
          </cell>
          <cell r="B360">
            <v>49400</v>
          </cell>
          <cell r="C360">
            <v>0</v>
          </cell>
          <cell r="D360">
            <v>1440.7285040253385</v>
          </cell>
          <cell r="E360">
            <v>0</v>
          </cell>
          <cell r="F360">
            <v>0</v>
          </cell>
          <cell r="G360">
            <v>0</v>
          </cell>
          <cell r="H360">
            <v>0</v>
          </cell>
          <cell r="I360">
            <v>0</v>
          </cell>
          <cell r="J360">
            <v>14060.593917840954</v>
          </cell>
        </row>
        <row r="361">
          <cell r="A361">
            <v>344</v>
          </cell>
          <cell r="B361">
            <v>49430</v>
          </cell>
          <cell r="C361">
            <v>0</v>
          </cell>
          <cell r="D361">
            <v>1440.7285040253385</v>
          </cell>
          <cell r="E361">
            <v>0</v>
          </cell>
          <cell r="F361">
            <v>0</v>
          </cell>
          <cell r="G361">
            <v>0</v>
          </cell>
          <cell r="H361">
            <v>0</v>
          </cell>
          <cell r="I361">
            <v>0</v>
          </cell>
          <cell r="J361">
            <v>14060.593917840954</v>
          </cell>
        </row>
        <row r="362">
          <cell r="A362">
            <v>345</v>
          </cell>
          <cell r="B362">
            <v>49461</v>
          </cell>
          <cell r="C362">
            <v>0</v>
          </cell>
          <cell r="D362">
            <v>1440.7285040253385</v>
          </cell>
          <cell r="E362">
            <v>0</v>
          </cell>
          <cell r="F362">
            <v>0</v>
          </cell>
          <cell r="G362">
            <v>0</v>
          </cell>
          <cell r="H362">
            <v>0</v>
          </cell>
          <cell r="I362">
            <v>0</v>
          </cell>
          <cell r="J362">
            <v>14060.593917840954</v>
          </cell>
        </row>
        <row r="363">
          <cell r="A363">
            <v>346</v>
          </cell>
          <cell r="B363">
            <v>49491</v>
          </cell>
          <cell r="C363">
            <v>0</v>
          </cell>
          <cell r="D363">
            <v>1440.7285040253385</v>
          </cell>
          <cell r="E363">
            <v>0</v>
          </cell>
          <cell r="F363">
            <v>0</v>
          </cell>
          <cell r="G363">
            <v>0</v>
          </cell>
          <cell r="H363">
            <v>0</v>
          </cell>
          <cell r="I363">
            <v>0</v>
          </cell>
          <cell r="J363">
            <v>14060.593917840954</v>
          </cell>
        </row>
        <row r="364">
          <cell r="A364">
            <v>347</v>
          </cell>
          <cell r="B364">
            <v>49522</v>
          </cell>
          <cell r="C364">
            <v>0</v>
          </cell>
          <cell r="D364">
            <v>1440.7285040253385</v>
          </cell>
          <cell r="E364">
            <v>0</v>
          </cell>
          <cell r="F364">
            <v>0</v>
          </cell>
          <cell r="G364">
            <v>0</v>
          </cell>
          <cell r="H364">
            <v>0</v>
          </cell>
          <cell r="I364">
            <v>0</v>
          </cell>
          <cell r="J364">
            <v>14060.593917840954</v>
          </cell>
        </row>
        <row r="365">
          <cell r="A365">
            <v>348</v>
          </cell>
          <cell r="B365">
            <v>49553</v>
          </cell>
          <cell r="C365">
            <v>0</v>
          </cell>
          <cell r="D365">
            <v>1440.7285040253385</v>
          </cell>
          <cell r="E365">
            <v>0</v>
          </cell>
          <cell r="F365">
            <v>0</v>
          </cell>
          <cell r="G365">
            <v>0</v>
          </cell>
          <cell r="H365">
            <v>0</v>
          </cell>
          <cell r="I365">
            <v>0</v>
          </cell>
          <cell r="J365">
            <v>14060.593917840954</v>
          </cell>
        </row>
        <row r="366">
          <cell r="A366">
            <v>349</v>
          </cell>
          <cell r="B366">
            <v>49583</v>
          </cell>
          <cell r="C366">
            <v>0</v>
          </cell>
          <cell r="D366">
            <v>1440.7285040253385</v>
          </cell>
          <cell r="E366">
            <v>0</v>
          </cell>
          <cell r="F366">
            <v>0</v>
          </cell>
          <cell r="G366">
            <v>0</v>
          </cell>
          <cell r="H366">
            <v>0</v>
          </cell>
          <cell r="I366">
            <v>0</v>
          </cell>
          <cell r="J366">
            <v>14060.593917840954</v>
          </cell>
        </row>
        <row r="367">
          <cell r="A367">
            <v>350</v>
          </cell>
          <cell r="B367">
            <v>49614</v>
          </cell>
          <cell r="C367">
            <v>0</v>
          </cell>
          <cell r="D367">
            <v>1440.7285040253385</v>
          </cell>
          <cell r="E367">
            <v>0</v>
          </cell>
          <cell r="F367">
            <v>0</v>
          </cell>
          <cell r="G367">
            <v>0</v>
          </cell>
          <cell r="H367">
            <v>0</v>
          </cell>
          <cell r="I367">
            <v>0</v>
          </cell>
          <cell r="J367">
            <v>14060.593917840954</v>
          </cell>
        </row>
        <row r="368">
          <cell r="A368">
            <v>351</v>
          </cell>
          <cell r="B368">
            <v>49644</v>
          </cell>
          <cell r="C368">
            <v>0</v>
          </cell>
          <cell r="D368">
            <v>1440.7285040253385</v>
          </cell>
          <cell r="E368">
            <v>0</v>
          </cell>
          <cell r="F368">
            <v>0</v>
          </cell>
          <cell r="G368">
            <v>0</v>
          </cell>
          <cell r="H368">
            <v>0</v>
          </cell>
          <cell r="I368">
            <v>0</v>
          </cell>
          <cell r="J368">
            <v>14060.593917840954</v>
          </cell>
        </row>
        <row r="369">
          <cell r="A369">
            <v>352</v>
          </cell>
          <cell r="B369">
            <v>49675</v>
          </cell>
          <cell r="C369">
            <v>0</v>
          </cell>
          <cell r="D369">
            <v>1440.7285040253385</v>
          </cell>
          <cell r="E369">
            <v>0</v>
          </cell>
          <cell r="F369">
            <v>0</v>
          </cell>
          <cell r="G369">
            <v>0</v>
          </cell>
          <cell r="H369">
            <v>0</v>
          </cell>
          <cell r="I369">
            <v>0</v>
          </cell>
          <cell r="J369">
            <v>14060.593917840954</v>
          </cell>
        </row>
        <row r="370">
          <cell r="A370">
            <v>353</v>
          </cell>
          <cell r="B370">
            <v>49706</v>
          </cell>
          <cell r="C370">
            <v>0</v>
          </cell>
          <cell r="D370">
            <v>1440.7285040253385</v>
          </cell>
          <cell r="E370">
            <v>0</v>
          </cell>
          <cell r="F370">
            <v>0</v>
          </cell>
          <cell r="G370">
            <v>0</v>
          </cell>
          <cell r="H370">
            <v>0</v>
          </cell>
          <cell r="I370">
            <v>0</v>
          </cell>
          <cell r="J370">
            <v>14060.593917840954</v>
          </cell>
        </row>
        <row r="371">
          <cell r="A371">
            <v>354</v>
          </cell>
          <cell r="B371">
            <v>49735</v>
          </cell>
          <cell r="C371">
            <v>0</v>
          </cell>
          <cell r="D371">
            <v>1440.7285040253385</v>
          </cell>
          <cell r="E371">
            <v>0</v>
          </cell>
          <cell r="F371">
            <v>0</v>
          </cell>
          <cell r="G371">
            <v>0</v>
          </cell>
          <cell r="H371">
            <v>0</v>
          </cell>
          <cell r="I371">
            <v>0</v>
          </cell>
          <cell r="J371">
            <v>14060.593917840954</v>
          </cell>
        </row>
        <row r="372">
          <cell r="A372">
            <v>355</v>
          </cell>
          <cell r="B372">
            <v>49766</v>
          </cell>
          <cell r="C372">
            <v>0</v>
          </cell>
          <cell r="D372">
            <v>1440.7285040253385</v>
          </cell>
          <cell r="E372">
            <v>0</v>
          </cell>
          <cell r="F372">
            <v>0</v>
          </cell>
          <cell r="G372">
            <v>0</v>
          </cell>
          <cell r="H372">
            <v>0</v>
          </cell>
          <cell r="I372">
            <v>0</v>
          </cell>
          <cell r="J372">
            <v>14060.593917840954</v>
          </cell>
        </row>
        <row r="373">
          <cell r="A373">
            <v>356</v>
          </cell>
          <cell r="B373">
            <v>49796</v>
          </cell>
          <cell r="C373">
            <v>0</v>
          </cell>
          <cell r="D373">
            <v>1440.7285040253385</v>
          </cell>
          <cell r="E373">
            <v>0</v>
          </cell>
          <cell r="F373">
            <v>0</v>
          </cell>
          <cell r="G373">
            <v>0</v>
          </cell>
          <cell r="H373">
            <v>0</v>
          </cell>
          <cell r="I373">
            <v>0</v>
          </cell>
          <cell r="J373">
            <v>14060.593917840954</v>
          </cell>
        </row>
        <row r="374">
          <cell r="A374">
            <v>357</v>
          </cell>
          <cell r="B374">
            <v>49827</v>
          </cell>
          <cell r="C374">
            <v>0</v>
          </cell>
          <cell r="D374">
            <v>1440.7285040253385</v>
          </cell>
          <cell r="E374">
            <v>0</v>
          </cell>
          <cell r="F374">
            <v>0</v>
          </cell>
          <cell r="G374">
            <v>0</v>
          </cell>
          <cell r="H374">
            <v>0</v>
          </cell>
          <cell r="I374">
            <v>0</v>
          </cell>
          <cell r="J374">
            <v>14060.593917840954</v>
          </cell>
        </row>
        <row r="375">
          <cell r="A375">
            <v>358</v>
          </cell>
          <cell r="B375">
            <v>49857</v>
          </cell>
          <cell r="C375">
            <v>0</v>
          </cell>
          <cell r="D375">
            <v>1440.7285040253385</v>
          </cell>
          <cell r="E375">
            <v>0</v>
          </cell>
          <cell r="F375">
            <v>0</v>
          </cell>
          <cell r="G375">
            <v>0</v>
          </cell>
          <cell r="H375">
            <v>0</v>
          </cell>
          <cell r="I375">
            <v>0</v>
          </cell>
          <cell r="J375">
            <v>14060.593917840954</v>
          </cell>
        </row>
        <row r="376">
          <cell r="A376">
            <v>359</v>
          </cell>
          <cell r="B376">
            <v>49888</v>
          </cell>
          <cell r="C376">
            <v>0</v>
          </cell>
          <cell r="D376">
            <v>1440.7285040253385</v>
          </cell>
          <cell r="E376">
            <v>0</v>
          </cell>
          <cell r="F376">
            <v>0</v>
          </cell>
          <cell r="G376">
            <v>0</v>
          </cell>
          <cell r="H376">
            <v>0</v>
          </cell>
          <cell r="I376">
            <v>0</v>
          </cell>
          <cell r="J376">
            <v>14060.593917840954</v>
          </cell>
        </row>
        <row r="377">
          <cell r="A377">
            <v>360</v>
          </cell>
          <cell r="B377">
            <v>49919</v>
          </cell>
          <cell r="C377">
            <v>0</v>
          </cell>
          <cell r="D377">
            <v>1440.7285040253385</v>
          </cell>
          <cell r="E377">
            <v>0</v>
          </cell>
          <cell r="F377">
            <v>0</v>
          </cell>
          <cell r="G377">
            <v>0</v>
          </cell>
          <cell r="H377">
            <v>0</v>
          </cell>
          <cell r="I377">
            <v>0</v>
          </cell>
          <cell r="J377">
            <v>14060.593917840954</v>
          </cell>
        </row>
      </sheetData>
      <sheetData sheetId="14"/>
      <sheetData sheetId="15"/>
      <sheetData sheetId="16"/>
      <sheetData sheetId="1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Compay ID Locater"/>
      <sheetName val="Comps"/>
      <sheetName val="Transactions"/>
      <sheetName val="Hard Coded&gt;&gt;"/>
      <sheetName val="Comps 1"/>
      <sheetName val="Transactions 1"/>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Summary Balance Sheet"/>
      <sheetName val="Summary Cash Flow Statement"/>
      <sheetName val="Profit &amp; Loss"/>
      <sheetName val="Fringe Benefits Pool"/>
      <sheetName val="Overhead Pool"/>
      <sheetName val="Mat_Hand."/>
      <sheetName val="G &amp; A Pool"/>
      <sheetName val="Rate recon"/>
      <sheetName val="Labor budget"/>
      <sheetName val="P&amp;L Assumptions"/>
      <sheetName val="Consultants"/>
      <sheetName val="LABOR PVT"/>
      <sheetName val="Labor Utilization Analysis"/>
      <sheetName val="Price"/>
      <sheetName val="Facilities Breakout"/>
      <sheetName val="PBC - FY11 CFF &amp; ACTUALS"/>
      <sheetName val="PBC-Pay Roll &amp; Taxes"/>
      <sheetName val="PBC - The Utilization model"/>
      <sheetName val="PBCFringe"/>
      <sheetName val="PBC - Overhead"/>
      <sheetName val="PBC G&amp;A"/>
      <sheetName val="PBC - FY11 CFF - the PLAN"/>
      <sheetName val="COA"/>
      <sheetName val="VACA"/>
      <sheetName val="04 12 Item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2">
          <cell r="A42" t="str">
            <v>Art  Hughes -142 hrs</v>
          </cell>
        </row>
        <row r="43">
          <cell r="A43" t="str">
            <v>Art  Hughes -40 hrs</v>
          </cell>
        </row>
        <row r="44">
          <cell r="A44" t="str">
            <v>BD Support  Indirect_Hire1</v>
          </cell>
        </row>
        <row r="45">
          <cell r="A45" t="str">
            <v>Brad  Beil</v>
          </cell>
        </row>
        <row r="46">
          <cell r="A46" t="str">
            <v>Cynthia  Femano</v>
          </cell>
        </row>
        <row r="47">
          <cell r="A47" t="str">
            <v>Dan  Seely</v>
          </cell>
        </row>
        <row r="48">
          <cell r="A48" t="str">
            <v>Derek  Rose</v>
          </cell>
        </row>
        <row r="49">
          <cell r="A49" t="str">
            <v>Greg Taylor</v>
          </cell>
        </row>
        <row r="50">
          <cell r="A50" t="str">
            <v>Gwyn  Whittaker</v>
          </cell>
        </row>
        <row r="51">
          <cell r="A51" t="str">
            <v>Jay  Patel</v>
          </cell>
        </row>
        <row r="52">
          <cell r="A52" t="str">
            <v>Jerry  Makowka</v>
          </cell>
        </row>
        <row r="53">
          <cell r="A53" t="str">
            <v>Ken  Platek</v>
          </cell>
        </row>
        <row r="54">
          <cell r="A54" t="str">
            <v>Len  Natkin-10%</v>
          </cell>
        </row>
        <row r="55">
          <cell r="A55" t="str">
            <v>Len  Natkin-45%A</v>
          </cell>
        </row>
        <row r="56">
          <cell r="A56" t="str">
            <v>Len Natkin- 45%B</v>
          </cell>
        </row>
        <row r="57">
          <cell r="A57" t="str">
            <v>Lillet  Flynn</v>
          </cell>
        </row>
        <row r="58">
          <cell r="A58" t="str">
            <v>Mark  Mazzocco</v>
          </cell>
        </row>
        <row r="59">
          <cell r="A59" t="str">
            <v>Mike  Kenworthy</v>
          </cell>
        </row>
        <row r="60">
          <cell r="A60" t="str">
            <v>Muriel  Ward</v>
          </cell>
        </row>
        <row r="61">
          <cell r="A61" t="str">
            <v>New Hire 10</v>
          </cell>
        </row>
        <row r="62">
          <cell r="A62" t="str">
            <v>New Hire 11</v>
          </cell>
        </row>
        <row r="63">
          <cell r="A63" t="str">
            <v>New Hire 12</v>
          </cell>
        </row>
        <row r="64">
          <cell r="A64" t="str">
            <v>New Hire 9</v>
          </cell>
        </row>
        <row r="65">
          <cell r="A65" t="str">
            <v>New Hire 9</v>
          </cell>
        </row>
        <row r="66">
          <cell r="A66" t="str">
            <v>New1-Rajiv Shah</v>
          </cell>
        </row>
        <row r="67">
          <cell r="A67" t="str">
            <v xml:space="preserve">New2Simmie Adams </v>
          </cell>
        </row>
        <row r="68">
          <cell r="A68" t="str">
            <v>New3-Chuck Spangler</v>
          </cell>
        </row>
        <row r="69">
          <cell r="A69" t="str">
            <v>New4-Mike Bennet</v>
          </cell>
        </row>
        <row r="70">
          <cell r="A70" t="str">
            <v>New5-Matt Meade</v>
          </cell>
        </row>
        <row r="71">
          <cell r="A71" t="str">
            <v>New6-Monica Milner</v>
          </cell>
        </row>
        <row r="72">
          <cell r="A72" t="str">
            <v>New7-John Anderson</v>
          </cell>
        </row>
        <row r="73">
          <cell r="A73" t="str">
            <v>Pat   Duecy</v>
          </cell>
        </row>
        <row r="74">
          <cell r="A74" t="str">
            <v>Scott Stewart</v>
          </cell>
        </row>
        <row r="75">
          <cell r="A75" t="str">
            <v>Set Cruz</v>
          </cell>
        </row>
        <row r="76">
          <cell r="A76" t="str">
            <v>Sharon  Ocheltree</v>
          </cell>
        </row>
        <row r="77">
          <cell r="A77" t="str">
            <v>TBD  Indirect_Hire2</v>
          </cell>
        </row>
        <row r="78">
          <cell r="A78" t="str">
            <v>TBD  Indirect_Hire3</v>
          </cell>
        </row>
        <row r="79">
          <cell r="A79" t="str">
            <v>TBD  Indirect_Hire4</v>
          </cell>
        </row>
        <row r="80">
          <cell r="A80" t="str">
            <v>Steve  Mace</v>
          </cell>
        </row>
        <row r="81">
          <cell r="A81" t="str">
            <v>TBD</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__snloffice"/>
      <sheetName val="_CIQHiddenCacheSheet"/>
      <sheetName val="Cover"/>
      <sheetName val="Summary"/>
      <sheetName val="Model Output"/>
      <sheetName val="Football Field"/>
      <sheetName val="Integrity"/>
      <sheetName val="Revenue Build"/>
      <sheetName val="Model"/>
      <sheetName val="Segment Analysis"/>
      <sheetName val="Drivers"/>
      <sheetName val="Comparables"/>
      <sheetName val="CIQ ID Locater"/>
      <sheetName val="WACC"/>
      <sheetName val="Valuation"/>
      <sheetName val="Multiples Data"/>
      <sheetName val="Memory Pricing"/>
      <sheetName val="Charts"/>
      <sheetName val="Benchmark"/>
      <sheetName val="Pre-Earnings"/>
      <sheetName val="Post-Earn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4">
          <cell r="O44" t="str">
            <v>HLNE</v>
          </cell>
          <cell r="P44">
            <v>17.879371491572172</v>
          </cell>
        </row>
        <row r="45">
          <cell r="O45" t="str">
            <v>ARES</v>
          </cell>
          <cell r="P45">
            <v>26.213663888736722</v>
          </cell>
          <cell r="Q45">
            <v>14.300000071132036</v>
          </cell>
        </row>
        <row r="46">
          <cell r="O46" t="str">
            <v>STEP</v>
          </cell>
          <cell r="P46">
            <v>14.622073964160636</v>
          </cell>
          <cell r="Q46">
            <v>14.300000071132036</v>
          </cell>
        </row>
        <row r="47">
          <cell r="O47" t="str">
            <v>CG</v>
          </cell>
          <cell r="P47">
            <v>14.300000071132036</v>
          </cell>
          <cell r="Q47">
            <v>14.300000071132036</v>
          </cell>
        </row>
        <row r="48">
          <cell r="O48" t="str">
            <v>TPG</v>
          </cell>
          <cell r="P48">
            <v>10.980976678934333</v>
          </cell>
          <cell r="Q48">
            <v>14.300000071132036</v>
          </cell>
        </row>
        <row r="49">
          <cell r="O49" t="str">
            <v>AMG</v>
          </cell>
          <cell r="P49">
            <v>10.82499021439393</v>
          </cell>
          <cell r="Q49">
            <v>14.300000071132036</v>
          </cell>
        </row>
        <row r="60">
          <cell r="O60" t="str">
            <v>HLNE</v>
          </cell>
          <cell r="P60">
            <v>20.238949662425284</v>
          </cell>
        </row>
        <row r="61">
          <cell r="O61" t="str">
            <v>ARES</v>
          </cell>
          <cell r="P61">
            <v>28.322624920286696</v>
          </cell>
          <cell r="Q61">
            <v>15.057729582698284</v>
          </cell>
        </row>
        <row r="62">
          <cell r="O62" t="str">
            <v>STEP</v>
          </cell>
          <cell r="P62">
            <v>21.41409911150452</v>
          </cell>
          <cell r="Q62">
            <v>15.057729582698284</v>
          </cell>
        </row>
        <row r="63">
          <cell r="O63" t="str">
            <v>CG</v>
          </cell>
          <cell r="P63">
            <v>15.057729582698284</v>
          </cell>
          <cell r="Q63">
            <v>15.057729582698284</v>
          </cell>
        </row>
        <row r="64">
          <cell r="O64" t="str">
            <v>AMG</v>
          </cell>
          <cell r="P64">
            <v>9.3006605543649403</v>
          </cell>
          <cell r="Q64">
            <v>15.057729582698284</v>
          </cell>
        </row>
        <row r="65">
          <cell r="O65" t="str">
            <v>TPG</v>
          </cell>
          <cell r="P65">
            <v>8.6232875171325816</v>
          </cell>
          <cell r="Q65">
            <v>15.057729582698284</v>
          </cell>
        </row>
        <row r="76">
          <cell r="O76" t="str">
            <v>HLNE</v>
          </cell>
          <cell r="P76">
            <v>1.12887</v>
          </cell>
        </row>
        <row r="77">
          <cell r="O77" t="str">
            <v>ARES</v>
          </cell>
          <cell r="P77">
            <v>1.7771396440834248</v>
          </cell>
          <cell r="Q77">
            <v>0.60188899402623774</v>
          </cell>
        </row>
        <row r="78">
          <cell r="O78" t="str">
            <v>CG</v>
          </cell>
          <cell r="P78">
            <v>1.496045098595441</v>
          </cell>
          <cell r="Q78">
            <v>0.60188899402623774</v>
          </cell>
        </row>
        <row r="79">
          <cell r="O79" t="str">
            <v>AMG</v>
          </cell>
          <cell r="P79">
            <v>0.60188899402623774</v>
          </cell>
          <cell r="Q79">
            <v>0.60188899402623774</v>
          </cell>
        </row>
        <row r="80">
          <cell r="O80" t="str">
            <v>TPG</v>
          </cell>
          <cell r="P80">
            <v>0.44078930564596686</v>
          </cell>
          <cell r="Q80">
            <v>0.60188899402623774</v>
          </cell>
        </row>
        <row r="81">
          <cell r="O81" t="str">
            <v>STEP</v>
          </cell>
          <cell r="P81">
            <v>0</v>
          </cell>
          <cell r="Q81">
            <v>0.60188899402623774</v>
          </cell>
        </row>
        <row r="92">
          <cell r="O92" t="str">
            <v>HLNE</v>
          </cell>
          <cell r="P92">
            <v>25.283000000000001</v>
          </cell>
        </row>
        <row r="93">
          <cell r="O93" t="str">
            <v>AMG</v>
          </cell>
          <cell r="P93">
            <v>5.5363806579122068</v>
          </cell>
          <cell r="Q93">
            <v>1.2455605328204442</v>
          </cell>
        </row>
        <row r="94">
          <cell r="O94" t="str">
            <v>TPG</v>
          </cell>
          <cell r="P94">
            <v>2.3097000337843219</v>
          </cell>
          <cell r="Q94">
            <v>1.2455605328204442</v>
          </cell>
        </row>
        <row r="95">
          <cell r="O95" t="str">
            <v>ARES</v>
          </cell>
          <cell r="P95">
            <v>1.2455605328204442</v>
          </cell>
          <cell r="Q95">
            <v>1.2455605328204442</v>
          </cell>
        </row>
        <row r="96">
          <cell r="O96" t="str">
            <v>STEP</v>
          </cell>
          <cell r="P96">
            <v>0</v>
          </cell>
          <cell r="Q96">
            <v>1.2455605328204442</v>
          </cell>
        </row>
        <row r="97">
          <cell r="O97" t="str">
            <v>STEP</v>
          </cell>
          <cell r="P97">
            <v>0</v>
          </cell>
          <cell r="Q97">
            <v>1.2455605328204442</v>
          </cell>
        </row>
        <row r="108">
          <cell r="O108" t="str">
            <v>HLNE</v>
          </cell>
          <cell r="P108">
            <v>0.45278799999999997</v>
          </cell>
        </row>
        <row r="109">
          <cell r="O109" t="str">
            <v>CG</v>
          </cell>
          <cell r="P109">
            <v>0.39500048020009759</v>
          </cell>
          <cell r="Q109">
            <v>0.24498644490542421</v>
          </cell>
        </row>
        <row r="110">
          <cell r="O110" t="str">
            <v>AMG</v>
          </cell>
          <cell r="P110">
            <v>0.32042965629527448</v>
          </cell>
          <cell r="Q110">
            <v>0.24498644490542421</v>
          </cell>
        </row>
        <row r="111">
          <cell r="O111" t="str">
            <v>ARES</v>
          </cell>
          <cell r="P111">
            <v>0.24498644490542421</v>
          </cell>
          <cell r="Q111">
            <v>0.24498644490542421</v>
          </cell>
        </row>
        <row r="112">
          <cell r="O112" t="str">
            <v>TPG</v>
          </cell>
          <cell r="P112">
            <v>7.9914230173154605E-2</v>
          </cell>
          <cell r="Q112">
            <v>0.24498644490542421</v>
          </cell>
        </row>
        <row r="113">
          <cell r="O113" t="str">
            <v>STEP</v>
          </cell>
          <cell r="P113">
            <v>-0.23218800872710016</v>
          </cell>
          <cell r="Q113">
            <v>0.24498644490542421</v>
          </cell>
        </row>
        <row r="124">
          <cell r="O124" t="str">
            <v>HLNE</v>
          </cell>
          <cell r="P124">
            <v>1.7068E-2</v>
          </cell>
        </row>
        <row r="125">
          <cell r="O125" t="str">
            <v>TPG</v>
          </cell>
          <cell r="P125">
            <v>3.0870000000000002E-2</v>
          </cell>
          <cell r="Q125">
            <v>2.3503E-2</v>
          </cell>
        </row>
        <row r="126">
          <cell r="O126" t="str">
            <v>ARES</v>
          </cell>
          <cell r="P126">
            <v>2.9745000000000001E-2</v>
          </cell>
          <cell r="Q126">
            <v>2.3503E-2</v>
          </cell>
        </row>
        <row r="127">
          <cell r="O127" t="str">
            <v>STEP</v>
          </cell>
          <cell r="P127">
            <v>2.3503E-2</v>
          </cell>
          <cell r="Q127">
            <v>2.3503E-2</v>
          </cell>
        </row>
        <row r="128">
          <cell r="O128" t="str">
            <v>CG</v>
          </cell>
          <cell r="P128">
            <v>2.2682999999999998E-2</v>
          </cell>
          <cell r="Q128">
            <v>2.3503E-2</v>
          </cell>
        </row>
        <row r="129">
          <cell r="O129" t="str">
            <v>AMG</v>
          </cell>
          <cell r="P129">
            <v>1.6899999999999999E-4</v>
          </cell>
          <cell r="Q129">
            <v>2.3503E-2</v>
          </cell>
        </row>
        <row r="140">
          <cell r="O140" t="str">
            <v>AMG</v>
          </cell>
          <cell r="P140">
            <v>0.23480000000000001</v>
          </cell>
        </row>
        <row r="141">
          <cell r="O141" t="str">
            <v>CG</v>
          </cell>
          <cell r="P141">
            <v>0.106</v>
          </cell>
        </row>
        <row r="142">
          <cell r="O142" t="str">
            <v>STEP</v>
          </cell>
          <cell r="P142">
            <v>7.1900000000000006E-2</v>
          </cell>
        </row>
        <row r="143">
          <cell r="O143" t="str">
            <v>TPG</v>
          </cell>
          <cell r="P143">
            <v>-0.13900000000000001</v>
          </cell>
        </row>
        <row r="144">
          <cell r="O144" t="str">
            <v>HLNE</v>
          </cell>
          <cell r="P144">
            <v>-0.20710000000000001</v>
          </cell>
        </row>
        <row r="145">
          <cell r="O145" t="str">
            <v>ARES</v>
          </cell>
          <cell r="P145">
            <v>-0.21199999999999999</v>
          </cell>
        </row>
        <row r="156">
          <cell r="O156" t="str">
            <v>AMG</v>
          </cell>
          <cell r="P156">
            <v>0.2392</v>
          </cell>
        </row>
        <row r="157">
          <cell r="O157" t="str">
            <v>CG</v>
          </cell>
          <cell r="P157">
            <v>0.1958</v>
          </cell>
        </row>
        <row r="158">
          <cell r="O158" t="str">
            <v>STEP</v>
          </cell>
          <cell r="P158">
            <v>5.6000000000000001E-2</v>
          </cell>
        </row>
        <row r="159">
          <cell r="O159" t="str">
            <v>TPG</v>
          </cell>
          <cell r="P159">
            <v>-8.0100000000000005E-2</v>
          </cell>
        </row>
        <row r="160">
          <cell r="O160" t="str">
            <v>ARES</v>
          </cell>
          <cell r="P160">
            <v>-0.107</v>
          </cell>
        </row>
        <row r="161">
          <cell r="O161" t="str">
            <v>HLNE</v>
          </cell>
          <cell r="P161">
            <v>-0.31480000000000002</v>
          </cell>
        </row>
      </sheetData>
      <sheetData sheetId="19"/>
      <sheetData sheetId="2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sheetPr>
  <dimension ref="A1:Z1000"/>
  <sheetViews>
    <sheetView showGridLines="0" tabSelected="1" zoomScale="80" zoomScaleNormal="80" workbookViewId="0">
      <pane ySplit="2" topLeftCell="A3" activePane="bottomLeft" state="frozen"/>
      <selection pane="bottomLeft"/>
    </sheetView>
  </sheetViews>
  <sheetFormatPr defaultColWidth="14.44140625" defaultRowHeight="15" customHeight="1" outlineLevelRow="1"/>
  <cols>
    <col min="1" max="2" width="1.6640625" customWidth="1"/>
    <col min="3" max="3" width="15.44140625" customWidth="1"/>
    <col min="4" max="5" width="13.5546875" customWidth="1"/>
    <col min="6" max="6" width="25.6640625" customWidth="1"/>
    <col min="7" max="8" width="13.5546875" customWidth="1"/>
    <col min="9" max="12" width="16.6640625" customWidth="1"/>
    <col min="13" max="13" width="4.5546875" customWidth="1"/>
    <col min="14" max="17" width="16.6640625" customWidth="1"/>
    <col min="18" max="18" width="1.6640625" customWidth="1"/>
    <col min="19" max="26" width="8.6640625" customWidth="1"/>
  </cols>
  <sheetData>
    <row r="1" spans="1:26" ht="18" customHeight="1">
      <c r="A1" s="4"/>
      <c r="B1" s="4"/>
      <c r="C1" s="5" t="str">
        <f ca="1">Company_Name&amp;" - "&amp;MID(CELL("filename",A1),FIND("]",CELL("filename",A1))+1,255)&amp;": "&amp;Case_Scenario&amp;" Case"</f>
        <v>Hamilton Lane Inc. - Cover: Base Case</v>
      </c>
      <c r="D1" s="4"/>
      <c r="E1" s="4"/>
      <c r="F1" s="4"/>
      <c r="G1" s="4"/>
      <c r="H1" s="4"/>
      <c r="I1" s="4"/>
      <c r="J1" s="4"/>
      <c r="K1" s="4"/>
      <c r="L1" s="4"/>
      <c r="M1" s="4"/>
      <c r="N1" s="4"/>
      <c r="O1" s="4"/>
      <c r="P1" s="4"/>
      <c r="Q1" s="6" t="s">
        <v>1</v>
      </c>
      <c r="R1" s="4"/>
      <c r="S1" s="4"/>
      <c r="T1" s="4"/>
      <c r="U1" s="4"/>
      <c r="V1" s="4"/>
      <c r="W1" s="4"/>
      <c r="X1" s="4"/>
      <c r="Y1" s="4"/>
      <c r="Z1" s="4"/>
    </row>
    <row r="2" spans="1:26" ht="13.5" customHeight="1">
      <c r="A2" s="2"/>
      <c r="B2" s="2"/>
      <c r="C2" s="7" t="s">
        <v>2</v>
      </c>
      <c r="D2" s="2"/>
      <c r="E2" s="2"/>
      <c r="F2" s="2"/>
      <c r="G2" s="2"/>
      <c r="H2" s="2"/>
      <c r="I2" s="2"/>
      <c r="J2" s="2"/>
      <c r="K2" s="2"/>
      <c r="L2" s="2"/>
      <c r="M2" s="2"/>
      <c r="N2" s="2"/>
      <c r="O2" s="2"/>
      <c r="P2" s="2"/>
      <c r="Q2" s="8" t="s">
        <v>1153</v>
      </c>
      <c r="R2" s="2"/>
      <c r="S2" s="2"/>
      <c r="T2" s="2"/>
      <c r="U2" s="2"/>
      <c r="V2" s="2"/>
      <c r="W2" s="2"/>
      <c r="X2" s="2"/>
      <c r="Y2" s="2"/>
      <c r="Z2" s="2"/>
    </row>
    <row r="3" spans="1:26" ht="13.5" customHeight="1">
      <c r="A3" s="3"/>
      <c r="B3" s="9"/>
      <c r="C3" s="9"/>
      <c r="D3" s="9"/>
      <c r="E3" s="9"/>
      <c r="F3" s="9"/>
      <c r="G3" s="9"/>
      <c r="H3" s="9"/>
      <c r="I3" s="9"/>
      <c r="J3" s="9"/>
      <c r="K3" s="9"/>
      <c r="L3" s="9"/>
      <c r="M3" s="9"/>
      <c r="N3" s="9"/>
      <c r="O3" s="9"/>
      <c r="P3" s="9"/>
      <c r="Q3" s="9"/>
      <c r="R3" s="10" t="s">
        <v>0</v>
      </c>
      <c r="S3" s="9"/>
      <c r="T3" s="9"/>
      <c r="U3" s="9"/>
      <c r="V3" s="9"/>
      <c r="W3" s="9"/>
      <c r="X3" s="9"/>
      <c r="Y3" s="9"/>
      <c r="Z3" s="9"/>
    </row>
    <row r="4" spans="1:26" ht="13.5" customHeight="1">
      <c r="A4" s="10" t="s">
        <v>0</v>
      </c>
      <c r="B4" s="9"/>
      <c r="C4" s="11" t="s">
        <v>3</v>
      </c>
      <c r="D4" s="12"/>
      <c r="E4" s="12"/>
      <c r="F4" s="13"/>
      <c r="G4" s="9"/>
      <c r="H4" s="9"/>
      <c r="I4" s="11" t="s">
        <v>4</v>
      </c>
      <c r="J4" s="12"/>
      <c r="K4" s="12"/>
      <c r="L4" s="12"/>
      <c r="M4" s="12"/>
      <c r="N4" s="12"/>
      <c r="O4" s="12"/>
      <c r="P4" s="12"/>
      <c r="Q4" s="13"/>
      <c r="R4" s="9"/>
      <c r="S4" s="9"/>
      <c r="T4" s="9"/>
      <c r="U4" s="9"/>
      <c r="V4" s="9"/>
      <c r="W4" s="9"/>
      <c r="X4" s="9"/>
      <c r="Y4" s="9"/>
      <c r="Z4" s="9"/>
    </row>
    <row r="5" spans="1:26" ht="13.5" customHeight="1">
      <c r="A5" s="9"/>
      <c r="B5" s="9"/>
      <c r="C5" s="9"/>
      <c r="D5" s="9"/>
      <c r="E5" s="9"/>
      <c r="F5" s="9"/>
      <c r="G5" s="9"/>
      <c r="H5" s="9"/>
      <c r="I5" s="9"/>
      <c r="J5" s="9"/>
      <c r="K5" s="9"/>
      <c r="L5" s="9"/>
      <c r="M5" s="9"/>
      <c r="N5" s="9"/>
      <c r="O5" s="9"/>
      <c r="P5" s="9"/>
      <c r="Q5" s="9"/>
      <c r="R5" s="9"/>
      <c r="S5" s="9"/>
      <c r="T5" s="9"/>
      <c r="U5" s="9"/>
      <c r="V5" s="9"/>
      <c r="W5" s="9"/>
      <c r="X5" s="9"/>
      <c r="Y5" s="9"/>
      <c r="Z5" s="9"/>
    </row>
    <row r="6" spans="1:26" ht="13.5" customHeight="1">
      <c r="A6" s="9"/>
      <c r="B6" s="9"/>
      <c r="C6" s="9"/>
      <c r="D6" s="9"/>
      <c r="E6" s="9"/>
      <c r="F6" s="9"/>
      <c r="G6" s="9"/>
      <c r="H6" s="9"/>
      <c r="I6" s="973" t="s">
        <v>5</v>
      </c>
      <c r="J6" s="974"/>
      <c r="K6" s="974"/>
      <c r="L6" s="975"/>
      <c r="M6" s="9"/>
      <c r="N6" s="973" t="s">
        <v>6</v>
      </c>
      <c r="O6" s="974"/>
      <c r="P6" s="974"/>
      <c r="Q6" s="975"/>
      <c r="R6" s="9"/>
      <c r="S6" s="9"/>
      <c r="T6" s="9"/>
      <c r="U6" s="9"/>
      <c r="V6" s="9"/>
      <c r="W6" s="9"/>
      <c r="X6" s="9"/>
      <c r="Y6" s="9"/>
      <c r="Z6" s="9"/>
    </row>
    <row r="7" spans="1:26" ht="13.5" customHeight="1">
      <c r="A7" s="9"/>
      <c r="B7" s="9"/>
      <c r="D7" s="9"/>
      <c r="E7" s="9"/>
      <c r="F7" s="9"/>
      <c r="G7" s="9"/>
      <c r="H7" s="9"/>
      <c r="I7" s="2"/>
      <c r="J7" s="2"/>
      <c r="K7" s="2"/>
      <c r="L7" s="2"/>
      <c r="M7" s="9"/>
      <c r="N7" s="2"/>
      <c r="O7" s="2"/>
      <c r="P7" s="2"/>
      <c r="Q7" s="2"/>
      <c r="R7" s="9"/>
      <c r="S7" s="9"/>
      <c r="T7" s="9"/>
      <c r="U7" s="9"/>
      <c r="V7" s="9"/>
      <c r="W7" s="9"/>
      <c r="X7" s="9"/>
      <c r="Y7" s="9"/>
      <c r="Z7" s="9"/>
    </row>
    <row r="8" spans="1:26" ht="13.5" customHeight="1">
      <c r="A8" s="9"/>
      <c r="B8" s="9"/>
      <c r="C8" s="9"/>
      <c r="D8" s="9"/>
      <c r="E8" s="9"/>
      <c r="F8" s="9"/>
      <c r="G8" s="9"/>
      <c r="H8" s="9"/>
      <c r="I8" s="976" t="s">
        <v>7</v>
      </c>
      <c r="J8" s="974"/>
      <c r="K8" s="974"/>
      <c r="L8" s="975"/>
      <c r="M8" s="9"/>
      <c r="N8" s="976" t="s">
        <v>8</v>
      </c>
      <c r="O8" s="974"/>
      <c r="P8" s="974"/>
      <c r="Q8" s="975"/>
      <c r="R8" s="9"/>
      <c r="S8" s="9"/>
      <c r="T8" s="9"/>
      <c r="U8" s="9"/>
      <c r="V8" s="9"/>
      <c r="W8" s="9"/>
      <c r="X8" s="9"/>
      <c r="Y8" s="9"/>
      <c r="Z8" s="9"/>
    </row>
    <row r="9" spans="1:26" ht="13.5" customHeight="1">
      <c r="A9" s="9"/>
      <c r="B9" s="9"/>
      <c r="C9" s="9"/>
      <c r="D9" s="9"/>
      <c r="E9" s="9"/>
      <c r="F9" s="9"/>
      <c r="G9" s="9"/>
      <c r="H9" s="9"/>
      <c r="I9" s="14" t="s">
        <v>9</v>
      </c>
      <c r="J9" s="2"/>
      <c r="K9" s="2"/>
      <c r="L9" s="15">
        <f ca="1">Valuation!K65</f>
        <v>8117.2261955708609</v>
      </c>
      <c r="M9" s="9"/>
      <c r="N9" s="14"/>
      <c r="O9" s="2"/>
      <c r="P9" s="16" t="s">
        <v>10</v>
      </c>
      <c r="Q9" s="17" t="s">
        <v>11</v>
      </c>
      <c r="R9" s="9"/>
      <c r="S9" s="9"/>
      <c r="T9" s="9"/>
      <c r="U9" s="9"/>
      <c r="V9" s="9"/>
      <c r="W9" s="9"/>
      <c r="X9" s="9"/>
      <c r="Y9" s="9"/>
      <c r="Z9" s="9"/>
    </row>
    <row r="10" spans="1:26" ht="13.5" customHeight="1">
      <c r="A10" s="9"/>
      <c r="B10" s="9"/>
      <c r="C10" s="9"/>
      <c r="D10" s="9"/>
      <c r="E10" s="9"/>
      <c r="F10" s="9"/>
      <c r="G10" s="9"/>
      <c r="H10" s="9"/>
      <c r="I10" s="14" t="s">
        <v>12</v>
      </c>
      <c r="J10" s="2"/>
      <c r="K10" s="2"/>
      <c r="L10" s="18">
        <f ca="1">Valuation!K72</f>
        <v>7855.7461955708613</v>
      </c>
      <c r="M10" s="9"/>
      <c r="N10" s="14"/>
      <c r="O10" s="2"/>
      <c r="P10" s="2"/>
      <c r="Q10" s="19"/>
      <c r="R10" s="9"/>
      <c r="S10" s="9"/>
      <c r="T10" s="9"/>
      <c r="U10" s="9"/>
      <c r="V10" s="9"/>
      <c r="W10" s="9"/>
      <c r="X10" s="9"/>
      <c r="Y10" s="9"/>
      <c r="Z10" s="9"/>
    </row>
    <row r="11" spans="1:26" ht="13.5" customHeight="1">
      <c r="A11" s="9"/>
      <c r="B11" s="9"/>
      <c r="C11" s="9"/>
      <c r="D11" s="9"/>
      <c r="E11" s="9"/>
      <c r="F11" s="9"/>
      <c r="G11" s="9"/>
      <c r="H11" s="9"/>
      <c r="I11" s="14"/>
      <c r="J11" s="2"/>
      <c r="K11" s="2"/>
      <c r="L11" s="20"/>
      <c r="M11" s="9"/>
      <c r="N11" s="14" t="s">
        <v>13</v>
      </c>
      <c r="O11" s="2"/>
      <c r="P11" s="21">
        <f ca="1">Valuation!N137</f>
        <v>104.36318203640977</v>
      </c>
      <c r="Q11" s="22">
        <f ca="1">Valuation!N138</f>
        <v>-0.11751072182978384</v>
      </c>
      <c r="R11" s="9"/>
      <c r="S11" s="9"/>
      <c r="T11" s="9"/>
      <c r="U11" s="9"/>
      <c r="V11" s="9"/>
      <c r="W11" s="9"/>
      <c r="X11" s="9"/>
      <c r="Y11" s="9"/>
      <c r="Z11" s="9"/>
    </row>
    <row r="12" spans="1:26" ht="13.5" customHeight="1">
      <c r="A12" s="9"/>
      <c r="B12" s="9"/>
      <c r="C12" s="9"/>
      <c r="D12" s="9"/>
      <c r="E12" s="9"/>
      <c r="F12" s="9"/>
      <c r="G12" s="9"/>
      <c r="H12" s="9"/>
      <c r="I12" s="23" t="s">
        <v>14</v>
      </c>
      <c r="J12" s="24"/>
      <c r="K12" s="24"/>
      <c r="L12" s="25">
        <f ca="1">Valuation!K76</f>
        <v>144.22152002149554</v>
      </c>
      <c r="M12" s="9"/>
      <c r="N12" s="14"/>
      <c r="O12" s="2"/>
      <c r="P12" s="2"/>
      <c r="Q12" s="19"/>
      <c r="R12" s="9"/>
      <c r="S12" s="9"/>
      <c r="T12" s="9"/>
      <c r="U12" s="9"/>
      <c r="V12" s="9"/>
      <c r="W12" s="9"/>
      <c r="X12" s="9"/>
      <c r="Y12" s="9"/>
      <c r="Z12" s="9"/>
    </row>
    <row r="13" spans="1:26" ht="13.5" customHeight="1">
      <c r="A13" s="9"/>
      <c r="B13" s="9"/>
      <c r="C13" s="9"/>
      <c r="D13" s="9"/>
      <c r="E13" s="9"/>
      <c r="F13" s="9"/>
      <c r="G13" s="9"/>
      <c r="H13" s="9"/>
      <c r="I13" s="26" t="s">
        <v>11</v>
      </c>
      <c r="J13" s="27"/>
      <c r="K13" s="27"/>
      <c r="L13" s="28">
        <f ca="1">Valuation!K77</f>
        <v>0.21952917319039011</v>
      </c>
      <c r="M13" s="9"/>
      <c r="N13" s="29" t="s">
        <v>15</v>
      </c>
      <c r="O13" s="27"/>
      <c r="P13" s="30">
        <f ca="1">Valuation!N215</f>
        <v>52.268601532603888</v>
      </c>
      <c r="Q13" s="28">
        <f ca="1">Valuation!N216</f>
        <v>-0.55801960483169388</v>
      </c>
      <c r="R13" s="9"/>
      <c r="S13" s="9"/>
      <c r="T13" s="9"/>
      <c r="U13" s="9"/>
      <c r="V13" s="9"/>
      <c r="W13" s="9"/>
      <c r="X13" s="9"/>
      <c r="Y13" s="9"/>
      <c r="Z13" s="9"/>
    </row>
    <row r="14" spans="1:26" ht="13.5" customHeight="1">
      <c r="A14" s="9"/>
      <c r="B14" s="9"/>
      <c r="C14" s="9"/>
      <c r="D14" s="9"/>
      <c r="E14" s="9"/>
      <c r="F14" s="9"/>
      <c r="G14" s="9"/>
      <c r="H14" s="9"/>
      <c r="I14" s="2"/>
      <c r="J14" s="2"/>
      <c r="K14" s="2"/>
      <c r="L14" s="2"/>
      <c r="M14" s="9"/>
      <c r="N14" s="2"/>
      <c r="O14" s="2"/>
      <c r="P14" s="2"/>
      <c r="Q14" s="2"/>
      <c r="R14" s="9"/>
      <c r="S14" s="9"/>
      <c r="T14" s="9"/>
      <c r="U14" s="9"/>
      <c r="V14" s="9"/>
      <c r="W14" s="9"/>
      <c r="X14" s="9"/>
      <c r="Y14" s="9"/>
      <c r="Z14" s="9"/>
    </row>
    <row r="15" spans="1:26" ht="13.5" customHeight="1">
      <c r="A15" s="9"/>
      <c r="B15" s="9"/>
      <c r="C15" s="9"/>
      <c r="D15" s="9"/>
      <c r="E15" s="9"/>
      <c r="F15" s="9"/>
      <c r="G15" s="9"/>
      <c r="H15" s="9"/>
      <c r="I15" s="976" t="s">
        <v>16</v>
      </c>
      <c r="J15" s="974"/>
      <c r="K15" s="974"/>
      <c r="L15" s="975"/>
      <c r="M15" s="9"/>
      <c r="N15" s="976" t="s">
        <v>17</v>
      </c>
      <c r="O15" s="974"/>
      <c r="P15" s="974"/>
      <c r="Q15" s="975"/>
      <c r="R15" s="9"/>
      <c r="S15" s="9"/>
      <c r="T15" s="9"/>
      <c r="U15" s="9"/>
      <c r="V15" s="9"/>
      <c r="W15" s="9"/>
      <c r="X15" s="9"/>
      <c r="Y15" s="9"/>
      <c r="Z15" s="9"/>
    </row>
    <row r="16" spans="1:26" ht="13.5" customHeight="1">
      <c r="A16" s="9"/>
      <c r="B16" s="9"/>
      <c r="C16" s="9"/>
      <c r="D16" s="9"/>
      <c r="E16" s="9"/>
      <c r="F16" s="9"/>
      <c r="G16" s="9"/>
      <c r="H16" s="9"/>
      <c r="I16" s="14" t="s">
        <v>9</v>
      </c>
      <c r="J16" s="2"/>
      <c r="K16" s="2"/>
      <c r="L16" s="15">
        <f ca="1">Valuation!R65</f>
        <v>5013.5851811205175</v>
      </c>
      <c r="M16" s="9"/>
      <c r="N16" s="14"/>
      <c r="O16" s="2"/>
      <c r="P16" s="16" t="s">
        <v>10</v>
      </c>
      <c r="Q16" s="17" t="s">
        <v>11</v>
      </c>
      <c r="R16" s="9"/>
      <c r="S16" s="9"/>
      <c r="T16" s="9"/>
      <c r="U16" s="9"/>
      <c r="V16" s="9"/>
      <c r="W16" s="9"/>
      <c r="X16" s="9"/>
      <c r="Y16" s="9"/>
      <c r="Z16" s="9"/>
    </row>
    <row r="17" spans="1:26" ht="13.5" customHeight="1">
      <c r="A17" s="9"/>
      <c r="B17" s="9"/>
      <c r="C17" s="9"/>
      <c r="D17" s="9"/>
      <c r="E17" s="9"/>
      <c r="F17" s="9"/>
      <c r="G17" s="9"/>
      <c r="H17" s="9"/>
      <c r="I17" s="14" t="s">
        <v>12</v>
      </c>
      <c r="J17" s="2"/>
      <c r="K17" s="2"/>
      <c r="L17" s="18">
        <f ca="1">Valuation!R72</f>
        <v>4752.105181120517</v>
      </c>
      <c r="M17" s="9"/>
      <c r="N17" s="14"/>
      <c r="O17" s="2"/>
      <c r="P17" s="2"/>
      <c r="Q17" s="19"/>
      <c r="R17" s="9"/>
      <c r="S17" s="9"/>
      <c r="T17" s="9"/>
      <c r="U17" s="9"/>
      <c r="V17" s="9"/>
      <c r="W17" s="9"/>
      <c r="X17" s="9"/>
      <c r="Y17" s="9"/>
      <c r="Z17" s="9"/>
    </row>
    <row r="18" spans="1:26" ht="13.5" customHeight="1">
      <c r="A18" s="9"/>
      <c r="B18" s="9"/>
      <c r="C18" s="9"/>
      <c r="D18" s="9"/>
      <c r="E18" s="9"/>
      <c r="F18" s="9"/>
      <c r="G18" s="9"/>
      <c r="H18" s="9"/>
      <c r="I18" s="14"/>
      <c r="J18" s="2"/>
      <c r="K18" s="2"/>
      <c r="L18" s="20"/>
      <c r="M18" s="9"/>
      <c r="N18" s="14" t="s">
        <v>18</v>
      </c>
      <c r="O18" s="2"/>
      <c r="P18" s="21">
        <f ca="1">Valuation!F126</f>
        <v>144.3834594553249</v>
      </c>
      <c r="Q18" s="22">
        <f ca="1">Valuation!F127</f>
        <v>0.22089852405990951</v>
      </c>
      <c r="R18" s="9"/>
      <c r="S18" s="9"/>
      <c r="T18" s="9"/>
      <c r="U18" s="9"/>
      <c r="V18" s="9"/>
      <c r="W18" s="9"/>
      <c r="X18" s="9"/>
      <c r="Y18" s="9"/>
      <c r="Z18" s="9"/>
    </row>
    <row r="19" spans="1:26" ht="13.5" customHeight="1">
      <c r="A19" s="9"/>
      <c r="B19" s="9"/>
      <c r="C19" s="9" t="s">
        <v>19</v>
      </c>
      <c r="D19" s="9"/>
      <c r="E19" s="9"/>
      <c r="F19" s="31" t="s">
        <v>839</v>
      </c>
      <c r="G19" s="9"/>
      <c r="H19" s="9"/>
      <c r="I19" s="23" t="s">
        <v>14</v>
      </c>
      <c r="J19" s="24"/>
      <c r="K19" s="24"/>
      <c r="L19" s="25">
        <f ca="1">Valuation!R76</f>
        <v>87.242613936488283</v>
      </c>
      <c r="M19" s="9"/>
      <c r="N19" s="14"/>
      <c r="O19" s="2"/>
      <c r="P19" s="2"/>
      <c r="Q19" s="19"/>
      <c r="R19" s="9"/>
      <c r="S19" s="9"/>
      <c r="T19" s="9"/>
      <c r="U19" s="9"/>
      <c r="V19" s="9"/>
      <c r="W19" s="9"/>
      <c r="X19" s="9"/>
      <c r="Y19" s="9"/>
      <c r="Z19" s="9"/>
    </row>
    <row r="20" spans="1:26" ht="13.5" customHeight="1">
      <c r="A20" s="9"/>
      <c r="B20" s="9"/>
      <c r="C20" s="9" t="s">
        <v>21</v>
      </c>
      <c r="D20" s="9"/>
      <c r="E20" s="9"/>
      <c r="F20" s="31" t="s">
        <v>840</v>
      </c>
      <c r="G20" s="9"/>
      <c r="H20" s="9"/>
      <c r="I20" s="26" t="s">
        <v>11</v>
      </c>
      <c r="J20" s="27"/>
      <c r="K20" s="27"/>
      <c r="L20" s="28">
        <f ca="1">Valuation!R77</f>
        <v>-0.2622812959877534</v>
      </c>
      <c r="M20" s="9"/>
      <c r="N20" s="29" t="s">
        <v>23</v>
      </c>
      <c r="O20" s="27"/>
      <c r="P20" s="30">
        <f ca="1">Valuation!F204</f>
        <v>107.29421648505365</v>
      </c>
      <c r="Q20" s="28">
        <f ca="1">Valuation!F205</f>
        <v>-9.2726057119451699E-2</v>
      </c>
      <c r="R20" s="9"/>
      <c r="S20" s="9"/>
      <c r="T20" s="9"/>
      <c r="U20" s="9"/>
      <c r="V20" s="9"/>
      <c r="W20" s="9"/>
      <c r="X20" s="9"/>
      <c r="Y20" s="9"/>
      <c r="Z20" s="9"/>
    </row>
    <row r="21" spans="1:26" ht="13.5" customHeight="1">
      <c r="A21" s="9"/>
      <c r="B21" s="9"/>
      <c r="C21" s="9"/>
      <c r="D21" s="9"/>
      <c r="E21" s="9"/>
      <c r="F21" s="32"/>
      <c r="G21" s="9"/>
      <c r="H21" s="9"/>
      <c r="I21" s="2"/>
      <c r="J21" s="9"/>
      <c r="K21" s="9"/>
      <c r="L21" s="9"/>
      <c r="M21" s="9"/>
      <c r="N21" s="9"/>
      <c r="O21" s="9"/>
      <c r="P21" s="9"/>
      <c r="Q21" s="9"/>
      <c r="R21" s="9"/>
      <c r="S21" s="9"/>
      <c r="T21" s="9"/>
      <c r="U21" s="9"/>
      <c r="V21" s="9"/>
      <c r="W21" s="9"/>
      <c r="X21" s="9"/>
      <c r="Y21" s="9"/>
      <c r="Z21" s="9"/>
    </row>
    <row r="22" spans="1:26" ht="13.5" customHeight="1">
      <c r="A22" s="9"/>
      <c r="B22" s="9"/>
      <c r="C22" s="33" t="s">
        <v>24</v>
      </c>
      <c r="D22" s="34"/>
      <c r="E22" s="34"/>
      <c r="F22" s="35" t="s">
        <v>25</v>
      </c>
      <c r="G22" s="9"/>
      <c r="H22" s="9"/>
      <c r="I22" s="36" t="s">
        <v>26</v>
      </c>
      <c r="J22" s="12"/>
      <c r="K22" s="12"/>
      <c r="L22" s="12"/>
      <c r="M22" s="12"/>
      <c r="N22" s="12"/>
      <c r="O22" s="12"/>
      <c r="P22" s="12"/>
      <c r="Q22" s="13"/>
      <c r="R22" s="9"/>
      <c r="S22" s="9"/>
      <c r="T22" s="9"/>
      <c r="U22" s="9"/>
      <c r="V22" s="9"/>
      <c r="W22" s="9"/>
      <c r="X22" s="9"/>
      <c r="Y22" s="9"/>
      <c r="Z22" s="9"/>
    </row>
    <row r="23" spans="1:26" ht="13.5" customHeight="1">
      <c r="A23" s="9"/>
      <c r="B23" s="9"/>
      <c r="C23" s="9"/>
      <c r="D23" s="37"/>
      <c r="E23" s="9"/>
      <c r="F23" s="32"/>
      <c r="G23" s="9"/>
      <c r="H23" s="9"/>
      <c r="I23" s="2"/>
      <c r="J23" s="9"/>
      <c r="K23" s="9"/>
      <c r="L23" s="9"/>
      <c r="M23" s="9"/>
      <c r="N23" s="38"/>
      <c r="O23" s="38"/>
      <c r="P23" s="38"/>
      <c r="Q23" s="9"/>
      <c r="R23" s="9"/>
      <c r="S23" s="9"/>
      <c r="T23" s="9"/>
      <c r="U23" s="9"/>
      <c r="V23" s="9"/>
      <c r="W23" s="9"/>
      <c r="X23" s="9"/>
      <c r="Y23" s="9"/>
      <c r="Z23" s="9"/>
    </row>
    <row r="24" spans="1:26" ht="13.5" customHeight="1">
      <c r="A24" s="9"/>
      <c r="B24" s="9"/>
      <c r="C24" s="9" t="s">
        <v>27</v>
      </c>
      <c r="D24" s="9"/>
      <c r="E24" s="9"/>
      <c r="F24" s="39">
        <v>45747</v>
      </c>
      <c r="G24" s="9"/>
      <c r="H24" s="9"/>
      <c r="I24" s="40" t="s">
        <v>28</v>
      </c>
      <c r="J24" s="9"/>
      <c r="K24" s="9"/>
      <c r="L24" s="9"/>
      <c r="M24" s="9"/>
      <c r="N24" s="9"/>
      <c r="O24" s="9"/>
      <c r="P24" s="9"/>
      <c r="Q24" s="9"/>
      <c r="R24" s="9"/>
      <c r="S24" s="9"/>
      <c r="T24" s="9"/>
      <c r="U24" s="9"/>
      <c r="V24" s="9"/>
      <c r="W24" s="9"/>
      <c r="X24" s="9"/>
      <c r="Y24" s="9"/>
      <c r="Z24" s="9"/>
    </row>
    <row r="25" spans="1:26" ht="13.5" customHeight="1">
      <c r="A25" s="9"/>
      <c r="B25" s="9"/>
      <c r="C25" s="9" t="s">
        <v>29</v>
      </c>
      <c r="D25" s="9"/>
      <c r="E25" s="9"/>
      <c r="F25" s="41">
        <f>Last_FYE+365</f>
        <v>46112</v>
      </c>
      <c r="G25" s="9"/>
      <c r="H25" s="9"/>
      <c r="I25" s="40" t="s">
        <v>30</v>
      </c>
      <c r="J25" s="9"/>
      <c r="K25" s="9"/>
      <c r="L25" s="9"/>
      <c r="M25" s="9"/>
      <c r="N25" s="9"/>
      <c r="O25" s="9"/>
      <c r="P25" s="9"/>
      <c r="Q25" s="9"/>
      <c r="R25" s="9"/>
      <c r="S25" s="9"/>
      <c r="T25" s="9"/>
      <c r="U25" s="9"/>
      <c r="V25" s="9"/>
      <c r="W25" s="9"/>
      <c r="X25" s="9"/>
      <c r="Y25" s="9"/>
      <c r="Z25" s="9"/>
    </row>
    <row r="26" spans="1:26" ht="13.5" customHeight="1">
      <c r="A26" s="10"/>
      <c r="B26" s="9"/>
      <c r="C26" s="9" t="s">
        <v>31</v>
      </c>
      <c r="D26" s="9"/>
      <c r="E26" s="9"/>
      <c r="F26" s="42" t="s">
        <v>1157</v>
      </c>
      <c r="G26" s="9"/>
      <c r="H26" s="9"/>
      <c r="I26" s="40" t="s">
        <v>32</v>
      </c>
      <c r="J26" s="9"/>
      <c r="K26" s="9"/>
      <c r="L26" s="9"/>
      <c r="M26" s="9"/>
      <c r="N26" s="9"/>
      <c r="O26" s="9"/>
      <c r="P26" s="9"/>
      <c r="Q26" s="9"/>
      <c r="R26" s="9"/>
      <c r="S26" s="9"/>
      <c r="T26" s="9"/>
      <c r="U26" s="9"/>
      <c r="V26" s="9"/>
      <c r="W26" s="9"/>
      <c r="X26" s="9"/>
      <c r="Y26" s="9"/>
      <c r="Z26" s="9"/>
    </row>
    <row r="27" spans="1:26" ht="13.5" customHeight="1">
      <c r="A27" s="9"/>
      <c r="B27" s="9"/>
      <c r="C27" s="9" t="s">
        <v>33</v>
      </c>
      <c r="D27" s="9"/>
      <c r="E27" s="9"/>
      <c r="F27" s="39">
        <v>45940</v>
      </c>
      <c r="G27" s="9"/>
      <c r="H27" s="37"/>
      <c r="I27" s="40" t="s">
        <v>34</v>
      </c>
      <c r="J27" s="9"/>
      <c r="K27" s="9"/>
      <c r="L27" s="9"/>
      <c r="M27" s="9"/>
      <c r="N27" s="9"/>
      <c r="O27" s="9"/>
      <c r="P27" s="9"/>
      <c r="Q27" s="9"/>
      <c r="R27" s="9"/>
      <c r="S27" s="9"/>
      <c r="T27" s="9"/>
      <c r="U27" s="9"/>
      <c r="V27" s="9"/>
      <c r="W27" s="9"/>
      <c r="X27" s="9"/>
      <c r="Y27" s="9"/>
      <c r="Z27" s="9"/>
    </row>
    <row r="28" spans="1:26" ht="13.5" customHeight="1">
      <c r="A28" s="9"/>
      <c r="B28" s="9"/>
      <c r="C28" s="9"/>
      <c r="D28" s="9"/>
      <c r="E28" s="9"/>
      <c r="F28" s="9"/>
      <c r="G28" s="9"/>
      <c r="H28" s="9"/>
      <c r="I28" s="40" t="s">
        <v>35</v>
      </c>
      <c r="J28" s="9"/>
      <c r="K28" s="9"/>
      <c r="L28" s="9"/>
      <c r="M28" s="9"/>
      <c r="N28" s="9"/>
      <c r="O28" s="9"/>
      <c r="P28" s="9"/>
      <c r="Q28" s="9"/>
      <c r="R28" s="9"/>
      <c r="S28" s="9"/>
      <c r="T28" s="9"/>
      <c r="U28" s="9"/>
      <c r="V28" s="9"/>
      <c r="W28" s="9"/>
      <c r="X28" s="9"/>
      <c r="Y28" s="9"/>
      <c r="Z28" s="9"/>
    </row>
    <row r="29" spans="1:26" ht="13.5" customHeight="1">
      <c r="A29" s="9"/>
      <c r="B29" s="9"/>
      <c r="C29" s="9" t="s">
        <v>36</v>
      </c>
      <c r="D29" s="9"/>
      <c r="E29" s="9"/>
      <c r="F29" s="43">
        <v>118.26</v>
      </c>
      <c r="G29" s="9"/>
      <c r="H29" s="9"/>
      <c r="I29" s="40" t="s">
        <v>37</v>
      </c>
      <c r="J29" s="9"/>
      <c r="K29" s="9"/>
      <c r="L29" s="9"/>
      <c r="M29" s="9"/>
      <c r="N29" s="9"/>
      <c r="O29" s="9"/>
      <c r="P29" s="9"/>
      <c r="Q29" s="9"/>
      <c r="R29" s="9"/>
      <c r="S29" s="9"/>
      <c r="T29" s="9"/>
      <c r="U29" s="9"/>
      <c r="V29" s="9"/>
      <c r="W29" s="9"/>
      <c r="X29" s="9"/>
      <c r="Y29" s="9"/>
      <c r="Z29" s="9"/>
    </row>
    <row r="30" spans="1:26" ht="13.5" customHeight="1">
      <c r="A30" s="9"/>
      <c r="B30" s="9"/>
      <c r="C30" s="9" t="s">
        <v>38</v>
      </c>
      <c r="D30" s="9"/>
      <c r="E30" s="9"/>
      <c r="F30" s="43">
        <v>203.72</v>
      </c>
      <c r="G30" s="9"/>
      <c r="H30" s="9"/>
      <c r="I30" s="40" t="s">
        <v>39</v>
      </c>
      <c r="J30" s="9"/>
      <c r="K30" s="9"/>
      <c r="L30" s="9"/>
      <c r="M30" s="9"/>
      <c r="N30" s="9"/>
      <c r="O30" s="9"/>
      <c r="P30" s="9"/>
      <c r="Q30" s="9"/>
      <c r="R30" s="9"/>
      <c r="S30" s="9"/>
      <c r="T30" s="9"/>
      <c r="U30" s="9"/>
      <c r="V30" s="9"/>
      <c r="W30" s="9"/>
      <c r="X30" s="9"/>
      <c r="Y30" s="9"/>
      <c r="Z30" s="9"/>
    </row>
    <row r="31" spans="1:26" ht="13.5" customHeight="1">
      <c r="A31" s="9"/>
      <c r="B31" s="9"/>
      <c r="C31" s="9" t="s">
        <v>40</v>
      </c>
      <c r="D31" s="9"/>
      <c r="E31" s="9"/>
      <c r="F31" s="43">
        <v>124.1</v>
      </c>
      <c r="G31" s="9"/>
      <c r="H31" s="37"/>
      <c r="I31" s="40" t="s">
        <v>41</v>
      </c>
      <c r="J31" s="9"/>
      <c r="K31" s="9"/>
      <c r="L31" s="9"/>
      <c r="M31" s="9"/>
      <c r="N31" s="9"/>
      <c r="O31" s="9"/>
      <c r="P31" s="9"/>
      <c r="Q31" s="9"/>
      <c r="R31" s="9"/>
      <c r="S31" s="9"/>
      <c r="T31" s="9"/>
      <c r="U31" s="9"/>
      <c r="V31" s="9"/>
      <c r="W31" s="9"/>
      <c r="X31" s="9"/>
      <c r="Y31" s="9"/>
      <c r="Z31" s="9"/>
    </row>
    <row r="32" spans="1:26" ht="13.5" customHeight="1">
      <c r="A32" s="9"/>
      <c r="B32" s="9"/>
      <c r="C32" s="9"/>
      <c r="D32" s="9"/>
      <c r="E32" s="9"/>
      <c r="F32" s="9"/>
      <c r="G32" s="9"/>
      <c r="H32" s="37"/>
      <c r="I32" s="40" t="s">
        <v>42</v>
      </c>
      <c r="J32" s="9"/>
      <c r="K32" s="9"/>
      <c r="L32" s="9"/>
      <c r="M32" s="9"/>
      <c r="N32" s="9"/>
      <c r="O32" s="9"/>
      <c r="P32" s="9"/>
      <c r="Q32" s="9"/>
      <c r="R32" s="9"/>
      <c r="S32" s="9"/>
      <c r="T32" s="9"/>
      <c r="U32" s="9"/>
      <c r="V32" s="9"/>
      <c r="W32" s="9"/>
      <c r="X32" s="9"/>
      <c r="Y32" s="9"/>
      <c r="Z32" s="9"/>
    </row>
    <row r="33" spans="1:26" ht="13.5" customHeight="1">
      <c r="A33" s="9"/>
      <c r="B33" s="9"/>
      <c r="C33" s="9" t="s">
        <v>43</v>
      </c>
      <c r="D33" s="9"/>
      <c r="E33" s="9"/>
      <c r="F33" s="44">
        <f>IF(Last_FQR="1Q",Model!U71,IF(Last_FQR="2Q",Model!V71,IF(Last_FQR="3Q",Model!W71,Model!X71)))</f>
        <v>0.19255309117958283</v>
      </c>
      <c r="G33" s="9"/>
      <c r="H33" s="37"/>
      <c r="I33" s="40" t="s">
        <v>44</v>
      </c>
      <c r="J33" s="9"/>
      <c r="K33" s="9"/>
      <c r="L33" s="9"/>
      <c r="M33" s="9"/>
      <c r="N33" s="9"/>
      <c r="O33" s="9"/>
      <c r="P33" s="9"/>
      <c r="Q33" s="9"/>
      <c r="R33" s="9"/>
      <c r="S33" s="9"/>
      <c r="T33" s="9"/>
      <c r="U33" s="9"/>
      <c r="V33" s="9"/>
      <c r="W33" s="9"/>
      <c r="X33" s="9"/>
      <c r="Y33" s="9"/>
      <c r="Z33" s="9"/>
    </row>
    <row r="34" spans="1:26" ht="13.5" customHeight="1">
      <c r="A34" s="9"/>
      <c r="B34" s="9"/>
      <c r="C34" s="9" t="s">
        <v>45</v>
      </c>
      <c r="D34" s="9"/>
      <c r="E34" s="9"/>
      <c r="F34" s="44">
        <f>IF(Last_FQR="1Q",Model!U266,IF(Last_FQR="2Q",Model!V266,IF(Last_FQR="3Q",Model!W266,Model!X266)))</f>
        <v>1.3084722315926655E-2</v>
      </c>
      <c r="G34" s="9"/>
      <c r="H34" s="37"/>
      <c r="I34" s="40" t="s">
        <v>46</v>
      </c>
      <c r="J34" s="9"/>
      <c r="K34" s="9"/>
      <c r="L34" s="9"/>
      <c r="M34" s="9"/>
      <c r="N34" s="9"/>
      <c r="O34" s="9"/>
      <c r="P34" s="9"/>
      <c r="Q34" s="9"/>
      <c r="R34" s="9"/>
      <c r="S34" s="9"/>
      <c r="T34" s="9"/>
      <c r="U34" s="9"/>
      <c r="V34" s="9"/>
      <c r="W34" s="9"/>
      <c r="X34" s="9"/>
      <c r="Y34" s="9"/>
      <c r="Z34" s="9"/>
    </row>
    <row r="35" spans="1:26" ht="13.5" customHeight="1">
      <c r="A35" s="9"/>
      <c r="B35" s="9"/>
      <c r="C35" s="9" t="s">
        <v>47</v>
      </c>
      <c r="D35" s="9"/>
      <c r="E35" s="9"/>
      <c r="F35" s="45">
        <f>IF(Last_FQR="1Q",Model!U285,IF(Last_FQR="2Q",Model!V285,IF(Last_FQR="3Q",Model!W285,Model!X285)))</f>
        <v>54.47</v>
      </c>
      <c r="G35" s="9"/>
      <c r="H35" s="37"/>
      <c r="I35" s="40" t="s">
        <v>48</v>
      </c>
      <c r="J35" s="9"/>
      <c r="K35" s="9"/>
      <c r="L35" s="9"/>
      <c r="M35" s="9"/>
      <c r="N35" s="9"/>
      <c r="O35" s="9"/>
      <c r="P35" s="9"/>
      <c r="Q35" s="9"/>
      <c r="R35" s="9"/>
      <c r="S35" s="9"/>
      <c r="T35" s="9"/>
      <c r="U35" s="9"/>
      <c r="V35" s="9"/>
      <c r="W35" s="9"/>
      <c r="X35" s="9"/>
      <c r="Y35" s="9"/>
      <c r="Z35" s="9"/>
    </row>
    <row r="36" spans="1:26" ht="13.5" customHeight="1">
      <c r="A36" s="9"/>
      <c r="B36" s="9"/>
      <c r="C36" s="9"/>
      <c r="D36" s="9"/>
      <c r="E36" s="9"/>
      <c r="F36" s="9"/>
      <c r="G36" s="9"/>
      <c r="H36" s="37"/>
      <c r="I36" s="40" t="s">
        <v>49</v>
      </c>
      <c r="J36" s="9"/>
      <c r="K36" s="9"/>
      <c r="L36" s="9"/>
      <c r="M36" s="9"/>
      <c r="N36" s="9"/>
      <c r="O36" s="9"/>
      <c r="P36" s="9"/>
      <c r="Q36" s="9"/>
      <c r="R36" s="9"/>
      <c r="S36" s="9"/>
      <c r="T36" s="9"/>
      <c r="U36" s="9"/>
      <c r="V36" s="9"/>
      <c r="W36" s="9"/>
      <c r="X36" s="9"/>
      <c r="Y36" s="9"/>
      <c r="Z36" s="9"/>
    </row>
    <row r="37" spans="1:26" ht="13.5" customHeight="1">
      <c r="A37" s="9"/>
      <c r="B37" s="9"/>
      <c r="C37" s="33" t="s">
        <v>50</v>
      </c>
      <c r="D37" s="34"/>
      <c r="E37" s="34"/>
      <c r="F37" s="35" t="s">
        <v>843</v>
      </c>
      <c r="G37" s="9"/>
      <c r="H37" s="37"/>
      <c r="I37" s="40" t="s">
        <v>51</v>
      </c>
      <c r="J37" s="9"/>
      <c r="K37" s="9"/>
      <c r="L37" s="9"/>
      <c r="M37" s="9"/>
      <c r="N37" s="9"/>
      <c r="O37" s="9"/>
      <c r="P37" s="9"/>
      <c r="Q37" s="9"/>
      <c r="R37" s="9"/>
      <c r="S37" s="9"/>
      <c r="T37" s="9"/>
      <c r="U37" s="9"/>
      <c r="V37" s="9"/>
      <c r="W37" s="9"/>
      <c r="X37" s="9"/>
      <c r="Y37" s="9"/>
      <c r="Z37" s="9"/>
    </row>
    <row r="38" spans="1:26" ht="13.5" customHeight="1">
      <c r="A38" s="9"/>
      <c r="B38" s="9"/>
      <c r="G38" s="9"/>
      <c r="H38" s="37"/>
      <c r="I38" s="40" t="s">
        <v>52</v>
      </c>
      <c r="J38" s="9"/>
      <c r="K38" s="9"/>
      <c r="L38" s="9"/>
      <c r="M38" s="9"/>
      <c r="N38" s="9"/>
      <c r="O38" s="9"/>
      <c r="P38" s="9"/>
      <c r="Q38" s="9"/>
      <c r="R38" s="9"/>
      <c r="S38" s="9"/>
      <c r="T38" s="9"/>
      <c r="U38" s="9"/>
      <c r="V38" s="9"/>
      <c r="W38" s="9"/>
      <c r="X38" s="9"/>
      <c r="Y38" s="9"/>
      <c r="Z38" s="9"/>
    </row>
    <row r="39" spans="1:26" ht="13.5" customHeight="1">
      <c r="A39" s="9"/>
      <c r="B39" s="9"/>
      <c r="G39" s="9"/>
      <c r="H39" s="37"/>
      <c r="I39" s="40" t="s">
        <v>53</v>
      </c>
      <c r="J39" s="9"/>
      <c r="K39" s="9"/>
      <c r="L39" s="9"/>
      <c r="M39" s="9"/>
      <c r="N39" s="9"/>
      <c r="O39" s="9"/>
      <c r="P39" s="9"/>
      <c r="Q39" s="9"/>
      <c r="R39" s="9"/>
      <c r="S39" s="9"/>
      <c r="T39" s="9"/>
      <c r="U39" s="9"/>
      <c r="V39" s="9"/>
      <c r="W39" s="9"/>
      <c r="X39" s="9"/>
      <c r="Y39" s="9"/>
      <c r="Z39" s="9"/>
    </row>
    <row r="40" spans="1:26" ht="14.25" customHeight="1">
      <c r="A40" s="9"/>
      <c r="B40" s="9"/>
      <c r="G40" s="9"/>
      <c r="H40" s="37"/>
      <c r="I40" s="9"/>
      <c r="J40" s="9"/>
      <c r="K40" s="9"/>
      <c r="L40" s="9"/>
      <c r="M40" s="9"/>
      <c r="N40" s="9"/>
      <c r="O40" s="9"/>
      <c r="P40" s="9"/>
      <c r="Q40" s="9"/>
      <c r="R40" s="9"/>
      <c r="S40" s="9"/>
      <c r="T40" s="9"/>
      <c r="U40" s="9"/>
      <c r="V40" s="9"/>
      <c r="W40" s="9"/>
      <c r="X40" s="9"/>
      <c r="Y40" s="9"/>
      <c r="Z40" s="9"/>
    </row>
    <row r="41" spans="1:26" ht="14.25" hidden="1" customHeight="1" outlineLevel="1">
      <c r="A41" s="9"/>
      <c r="B41" s="9"/>
      <c r="G41" s="9"/>
      <c r="H41" s="37"/>
      <c r="I41" s="9"/>
      <c r="J41" s="9"/>
      <c r="K41" s="9"/>
      <c r="L41" s="9"/>
      <c r="M41" s="9"/>
      <c r="N41" s="9"/>
      <c r="O41" s="9"/>
      <c r="P41" s="9"/>
      <c r="Q41" s="9"/>
      <c r="R41" s="9"/>
      <c r="S41" s="9"/>
      <c r="T41" s="9"/>
      <c r="U41" s="9"/>
      <c r="V41" s="9"/>
      <c r="W41" s="9"/>
      <c r="X41" s="9"/>
      <c r="Y41" s="9"/>
      <c r="Z41" s="9"/>
    </row>
    <row r="42" spans="1:26" ht="14.25" hidden="1" customHeight="1" outlineLevel="1">
      <c r="A42" s="46" t="s">
        <v>0</v>
      </c>
      <c r="B42" s="46"/>
      <c r="C42" s="47"/>
      <c r="D42" s="48"/>
      <c r="E42" s="48"/>
      <c r="F42" s="49"/>
      <c r="G42" s="9"/>
      <c r="H42" s="37"/>
      <c r="I42" s="9"/>
      <c r="J42" s="9"/>
      <c r="K42" s="9"/>
      <c r="L42" s="9"/>
      <c r="M42" s="9"/>
      <c r="N42" s="9"/>
      <c r="O42" s="9"/>
      <c r="P42" s="9"/>
      <c r="Q42" s="9"/>
      <c r="R42" s="9"/>
      <c r="S42" s="9"/>
      <c r="T42" s="9"/>
      <c r="U42" s="9"/>
      <c r="V42" s="9"/>
      <c r="W42" s="9"/>
      <c r="X42" s="9"/>
      <c r="Y42" s="9"/>
      <c r="Z42" s="9"/>
    </row>
    <row r="43" spans="1:26" ht="14.25" hidden="1" customHeight="1" outlineLevel="1">
      <c r="A43" s="46"/>
      <c r="B43" s="46"/>
      <c r="C43" s="50" t="s">
        <v>54</v>
      </c>
      <c r="D43" s="51"/>
      <c r="E43" s="51"/>
      <c r="F43" s="52"/>
      <c r="G43" s="9"/>
      <c r="H43" s="37"/>
      <c r="I43" s="50" t="s">
        <v>55</v>
      </c>
      <c r="J43" s="51"/>
      <c r="K43" s="51"/>
      <c r="L43" s="52"/>
      <c r="M43" s="9"/>
      <c r="N43" s="9"/>
      <c r="O43" s="9"/>
      <c r="P43" s="9"/>
      <c r="Q43" s="9"/>
      <c r="R43" s="9"/>
      <c r="S43" s="9"/>
      <c r="T43" s="9"/>
      <c r="U43" s="9"/>
      <c r="V43" s="9"/>
      <c r="W43" s="9"/>
      <c r="X43" s="9"/>
      <c r="Y43" s="9"/>
      <c r="Z43" s="9"/>
    </row>
    <row r="44" spans="1:26" ht="14.25" hidden="1" customHeight="1" outlineLevel="1">
      <c r="A44" s="46"/>
      <c r="B44" s="46"/>
      <c r="C44" s="977" t="s">
        <v>56</v>
      </c>
      <c r="D44" s="978"/>
      <c r="E44" s="978"/>
      <c r="F44" s="979"/>
      <c r="G44" s="9"/>
      <c r="H44" s="37"/>
      <c r="I44" s="53" t="s">
        <v>57</v>
      </c>
      <c r="J44" s="54" t="s">
        <v>58</v>
      </c>
      <c r="K44" s="54" t="s">
        <v>59</v>
      </c>
      <c r="L44" s="55" t="s">
        <v>60</v>
      </c>
      <c r="M44" s="9"/>
      <c r="N44" s="9"/>
      <c r="O44" s="9"/>
      <c r="P44" s="9"/>
      <c r="Q44" s="9"/>
      <c r="R44" s="9"/>
      <c r="S44" s="9"/>
      <c r="T44" s="9"/>
      <c r="U44" s="9"/>
      <c r="V44" s="9"/>
      <c r="W44" s="9"/>
      <c r="X44" s="9"/>
      <c r="Y44" s="9"/>
      <c r="Z44" s="9"/>
    </row>
    <row r="45" spans="1:26" ht="14.25" hidden="1" customHeight="1" outlineLevel="1">
      <c r="A45" s="46"/>
      <c r="B45" s="46"/>
      <c r="C45" s="980" t="s">
        <v>61</v>
      </c>
      <c r="D45" s="978"/>
      <c r="E45" s="978"/>
      <c r="F45" s="979"/>
      <c r="G45" s="9"/>
      <c r="H45" s="37"/>
      <c r="I45" s="56" t="s">
        <v>62</v>
      </c>
      <c r="J45" s="57" t="s">
        <v>63</v>
      </c>
      <c r="K45" s="57" t="s">
        <v>64</v>
      </c>
      <c r="L45" s="58">
        <v>1000000</v>
      </c>
      <c r="M45" s="9"/>
      <c r="N45" s="9"/>
      <c r="O45" s="9"/>
      <c r="P45" s="9"/>
      <c r="Q45" s="9"/>
      <c r="R45" s="10"/>
      <c r="S45" s="9"/>
      <c r="T45" s="9"/>
      <c r="U45" s="9"/>
      <c r="V45" s="9"/>
      <c r="W45" s="9"/>
      <c r="X45" s="9"/>
      <c r="Y45" s="9"/>
      <c r="Z45" s="9"/>
    </row>
    <row r="46" spans="1:26" ht="14.25" hidden="1" customHeight="1" outlineLevel="1">
      <c r="A46" s="46"/>
      <c r="B46" s="46"/>
      <c r="C46" s="981" t="s">
        <v>65</v>
      </c>
      <c r="D46" s="978"/>
      <c r="E46" s="978"/>
      <c r="F46" s="979"/>
      <c r="G46" s="9"/>
      <c r="H46" s="37"/>
      <c r="I46" s="59" t="s">
        <v>66</v>
      </c>
      <c r="J46" s="48" t="s">
        <v>63</v>
      </c>
      <c r="K46" s="48" t="s">
        <v>67</v>
      </c>
      <c r="L46" s="60">
        <v>1000</v>
      </c>
      <c r="M46" s="9"/>
      <c r="N46" s="9"/>
      <c r="O46" s="9"/>
      <c r="P46" s="9"/>
      <c r="Q46" s="9"/>
      <c r="R46" s="9"/>
      <c r="S46" s="9"/>
      <c r="T46" s="9"/>
      <c r="U46" s="9"/>
      <c r="V46" s="9"/>
      <c r="W46" s="9"/>
      <c r="X46" s="9"/>
      <c r="Y46" s="9"/>
      <c r="Z46" s="9"/>
    </row>
    <row r="47" spans="1:26" ht="14.25" hidden="1" customHeight="1" outlineLevel="1">
      <c r="A47" s="46"/>
      <c r="B47" s="46"/>
      <c r="C47" s="982" t="s">
        <v>68</v>
      </c>
      <c r="D47" s="983"/>
      <c r="E47" s="983"/>
      <c r="F47" s="984"/>
      <c r="G47" s="9"/>
      <c r="H47" s="37"/>
      <c r="I47" s="61" t="s">
        <v>69</v>
      </c>
      <c r="J47" s="62" t="s">
        <v>63</v>
      </c>
      <c r="K47" s="62" t="s">
        <v>70</v>
      </c>
      <c r="L47" s="63">
        <v>100</v>
      </c>
      <c r="M47" s="9"/>
      <c r="N47" s="9"/>
      <c r="O47" s="9"/>
      <c r="P47" s="9"/>
      <c r="Q47" s="9"/>
      <c r="R47" s="9"/>
      <c r="S47" s="9"/>
      <c r="T47" s="9"/>
      <c r="U47" s="9"/>
      <c r="V47" s="9"/>
      <c r="W47" s="9"/>
      <c r="X47" s="9"/>
      <c r="Y47" s="9"/>
      <c r="Z47" s="9"/>
    </row>
    <row r="48" spans="1:26" ht="13.5" hidden="1" customHeight="1" outlineLevel="1">
      <c r="A48" s="46" t="s">
        <v>0</v>
      </c>
      <c r="B48" s="9"/>
      <c r="C48" s="9"/>
      <c r="D48" s="64"/>
      <c r="E48" s="64"/>
      <c r="F48" s="65"/>
      <c r="G48" s="9"/>
      <c r="H48" s="9"/>
      <c r="I48" s="9"/>
      <c r="J48" s="9"/>
      <c r="K48" s="9"/>
      <c r="L48" s="9"/>
      <c r="M48" s="9"/>
      <c r="N48" s="38"/>
      <c r="O48" s="38"/>
      <c r="P48" s="38"/>
      <c r="Q48" s="9"/>
      <c r="R48" s="9"/>
      <c r="S48" s="9"/>
      <c r="T48" s="9"/>
      <c r="U48" s="9"/>
      <c r="V48" s="9"/>
      <c r="W48" s="9"/>
      <c r="X48" s="9"/>
      <c r="Y48" s="9"/>
      <c r="Z48" s="9"/>
    </row>
    <row r="49" spans="1:26" ht="13.5" hidden="1" customHeight="1" outlineLevel="1">
      <c r="A49" s="46"/>
      <c r="B49" s="9"/>
      <c r="C49" s="50" t="s">
        <v>71</v>
      </c>
      <c r="D49" s="51"/>
      <c r="E49" s="51"/>
      <c r="F49" s="52"/>
      <c r="G49" s="9"/>
      <c r="H49" s="9"/>
      <c r="I49" s="9"/>
      <c r="J49" s="9"/>
      <c r="K49" s="9"/>
      <c r="L49" s="9"/>
      <c r="M49" s="9"/>
      <c r="N49" s="9"/>
      <c r="O49" s="9"/>
      <c r="P49" s="9"/>
      <c r="Q49" s="9"/>
      <c r="R49" s="9"/>
      <c r="S49" s="9"/>
      <c r="T49" s="9"/>
      <c r="U49" s="9"/>
      <c r="V49" s="9"/>
      <c r="W49" s="9"/>
      <c r="X49" s="9"/>
      <c r="Y49" s="9"/>
      <c r="Z49" s="9"/>
    </row>
    <row r="50" spans="1:26" ht="13.5" hidden="1" customHeight="1" outlineLevel="1">
      <c r="A50" s="46"/>
      <c r="B50" s="9"/>
      <c r="C50" s="9"/>
      <c r="D50" s="9"/>
      <c r="E50" s="9"/>
      <c r="F50" s="9"/>
      <c r="G50" s="9"/>
      <c r="H50" s="9"/>
      <c r="I50" s="9"/>
      <c r="J50" s="9"/>
      <c r="K50" s="9"/>
      <c r="L50" s="9"/>
      <c r="M50" s="9"/>
      <c r="N50" s="9"/>
      <c r="O50" s="9"/>
      <c r="P50" s="9"/>
      <c r="Q50" s="9"/>
      <c r="R50" s="9"/>
      <c r="S50" s="9"/>
      <c r="T50" s="9"/>
      <c r="U50" s="9"/>
      <c r="V50" s="9"/>
      <c r="W50" s="9"/>
      <c r="X50" s="9"/>
      <c r="Y50" s="9"/>
      <c r="Z50" s="9"/>
    </row>
    <row r="51" spans="1:26" ht="13.5" hidden="1" customHeight="1" outlineLevel="1">
      <c r="A51" s="46"/>
      <c r="B51" s="9"/>
      <c r="C51" s="985" t="s">
        <v>30</v>
      </c>
      <c r="D51" s="986"/>
      <c r="E51" s="9"/>
      <c r="F51" s="9"/>
      <c r="G51" s="9"/>
      <c r="H51" s="9"/>
      <c r="I51" s="9"/>
      <c r="J51" s="9"/>
      <c r="K51" s="9"/>
      <c r="L51" s="9"/>
      <c r="M51" s="9"/>
      <c r="N51" s="9"/>
      <c r="O51" s="9"/>
      <c r="P51" s="9"/>
      <c r="Q51" s="9"/>
      <c r="R51" s="9"/>
      <c r="S51" s="9"/>
      <c r="T51" s="9"/>
      <c r="U51" s="9"/>
      <c r="V51" s="9"/>
      <c r="W51" s="9"/>
      <c r="X51" s="9"/>
      <c r="Y51" s="9"/>
      <c r="Z51" s="9"/>
    </row>
    <row r="52" spans="1:26" ht="13.5" hidden="1" customHeight="1" outlineLevel="1">
      <c r="A52" s="46"/>
      <c r="B52" s="9"/>
      <c r="C52" s="9"/>
      <c r="D52" s="9"/>
      <c r="E52" s="9"/>
      <c r="F52" s="9"/>
      <c r="G52" s="9"/>
      <c r="H52" s="9"/>
      <c r="I52" s="9"/>
      <c r="J52" s="9"/>
      <c r="K52" s="9"/>
      <c r="L52" s="9"/>
      <c r="M52" s="9"/>
      <c r="N52" s="9"/>
      <c r="O52" s="9"/>
      <c r="P52" s="9"/>
      <c r="Q52" s="9"/>
      <c r="R52" s="9"/>
      <c r="S52" s="9"/>
      <c r="T52" s="9"/>
      <c r="U52" s="9"/>
      <c r="V52" s="9"/>
      <c r="W52" s="9"/>
      <c r="X52" s="9"/>
      <c r="Y52" s="9"/>
      <c r="Z52" s="9"/>
    </row>
    <row r="53" spans="1:26" ht="13.5" hidden="1" customHeight="1" outlineLevel="1">
      <c r="A53" s="46"/>
      <c r="B53" s="9"/>
      <c r="C53" s="987" t="s">
        <v>37</v>
      </c>
      <c r="D53" s="986"/>
      <c r="E53" s="9"/>
      <c r="F53" s="9"/>
      <c r="G53" s="9"/>
      <c r="H53" s="9"/>
      <c r="I53" s="9"/>
      <c r="J53" s="9"/>
      <c r="K53" s="9"/>
      <c r="L53" s="9"/>
      <c r="M53" s="9"/>
      <c r="N53" s="9"/>
      <c r="O53" s="9"/>
      <c r="P53" s="9"/>
      <c r="Q53" s="9"/>
      <c r="R53" s="9"/>
      <c r="S53" s="9"/>
      <c r="T53" s="9"/>
      <c r="U53" s="9"/>
      <c r="V53" s="9"/>
      <c r="W53" s="9"/>
      <c r="X53" s="9"/>
      <c r="Y53" s="9"/>
      <c r="Z53" s="9"/>
    </row>
    <row r="54" spans="1:26" ht="13.5" hidden="1" customHeight="1" outlineLevel="1">
      <c r="A54" s="46" t="s">
        <v>0</v>
      </c>
      <c r="B54" s="9"/>
      <c r="C54" s="9"/>
      <c r="D54" s="9"/>
      <c r="E54" s="9"/>
      <c r="F54" s="9"/>
      <c r="G54" s="9"/>
      <c r="H54" s="9"/>
      <c r="I54" s="9"/>
      <c r="J54" s="9"/>
      <c r="K54" s="9"/>
      <c r="L54" s="9"/>
      <c r="M54" s="9"/>
      <c r="N54" s="9"/>
      <c r="O54" s="9"/>
      <c r="P54" s="9"/>
      <c r="Q54" s="9"/>
      <c r="R54" s="9"/>
      <c r="S54" s="9"/>
      <c r="T54" s="9"/>
      <c r="U54" s="9"/>
      <c r="V54" s="9"/>
      <c r="W54" s="9"/>
      <c r="X54" s="9"/>
      <c r="Y54" s="9"/>
      <c r="Z54" s="9"/>
    </row>
    <row r="55" spans="1:26" ht="13.5" hidden="1" customHeight="1" outlineLevel="1">
      <c r="A55" s="46"/>
      <c r="B55" s="9"/>
      <c r="C55" s="988" t="s">
        <v>72</v>
      </c>
      <c r="D55" s="986"/>
      <c r="E55" s="9"/>
      <c r="F55" s="9"/>
      <c r="G55" s="9"/>
      <c r="H55" s="9"/>
      <c r="I55" s="9"/>
      <c r="J55" s="9"/>
      <c r="K55" s="9"/>
      <c r="L55" s="9"/>
      <c r="M55" s="9"/>
      <c r="N55" s="9"/>
      <c r="O55" s="9"/>
      <c r="P55" s="9"/>
      <c r="Q55" s="9"/>
      <c r="R55" s="9"/>
      <c r="S55" s="9"/>
      <c r="T55" s="9"/>
      <c r="U55" s="9"/>
      <c r="V55" s="9"/>
      <c r="W55" s="9"/>
      <c r="X55" s="9"/>
      <c r="Y55" s="9"/>
      <c r="Z55" s="9"/>
    </row>
    <row r="56" spans="1:26" ht="13.5" hidden="1" customHeight="1" outlineLevel="1">
      <c r="A56" s="46"/>
      <c r="B56" s="9"/>
      <c r="C56" s="9"/>
      <c r="D56" s="9"/>
      <c r="E56" s="9"/>
      <c r="F56" s="9"/>
      <c r="G56" s="9"/>
      <c r="H56" s="9"/>
      <c r="I56" s="9"/>
      <c r="J56" s="9"/>
      <c r="K56" s="9"/>
      <c r="L56" s="9"/>
      <c r="M56" s="9"/>
      <c r="N56" s="9"/>
      <c r="O56" s="9"/>
      <c r="P56" s="9"/>
      <c r="Q56" s="9"/>
      <c r="R56" s="9"/>
      <c r="S56" s="9"/>
      <c r="T56" s="9"/>
      <c r="U56" s="9"/>
      <c r="V56" s="9"/>
      <c r="W56" s="9"/>
      <c r="X56" s="9"/>
      <c r="Y56" s="9"/>
      <c r="Z56" s="9"/>
    </row>
    <row r="57" spans="1:26" ht="13.5" hidden="1" customHeight="1" outlineLevel="1">
      <c r="A57" s="46"/>
      <c r="B57" s="9"/>
      <c r="C57" s="989" t="s">
        <v>44</v>
      </c>
      <c r="D57" s="986"/>
      <c r="E57" s="9"/>
      <c r="F57" s="9"/>
      <c r="G57" s="9"/>
      <c r="H57" s="9"/>
      <c r="I57" s="9"/>
      <c r="J57" s="9"/>
      <c r="K57" s="9"/>
      <c r="L57" s="9"/>
      <c r="M57" s="9"/>
      <c r="N57" s="9"/>
      <c r="O57" s="9"/>
      <c r="P57" s="9"/>
      <c r="Q57" s="9"/>
      <c r="R57" s="9"/>
      <c r="S57" s="9"/>
      <c r="T57" s="9"/>
      <c r="U57" s="9"/>
      <c r="V57" s="9"/>
      <c r="W57" s="9"/>
      <c r="X57" s="9"/>
      <c r="Y57" s="9"/>
      <c r="Z57" s="9"/>
    </row>
    <row r="58" spans="1:26" ht="13.5" hidden="1" customHeight="1" outlineLevel="1">
      <c r="A58" s="46"/>
      <c r="B58" s="9"/>
      <c r="C58" s="9"/>
      <c r="D58" s="9"/>
      <c r="E58" s="9"/>
      <c r="F58" s="9"/>
      <c r="G58" s="9"/>
      <c r="H58" s="9"/>
      <c r="I58" s="9"/>
      <c r="J58" s="9"/>
      <c r="K58" s="9"/>
      <c r="L58" s="9"/>
      <c r="M58" s="9"/>
      <c r="N58" s="9"/>
      <c r="O58" s="9"/>
      <c r="P58" s="9"/>
      <c r="Q58" s="9"/>
      <c r="R58" s="9"/>
      <c r="S58" s="9"/>
      <c r="T58" s="9"/>
      <c r="U58" s="9"/>
      <c r="V58" s="9"/>
      <c r="W58" s="9"/>
      <c r="X58" s="9"/>
      <c r="Y58" s="9"/>
      <c r="Z58" s="9"/>
    </row>
    <row r="59" spans="1:26" ht="13.5" hidden="1" customHeight="1" outlineLevel="1">
      <c r="A59" s="46"/>
      <c r="B59" s="9"/>
      <c r="C59" s="994" t="s">
        <v>73</v>
      </c>
      <c r="D59" s="986"/>
      <c r="E59" s="9"/>
      <c r="F59" s="9"/>
      <c r="G59" s="9"/>
      <c r="H59" s="9"/>
      <c r="I59" s="9"/>
      <c r="J59" s="9"/>
      <c r="K59" s="9"/>
      <c r="L59" s="9"/>
      <c r="M59" s="9"/>
      <c r="N59" s="9"/>
      <c r="O59" s="9"/>
      <c r="P59" s="9"/>
      <c r="Q59" s="9"/>
      <c r="R59" s="9"/>
      <c r="S59" s="9"/>
      <c r="T59" s="9"/>
      <c r="U59" s="9"/>
      <c r="V59" s="9"/>
      <c r="W59" s="9"/>
      <c r="X59" s="9"/>
      <c r="Y59" s="9"/>
      <c r="Z59" s="9"/>
    </row>
    <row r="60" spans="1:26" ht="13.5" hidden="1" customHeight="1" outlineLevel="1">
      <c r="A60" s="46"/>
      <c r="B60" s="9"/>
      <c r="C60" s="9"/>
      <c r="D60" s="9"/>
      <c r="E60" s="9"/>
      <c r="F60" s="9"/>
      <c r="G60" s="9"/>
      <c r="H60" s="9"/>
      <c r="I60" s="9"/>
      <c r="J60" s="9"/>
      <c r="K60" s="9"/>
      <c r="L60" s="9"/>
      <c r="M60" s="9"/>
      <c r="N60" s="9"/>
      <c r="O60" s="9"/>
      <c r="P60" s="9"/>
      <c r="Q60" s="9"/>
      <c r="R60" s="9"/>
      <c r="S60" s="9"/>
      <c r="T60" s="9"/>
      <c r="U60" s="9"/>
      <c r="V60" s="9"/>
      <c r="W60" s="9"/>
      <c r="X60" s="9"/>
      <c r="Y60" s="9"/>
      <c r="Z60" s="9"/>
    </row>
    <row r="61" spans="1:26" ht="13.5" hidden="1" customHeight="1" outlineLevel="1">
      <c r="A61" s="46"/>
      <c r="B61" s="9"/>
      <c r="C61" s="995" t="s">
        <v>74</v>
      </c>
      <c r="D61" s="974"/>
      <c r="E61" s="974"/>
      <c r="F61" s="975"/>
      <c r="G61" s="9"/>
      <c r="H61" s="9"/>
      <c r="I61" s="9"/>
      <c r="J61" s="9"/>
      <c r="K61" s="9"/>
      <c r="L61" s="9"/>
      <c r="M61" s="9"/>
      <c r="N61" s="9"/>
      <c r="O61" s="9"/>
      <c r="P61" s="9"/>
      <c r="Q61" s="9"/>
      <c r="R61" s="9"/>
      <c r="S61" s="9"/>
      <c r="T61" s="9"/>
      <c r="U61" s="9"/>
      <c r="V61" s="9"/>
      <c r="W61" s="9"/>
      <c r="X61" s="9"/>
      <c r="Y61" s="9"/>
      <c r="Z61" s="9"/>
    </row>
    <row r="62" spans="1:26" ht="13.5" hidden="1" customHeight="1" outlineLevel="1">
      <c r="A62" s="46"/>
      <c r="B62" s="9"/>
      <c r="C62" s="66"/>
      <c r="D62" s="9"/>
      <c r="E62" s="9"/>
      <c r="F62" s="9"/>
      <c r="G62" s="9"/>
      <c r="H62" s="9"/>
      <c r="I62" s="9"/>
      <c r="J62" s="9"/>
      <c r="K62" s="9"/>
      <c r="L62" s="9"/>
      <c r="M62" s="9"/>
      <c r="N62" s="9"/>
      <c r="O62" s="9"/>
      <c r="P62" s="9"/>
      <c r="Q62" s="9"/>
      <c r="R62" s="9"/>
      <c r="S62" s="9"/>
      <c r="T62" s="9"/>
      <c r="U62" s="9"/>
      <c r="V62" s="9"/>
      <c r="W62" s="9"/>
      <c r="X62" s="9"/>
      <c r="Y62" s="9"/>
      <c r="Z62" s="9"/>
    </row>
    <row r="63" spans="1:26" ht="13.5" hidden="1" customHeight="1" outlineLevel="1">
      <c r="A63" s="46"/>
      <c r="B63" s="9"/>
      <c r="C63" s="996" t="s">
        <v>75</v>
      </c>
      <c r="D63" s="986"/>
      <c r="E63" s="9"/>
      <c r="F63" s="67" t="s">
        <v>76</v>
      </c>
      <c r="G63" s="9"/>
      <c r="H63" s="9"/>
      <c r="I63" s="9"/>
      <c r="J63" s="9"/>
      <c r="K63" s="9"/>
      <c r="L63" s="9"/>
      <c r="M63" s="9"/>
      <c r="N63" s="9"/>
      <c r="O63" s="9"/>
      <c r="P63" s="9"/>
      <c r="Q63" s="9"/>
      <c r="R63" s="9"/>
      <c r="S63" s="9"/>
      <c r="T63" s="9"/>
      <c r="U63" s="9"/>
      <c r="V63" s="9"/>
      <c r="W63" s="9"/>
      <c r="X63" s="9"/>
      <c r="Y63" s="9"/>
      <c r="Z63" s="9"/>
    </row>
    <row r="64" spans="1:26" ht="13.5" hidden="1" customHeight="1" outlineLevel="1">
      <c r="A64" s="46"/>
      <c r="B64" s="9"/>
      <c r="C64" s="68"/>
      <c r="D64" s="9"/>
      <c r="E64" s="9"/>
      <c r="F64" s="69"/>
      <c r="G64" s="9"/>
      <c r="H64" s="9"/>
      <c r="I64" s="9"/>
      <c r="J64" s="9"/>
      <c r="K64" s="9"/>
      <c r="L64" s="9"/>
      <c r="M64" s="9"/>
      <c r="N64" s="9"/>
      <c r="O64" s="9"/>
      <c r="P64" s="9"/>
      <c r="Q64" s="9"/>
      <c r="R64" s="9"/>
      <c r="S64" s="9"/>
      <c r="T64" s="9"/>
      <c r="U64" s="9"/>
      <c r="V64" s="9"/>
      <c r="W64" s="9"/>
      <c r="X64" s="9"/>
      <c r="Y64" s="9"/>
      <c r="Z64" s="9"/>
    </row>
    <row r="65" spans="1:26" ht="13.5" hidden="1" customHeight="1" outlineLevel="1">
      <c r="A65" s="46"/>
      <c r="B65" s="9"/>
      <c r="C65" s="985" t="s">
        <v>77</v>
      </c>
      <c r="D65" s="986"/>
      <c r="E65" s="9"/>
      <c r="F65" s="67" t="s">
        <v>78</v>
      </c>
      <c r="G65" s="9"/>
      <c r="H65" s="9"/>
      <c r="I65" s="9"/>
      <c r="J65" s="9"/>
      <c r="K65" s="9"/>
      <c r="L65" s="9"/>
      <c r="M65" s="9"/>
      <c r="N65" s="9"/>
      <c r="O65" s="9"/>
      <c r="P65" s="9"/>
      <c r="Q65" s="9"/>
      <c r="R65" s="9"/>
      <c r="S65" s="9"/>
      <c r="T65" s="9"/>
      <c r="U65" s="9"/>
      <c r="V65" s="9"/>
      <c r="W65" s="9"/>
      <c r="X65" s="9"/>
      <c r="Y65" s="9"/>
      <c r="Z65" s="9"/>
    </row>
    <row r="66" spans="1:26" ht="13.5" hidden="1" customHeight="1" outlineLevel="1">
      <c r="A66" s="46"/>
      <c r="B66" s="9"/>
      <c r="C66" s="68"/>
      <c r="D66" s="9"/>
      <c r="E66" s="9"/>
      <c r="F66" s="69"/>
      <c r="G66" s="9"/>
      <c r="H66" s="9"/>
      <c r="I66" s="9"/>
      <c r="J66" s="9"/>
      <c r="K66" s="9"/>
      <c r="L66" s="9"/>
      <c r="M66" s="9"/>
      <c r="N66" s="9"/>
      <c r="O66" s="9"/>
      <c r="P66" s="9"/>
      <c r="Q66" s="9"/>
      <c r="R66" s="9"/>
      <c r="S66" s="9"/>
      <c r="T66" s="9"/>
      <c r="U66" s="9"/>
      <c r="V66" s="9"/>
      <c r="W66" s="9"/>
      <c r="X66" s="9"/>
      <c r="Y66" s="9"/>
      <c r="Z66" s="9"/>
    </row>
    <row r="67" spans="1:26" ht="13.5" hidden="1" customHeight="1" outlineLevel="1">
      <c r="A67" s="46"/>
      <c r="B67" s="9"/>
      <c r="C67" s="997" t="s">
        <v>79</v>
      </c>
      <c r="D67" s="986"/>
      <c r="E67" s="9"/>
      <c r="F67" s="67" t="s">
        <v>80</v>
      </c>
      <c r="G67" s="9"/>
      <c r="H67" s="9"/>
      <c r="I67" s="9"/>
      <c r="J67" s="9"/>
      <c r="K67" s="9"/>
      <c r="L67" s="9"/>
      <c r="M67" s="9"/>
      <c r="N67" s="9"/>
      <c r="O67" s="9"/>
      <c r="P67" s="9"/>
      <c r="Q67" s="9"/>
      <c r="R67" s="9"/>
      <c r="S67" s="9"/>
      <c r="T67" s="9"/>
      <c r="U67" s="9"/>
      <c r="V67" s="9"/>
      <c r="W67" s="9"/>
      <c r="X67" s="9"/>
      <c r="Y67" s="9"/>
      <c r="Z67" s="9"/>
    </row>
    <row r="68" spans="1:26" ht="13.5" hidden="1" customHeight="1" outlineLevel="1">
      <c r="A68" s="46"/>
      <c r="B68" s="9"/>
      <c r="C68" s="69"/>
      <c r="D68" s="9"/>
      <c r="E68" s="9"/>
      <c r="F68" s="69"/>
      <c r="G68" s="9"/>
      <c r="H68" s="9"/>
      <c r="I68" s="9"/>
      <c r="J68" s="9"/>
      <c r="K68" s="9"/>
      <c r="L68" s="9"/>
      <c r="M68" s="9"/>
      <c r="N68" s="9"/>
      <c r="O68" s="9"/>
      <c r="P68" s="9"/>
      <c r="Q68" s="9"/>
      <c r="R68" s="9"/>
      <c r="S68" s="9"/>
      <c r="T68" s="9"/>
      <c r="U68" s="9"/>
      <c r="V68" s="9"/>
      <c r="W68" s="9"/>
      <c r="X68" s="9"/>
      <c r="Y68" s="9"/>
      <c r="Z68" s="9"/>
    </row>
    <row r="69" spans="1:26" ht="13.5" hidden="1" customHeight="1" outlineLevel="1">
      <c r="A69" s="46"/>
      <c r="B69" s="9"/>
      <c r="C69" s="998" t="s">
        <v>81</v>
      </c>
      <c r="D69" s="986"/>
      <c r="E69" s="9"/>
      <c r="F69" s="67" t="s">
        <v>82</v>
      </c>
      <c r="G69" s="9"/>
      <c r="H69" s="9"/>
      <c r="I69" s="9"/>
      <c r="J69" s="9"/>
      <c r="K69" s="9"/>
      <c r="L69" s="9"/>
      <c r="M69" s="9"/>
      <c r="N69" s="9"/>
      <c r="O69" s="9"/>
      <c r="P69" s="9"/>
      <c r="Q69" s="9"/>
      <c r="R69" s="9"/>
      <c r="S69" s="9"/>
      <c r="T69" s="9"/>
      <c r="U69" s="9"/>
      <c r="V69" s="9"/>
      <c r="W69" s="9"/>
      <c r="X69" s="9"/>
      <c r="Y69" s="9"/>
      <c r="Z69" s="9"/>
    </row>
    <row r="70" spans="1:26" ht="13.5" hidden="1" customHeight="1" outlineLevel="1">
      <c r="A70" s="46"/>
      <c r="B70" s="9"/>
      <c r="C70" s="70"/>
      <c r="D70" s="9"/>
      <c r="E70" s="9"/>
      <c r="F70" s="70"/>
      <c r="G70" s="9"/>
      <c r="H70" s="9"/>
      <c r="I70" s="9"/>
      <c r="J70" s="9"/>
      <c r="K70" s="9"/>
      <c r="L70" s="9"/>
      <c r="M70" s="9"/>
      <c r="N70" s="9"/>
      <c r="O70" s="9"/>
      <c r="P70" s="9"/>
      <c r="Q70" s="9"/>
      <c r="R70" s="9"/>
      <c r="S70" s="9"/>
      <c r="T70" s="9"/>
      <c r="U70" s="9"/>
      <c r="V70" s="9"/>
      <c r="W70" s="9"/>
      <c r="X70" s="9"/>
      <c r="Y70" s="9"/>
      <c r="Z70" s="9"/>
    </row>
    <row r="71" spans="1:26" ht="13.5" hidden="1" customHeight="1" outlineLevel="1">
      <c r="A71" s="46"/>
      <c r="B71" s="9"/>
      <c r="C71" s="989" t="s">
        <v>83</v>
      </c>
      <c r="D71" s="986"/>
      <c r="E71" s="9"/>
      <c r="F71" s="67" t="s">
        <v>84</v>
      </c>
      <c r="G71" s="9"/>
      <c r="H71" s="9"/>
      <c r="I71" s="9"/>
      <c r="J71" s="9"/>
      <c r="K71" s="9"/>
      <c r="L71" s="9"/>
      <c r="M71" s="9"/>
      <c r="N71" s="9"/>
      <c r="O71" s="9"/>
      <c r="P71" s="9"/>
      <c r="Q71" s="9"/>
      <c r="R71" s="9"/>
      <c r="S71" s="9"/>
      <c r="T71" s="9"/>
      <c r="U71" s="9"/>
      <c r="V71" s="9"/>
      <c r="W71" s="9"/>
      <c r="X71" s="9"/>
      <c r="Y71" s="9"/>
      <c r="Z71" s="9"/>
    </row>
    <row r="72" spans="1:26" ht="13.5" hidden="1" customHeight="1" outlineLevel="1">
      <c r="A72" s="46"/>
      <c r="B72" s="9"/>
      <c r="C72" s="70"/>
      <c r="D72" s="9"/>
      <c r="E72" s="9"/>
      <c r="F72" s="70"/>
      <c r="G72" s="9"/>
      <c r="H72" s="9"/>
      <c r="I72" s="9"/>
      <c r="J72" s="9"/>
      <c r="K72" s="9"/>
      <c r="L72" s="9"/>
      <c r="M72" s="9"/>
      <c r="N72" s="9"/>
      <c r="O72" s="9"/>
      <c r="P72" s="9"/>
      <c r="Q72" s="9"/>
      <c r="R72" s="9"/>
      <c r="S72" s="9"/>
      <c r="T72" s="9"/>
      <c r="U72" s="9"/>
      <c r="V72" s="9"/>
      <c r="W72" s="9"/>
      <c r="X72" s="9"/>
      <c r="Y72" s="9"/>
      <c r="Z72" s="9"/>
    </row>
    <row r="73" spans="1:26" ht="13.5" hidden="1" customHeight="1" outlineLevel="1">
      <c r="A73" s="46"/>
      <c r="B73" s="9"/>
      <c r="C73" s="990" t="s">
        <v>85</v>
      </c>
      <c r="D73" s="986"/>
      <c r="E73" s="9"/>
      <c r="F73" s="67" t="s">
        <v>86</v>
      </c>
      <c r="G73" s="9"/>
      <c r="H73" s="9"/>
      <c r="I73" s="9"/>
      <c r="J73" s="9"/>
      <c r="K73" s="9"/>
      <c r="L73" s="9"/>
      <c r="M73" s="9"/>
      <c r="N73" s="9"/>
      <c r="O73" s="9"/>
      <c r="P73" s="9"/>
      <c r="Q73" s="9"/>
      <c r="R73" s="9"/>
      <c r="S73" s="9"/>
      <c r="T73" s="9"/>
      <c r="U73" s="9"/>
      <c r="V73" s="9"/>
      <c r="W73" s="9"/>
      <c r="X73" s="9"/>
      <c r="Y73" s="9"/>
      <c r="Z73" s="9"/>
    </row>
    <row r="74" spans="1:26" ht="13.5" hidden="1" customHeight="1" outlineLevel="1">
      <c r="A74" s="46"/>
      <c r="B74" s="9"/>
      <c r="C74" s="9"/>
      <c r="D74" s="9"/>
      <c r="E74" s="9"/>
      <c r="F74" s="9"/>
      <c r="G74" s="9"/>
      <c r="H74" s="9"/>
      <c r="I74" s="9"/>
      <c r="J74" s="9"/>
      <c r="K74" s="9"/>
      <c r="L74" s="9"/>
      <c r="M74" s="9"/>
      <c r="N74" s="9"/>
      <c r="O74" s="9"/>
      <c r="P74" s="9"/>
      <c r="Q74" s="9"/>
      <c r="R74" s="9"/>
      <c r="S74" s="9"/>
      <c r="T74" s="9"/>
      <c r="U74" s="9"/>
      <c r="V74" s="9"/>
      <c r="W74" s="9"/>
      <c r="X74" s="9"/>
      <c r="Y74" s="9"/>
      <c r="Z74" s="9"/>
    </row>
    <row r="75" spans="1:26" ht="13.5" hidden="1" customHeight="1" outlineLevel="1">
      <c r="A75" s="46"/>
      <c r="B75" s="9"/>
      <c r="C75" s="988" t="s">
        <v>87</v>
      </c>
      <c r="D75" s="986"/>
      <c r="E75" s="9"/>
      <c r="F75" s="67" t="s">
        <v>88</v>
      </c>
      <c r="G75" s="9"/>
      <c r="H75" s="9"/>
      <c r="I75" s="9"/>
      <c r="J75" s="9"/>
      <c r="K75" s="9"/>
      <c r="L75" s="9"/>
      <c r="M75" s="9"/>
      <c r="N75" s="9"/>
      <c r="O75" s="9"/>
      <c r="P75" s="9"/>
      <c r="Q75" s="9"/>
      <c r="R75" s="9"/>
      <c r="S75" s="9"/>
      <c r="T75" s="9"/>
      <c r="U75" s="9"/>
      <c r="V75" s="9"/>
      <c r="W75" s="9"/>
      <c r="X75" s="9"/>
      <c r="Y75" s="9"/>
      <c r="Z75" s="9"/>
    </row>
    <row r="76" spans="1:26" ht="13.5" hidden="1" customHeight="1" outlineLevel="1">
      <c r="A76" s="46"/>
      <c r="B76" s="9"/>
      <c r="C76" s="9"/>
      <c r="D76" s="9"/>
      <c r="E76" s="9"/>
      <c r="F76" s="9"/>
      <c r="G76" s="9"/>
      <c r="H76" s="9"/>
      <c r="I76" s="9"/>
      <c r="J76" s="9"/>
      <c r="K76" s="9"/>
      <c r="L76" s="9"/>
      <c r="M76" s="9"/>
      <c r="N76" s="9"/>
      <c r="O76" s="9"/>
      <c r="P76" s="9"/>
      <c r="Q76" s="9"/>
      <c r="R76" s="9"/>
      <c r="S76" s="9"/>
      <c r="T76" s="9"/>
      <c r="U76" s="9"/>
      <c r="V76" s="9"/>
      <c r="W76" s="9"/>
      <c r="X76" s="9"/>
      <c r="Y76" s="9"/>
      <c r="Z76" s="9"/>
    </row>
    <row r="77" spans="1:26" ht="13.5" hidden="1" customHeight="1" outlineLevel="1">
      <c r="A77" s="46"/>
      <c r="B77" s="9"/>
      <c r="C77" s="991" t="s">
        <v>89</v>
      </c>
      <c r="D77" s="986"/>
      <c r="E77" s="9"/>
      <c r="F77" s="67" t="s">
        <v>90</v>
      </c>
      <c r="G77" s="9"/>
      <c r="H77" s="9"/>
      <c r="I77" s="9"/>
      <c r="J77" s="9"/>
      <c r="K77" s="9"/>
      <c r="L77" s="9"/>
      <c r="M77" s="9"/>
      <c r="N77" s="9"/>
      <c r="O77" s="9"/>
      <c r="P77" s="9"/>
      <c r="Q77" s="9"/>
      <c r="R77" s="9"/>
      <c r="S77" s="9"/>
      <c r="T77" s="9"/>
      <c r="U77" s="9"/>
      <c r="V77" s="9"/>
      <c r="W77" s="9"/>
      <c r="X77" s="9"/>
      <c r="Y77" s="9"/>
      <c r="Z77" s="9"/>
    </row>
    <row r="78" spans="1:26" ht="13.5" hidden="1" customHeight="1" outlineLevel="1">
      <c r="A78" s="46"/>
      <c r="B78" s="9"/>
      <c r="C78" s="9"/>
      <c r="D78" s="9"/>
      <c r="E78" s="9"/>
      <c r="F78" s="9"/>
      <c r="G78" s="9"/>
      <c r="H78" s="9"/>
      <c r="I78" s="9"/>
      <c r="J78" s="9"/>
      <c r="K78" s="9"/>
      <c r="L78" s="9"/>
      <c r="M78" s="9"/>
      <c r="N78" s="9"/>
      <c r="O78" s="9"/>
      <c r="P78" s="9"/>
      <c r="Q78" s="9"/>
      <c r="R78" s="9"/>
      <c r="S78" s="9"/>
      <c r="T78" s="9"/>
      <c r="U78" s="9"/>
      <c r="V78" s="9"/>
      <c r="W78" s="9"/>
      <c r="X78" s="9"/>
      <c r="Y78" s="9"/>
      <c r="Z78" s="9"/>
    </row>
    <row r="79" spans="1:26" ht="13.5" hidden="1" customHeight="1" outlineLevel="1">
      <c r="A79" s="46"/>
      <c r="B79" s="9"/>
      <c r="C79" s="992" t="s">
        <v>91</v>
      </c>
      <c r="D79" s="986"/>
      <c r="E79" s="9"/>
      <c r="F79" s="67" t="s">
        <v>92</v>
      </c>
      <c r="G79" s="9"/>
      <c r="H79" s="9"/>
      <c r="I79" s="9"/>
      <c r="J79" s="9"/>
      <c r="K79" s="9"/>
      <c r="L79" s="9"/>
      <c r="M79" s="9"/>
      <c r="N79" s="9"/>
      <c r="O79" s="9"/>
      <c r="P79" s="9"/>
      <c r="Q79" s="9"/>
      <c r="R79" s="9"/>
      <c r="S79" s="9"/>
      <c r="T79" s="9"/>
      <c r="U79" s="9"/>
      <c r="V79" s="9"/>
      <c r="W79" s="9"/>
      <c r="X79" s="9"/>
      <c r="Y79" s="9"/>
      <c r="Z79" s="9"/>
    </row>
    <row r="80" spans="1:26" ht="13.5" hidden="1" customHeight="1" outlineLevel="1">
      <c r="A80" s="46"/>
      <c r="B80" s="9"/>
      <c r="C80" s="9"/>
      <c r="D80" s="9"/>
      <c r="E80" s="9"/>
      <c r="F80" s="9"/>
      <c r="G80" s="9"/>
      <c r="H80" s="9"/>
      <c r="I80" s="9"/>
      <c r="J80" s="9"/>
      <c r="K80" s="9"/>
      <c r="L80" s="9"/>
      <c r="M80" s="9"/>
      <c r="N80" s="9"/>
      <c r="O80" s="9"/>
      <c r="P80" s="9"/>
      <c r="Q80" s="9"/>
      <c r="R80" s="9"/>
      <c r="S80" s="9"/>
      <c r="T80" s="9"/>
      <c r="U80" s="9"/>
      <c r="V80" s="9"/>
      <c r="W80" s="9"/>
      <c r="X80" s="9"/>
      <c r="Y80" s="9"/>
      <c r="Z80" s="9"/>
    </row>
    <row r="81" spans="1:26" ht="13.5" hidden="1" customHeight="1" outlineLevel="1">
      <c r="A81" s="46"/>
      <c r="B81" s="9"/>
      <c r="C81" s="993" t="s">
        <v>93</v>
      </c>
      <c r="D81" s="986"/>
      <c r="E81" s="9"/>
      <c r="F81" s="67" t="s">
        <v>94</v>
      </c>
      <c r="G81" s="9"/>
      <c r="H81" s="9"/>
      <c r="I81" s="9"/>
      <c r="J81" s="9"/>
      <c r="K81" s="9"/>
      <c r="L81" s="9"/>
      <c r="M81" s="9"/>
      <c r="N81" s="9"/>
      <c r="O81" s="9"/>
      <c r="P81" s="9"/>
      <c r="Q81" s="9"/>
      <c r="R81" s="9"/>
      <c r="S81" s="9"/>
      <c r="T81" s="9"/>
      <c r="U81" s="9"/>
      <c r="V81" s="9"/>
      <c r="W81" s="9"/>
      <c r="X81" s="9"/>
      <c r="Y81" s="9"/>
      <c r="Z81" s="9"/>
    </row>
    <row r="82" spans="1:26" ht="13.5" hidden="1" customHeight="1" outlineLevel="1">
      <c r="A82" s="46"/>
      <c r="B82" s="9"/>
      <c r="C82" s="9"/>
      <c r="D82" s="9"/>
      <c r="E82" s="9"/>
      <c r="F82" s="9"/>
      <c r="G82" s="9"/>
      <c r="H82" s="9"/>
      <c r="I82" s="2"/>
      <c r="J82" s="2"/>
      <c r="K82" s="2"/>
      <c r="L82" s="2"/>
      <c r="M82" s="2"/>
      <c r="N82" s="2"/>
      <c r="O82" s="2"/>
      <c r="P82" s="2"/>
      <c r="Q82" s="2"/>
      <c r="R82" s="2"/>
      <c r="S82" s="2"/>
      <c r="T82" s="2"/>
      <c r="U82" s="2"/>
      <c r="V82" s="2"/>
      <c r="W82" s="2"/>
      <c r="X82" s="2"/>
      <c r="Y82" s="2"/>
      <c r="Z82" s="2"/>
    </row>
    <row r="83" spans="1:26" ht="13.5" customHeight="1" collapsed="1">
      <c r="A83" s="46" t="s">
        <v>0</v>
      </c>
      <c r="B83" s="46" t="s">
        <v>0</v>
      </c>
      <c r="C83" s="71" t="s">
        <v>95</v>
      </c>
      <c r="D83" s="72"/>
      <c r="E83" s="72"/>
      <c r="F83" s="72"/>
      <c r="G83" s="72"/>
      <c r="H83" s="72"/>
      <c r="I83" s="72"/>
      <c r="J83" s="72"/>
      <c r="K83" s="72"/>
      <c r="L83" s="72"/>
      <c r="M83" s="72"/>
      <c r="N83" s="72"/>
      <c r="O83" s="72"/>
      <c r="P83" s="73"/>
      <c r="Q83" s="2"/>
      <c r="R83" s="2"/>
      <c r="S83" s="2"/>
      <c r="T83" s="2"/>
      <c r="U83" s="2"/>
      <c r="V83" s="2"/>
      <c r="W83" s="2"/>
      <c r="X83" s="2"/>
      <c r="Y83" s="2"/>
      <c r="Z83" s="2"/>
    </row>
    <row r="84" spans="1:26"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6">
    <mergeCell ref="C77:D77"/>
    <mergeCell ref="C79:D79"/>
    <mergeCell ref="C81:D81"/>
    <mergeCell ref="C59:D59"/>
    <mergeCell ref="C61:F61"/>
    <mergeCell ref="C63:D63"/>
    <mergeCell ref="C65:D65"/>
    <mergeCell ref="C67:D67"/>
    <mergeCell ref="C69:D69"/>
    <mergeCell ref="C71:D71"/>
    <mergeCell ref="C53:D53"/>
    <mergeCell ref="C55:D55"/>
    <mergeCell ref="C57:D57"/>
    <mergeCell ref="C73:D73"/>
    <mergeCell ref="C75:D75"/>
    <mergeCell ref="C44:F44"/>
    <mergeCell ref="C45:F45"/>
    <mergeCell ref="C46:F46"/>
    <mergeCell ref="C47:F47"/>
    <mergeCell ref="C51:D51"/>
    <mergeCell ref="I6:L6"/>
    <mergeCell ref="N6:Q6"/>
    <mergeCell ref="I8:L8"/>
    <mergeCell ref="N8:Q8"/>
    <mergeCell ref="I15:L15"/>
    <mergeCell ref="N15:Q15"/>
  </mergeCells>
  <conditionalFormatting sqref="F19:F20 F24:F27 F29:F31 F33:F35">
    <cfRule type="expression" dxfId="146" priority="1">
      <formula>$Q$2="Report"</formula>
    </cfRule>
  </conditionalFormatting>
  <conditionalFormatting sqref="F37">
    <cfRule type="expression" dxfId="145" priority="2">
      <formula>$Q$2="Report"</formula>
    </cfRule>
  </conditionalFormatting>
  <conditionalFormatting sqref="I8:L20">
    <cfRule type="expression" dxfId="144" priority="3">
      <formula>$P$2="Report"</formula>
    </cfRule>
  </conditionalFormatting>
  <conditionalFormatting sqref="I6:Q20 F19:F35">
    <cfRule type="expression" dxfId="143" priority="4">
      <formula>$Q$2="Report"</formula>
    </cfRule>
  </conditionalFormatting>
  <conditionalFormatting sqref="N8:Q8 P9:Q9 N10:O10 N11:Q11 N13:Q13 N15:Q15 N17:O17 N18:Q18 N20:Q20">
    <cfRule type="expression" dxfId="142" priority="5">
      <formula>$P$2="Report"</formula>
    </cfRule>
  </conditionalFormatting>
  <conditionalFormatting sqref="P16:Q16">
    <cfRule type="expression" dxfId="141" priority="6">
      <formula>$P$2="Report"</formula>
    </cfRule>
  </conditionalFormatting>
  <dataValidations count="5">
    <dataValidation type="list" allowBlank="1" showErrorMessage="1" sqref="Q2" xr:uid="{00000000-0002-0000-0100-000000000000}">
      <formula1>"Working,Report"</formula1>
    </dataValidation>
    <dataValidation type="list" allowBlank="1" showErrorMessage="1" sqref="F37" xr:uid="{00000000-0002-0000-0100-000001000000}">
      <formula1>"Bottom Up,Top Down"</formula1>
    </dataValidation>
    <dataValidation type="list" allowBlank="1" showErrorMessage="1" sqref="F22" xr:uid="{00000000-0002-0000-0100-000002000000}">
      <formula1>"Bull,Base,Bear"</formula1>
    </dataValidation>
    <dataValidation type="list" allowBlank="1" showErrorMessage="1" sqref="C2" xr:uid="{00000000-0002-0000-0100-000003000000}">
      <formula1>"$ in Thousands Except Per Share Data,$ in Millions Except Per Share Data,$ in Billions Except Per Share Data"</formula1>
    </dataValidation>
    <dataValidation type="list" allowBlank="1" showErrorMessage="1" sqref="F26" xr:uid="{00000000-0002-0000-0100-000004000000}">
      <formula1>"1Q,2Q,3Q,4Q"</formula1>
    </dataValidation>
  </dataValidations>
  <hyperlinks>
    <hyperlink ref="I24" location="Cover!A1" display="Cover" xr:uid="{00000000-0004-0000-0100-000000000000}"/>
    <hyperlink ref="I25" location="Summary!A1" display="Summary" xr:uid="{00000000-0004-0000-0100-000001000000}"/>
    <hyperlink ref="I26" location="'Football Field'!A1" display="Football Field" xr:uid="{00000000-0004-0000-0100-000002000000}"/>
    <hyperlink ref="I27" location="Integrity!A1" display="Integrity" xr:uid="{00000000-0004-0000-0100-000003000000}"/>
    <hyperlink ref="I28" location="'Revenue Build'!A1" display="Revenue Build" xr:uid="{00000000-0004-0000-0100-000004000000}"/>
    <hyperlink ref="I29" location="Model!A1" display="Model" xr:uid="{00000000-0004-0000-0100-000005000000}"/>
    <hyperlink ref="I30" location="'Segment Analysis'!A1" display="Segment Analysis" xr:uid="{00000000-0004-0000-0100-000006000000}"/>
    <hyperlink ref="I31" location="Drivers!A1" display="Drivers" xr:uid="{00000000-0004-0000-0100-000007000000}"/>
    <hyperlink ref="I32" location="WACC!A1" display="WACC" xr:uid="{00000000-0004-0000-0100-000008000000}"/>
    <hyperlink ref="I33" location="Valuation!A1" display="Valuation" xr:uid="{00000000-0004-0000-0100-000009000000}"/>
    <hyperlink ref="I34" location="Comparables!A1" display="Comparables" xr:uid="{00000000-0004-0000-0100-00000A000000}"/>
    <hyperlink ref="I35" location="Charts!A1" display="Charts" xr:uid="{00000000-0004-0000-0100-00000B000000}"/>
    <hyperlink ref="I36" location="Benchmark!A1" display="Benchmark" xr:uid="{00000000-0004-0000-0100-00000C000000}"/>
    <hyperlink ref="I37" location="'Multiples Data'!A1" display="Multiples Data" xr:uid="{00000000-0004-0000-0100-00000D000000}"/>
    <hyperlink ref="I38" location="'Pre-Earnings'!A1" display="Pre-Earnings" xr:uid="{00000000-0004-0000-0100-00000E000000}"/>
    <hyperlink ref="I39" location="'Post-Earnings'!A1" display="Post-Earnings" xr:uid="{00000000-0004-0000-0100-00000F000000}"/>
  </hyperlinks>
  <pageMargins left="0.7" right="0.7" top="0.75" bottom="0.75" header="0" footer="0"/>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sheetPr>
  <dimension ref="A1:AE1000"/>
  <sheetViews>
    <sheetView showGridLines="0" zoomScale="80" zoomScaleNormal="80" workbookViewId="0">
      <pane ySplit="2" topLeftCell="A3" activePane="bottomLeft" state="frozen"/>
      <selection activeCell="AD85" sqref="AD85"/>
      <selection pane="bottomLeft"/>
    </sheetView>
  </sheetViews>
  <sheetFormatPr defaultColWidth="14.44140625" defaultRowHeight="15" customHeight="1" outlineLevelRow="1" outlineLevelCol="1"/>
  <cols>
    <col min="1" max="2" width="1.6640625" customWidth="1"/>
    <col min="3" max="6" width="10.5546875" customWidth="1"/>
    <col min="7" max="18" width="12.6640625" hidden="1" customWidth="1" outlineLevel="1"/>
    <col min="19" max="19" width="0.44140625" hidden="1" customWidth="1" collapsed="1"/>
    <col min="20" max="27" width="12.6640625" customWidth="1"/>
    <col min="28" max="28" width="1.6640625" customWidth="1"/>
    <col min="29" max="29" width="10.5546875" customWidth="1"/>
    <col min="30" max="30" width="1.6640625" customWidth="1"/>
    <col min="31" max="31" width="10.5546875" customWidth="1"/>
  </cols>
  <sheetData>
    <row r="1" spans="1:31" ht="13.5" customHeight="1">
      <c r="A1" s="4"/>
      <c r="B1" s="4"/>
      <c r="C1" s="5" t="str">
        <f ca="1">Company_Name&amp;" - "&amp;MID(CELL("filename",A1),FIND("]",CELL("filename",A1))+1,255)&amp;": "&amp;Case_Scenario&amp;" Case"</f>
        <v>Hamilton Lane Inc. - Summary: Base Case</v>
      </c>
      <c r="D1" s="4"/>
      <c r="E1" s="4"/>
      <c r="F1" s="4"/>
      <c r="G1" s="4"/>
      <c r="H1" s="4"/>
      <c r="I1" s="4"/>
      <c r="J1" s="4"/>
      <c r="K1" s="4"/>
      <c r="L1" s="4"/>
      <c r="M1" s="4"/>
      <c r="N1" s="4"/>
      <c r="O1" s="4"/>
      <c r="P1" s="4"/>
      <c r="Q1" s="4"/>
      <c r="R1" s="4"/>
      <c r="S1" s="4"/>
      <c r="T1" s="4"/>
      <c r="U1" s="4"/>
      <c r="V1" s="4"/>
      <c r="W1" s="4"/>
      <c r="X1" s="4"/>
      <c r="Y1" s="4"/>
      <c r="Z1" s="4"/>
      <c r="AA1" s="4"/>
      <c r="AB1" s="4"/>
      <c r="AC1" s="4"/>
      <c r="AD1" s="4"/>
      <c r="AE1" s="4"/>
    </row>
    <row r="2" spans="1:31" ht="13.5" customHeight="1">
      <c r="A2" s="2"/>
      <c r="B2" s="2"/>
      <c r="C2" s="7" t="str">
        <f>Cover!C2</f>
        <v>$ in Millions Except Per Share Data</v>
      </c>
      <c r="D2" s="2"/>
      <c r="E2" s="2"/>
      <c r="F2" s="2"/>
      <c r="G2" s="2"/>
      <c r="H2" s="2"/>
      <c r="I2" s="2"/>
      <c r="J2" s="2"/>
      <c r="K2" s="2"/>
      <c r="L2" s="2"/>
      <c r="M2" s="2"/>
      <c r="N2" s="2"/>
      <c r="O2" s="2"/>
      <c r="P2" s="2"/>
      <c r="Q2" s="2"/>
      <c r="R2" s="2"/>
      <c r="S2" s="2"/>
      <c r="T2" s="2"/>
      <c r="U2" s="2"/>
      <c r="V2" s="2"/>
      <c r="W2" s="2"/>
      <c r="X2" s="2"/>
      <c r="Y2" s="2"/>
      <c r="Z2" s="2"/>
      <c r="AA2" s="2"/>
      <c r="AB2" s="2"/>
      <c r="AC2" s="2"/>
      <c r="AD2" s="2"/>
      <c r="AE2" s="2"/>
    </row>
    <row r="3" spans="1:31" ht="13.5" customHeight="1">
      <c r="A3" s="3"/>
      <c r="B3" s="9"/>
      <c r="C3" s="9"/>
      <c r="D3" s="9"/>
      <c r="E3" s="9"/>
      <c r="F3" s="9"/>
      <c r="G3" s="9"/>
      <c r="H3" s="9"/>
      <c r="I3" s="9"/>
      <c r="J3" s="9"/>
      <c r="K3" s="9"/>
      <c r="L3" s="9"/>
      <c r="M3" s="9"/>
      <c r="N3" s="9"/>
      <c r="O3" s="9"/>
      <c r="P3" s="9"/>
      <c r="Q3" s="9"/>
      <c r="R3" s="9"/>
      <c r="S3" s="9"/>
      <c r="T3" s="9"/>
      <c r="U3" s="9"/>
      <c r="V3" s="9"/>
      <c r="W3" s="9"/>
      <c r="X3" s="9"/>
      <c r="Y3" s="9"/>
      <c r="Z3" s="9"/>
      <c r="AA3" s="9"/>
      <c r="AB3" s="9"/>
      <c r="AC3" s="9"/>
      <c r="AD3" s="9"/>
      <c r="AE3" s="9"/>
    </row>
    <row r="4" spans="1:31" ht="13.5" hidden="1" customHeight="1" outlineLevel="1">
      <c r="A4" s="9"/>
      <c r="B4" s="9"/>
      <c r="C4" s="33" t="s">
        <v>96</v>
      </c>
      <c r="D4" s="34"/>
      <c r="E4" s="34"/>
      <c r="F4" s="34"/>
      <c r="G4" s="74"/>
      <c r="H4" s="74"/>
      <c r="I4" s="74"/>
      <c r="J4" s="34"/>
      <c r="K4" s="34"/>
      <c r="L4" s="34"/>
      <c r="M4" s="34"/>
      <c r="N4" s="74"/>
      <c r="O4" s="74"/>
      <c r="P4" s="74"/>
      <c r="Q4" s="74"/>
      <c r="R4" s="74"/>
      <c r="S4" s="34"/>
      <c r="T4" s="75">
        <f>Model!J24</f>
        <v>2023</v>
      </c>
      <c r="U4" s="75">
        <f>Model!O24</f>
        <v>2024</v>
      </c>
      <c r="V4" s="75">
        <f>Model!T24</f>
        <v>2025</v>
      </c>
      <c r="W4" s="75">
        <f>Model!Y24</f>
        <v>2026</v>
      </c>
      <c r="X4" s="75">
        <f>Model!AD24</f>
        <v>2027</v>
      </c>
      <c r="Y4" s="75">
        <f>Model!AE24</f>
        <v>2028</v>
      </c>
      <c r="Z4" s="75">
        <f>Model!AF24</f>
        <v>2029</v>
      </c>
      <c r="AA4" s="35">
        <f>Model!AG24</f>
        <v>2030</v>
      </c>
      <c r="AB4" s="9"/>
      <c r="AC4" s="9"/>
      <c r="AD4" s="9"/>
      <c r="AE4" s="9"/>
    </row>
    <row r="5" spans="1:31" ht="13.5" customHeight="1" collapsed="1">
      <c r="A5" s="9"/>
      <c r="B5" s="9"/>
      <c r="C5" s="76"/>
      <c r="D5" s="76"/>
      <c r="E5" s="76"/>
      <c r="F5" s="76"/>
      <c r="G5" s="999" t="s">
        <v>97</v>
      </c>
      <c r="H5" s="1000"/>
      <c r="I5" s="1000"/>
      <c r="J5" s="1000"/>
      <c r="K5" s="1000"/>
      <c r="L5" s="1000"/>
      <c r="M5" s="1000"/>
      <c r="N5" s="1000"/>
      <c r="O5" s="1000"/>
      <c r="P5" s="1000"/>
      <c r="Q5" s="1000"/>
      <c r="R5" s="1000"/>
      <c r="S5" s="1001"/>
      <c r="T5" s="1002" t="s">
        <v>94</v>
      </c>
      <c r="U5" s="1003"/>
      <c r="V5" s="1003"/>
      <c r="W5" s="1003"/>
      <c r="X5" s="1003"/>
      <c r="Y5" s="1003"/>
      <c r="Z5" s="1003"/>
      <c r="AA5" s="1004"/>
      <c r="AB5" s="9"/>
      <c r="AC5" s="77" t="s">
        <v>98</v>
      </c>
      <c r="AD5" s="9"/>
      <c r="AE5" s="77" t="s">
        <v>98</v>
      </c>
    </row>
    <row r="6" spans="1:31" ht="13.5" customHeight="1">
      <c r="A6" s="10" t="s">
        <v>0</v>
      </c>
      <c r="B6" s="9"/>
      <c r="C6" s="76" t="str">
        <f>"Consolidated "&amp;Model!C25</f>
        <v>Consolidated Income Statement</v>
      </c>
      <c r="D6" s="76"/>
      <c r="E6" s="76"/>
      <c r="F6" s="76"/>
      <c r="G6" s="78" t="str">
        <f>Model!P25</f>
        <v>1Q25</v>
      </c>
      <c r="H6" s="78" t="str">
        <f>Model!Q25</f>
        <v>2Q25</v>
      </c>
      <c r="I6" s="78" t="str">
        <f>Model!R25</f>
        <v>3Q25</v>
      </c>
      <c r="J6" s="78" t="str">
        <f>Model!S25</f>
        <v>4Q25</v>
      </c>
      <c r="K6" s="78" t="str">
        <f>Model!U25</f>
        <v>1Q26</v>
      </c>
      <c r="L6" s="78" t="str">
        <f>Model!V25</f>
        <v>2Q26e</v>
      </c>
      <c r="M6" s="78" t="str">
        <f>Model!W25</f>
        <v>3Q26e</v>
      </c>
      <c r="N6" s="78" t="str">
        <f>Model!X25</f>
        <v>4Q26e</v>
      </c>
      <c r="O6" s="78" t="str">
        <f>Model!Z25</f>
        <v>1Q27e</v>
      </c>
      <c r="P6" s="78" t="str">
        <f>Model!AA25</f>
        <v>2Q27e</v>
      </c>
      <c r="Q6" s="78" t="str">
        <f>Model!AB25</f>
        <v>3Q27e</v>
      </c>
      <c r="R6" s="78" t="str">
        <f>Model!AC25</f>
        <v>4Q27e</v>
      </c>
      <c r="S6" s="78"/>
      <c r="T6" s="78">
        <f>Model!J25</f>
        <v>2023</v>
      </c>
      <c r="U6" s="78">
        <f>Model!O25</f>
        <v>2024</v>
      </c>
      <c r="V6" s="78">
        <f>Model!T25</f>
        <v>2025</v>
      </c>
      <c r="W6" s="78" t="str">
        <f>Model!Y25</f>
        <v>2026e</v>
      </c>
      <c r="X6" s="78" t="str">
        <f>Model!AD25</f>
        <v>2027e</v>
      </c>
      <c r="Y6" s="78" t="str">
        <f>Model!AE25</f>
        <v>2028e</v>
      </c>
      <c r="Z6" s="78" t="str">
        <f>Model!AF25</f>
        <v>2029e</v>
      </c>
      <c r="AA6" s="78" t="str">
        <f>Model!AG25</f>
        <v>2030e</v>
      </c>
      <c r="AB6" s="9"/>
      <c r="AC6" s="78" t="s">
        <v>99</v>
      </c>
      <c r="AD6" s="9"/>
      <c r="AE6" s="78" t="s">
        <v>100</v>
      </c>
    </row>
    <row r="7" spans="1:31" ht="4.5" customHeight="1">
      <c r="A7" s="10"/>
      <c r="B7" s="9"/>
      <c r="C7" s="9"/>
      <c r="D7" s="9"/>
      <c r="E7" s="9"/>
      <c r="F7" s="9"/>
      <c r="G7" s="9"/>
      <c r="H7" s="9"/>
      <c r="I7" s="9"/>
      <c r="J7" s="9"/>
      <c r="K7" s="9"/>
      <c r="L7" s="9"/>
      <c r="M7" s="9"/>
      <c r="N7" s="9"/>
      <c r="O7" s="9"/>
      <c r="P7" s="9"/>
      <c r="Q7" s="9"/>
      <c r="R7" s="9"/>
      <c r="S7" s="9"/>
      <c r="T7" s="9"/>
      <c r="U7" s="9"/>
      <c r="V7" s="9"/>
      <c r="W7" s="9"/>
      <c r="X7" s="9"/>
      <c r="Y7" s="9"/>
      <c r="Z7" s="9"/>
      <c r="AA7" s="9"/>
      <c r="AB7" s="9"/>
      <c r="AC7" s="79"/>
      <c r="AD7" s="9"/>
      <c r="AE7" s="79"/>
    </row>
    <row r="8" spans="1:31" ht="13.5" customHeight="1">
      <c r="A8" s="10"/>
      <c r="B8" s="9"/>
      <c r="C8" s="9" t="str">
        <f>Model!C28</f>
        <v>Revenue</v>
      </c>
      <c r="D8" s="9"/>
      <c r="E8" s="9"/>
      <c r="F8" s="9"/>
      <c r="G8" s="80">
        <f>Model!P28</f>
        <v>196.73099999999999</v>
      </c>
      <c r="H8" s="80">
        <f>Model!Q28</f>
        <v>149.999</v>
      </c>
      <c r="I8" s="80">
        <f>Model!R28</f>
        <v>168.261</v>
      </c>
      <c r="J8" s="81">
        <f>Model!S28</f>
        <v>197.97300000000001</v>
      </c>
      <c r="K8" s="80">
        <f>Model!U28</f>
        <v>175.958</v>
      </c>
      <c r="L8" s="80">
        <f>Model!V28</f>
        <v>183.91066000000001</v>
      </c>
      <c r="M8" s="80">
        <f>Model!W28</f>
        <v>195.211905</v>
      </c>
      <c r="N8" s="82">
        <f>Model!X28</f>
        <v>211.57638516</v>
      </c>
      <c r="O8" s="80">
        <f>Model!Z28</f>
        <v>224.5177825758</v>
      </c>
      <c r="P8" s="80">
        <f>Model!AA28</f>
        <v>237.98884953034801</v>
      </c>
      <c r="Q8" s="80">
        <f>Model!AB28</f>
        <v>249.25560509975202</v>
      </c>
      <c r="R8" s="80">
        <f>Model!AC28</f>
        <v>260.7660605763748</v>
      </c>
      <c r="S8" s="9"/>
      <c r="T8" s="80">
        <f>Model!J28</f>
        <v>528.75300000000004</v>
      </c>
      <c r="U8" s="80">
        <f>Model!O28</f>
        <v>553.84199999999998</v>
      </c>
      <c r="V8" s="81">
        <f>Model!T28</f>
        <v>712.96399999999994</v>
      </c>
      <c r="W8" s="80">
        <f>Model!Y28</f>
        <v>766.65695015999995</v>
      </c>
      <c r="X8" s="80">
        <f>Model!AD28</f>
        <v>972.52829778227476</v>
      </c>
      <c r="Y8" s="80">
        <f>Model!AE28</f>
        <v>1040.6052786270343</v>
      </c>
      <c r="Z8" s="80">
        <f>Model!AF28</f>
        <v>1097.838568951521</v>
      </c>
      <c r="AA8" s="80">
        <f>Model!AG28</f>
        <v>1169.5212445076716</v>
      </c>
      <c r="AB8" s="9"/>
      <c r="AC8" s="83">
        <f>IFERROR((V8/T8)^(1/(V$4-T$4))-1,"N/A")</f>
        <v>0.16120093930438717</v>
      </c>
      <c r="AD8" s="64"/>
      <c r="AE8" s="83">
        <f>IFERROR((AA8/V8)^(1/(AA$4-V$4))-1,"N/A")</f>
        <v>0.10404837476077167</v>
      </c>
    </row>
    <row r="9" spans="1:31" ht="13.5" customHeight="1">
      <c r="A9" s="10"/>
      <c r="B9" s="9"/>
      <c r="C9" s="84" t="s">
        <v>101</v>
      </c>
      <c r="D9" s="9"/>
      <c r="E9" s="9"/>
      <c r="F9" s="9"/>
      <c r="G9" s="9"/>
      <c r="H9" s="85"/>
      <c r="I9" s="85"/>
      <c r="J9" s="86"/>
      <c r="K9" s="85">
        <f t="shared" ref="K9:R9" si="0">K8/G8-1</f>
        <v>-0.10559088298234642</v>
      </c>
      <c r="L9" s="85">
        <f t="shared" si="0"/>
        <v>0.22607924052827033</v>
      </c>
      <c r="M9" s="85">
        <f t="shared" si="0"/>
        <v>0.16017321304402099</v>
      </c>
      <c r="N9" s="87">
        <f t="shared" si="0"/>
        <v>6.8713335454834601E-2</v>
      </c>
      <c r="O9" s="85">
        <f t="shared" si="0"/>
        <v>0.27597371290762562</v>
      </c>
      <c r="P9" s="85">
        <f t="shared" si="0"/>
        <v>0.29404597607527472</v>
      </c>
      <c r="Q9" s="85">
        <f t="shared" si="0"/>
        <v>0.27684633321800756</v>
      </c>
      <c r="R9" s="85">
        <f t="shared" si="0"/>
        <v>0.23249133110567222</v>
      </c>
      <c r="S9" s="9"/>
      <c r="T9" s="85"/>
      <c r="U9" s="85">
        <f t="shared" ref="U9:AA9" si="1">IF(ISERROR(U8/T8-1),"NA",(U8/T8-1))</f>
        <v>4.7449376173752E-2</v>
      </c>
      <c r="V9" s="86">
        <f t="shared" si="1"/>
        <v>0.28730576590435541</v>
      </c>
      <c r="W9" s="85">
        <f t="shared" si="1"/>
        <v>7.530948289114181E-2</v>
      </c>
      <c r="X9" s="85">
        <f t="shared" si="1"/>
        <v>0.26853124801035166</v>
      </c>
      <c r="Y9" s="85">
        <f t="shared" si="1"/>
        <v>7.0000000000000284E-2</v>
      </c>
      <c r="Z9" s="85">
        <f t="shared" si="1"/>
        <v>5.4999999999999716E-2</v>
      </c>
      <c r="AA9" s="85">
        <f t="shared" si="1"/>
        <v>6.5294368027724037E-2</v>
      </c>
      <c r="AB9" s="9"/>
      <c r="AC9" s="83"/>
      <c r="AD9" s="64"/>
      <c r="AE9" s="83"/>
    </row>
    <row r="10" spans="1:31" ht="13.5" customHeight="1">
      <c r="A10" s="10"/>
      <c r="B10" s="9"/>
      <c r="C10" s="9"/>
      <c r="D10" s="9"/>
      <c r="E10" s="9"/>
      <c r="F10" s="9"/>
      <c r="G10" s="9"/>
      <c r="H10" s="9"/>
      <c r="I10" s="9"/>
      <c r="J10" s="88"/>
      <c r="K10" s="9"/>
      <c r="L10" s="9"/>
      <c r="M10" s="9"/>
      <c r="N10" s="89"/>
      <c r="O10" s="9"/>
      <c r="P10" s="9"/>
      <c r="Q10" s="9"/>
      <c r="R10" s="9"/>
      <c r="S10" s="9"/>
      <c r="T10" s="9"/>
      <c r="U10" s="9"/>
      <c r="V10" s="88"/>
      <c r="W10" s="9"/>
      <c r="X10" s="9"/>
      <c r="Y10" s="9"/>
      <c r="Z10" s="9"/>
      <c r="AA10" s="9"/>
      <c r="AB10" s="9"/>
      <c r="AC10" s="90"/>
      <c r="AD10" s="64"/>
      <c r="AE10" s="90"/>
    </row>
    <row r="11" spans="1:31" ht="13.5" customHeight="1">
      <c r="A11" s="10"/>
      <c r="B11" s="9"/>
      <c r="C11" s="9" t="str">
        <f>Model!C30</f>
        <v>Gross Profit</v>
      </c>
      <c r="D11" s="9"/>
      <c r="E11" s="9"/>
      <c r="F11" s="9"/>
      <c r="G11" s="80">
        <f>Model!P30</f>
        <v>196.73099999999999</v>
      </c>
      <c r="H11" s="80">
        <f>Model!Q30</f>
        <v>149.999</v>
      </c>
      <c r="I11" s="80">
        <f>Model!R30</f>
        <v>168.261</v>
      </c>
      <c r="J11" s="81">
        <f>Model!S30</f>
        <v>197.97300000000001</v>
      </c>
      <c r="K11" s="80">
        <f>Model!U30</f>
        <v>175.958</v>
      </c>
      <c r="L11" s="80">
        <f>Model!V30</f>
        <v>183.91066000000001</v>
      </c>
      <c r="M11" s="80">
        <f>Model!W30</f>
        <v>195.211905</v>
      </c>
      <c r="N11" s="82">
        <f>Model!X30</f>
        <v>211.57638516</v>
      </c>
      <c r="O11" s="80">
        <f>Model!Z30</f>
        <v>224.5177825758</v>
      </c>
      <c r="P11" s="80">
        <f>Model!AA30</f>
        <v>237.98884953034801</v>
      </c>
      <c r="Q11" s="80">
        <f>Model!AB30</f>
        <v>249.25560509975202</v>
      </c>
      <c r="R11" s="80">
        <f>Model!AC30</f>
        <v>260.7660605763748</v>
      </c>
      <c r="S11" s="9"/>
      <c r="T11" s="80">
        <f>Model!J30</f>
        <v>528.75300000000004</v>
      </c>
      <c r="U11" s="80">
        <f>Model!O30</f>
        <v>553.84199999999998</v>
      </c>
      <c r="V11" s="81">
        <f>Model!T30</f>
        <v>712.96399999999994</v>
      </c>
      <c r="W11" s="80">
        <f>Model!Y30</f>
        <v>766.65695015999995</v>
      </c>
      <c r="X11" s="80">
        <f>Model!AD30</f>
        <v>972.52829778227476</v>
      </c>
      <c r="Y11" s="80">
        <f>Model!AE30</f>
        <v>1040.6052786270343</v>
      </c>
      <c r="Z11" s="80">
        <f>Model!AF30</f>
        <v>1097.838568951521</v>
      </c>
      <c r="AA11" s="80">
        <f>Model!AG30</f>
        <v>1169.5212445076716</v>
      </c>
      <c r="AB11" s="9"/>
      <c r="AC11" s="83">
        <f>IFERROR((V11/T11)^(1/(V$4-T$4))-1,"N/A")</f>
        <v>0.16120093930438717</v>
      </c>
      <c r="AD11" s="64"/>
      <c r="AE11" s="83">
        <f>IFERROR((AA11/V11)^(1/(AA$4-V$4))-1,"N/A")</f>
        <v>0.10404837476077167</v>
      </c>
    </row>
    <row r="12" spans="1:31" ht="13.5" customHeight="1">
      <c r="A12" s="10"/>
      <c r="B12" s="9"/>
      <c r="C12" s="84" t="s">
        <v>102</v>
      </c>
      <c r="D12" s="9"/>
      <c r="E12" s="9"/>
      <c r="F12" s="9"/>
      <c r="G12" s="85">
        <f t="shared" ref="G12:R12" si="2">G11/G$8</f>
        <v>1</v>
      </c>
      <c r="H12" s="85">
        <f t="shared" si="2"/>
        <v>1</v>
      </c>
      <c r="I12" s="85">
        <f t="shared" si="2"/>
        <v>1</v>
      </c>
      <c r="J12" s="86">
        <f t="shared" si="2"/>
        <v>1</v>
      </c>
      <c r="K12" s="85">
        <f t="shared" si="2"/>
        <v>1</v>
      </c>
      <c r="L12" s="85">
        <f t="shared" si="2"/>
        <v>1</v>
      </c>
      <c r="M12" s="85">
        <f t="shared" si="2"/>
        <v>1</v>
      </c>
      <c r="N12" s="87">
        <f t="shared" si="2"/>
        <v>1</v>
      </c>
      <c r="O12" s="85">
        <f t="shared" si="2"/>
        <v>1</v>
      </c>
      <c r="P12" s="85">
        <f t="shared" si="2"/>
        <v>1</v>
      </c>
      <c r="Q12" s="85">
        <f t="shared" si="2"/>
        <v>1</v>
      </c>
      <c r="R12" s="85">
        <f t="shared" si="2"/>
        <v>1</v>
      </c>
      <c r="S12" s="9"/>
      <c r="T12" s="85">
        <f t="shared" ref="T12:AA12" si="3">T11/T$8</f>
        <v>1</v>
      </c>
      <c r="U12" s="85">
        <f t="shared" si="3"/>
        <v>1</v>
      </c>
      <c r="V12" s="86">
        <f t="shared" si="3"/>
        <v>1</v>
      </c>
      <c r="W12" s="85">
        <f t="shared" si="3"/>
        <v>1</v>
      </c>
      <c r="X12" s="85">
        <f t="shared" si="3"/>
        <v>1</v>
      </c>
      <c r="Y12" s="85">
        <f t="shared" si="3"/>
        <v>1</v>
      </c>
      <c r="Z12" s="85">
        <f t="shared" si="3"/>
        <v>1</v>
      </c>
      <c r="AA12" s="85">
        <f t="shared" si="3"/>
        <v>1</v>
      </c>
      <c r="AB12" s="9"/>
      <c r="AC12" s="90"/>
      <c r="AD12" s="64"/>
      <c r="AE12" s="90"/>
    </row>
    <row r="13" spans="1:31" ht="13.5" customHeight="1">
      <c r="A13" s="10"/>
      <c r="B13" s="9"/>
      <c r="C13" s="84" t="s">
        <v>101</v>
      </c>
      <c r="D13" s="9"/>
      <c r="E13" s="9"/>
      <c r="F13" s="9"/>
      <c r="G13" s="85"/>
      <c r="H13" s="85"/>
      <c r="I13" s="85"/>
      <c r="J13" s="86"/>
      <c r="K13" s="85">
        <f t="shared" ref="K13:R13" si="4">K11/G11-1</f>
        <v>-0.10559088298234642</v>
      </c>
      <c r="L13" s="85">
        <f t="shared" si="4"/>
        <v>0.22607924052827033</v>
      </c>
      <c r="M13" s="85">
        <f t="shared" si="4"/>
        <v>0.16017321304402099</v>
      </c>
      <c r="N13" s="87">
        <f t="shared" si="4"/>
        <v>6.8713335454834601E-2</v>
      </c>
      <c r="O13" s="85">
        <f t="shared" si="4"/>
        <v>0.27597371290762562</v>
      </c>
      <c r="P13" s="85">
        <f t="shared" si="4"/>
        <v>0.29404597607527472</v>
      </c>
      <c r="Q13" s="85">
        <f t="shared" si="4"/>
        <v>0.27684633321800756</v>
      </c>
      <c r="R13" s="85">
        <f t="shared" si="4"/>
        <v>0.23249133110567222</v>
      </c>
      <c r="S13" s="9"/>
      <c r="T13" s="85"/>
      <c r="U13" s="85">
        <f t="shared" ref="U13:AA13" si="5">U11/T11-1</f>
        <v>4.7449376173752E-2</v>
      </c>
      <c r="V13" s="86">
        <f t="shared" si="5"/>
        <v>0.28730576590435541</v>
      </c>
      <c r="W13" s="85">
        <f t="shared" si="5"/>
        <v>7.530948289114181E-2</v>
      </c>
      <c r="X13" s="85">
        <f t="shared" si="5"/>
        <v>0.26853124801035166</v>
      </c>
      <c r="Y13" s="85">
        <f t="shared" si="5"/>
        <v>7.0000000000000284E-2</v>
      </c>
      <c r="Z13" s="85">
        <f t="shared" si="5"/>
        <v>5.4999999999999716E-2</v>
      </c>
      <c r="AA13" s="85">
        <f t="shared" si="5"/>
        <v>6.5294368027724037E-2</v>
      </c>
      <c r="AB13" s="9"/>
      <c r="AC13" s="90"/>
      <c r="AD13" s="64"/>
      <c r="AE13" s="90"/>
    </row>
    <row r="14" spans="1:31" ht="13.5" customHeight="1">
      <c r="A14" s="10"/>
      <c r="B14" s="9"/>
      <c r="C14" s="9"/>
      <c r="D14" s="9"/>
      <c r="E14" s="9"/>
      <c r="F14" s="9"/>
      <c r="G14" s="9"/>
      <c r="H14" s="9"/>
      <c r="I14" s="9"/>
      <c r="J14" s="88"/>
      <c r="K14" s="9"/>
      <c r="L14" s="9"/>
      <c r="M14" s="9"/>
      <c r="N14" s="89"/>
      <c r="O14" s="9"/>
      <c r="P14" s="9"/>
      <c r="Q14" s="9"/>
      <c r="R14" s="9"/>
      <c r="S14" s="9"/>
      <c r="T14" s="9"/>
      <c r="U14" s="9"/>
      <c r="V14" s="88"/>
      <c r="W14" s="9"/>
      <c r="X14" s="9"/>
      <c r="Y14" s="9"/>
      <c r="Z14" s="9"/>
      <c r="AA14" s="9"/>
      <c r="AB14" s="9"/>
      <c r="AC14" s="90"/>
      <c r="AD14" s="64"/>
      <c r="AE14" s="90"/>
    </row>
    <row r="15" spans="1:31" ht="13.5" customHeight="1">
      <c r="A15" s="10"/>
      <c r="B15" s="9"/>
      <c r="C15" s="9" t="str">
        <f>Model!C36</f>
        <v>EBIT</v>
      </c>
      <c r="D15" s="9"/>
      <c r="E15" s="9"/>
      <c r="F15" s="9"/>
      <c r="G15" s="80">
        <f>Model!P36</f>
        <v>89.61099999999999</v>
      </c>
      <c r="H15" s="80">
        <f>Model!Q36</f>
        <v>67.191999999999993</v>
      </c>
      <c r="I15" s="80">
        <f>Model!R36</f>
        <v>75.721999999999994</v>
      </c>
      <c r="J15" s="81">
        <f>Model!S36</f>
        <v>84.02800000000002</v>
      </c>
      <c r="K15" s="80">
        <f>Model!U36</f>
        <v>76.974999999999994</v>
      </c>
      <c r="L15" s="80">
        <f>Model!V36</f>
        <v>79.633315780000004</v>
      </c>
      <c r="M15" s="80">
        <f>Model!W36</f>
        <v>84.526754865000001</v>
      </c>
      <c r="N15" s="82">
        <f>Model!X36</f>
        <v>91.612574774280006</v>
      </c>
      <c r="O15" s="80">
        <f>Model!Z36</f>
        <v>96.542646507594</v>
      </c>
      <c r="P15" s="80">
        <f>Model!AA36</f>
        <v>102.33520529804966</v>
      </c>
      <c r="Q15" s="80">
        <f>Model!AB36</f>
        <v>107.17991019289337</v>
      </c>
      <c r="R15" s="80">
        <f>Model!AC36</f>
        <v>112.12940604784117</v>
      </c>
      <c r="S15" s="9"/>
      <c r="T15" s="80">
        <f>Model!J36</f>
        <v>239.91200000000003</v>
      </c>
      <c r="U15" s="80">
        <f>Model!O36</f>
        <v>245.81700000000001</v>
      </c>
      <c r="V15" s="81">
        <f>Model!T36</f>
        <v>316.553</v>
      </c>
      <c r="W15" s="80">
        <f>Model!Y36</f>
        <v>332.74764541927999</v>
      </c>
      <c r="X15" s="80">
        <f>Model!AD36</f>
        <v>418.18716804637825</v>
      </c>
      <c r="Y15" s="80">
        <f>Model!AE36</f>
        <v>437.05421702335434</v>
      </c>
      <c r="Z15" s="80">
        <f>Model!AF36</f>
        <v>461.09219895963884</v>
      </c>
      <c r="AA15" s="80">
        <f>Model!AG36</f>
        <v>491.19892269322202</v>
      </c>
      <c r="AB15" s="9"/>
      <c r="AC15" s="83">
        <f>IFERROR((V15/T15)^(1/(V$4-T$4))-1,"N/A")</f>
        <v>0.14867516442446305</v>
      </c>
      <c r="AD15" s="64"/>
      <c r="AE15" s="83">
        <f>IFERROR((AA15/V15)^(1/(AA$4-V$4))-1,"N/A")</f>
        <v>9.184802882911014E-2</v>
      </c>
    </row>
    <row r="16" spans="1:31" ht="13.5" customHeight="1">
      <c r="A16" s="10"/>
      <c r="B16" s="9"/>
      <c r="C16" s="84" t="s">
        <v>103</v>
      </c>
      <c r="D16" s="9"/>
      <c r="E16" s="9"/>
      <c r="F16" s="9"/>
      <c r="G16" s="85">
        <f t="shared" ref="G16:R16" si="6">G15/G$8</f>
        <v>0.45550014995094823</v>
      </c>
      <c r="H16" s="85">
        <f t="shared" si="6"/>
        <v>0.44794965299768663</v>
      </c>
      <c r="I16" s="85">
        <f t="shared" si="6"/>
        <v>0.45002704132270699</v>
      </c>
      <c r="J16" s="86">
        <f t="shared" si="6"/>
        <v>0.42444171679976572</v>
      </c>
      <c r="K16" s="85">
        <f t="shared" si="6"/>
        <v>0.43746234896964048</v>
      </c>
      <c r="L16" s="85">
        <f t="shared" si="6"/>
        <v>0.433</v>
      </c>
      <c r="M16" s="85">
        <f t="shared" si="6"/>
        <v>0.433</v>
      </c>
      <c r="N16" s="87">
        <f t="shared" si="6"/>
        <v>0.43300000000000005</v>
      </c>
      <c r="O16" s="85">
        <f t="shared" si="6"/>
        <v>0.43</v>
      </c>
      <c r="P16" s="85">
        <f t="shared" si="6"/>
        <v>0.43000000000000005</v>
      </c>
      <c r="Q16" s="85">
        <f t="shared" si="6"/>
        <v>0.43000000000000005</v>
      </c>
      <c r="R16" s="85">
        <f t="shared" si="6"/>
        <v>0.43000000000000005</v>
      </c>
      <c r="S16" s="9"/>
      <c r="T16" s="85">
        <f t="shared" ref="T16:AA16" si="7">T15/T$8</f>
        <v>0.45373170459552953</v>
      </c>
      <c r="U16" s="85">
        <f t="shared" si="7"/>
        <v>0.44383957879684099</v>
      </c>
      <c r="V16" s="86">
        <f t="shared" si="7"/>
        <v>0.44399576977238686</v>
      </c>
      <c r="W16" s="85">
        <f t="shared" si="7"/>
        <v>0.43402416863218435</v>
      </c>
      <c r="X16" s="85">
        <f t="shared" si="7"/>
        <v>0.4300000000000001</v>
      </c>
      <c r="Y16" s="85">
        <f t="shared" si="7"/>
        <v>0.41999999999999993</v>
      </c>
      <c r="Z16" s="85">
        <f t="shared" si="7"/>
        <v>0.42000000000000004</v>
      </c>
      <c r="AA16" s="85">
        <f t="shared" si="7"/>
        <v>0.42</v>
      </c>
      <c r="AB16" s="9"/>
      <c r="AC16" s="90"/>
      <c r="AD16" s="64"/>
      <c r="AE16" s="90"/>
    </row>
    <row r="17" spans="1:31" ht="13.5" customHeight="1">
      <c r="A17" s="10"/>
      <c r="B17" s="9"/>
      <c r="C17" s="84" t="s">
        <v>101</v>
      </c>
      <c r="D17" s="9"/>
      <c r="E17" s="9"/>
      <c r="F17" s="9"/>
      <c r="G17" s="9"/>
      <c r="H17" s="85"/>
      <c r="I17" s="85"/>
      <c r="J17" s="86"/>
      <c r="K17" s="85">
        <f t="shared" ref="K17:R17" si="8">K15/G15-1</f>
        <v>-0.14100947428329114</v>
      </c>
      <c r="L17" s="85">
        <f t="shared" si="8"/>
        <v>0.18516067061554975</v>
      </c>
      <c r="M17" s="85">
        <f t="shared" si="8"/>
        <v>0.11627736807004574</v>
      </c>
      <c r="N17" s="87">
        <f t="shared" si="8"/>
        <v>9.0262469346884089E-2</v>
      </c>
      <c r="O17" s="85">
        <f t="shared" si="8"/>
        <v>0.25420781432405337</v>
      </c>
      <c r="P17" s="85">
        <f t="shared" si="8"/>
        <v>0.28508029956667036</v>
      </c>
      <c r="Q17" s="85">
        <f t="shared" si="8"/>
        <v>0.26799982282619683</v>
      </c>
      <c r="R17" s="85">
        <f t="shared" si="8"/>
        <v>0.22395213019731885</v>
      </c>
      <c r="S17" s="9"/>
      <c r="T17" s="85"/>
      <c r="U17" s="85">
        <f t="shared" ref="U17:AA17" si="9">U15/T15-1</f>
        <v>2.4613191503551235E-2</v>
      </c>
      <c r="V17" s="86">
        <f t="shared" si="9"/>
        <v>0.28775877990537668</v>
      </c>
      <c r="W17" s="85">
        <f t="shared" si="9"/>
        <v>5.1159349048279346E-2</v>
      </c>
      <c r="X17" s="85">
        <f t="shared" si="9"/>
        <v>0.25676972866161041</v>
      </c>
      <c r="Y17" s="85">
        <f t="shared" si="9"/>
        <v>4.5116279069767451E-2</v>
      </c>
      <c r="Z17" s="85">
        <f t="shared" si="9"/>
        <v>5.4999999999999938E-2</v>
      </c>
      <c r="AA17" s="85">
        <f t="shared" si="9"/>
        <v>6.5294368027724037E-2</v>
      </c>
      <c r="AB17" s="9"/>
      <c r="AC17" s="90"/>
      <c r="AD17" s="64"/>
      <c r="AE17" s="90"/>
    </row>
    <row r="18" spans="1:31" ht="13.5" customHeight="1">
      <c r="A18" s="10"/>
      <c r="B18" s="9"/>
      <c r="C18" s="9"/>
      <c r="D18" s="9"/>
      <c r="E18" s="9"/>
      <c r="F18" s="9"/>
      <c r="G18" s="9"/>
      <c r="H18" s="9"/>
      <c r="I18" s="9"/>
      <c r="J18" s="88"/>
      <c r="K18" s="9"/>
      <c r="L18" s="9"/>
      <c r="M18" s="9"/>
      <c r="N18" s="89"/>
      <c r="O18" s="9"/>
      <c r="P18" s="9"/>
      <c r="Q18" s="9"/>
      <c r="R18" s="9"/>
      <c r="S18" s="9"/>
      <c r="T18" s="9"/>
      <c r="U18" s="9"/>
      <c r="V18" s="88"/>
      <c r="W18" s="9"/>
      <c r="X18" s="9"/>
      <c r="Y18" s="9"/>
      <c r="Z18" s="9"/>
      <c r="AA18" s="9"/>
      <c r="AB18" s="9"/>
      <c r="AC18" s="90"/>
      <c r="AD18" s="64"/>
      <c r="AE18" s="90"/>
    </row>
    <row r="19" spans="1:31" ht="13.5" customHeight="1">
      <c r="A19" s="10"/>
      <c r="B19" s="9"/>
      <c r="C19" s="9" t="str">
        <f>Model!C45</f>
        <v>Net Income (Loss)</v>
      </c>
      <c r="D19" s="9"/>
      <c r="E19" s="9"/>
      <c r="F19" s="9"/>
      <c r="G19" s="80">
        <f>Model!P45</f>
        <v>87.086999999999989</v>
      </c>
      <c r="H19" s="80">
        <f>Model!Q45</f>
        <v>75.921999999999997</v>
      </c>
      <c r="I19" s="80">
        <f>Model!R45</f>
        <v>77.454999999999998</v>
      </c>
      <c r="J19" s="81">
        <f>Model!S45</f>
        <v>73.30400000000003</v>
      </c>
      <c r="K19" s="80">
        <f>Model!U45</f>
        <v>77.069999999999993</v>
      </c>
      <c r="L19" s="80">
        <f ca="1">Model!V45</f>
        <v>67.837286660270308</v>
      </c>
      <c r="M19" s="80">
        <f ca="1">Model!W45</f>
        <v>72.07436539920397</v>
      </c>
      <c r="N19" s="82">
        <f ca="1">Model!X45</f>
        <v>78.129683877200506</v>
      </c>
      <c r="O19" s="80">
        <f ca="1">Model!Z45</f>
        <v>84.212015146641136</v>
      </c>
      <c r="P19" s="80">
        <f ca="1">Model!AA45</f>
        <v>89.098413984372471</v>
      </c>
      <c r="Q19" s="80">
        <f ca="1">Model!AB45</f>
        <v>90.400261744860444</v>
      </c>
      <c r="R19" s="80">
        <f ca="1">Model!AC45</f>
        <v>94.386421287090769</v>
      </c>
      <c r="S19" s="9"/>
      <c r="T19" s="80">
        <f>Model!J45</f>
        <v>187.05600000000001</v>
      </c>
      <c r="U19" s="80">
        <f>Model!O45</f>
        <v>227.20400000000001</v>
      </c>
      <c r="V19" s="81">
        <f>Model!T45</f>
        <v>313.76800000000003</v>
      </c>
      <c r="W19" s="80">
        <f ca="1">Model!Y45</f>
        <v>295.11133593667478</v>
      </c>
      <c r="X19" s="80">
        <f ca="1">Model!AD45</f>
        <v>358.09711216296489</v>
      </c>
      <c r="Y19" s="80">
        <f ca="1">Model!AE45</f>
        <v>374.51535590001902</v>
      </c>
      <c r="Z19" s="80">
        <f ca="1">Model!AF45</f>
        <v>395.85241686641348</v>
      </c>
      <c r="AA19" s="80">
        <f ca="1">Model!AG45</f>
        <v>422.14236064446368</v>
      </c>
      <c r="AB19" s="9"/>
      <c r="AC19" s="83">
        <f>IFERROR((V19/T19)^(1/(V$4-T$4))-1,"N/A")</f>
        <v>0.29514532771254909</v>
      </c>
      <c r="AD19" s="64"/>
      <c r="AE19" s="83">
        <f ca="1">IFERROR((AA19/V19)^(1/(AA$4-V$4))-1,"N/A")</f>
        <v>6.1133577096917913E-2</v>
      </c>
    </row>
    <row r="20" spans="1:31" ht="13.5" customHeight="1">
      <c r="A20" s="10"/>
      <c r="B20" s="9"/>
      <c r="C20" s="84" t="s">
        <v>103</v>
      </c>
      <c r="D20" s="9"/>
      <c r="E20" s="9"/>
      <c r="F20" s="9"/>
      <c r="G20" s="85">
        <f t="shared" ref="G20:R20" si="10">G19/G$8</f>
        <v>0.44267044848041232</v>
      </c>
      <c r="H20" s="85">
        <f t="shared" si="10"/>
        <v>0.50615004100027328</v>
      </c>
      <c r="I20" s="85">
        <f t="shared" si="10"/>
        <v>0.46032651654275203</v>
      </c>
      <c r="J20" s="86">
        <f t="shared" si="10"/>
        <v>0.37027271395594363</v>
      </c>
      <c r="K20" s="85">
        <f t="shared" si="10"/>
        <v>0.43800225053705993</v>
      </c>
      <c r="L20" s="85">
        <f t="shared" ca="1" si="10"/>
        <v>0.36886000333134744</v>
      </c>
      <c r="M20" s="85">
        <f t="shared" ca="1" si="10"/>
        <v>0.36921091159478192</v>
      </c>
      <c r="N20" s="87">
        <f t="shared" ca="1" si="10"/>
        <v>0.3692741220534449</v>
      </c>
      <c r="O20" s="85">
        <f t="shared" ca="1" si="10"/>
        <v>0.37507948894074844</v>
      </c>
      <c r="P20" s="85">
        <f t="shared" ca="1" si="10"/>
        <v>0.37438062396705174</v>
      </c>
      <c r="Q20" s="85">
        <f t="shared" ca="1" si="10"/>
        <v>0.36268095840285031</v>
      </c>
      <c r="R20" s="85">
        <f t="shared" ca="1" si="10"/>
        <v>0.36195822830036689</v>
      </c>
      <c r="S20" s="9"/>
      <c r="T20" s="85">
        <f t="shared" ref="T20:AA20" si="11">T19/T$8</f>
        <v>0.35376820557046484</v>
      </c>
      <c r="U20" s="85">
        <f t="shared" si="11"/>
        <v>0.41023252118835341</v>
      </c>
      <c r="V20" s="86">
        <f t="shared" si="11"/>
        <v>0.44008954168793946</v>
      </c>
      <c r="W20" s="85">
        <f t="shared" ca="1" si="11"/>
        <v>0.38493270800595436</v>
      </c>
      <c r="X20" s="85">
        <f t="shared" ca="1" si="11"/>
        <v>0.36821253734164766</v>
      </c>
      <c r="Y20" s="85">
        <f t="shared" ca="1" si="11"/>
        <v>0.35990145696180914</v>
      </c>
      <c r="Z20" s="85">
        <f t="shared" ca="1" si="11"/>
        <v>0.36057433949006557</v>
      </c>
      <c r="AA20" s="85">
        <f t="shared" ca="1" si="11"/>
        <v>0.36095313584677224</v>
      </c>
      <c r="AB20" s="9"/>
      <c r="AC20" s="90"/>
      <c r="AD20" s="64"/>
      <c r="AE20" s="90"/>
    </row>
    <row r="21" spans="1:31" ht="13.5" customHeight="1">
      <c r="A21" s="10"/>
      <c r="B21" s="9"/>
      <c r="C21" s="84" t="s">
        <v>101</v>
      </c>
      <c r="D21" s="9"/>
      <c r="E21" s="9"/>
      <c r="F21" s="9"/>
      <c r="G21" s="9"/>
      <c r="H21" s="85"/>
      <c r="I21" s="85"/>
      <c r="J21" s="86"/>
      <c r="K21" s="85">
        <f t="shared" ref="K21:R21" si="12">K19/G19-1</f>
        <v>-0.1150229081263564</v>
      </c>
      <c r="L21" s="85">
        <f t="shared" ca="1" si="12"/>
        <v>-0.1064870964902096</v>
      </c>
      <c r="M21" s="85">
        <f t="shared" ca="1" si="12"/>
        <v>-6.9467879424130463E-2</v>
      </c>
      <c r="N21" s="87">
        <f t="shared" ca="1" si="12"/>
        <v>6.5831112588678353E-2</v>
      </c>
      <c r="O21" s="85">
        <f t="shared" ca="1" si="12"/>
        <v>9.2669198736747616E-2</v>
      </c>
      <c r="P21" s="85">
        <f t="shared" ca="1" si="12"/>
        <v>0.31341358669868491</v>
      </c>
      <c r="Q21" s="85">
        <f t="shared" ca="1" si="12"/>
        <v>0.25426372114625484</v>
      </c>
      <c r="R21" s="85">
        <f t="shared" ca="1" si="12"/>
        <v>0.20807376406951317</v>
      </c>
      <c r="S21" s="9"/>
      <c r="T21" s="85"/>
      <c r="U21" s="85">
        <f t="shared" ref="U21:AA21" si="13">U19/T19-1</f>
        <v>0.21463091266786405</v>
      </c>
      <c r="V21" s="86">
        <f t="shared" si="13"/>
        <v>0.38099681343638325</v>
      </c>
      <c r="W21" s="85">
        <f t="shared" ca="1" si="13"/>
        <v>-5.9460059863737702E-2</v>
      </c>
      <c r="X21" s="85">
        <f t="shared" ca="1" si="13"/>
        <v>0.21343055503569563</v>
      </c>
      <c r="Y21" s="85">
        <f t="shared" ca="1" si="13"/>
        <v>4.584857900105721E-2</v>
      </c>
      <c r="Z21" s="85">
        <f t="shared" ca="1" si="13"/>
        <v>5.6972459554076593E-2</v>
      </c>
      <c r="AA21" s="85">
        <f t="shared" ca="1" si="13"/>
        <v>6.6413498207646748E-2</v>
      </c>
      <c r="AB21" s="9"/>
      <c r="AC21" s="83"/>
      <c r="AD21" s="64"/>
      <c r="AE21" s="83"/>
    </row>
    <row r="22" spans="1:31" ht="13.5" customHeight="1">
      <c r="A22" s="10"/>
      <c r="B22" s="9"/>
      <c r="C22" s="9"/>
      <c r="D22" s="9"/>
      <c r="E22" s="9"/>
      <c r="F22" s="9"/>
      <c r="G22" s="9"/>
      <c r="H22" s="9"/>
      <c r="I22" s="9"/>
      <c r="J22" s="88"/>
      <c r="K22" s="9"/>
      <c r="L22" s="9"/>
      <c r="M22" s="9"/>
      <c r="N22" s="89"/>
      <c r="O22" s="9"/>
      <c r="P22" s="9"/>
      <c r="Q22" s="9"/>
      <c r="R22" s="9"/>
      <c r="S22" s="9"/>
      <c r="T22" s="9"/>
      <c r="U22" s="9"/>
      <c r="V22" s="88"/>
      <c r="W22" s="9"/>
      <c r="X22" s="9"/>
      <c r="Y22" s="9"/>
      <c r="Z22" s="9"/>
      <c r="AA22" s="9"/>
      <c r="AB22" s="9"/>
      <c r="AC22" s="90"/>
      <c r="AD22" s="64"/>
      <c r="AE22" s="90"/>
    </row>
    <row r="23" spans="1:31" ht="13.5" customHeight="1">
      <c r="A23" s="10"/>
      <c r="B23" s="9"/>
      <c r="C23" s="9" t="str">
        <f>Model!C57</f>
        <v>Adj. EPS (Diluted)</v>
      </c>
      <c r="D23" s="9"/>
      <c r="E23" s="9"/>
      <c r="F23" s="9"/>
      <c r="G23" s="91">
        <f>Model!P57</f>
        <v>1.0909158186864012</v>
      </c>
      <c r="H23" s="91">
        <f>Model!Q57</f>
        <v>1.0148025101513474</v>
      </c>
      <c r="I23" s="91">
        <f>Model!R57</f>
        <v>0.97374999999999989</v>
      </c>
      <c r="J23" s="92">
        <f>Model!S57</f>
        <v>1.2530769230769239</v>
      </c>
      <c r="K23" s="91">
        <f>Model!U57</f>
        <v>0.98668992105746267</v>
      </c>
      <c r="L23" s="91">
        <f ca="1">Model!V57</f>
        <v>0.87400613292216456</v>
      </c>
      <c r="M23" s="91">
        <f ca="1">Model!W57</f>
        <v>0.9289711005912239</v>
      </c>
      <c r="N23" s="93">
        <f ca="1">Model!X57</f>
        <v>1.0098350637423048</v>
      </c>
      <c r="O23" s="91">
        <f ca="1">Model!Z57</f>
        <v>1.1213840557270578</v>
      </c>
      <c r="P23" s="91">
        <f ca="1">Model!AA57</f>
        <v>1.1855969557860655</v>
      </c>
      <c r="Q23" s="91">
        <f ca="1">Model!AB57</f>
        <v>1.2097494074182027</v>
      </c>
      <c r="R23" s="91">
        <f ca="1">Model!AC57</f>
        <v>1.2655929945456492</v>
      </c>
      <c r="S23" s="91"/>
      <c r="T23" s="91">
        <f>Model!J57</f>
        <v>2.0297217773473872</v>
      </c>
      <c r="U23" s="91">
        <f>Model!O57</f>
        <v>2.6133209647495361</v>
      </c>
      <c r="V23" s="92">
        <f>Model!T57</f>
        <v>5.3949627791563284</v>
      </c>
      <c r="W23" s="91">
        <f ca="1">Model!Y57</f>
        <v>3.7993392151880983</v>
      </c>
      <c r="X23" s="91">
        <f ca="1">Model!AD57</f>
        <v>4.7821320412240276</v>
      </c>
      <c r="Y23" s="91">
        <f ca="1">Model!AE57</f>
        <v>5.2892287943405707</v>
      </c>
      <c r="Z23" s="91">
        <f ca="1">Model!AF57</f>
        <v>5.561176650889875</v>
      </c>
      <c r="AA23" s="91">
        <f ca="1">Model!AG57</f>
        <v>5.9656229973151804</v>
      </c>
      <c r="AB23" s="9"/>
      <c r="AC23" s="83">
        <f>IFERROR((V23/T23)^(1/(V$4-T$4))-1,"N/A")</f>
        <v>0.63033169126595223</v>
      </c>
      <c r="AD23" s="64"/>
      <c r="AE23" s="83">
        <f ca="1">IFERROR((AA23/V23)^(1/(AA$4-V$4))-1,"N/A")</f>
        <v>2.0313117914673162E-2</v>
      </c>
    </row>
    <row r="24" spans="1:31" ht="13.5" customHeight="1">
      <c r="A24" s="10"/>
      <c r="B24" s="9"/>
      <c r="C24" s="84" t="s">
        <v>101</v>
      </c>
      <c r="D24" s="9"/>
      <c r="E24" s="9"/>
      <c r="F24" s="9"/>
      <c r="G24" s="9"/>
      <c r="H24" s="85"/>
      <c r="I24" s="85"/>
      <c r="J24" s="86"/>
      <c r="K24" s="85">
        <f t="shared" ref="K24:R24" si="14">K23/G23-1</f>
        <v>-9.5539816953465362E-2</v>
      </c>
      <c r="L24" s="85">
        <f t="shared" ca="1" si="14"/>
        <v>-0.13874263792290431</v>
      </c>
      <c r="M24" s="85">
        <f t="shared" ca="1" si="14"/>
        <v>-4.5986032768961183E-2</v>
      </c>
      <c r="N24" s="87">
        <f t="shared" ca="1" si="14"/>
        <v>-0.19411566429404825</v>
      </c>
      <c r="O24" s="85">
        <f t="shared" ca="1" si="14"/>
        <v>0.13651110829756896</v>
      </c>
      <c r="P24" s="85">
        <f t="shared" ca="1" si="14"/>
        <v>0.35650873732673216</v>
      </c>
      <c r="Q24" s="85">
        <f t="shared" ca="1" si="14"/>
        <v>0.30224654636541803</v>
      </c>
      <c r="R24" s="85">
        <f t="shared" ca="1" si="14"/>
        <v>0.25326703338616707</v>
      </c>
      <c r="S24" s="9"/>
      <c r="T24" s="85"/>
      <c r="U24" s="85">
        <f t="shared" ref="U24:AA24" si="15">IF(ISERROR(U23/T23-1),"NA",(U23/T23-1))</f>
        <v>0.28752669154727495</v>
      </c>
      <c r="V24" s="86">
        <f t="shared" si="15"/>
        <v>1.0644087932281172</v>
      </c>
      <c r="W24" s="85">
        <f t="shared" ca="1" si="15"/>
        <v>-0.29576173725108734</v>
      </c>
      <c r="X24" s="85">
        <f t="shared" ca="1" si="15"/>
        <v>0.25867467219224682</v>
      </c>
      <c r="Y24" s="85">
        <f t="shared" ca="1" si="15"/>
        <v>0.10603988947715193</v>
      </c>
      <c r="Z24" s="85">
        <f t="shared" ca="1" si="15"/>
        <v>5.141540801568012E-2</v>
      </c>
      <c r="AA24" s="85">
        <f t="shared" ca="1" si="15"/>
        <v>7.2726757629716365E-2</v>
      </c>
      <c r="AB24" s="9"/>
      <c r="AC24" s="90"/>
      <c r="AD24" s="64"/>
      <c r="AE24" s="90"/>
    </row>
    <row r="25" spans="1:31" ht="13.5" customHeight="1">
      <c r="A25" s="10"/>
      <c r="B25" s="9"/>
      <c r="C25" s="84"/>
      <c r="D25" s="9"/>
      <c r="E25" s="9"/>
      <c r="F25" s="9"/>
      <c r="G25" s="9"/>
      <c r="H25" s="9"/>
      <c r="I25" s="9"/>
      <c r="J25" s="94"/>
      <c r="K25" s="95"/>
      <c r="L25" s="9"/>
      <c r="M25" s="9"/>
      <c r="N25" s="89"/>
      <c r="O25" s="9"/>
      <c r="P25" s="9"/>
      <c r="Q25" s="9"/>
      <c r="R25" s="9"/>
      <c r="S25" s="9"/>
      <c r="T25" s="9"/>
      <c r="U25" s="9"/>
      <c r="V25" s="88"/>
      <c r="W25" s="9"/>
      <c r="X25" s="9"/>
      <c r="Y25" s="9"/>
      <c r="Z25" s="9"/>
      <c r="AA25" s="9"/>
      <c r="AB25" s="9"/>
      <c r="AC25" s="90"/>
      <c r="AD25" s="64"/>
      <c r="AE25" s="90"/>
    </row>
    <row r="26" spans="1:31" ht="13.5" customHeight="1">
      <c r="A26" s="10"/>
      <c r="B26" s="9"/>
      <c r="C26" s="96"/>
      <c r="D26" s="96"/>
      <c r="E26" s="96"/>
      <c r="F26" s="96"/>
      <c r="G26" s="96"/>
      <c r="H26" s="96"/>
      <c r="I26" s="96"/>
      <c r="J26" s="88"/>
      <c r="K26" s="9"/>
      <c r="L26" s="96"/>
      <c r="M26" s="96"/>
      <c r="N26" s="97"/>
      <c r="O26" s="96"/>
      <c r="P26" s="96"/>
      <c r="Q26" s="96"/>
      <c r="R26" s="96"/>
      <c r="S26" s="9"/>
      <c r="T26" s="96"/>
      <c r="U26" s="96"/>
      <c r="V26" s="98"/>
      <c r="W26" s="96"/>
      <c r="X26" s="96"/>
      <c r="Y26" s="96"/>
      <c r="Z26" s="96"/>
      <c r="AA26" s="96"/>
      <c r="AB26" s="9"/>
      <c r="AC26" s="90"/>
      <c r="AD26" s="64"/>
      <c r="AE26" s="90"/>
    </row>
    <row r="27" spans="1:31" ht="13.5" customHeight="1">
      <c r="A27" s="10"/>
      <c r="B27" s="9"/>
      <c r="C27" s="9" t="str">
        <f>Model!C61</f>
        <v>EBITDA</v>
      </c>
      <c r="D27" s="9"/>
      <c r="E27" s="9"/>
      <c r="F27" s="9"/>
      <c r="G27" s="80">
        <f>Model!P61</f>
        <v>61.487999999999985</v>
      </c>
      <c r="H27" s="80">
        <f>Model!Q61</f>
        <v>46.251999999999995</v>
      </c>
      <c r="I27" s="80">
        <f>Model!R61</f>
        <v>51.23899999999999</v>
      </c>
      <c r="J27" s="81">
        <f>Model!S61</f>
        <v>61.223000000000035</v>
      </c>
      <c r="K27" s="80">
        <f>Model!U61</f>
        <v>53.65</v>
      </c>
      <c r="L27" s="80">
        <f ca="1">Model!V61</f>
        <v>59.403143179999994</v>
      </c>
      <c r="M27" s="80">
        <f ca="1">Model!W61</f>
        <v>63.053445314999991</v>
      </c>
      <c r="N27" s="82">
        <f ca="1">Model!X61</f>
        <v>68.339172406680007</v>
      </c>
      <c r="O27" s="80">
        <f ca="1">Model!Z61</f>
        <v>73.080538228422881</v>
      </c>
      <c r="P27" s="80">
        <f ca="1">Model!AA61</f>
        <v>77.465370522128282</v>
      </c>
      <c r="Q27" s="80">
        <f ca="1">Model!AB61</f>
        <v>82.316663584193108</v>
      </c>
      <c r="R27" s="80">
        <f ca="1">Model!AC61</f>
        <v>86.117991505347774</v>
      </c>
      <c r="S27" s="9"/>
      <c r="T27" s="80">
        <f>Model!J61</f>
        <v>161.84799999999998</v>
      </c>
      <c r="U27" s="80">
        <f>Model!O61</f>
        <v>159.471</v>
      </c>
      <c r="V27" s="81">
        <f>Model!T61</f>
        <v>220.20200000000003</v>
      </c>
      <c r="W27" s="80">
        <f ca="1">Model!Y61</f>
        <v>244.44576090167999</v>
      </c>
      <c r="X27" s="80">
        <f ca="1">Model!AD61</f>
        <v>318.98056384009209</v>
      </c>
      <c r="Y27" s="80">
        <f ca="1">Model!AE61</f>
        <v>346.72967883852772</v>
      </c>
      <c r="Z27" s="80">
        <f ca="1">Model!AF61</f>
        <v>362.39651161089711</v>
      </c>
      <c r="AA27" s="80">
        <f ca="1">Model!AG61</f>
        <v>386.05896281198233</v>
      </c>
      <c r="AB27" s="9"/>
      <c r="AC27" s="83">
        <f>IFERROR((V27/T27)^(1/(V$4-T$4))-1,"N/A")</f>
        <v>0.16642538066181878</v>
      </c>
      <c r="AD27" s="64"/>
      <c r="AE27" s="83">
        <f ca="1">IFERROR((AA27/V27)^(1/(AA$4-V$4))-1,"N/A")</f>
        <v>0.11883611378438386</v>
      </c>
    </row>
    <row r="28" spans="1:31" ht="13.5" customHeight="1">
      <c r="A28" s="10"/>
      <c r="B28" s="9"/>
      <c r="C28" s="84" t="s">
        <v>103</v>
      </c>
      <c r="D28" s="9"/>
      <c r="E28" s="9"/>
      <c r="F28" s="9"/>
      <c r="G28" s="85">
        <f t="shared" ref="G28:R28" si="16">G27/G$8</f>
        <v>0.31254860698110609</v>
      </c>
      <c r="H28" s="85">
        <f t="shared" si="16"/>
        <v>0.30834872232481547</v>
      </c>
      <c r="I28" s="85">
        <f t="shared" si="16"/>
        <v>0.30452095256773698</v>
      </c>
      <c r="J28" s="86">
        <f t="shared" si="16"/>
        <v>0.30924924105812424</v>
      </c>
      <c r="K28" s="85">
        <f t="shared" si="16"/>
        <v>0.30490230623216902</v>
      </c>
      <c r="L28" s="85">
        <f t="shared" ca="1" si="16"/>
        <v>0.32299999999999995</v>
      </c>
      <c r="M28" s="85">
        <f t="shared" ca="1" si="16"/>
        <v>0.32299999999999995</v>
      </c>
      <c r="N28" s="87">
        <f t="shared" ca="1" si="16"/>
        <v>0.32300000000000001</v>
      </c>
      <c r="O28" s="85">
        <f t="shared" ca="1" si="16"/>
        <v>0.3254999999999999</v>
      </c>
      <c r="P28" s="85">
        <f t="shared" ca="1" si="16"/>
        <v>0.32550000000000001</v>
      </c>
      <c r="Q28" s="85">
        <f t="shared" ca="1" si="16"/>
        <v>0.33025000000000004</v>
      </c>
      <c r="R28" s="85">
        <f t="shared" ca="1" si="16"/>
        <v>0.33024999999999999</v>
      </c>
      <c r="S28" s="9"/>
      <c r="T28" s="85">
        <f t="shared" ref="T28:AA28" si="17">T27/T$8</f>
        <v>0.30609377157198159</v>
      </c>
      <c r="U28" s="85">
        <f t="shared" si="17"/>
        <v>0.28793590951932141</v>
      </c>
      <c r="V28" s="86">
        <f t="shared" si="17"/>
        <v>0.30885430400412928</v>
      </c>
      <c r="W28" s="85">
        <f t="shared" ca="1" si="17"/>
        <v>0.31884633779249583</v>
      </c>
      <c r="X28" s="85">
        <f t="shared" ca="1" si="17"/>
        <v>0.32799103590865797</v>
      </c>
      <c r="Y28" s="85">
        <f t="shared" ca="1" si="17"/>
        <v>0.33319999999999989</v>
      </c>
      <c r="Z28" s="85">
        <f t="shared" ca="1" si="17"/>
        <v>0.3301</v>
      </c>
      <c r="AA28" s="85">
        <f t="shared" ca="1" si="17"/>
        <v>0.33009999999999995</v>
      </c>
      <c r="AB28" s="9"/>
      <c r="AC28" s="90"/>
      <c r="AD28" s="64"/>
      <c r="AE28" s="90"/>
    </row>
    <row r="29" spans="1:31" ht="13.5" customHeight="1">
      <c r="A29" s="10"/>
      <c r="B29" s="9"/>
      <c r="C29" s="84" t="s">
        <v>101</v>
      </c>
      <c r="D29" s="9"/>
      <c r="E29" s="9"/>
      <c r="F29" s="9"/>
      <c r="G29" s="9"/>
      <c r="H29" s="85"/>
      <c r="I29" s="85"/>
      <c r="J29" s="86"/>
      <c r="K29" s="85">
        <f t="shared" ref="K29:R29" si="18">K27/G27-1</f>
        <v>-0.12747202706219085</v>
      </c>
      <c r="L29" s="85">
        <f t="shared" ca="1" si="18"/>
        <v>0.28433674608665571</v>
      </c>
      <c r="M29" s="85">
        <f t="shared" ca="1" si="18"/>
        <v>0.23057525156618985</v>
      </c>
      <c r="N29" s="87">
        <f t="shared" ca="1" si="18"/>
        <v>0.11623364432778471</v>
      </c>
      <c r="O29" s="85">
        <f t="shared" ca="1" si="18"/>
        <v>0.36217219437880499</v>
      </c>
      <c r="P29" s="85">
        <f t="shared" ca="1" si="18"/>
        <v>0.30406181180341196</v>
      </c>
      <c r="Q29" s="85">
        <f t="shared" ca="1" si="18"/>
        <v>0.30550619673451096</v>
      </c>
      <c r="R29" s="85">
        <f t="shared" ca="1" si="18"/>
        <v>0.26015561020943712</v>
      </c>
      <c r="S29" s="9"/>
      <c r="T29" s="85"/>
      <c r="U29" s="85">
        <f t="shared" ref="U29:AA29" si="19">U27/T27-1</f>
        <v>-1.4686619544263646E-2</v>
      </c>
      <c r="V29" s="86">
        <f t="shared" si="19"/>
        <v>0.38082786211913144</v>
      </c>
      <c r="W29" s="85">
        <f t="shared" ca="1" si="19"/>
        <v>0.11009782336981488</v>
      </c>
      <c r="X29" s="85">
        <f t="shared" ca="1" si="19"/>
        <v>0.30491346081632886</v>
      </c>
      <c r="Y29" s="85">
        <f t="shared" ca="1" si="19"/>
        <v>8.6993121663508477E-2</v>
      </c>
      <c r="Z29" s="85">
        <f t="shared" ca="1" si="19"/>
        <v>4.5184573829532004E-2</v>
      </c>
      <c r="AA29" s="85">
        <f t="shared" ca="1" si="19"/>
        <v>6.5294368027723815E-2</v>
      </c>
      <c r="AB29" s="9"/>
      <c r="AC29" s="99"/>
      <c r="AD29" s="64"/>
      <c r="AE29" s="99"/>
    </row>
    <row r="30" spans="1:31" ht="4.5" customHeight="1">
      <c r="A30" s="10"/>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row>
    <row r="31" spans="1:31" ht="13.5" customHeight="1">
      <c r="A31" s="10"/>
      <c r="B31" s="9"/>
      <c r="C31" s="76"/>
      <c r="D31" s="76"/>
      <c r="E31" s="76"/>
      <c r="F31" s="76"/>
      <c r="G31" s="999" t="str">
        <f>G$5</f>
        <v>Quarterly</v>
      </c>
      <c r="H31" s="1000"/>
      <c r="I31" s="1000"/>
      <c r="J31" s="1000"/>
      <c r="K31" s="1000"/>
      <c r="L31" s="1000"/>
      <c r="M31" s="1000"/>
      <c r="N31" s="1000"/>
      <c r="O31" s="1000"/>
      <c r="P31" s="1000"/>
      <c r="Q31" s="1000"/>
      <c r="R31" s="1000"/>
      <c r="S31" s="1001"/>
      <c r="T31" s="1002" t="str">
        <f>T$5</f>
        <v>Annuals</v>
      </c>
      <c r="U31" s="1003"/>
      <c r="V31" s="1003"/>
      <c r="W31" s="1003"/>
      <c r="X31" s="1003"/>
      <c r="Y31" s="1003"/>
      <c r="Z31" s="1003"/>
      <c r="AA31" s="1004"/>
      <c r="AB31" s="9"/>
      <c r="AC31" s="9"/>
      <c r="AD31" s="9"/>
      <c r="AE31" s="9"/>
    </row>
    <row r="32" spans="1:31" ht="13.5" customHeight="1">
      <c r="A32" s="10" t="s">
        <v>0</v>
      </c>
      <c r="B32" s="9"/>
      <c r="C32" s="76" t="str">
        <f>"Consolidated "&amp;Model!C120</f>
        <v>Consolidated Balance Sheet</v>
      </c>
      <c r="D32" s="76"/>
      <c r="E32" s="76"/>
      <c r="F32" s="76"/>
      <c r="G32" s="78" t="str">
        <f t="shared" ref="G32:R32" si="20">G$6</f>
        <v>1Q25</v>
      </c>
      <c r="H32" s="78" t="str">
        <f t="shared" si="20"/>
        <v>2Q25</v>
      </c>
      <c r="I32" s="78" t="str">
        <f t="shared" si="20"/>
        <v>3Q25</v>
      </c>
      <c r="J32" s="78" t="str">
        <f t="shared" si="20"/>
        <v>4Q25</v>
      </c>
      <c r="K32" s="78" t="str">
        <f t="shared" si="20"/>
        <v>1Q26</v>
      </c>
      <c r="L32" s="78" t="str">
        <f t="shared" si="20"/>
        <v>2Q26e</v>
      </c>
      <c r="M32" s="78" t="str">
        <f t="shared" si="20"/>
        <v>3Q26e</v>
      </c>
      <c r="N32" s="78" t="str">
        <f t="shared" si="20"/>
        <v>4Q26e</v>
      </c>
      <c r="O32" s="78" t="str">
        <f t="shared" si="20"/>
        <v>1Q27e</v>
      </c>
      <c r="P32" s="78" t="str">
        <f t="shared" si="20"/>
        <v>2Q27e</v>
      </c>
      <c r="Q32" s="78" t="str">
        <f t="shared" si="20"/>
        <v>3Q27e</v>
      </c>
      <c r="R32" s="78" t="str">
        <f t="shared" si="20"/>
        <v>4Q27e</v>
      </c>
      <c r="S32" s="78"/>
      <c r="T32" s="78">
        <f t="shared" ref="T32:AA32" si="21">T$6</f>
        <v>2023</v>
      </c>
      <c r="U32" s="78">
        <f t="shared" si="21"/>
        <v>2024</v>
      </c>
      <c r="V32" s="78">
        <f t="shared" si="21"/>
        <v>2025</v>
      </c>
      <c r="W32" s="78" t="str">
        <f t="shared" si="21"/>
        <v>2026e</v>
      </c>
      <c r="X32" s="78" t="str">
        <f t="shared" si="21"/>
        <v>2027e</v>
      </c>
      <c r="Y32" s="78" t="str">
        <f t="shared" si="21"/>
        <v>2028e</v>
      </c>
      <c r="Z32" s="78" t="str">
        <f t="shared" si="21"/>
        <v>2029e</v>
      </c>
      <c r="AA32" s="78" t="str">
        <f t="shared" si="21"/>
        <v>2030e</v>
      </c>
      <c r="AB32" s="9"/>
      <c r="AC32" s="9"/>
      <c r="AD32" s="9"/>
      <c r="AE32" s="9"/>
    </row>
    <row r="33" spans="1:31" ht="4.5" customHeight="1">
      <c r="A33" s="10"/>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row>
    <row r="34" spans="1:31" ht="13.5" customHeight="1">
      <c r="A34" s="10"/>
      <c r="B34" s="9"/>
      <c r="C34" s="9" t="str">
        <f>Model!C122</f>
        <v>Cash &amp; Cash Equivalents</v>
      </c>
      <c r="D34" s="9"/>
      <c r="E34" s="9"/>
      <c r="F34" s="9"/>
      <c r="G34" s="80">
        <f>Model!P122</f>
        <v>151.66300000000001</v>
      </c>
      <c r="H34" s="80">
        <f>Model!Q122</f>
        <v>193.77099999999999</v>
      </c>
      <c r="I34" s="80">
        <f>Model!R122</f>
        <v>285.553</v>
      </c>
      <c r="J34" s="81">
        <f>Model!S122</f>
        <v>229.161</v>
      </c>
      <c r="K34" s="80">
        <f>Model!U122</f>
        <v>263.34699999999998</v>
      </c>
      <c r="L34" s="80">
        <f ca="1">Model!V122</f>
        <v>261.16986924346253</v>
      </c>
      <c r="M34" s="80">
        <f ca="1">Model!W122</f>
        <v>283.12018531423104</v>
      </c>
      <c r="N34" s="82">
        <f ca="1">Model!X122</f>
        <v>273.99226514188484</v>
      </c>
      <c r="O34" s="80">
        <f ca="1">Model!Z122</f>
        <v>248.19034694510708</v>
      </c>
      <c r="P34" s="80">
        <f ca="1">Model!AA122</f>
        <v>244.48216069086456</v>
      </c>
      <c r="Q34" s="80">
        <f ca="1">Model!AB122</f>
        <v>235.06937527754951</v>
      </c>
      <c r="R34" s="80">
        <f ca="1">Model!AC122</f>
        <v>206.78502704233654</v>
      </c>
      <c r="S34" s="9"/>
      <c r="T34" s="80">
        <f>Model!J122</f>
        <v>99.686000000000007</v>
      </c>
      <c r="U34" s="80">
        <f>Model!O122</f>
        <v>114.634</v>
      </c>
      <c r="V34" s="81">
        <f>Model!T122</f>
        <v>229.161</v>
      </c>
      <c r="W34" s="80">
        <f ca="1">Model!Y122</f>
        <v>273.99226514188484</v>
      </c>
      <c r="X34" s="80">
        <f ca="1">Model!AD122</f>
        <v>206.78502704233654</v>
      </c>
      <c r="Y34" s="80">
        <f ca="1">Model!AE122</f>
        <v>256.12554661597574</v>
      </c>
      <c r="Z34" s="80">
        <f ca="1">Model!AF122</f>
        <v>269.7771651521565</v>
      </c>
      <c r="AA34" s="80">
        <f ca="1">Model!AG122</f>
        <v>252.11706980891853</v>
      </c>
      <c r="AB34" s="9"/>
      <c r="AC34" s="9"/>
      <c r="AD34" s="9"/>
      <c r="AE34" s="9"/>
    </row>
    <row r="35" spans="1:31" ht="13.5" customHeight="1">
      <c r="A35" s="10"/>
      <c r="B35" s="9"/>
      <c r="C35" s="9" t="str">
        <f>Model!C123</f>
        <v>Fees Receivable</v>
      </c>
      <c r="D35" s="9"/>
      <c r="E35" s="9"/>
      <c r="F35" s="9"/>
      <c r="G35" s="100">
        <f>Model!P123</f>
        <v>141.09899999999999</v>
      </c>
      <c r="H35" s="100">
        <f>Model!Q123</f>
        <v>95.509</v>
      </c>
      <c r="I35" s="100">
        <f>Model!R123</f>
        <v>135.62200000000001</v>
      </c>
      <c r="J35" s="101">
        <f>Model!S123</f>
        <v>181.411</v>
      </c>
      <c r="K35" s="100">
        <f>Model!U123</f>
        <v>158.06100000000001</v>
      </c>
      <c r="L35" s="100">
        <f>Model!V123</f>
        <v>159.65870483516485</v>
      </c>
      <c r="M35" s="100">
        <f>Model!W123</f>
        <v>167.62761407608696</v>
      </c>
      <c r="N35" s="102">
        <f>Model!X123</f>
        <v>181.67972203956521</v>
      </c>
      <c r="O35" s="100">
        <f>Model!Z123</f>
        <v>212.18164067603078</v>
      </c>
      <c r="P35" s="100">
        <f>Model!AA123</f>
        <v>224.91253911659263</v>
      </c>
      <c r="Q35" s="100">
        <f>Model!AB123</f>
        <v>232.9998047671595</v>
      </c>
      <c r="R35" s="100">
        <f>Model!AC123</f>
        <v>243.75957836487211</v>
      </c>
      <c r="S35" s="9"/>
      <c r="T35" s="100">
        <f>Model!J123</f>
        <v>47.14</v>
      </c>
      <c r="U35" s="100">
        <f>Model!O123</f>
        <v>108.291</v>
      </c>
      <c r="V35" s="101">
        <f>Model!T123</f>
        <v>181.411</v>
      </c>
      <c r="W35" s="100">
        <f>Model!Y123</f>
        <v>181.67972203956521</v>
      </c>
      <c r="X35" s="100">
        <f>Model!AD123</f>
        <v>243.75957836487211</v>
      </c>
      <c r="Y35" s="100">
        <f>Model!AE123</f>
        <v>222.37592255591417</v>
      </c>
      <c r="Z35" s="100">
        <f>Model!AF123</f>
        <v>240.62215209896348</v>
      </c>
      <c r="AA35" s="100">
        <f>Model!AG123</f>
        <v>256.3334234537362</v>
      </c>
      <c r="AB35" s="9"/>
      <c r="AC35" s="9"/>
      <c r="AD35" s="9"/>
      <c r="AE35" s="9"/>
    </row>
    <row r="36" spans="1:31" ht="13.5" customHeight="1">
      <c r="A36" s="10"/>
      <c r="B36" s="9"/>
      <c r="C36" s="9" t="str">
        <f>Model!C124</f>
        <v>Inventory</v>
      </c>
      <c r="D36" s="9"/>
      <c r="E36" s="9"/>
      <c r="F36" s="9"/>
      <c r="G36" s="100">
        <f>Model!P124</f>
        <v>0</v>
      </c>
      <c r="H36" s="100">
        <f>Model!Q124</f>
        <v>0</v>
      </c>
      <c r="I36" s="100">
        <f>Model!R124</f>
        <v>0</v>
      </c>
      <c r="J36" s="101">
        <f>Model!S124</f>
        <v>0</v>
      </c>
      <c r="K36" s="100">
        <f>Model!U124</f>
        <v>0</v>
      </c>
      <c r="L36" s="100">
        <f>Model!V124</f>
        <v>0</v>
      </c>
      <c r="M36" s="100">
        <f>Model!W124</f>
        <v>0</v>
      </c>
      <c r="N36" s="102">
        <f>Model!X124</f>
        <v>0</v>
      </c>
      <c r="O36" s="100">
        <f>Model!Z124</f>
        <v>0</v>
      </c>
      <c r="P36" s="100">
        <f>Model!AA124</f>
        <v>0</v>
      </c>
      <c r="Q36" s="100">
        <f>Model!AB124</f>
        <v>0</v>
      </c>
      <c r="R36" s="100">
        <f>Model!AC124</f>
        <v>0</v>
      </c>
      <c r="S36" s="9"/>
      <c r="T36" s="100">
        <f>Model!J124</f>
        <v>0</v>
      </c>
      <c r="U36" s="100">
        <f>Model!O124</f>
        <v>0</v>
      </c>
      <c r="V36" s="101">
        <f>Model!T124</f>
        <v>0</v>
      </c>
      <c r="W36" s="100">
        <f>Model!Y124</f>
        <v>0</v>
      </c>
      <c r="X36" s="100">
        <f>Model!AD124</f>
        <v>0</v>
      </c>
      <c r="Y36" s="100">
        <f>Model!AE124</f>
        <v>0</v>
      </c>
      <c r="Z36" s="100">
        <f>Model!AF124</f>
        <v>0</v>
      </c>
      <c r="AA36" s="100">
        <f>Model!AG124</f>
        <v>0</v>
      </c>
      <c r="AB36" s="9"/>
      <c r="AC36" s="9"/>
      <c r="AD36" s="9"/>
      <c r="AE36" s="9"/>
    </row>
    <row r="37" spans="1:31" ht="13.5" customHeight="1">
      <c r="A37" s="10"/>
      <c r="B37" s="9"/>
      <c r="C37" s="9" t="str">
        <f>Model!C125</f>
        <v>Prepaid &amp; Other Current Assets</v>
      </c>
      <c r="D37" s="9"/>
      <c r="E37" s="9"/>
      <c r="F37" s="9"/>
      <c r="G37" s="100">
        <f>Model!P125</f>
        <v>26.491999999999997</v>
      </c>
      <c r="H37" s="100">
        <f>Model!Q125</f>
        <v>39.074999999999996</v>
      </c>
      <c r="I37" s="100">
        <f>Model!R125</f>
        <v>36.642999999999994</v>
      </c>
      <c r="J37" s="101">
        <f>Model!S125</f>
        <v>33.805999999999997</v>
      </c>
      <c r="K37" s="100">
        <f>Model!U125</f>
        <v>36.945</v>
      </c>
      <c r="L37" s="100">
        <f>Model!V125</f>
        <v>36.782132000000004</v>
      </c>
      <c r="M37" s="100">
        <f>Model!W125</f>
        <v>39.042381000000006</v>
      </c>
      <c r="N37" s="102">
        <f>Model!X125</f>
        <v>42.315277032000004</v>
      </c>
      <c r="O37" s="100">
        <f>Model!Z125</f>
        <v>44.903556515160005</v>
      </c>
      <c r="P37" s="100">
        <f>Model!AA125</f>
        <v>47.597769906069601</v>
      </c>
      <c r="Q37" s="100">
        <f>Model!AB125</f>
        <v>49.851121019950405</v>
      </c>
      <c r="R37" s="100">
        <f>Model!AC125</f>
        <v>52.153212115274961</v>
      </c>
      <c r="S37" s="9"/>
      <c r="T37" s="100">
        <f>Model!J125</f>
        <v>21.807000000000002</v>
      </c>
      <c r="U37" s="100">
        <f>Model!O125</f>
        <v>24.207999999999998</v>
      </c>
      <c r="V37" s="101">
        <f>Model!T125</f>
        <v>33.805999999999997</v>
      </c>
      <c r="W37" s="100">
        <f>Model!Y125</f>
        <v>42.315277032000004</v>
      </c>
      <c r="X37" s="100">
        <f>Model!AD125</f>
        <v>52.153212115274961</v>
      </c>
      <c r="Y37" s="100">
        <f>Model!AE125</f>
        <v>57.233290324486887</v>
      </c>
      <c r="Z37" s="100">
        <f>Model!AF125</f>
        <v>60.381121292333653</v>
      </c>
      <c r="AA37" s="100">
        <f>Model!AG125</f>
        <v>64.323668447921932</v>
      </c>
      <c r="AB37" s="9"/>
      <c r="AC37" s="9"/>
      <c r="AD37" s="9"/>
      <c r="AE37" s="9"/>
    </row>
    <row r="38" spans="1:31" ht="13.5" customHeight="1">
      <c r="A38" s="10"/>
      <c r="B38" s="9"/>
      <c r="C38" s="103" t="str">
        <f>Model!C126</f>
        <v>Total Current Assets</v>
      </c>
      <c r="D38" s="9"/>
      <c r="E38" s="9"/>
      <c r="F38" s="9"/>
      <c r="G38" s="104">
        <f t="shared" ref="G38:R38" si="22">SUM(G34:G37)</f>
        <v>319.25400000000002</v>
      </c>
      <c r="H38" s="104">
        <f t="shared" si="22"/>
        <v>328.35499999999996</v>
      </c>
      <c r="I38" s="104">
        <f t="shared" si="22"/>
        <v>457.81799999999998</v>
      </c>
      <c r="J38" s="105">
        <f t="shared" si="22"/>
        <v>444.37799999999999</v>
      </c>
      <c r="K38" s="104">
        <f t="shared" si="22"/>
        <v>458.35300000000001</v>
      </c>
      <c r="L38" s="104">
        <f t="shared" ca="1" si="22"/>
        <v>457.6107060786274</v>
      </c>
      <c r="M38" s="104">
        <f t="shared" ca="1" si="22"/>
        <v>489.79018039031803</v>
      </c>
      <c r="N38" s="106">
        <f t="shared" ca="1" si="22"/>
        <v>497.98726421345003</v>
      </c>
      <c r="O38" s="104">
        <f t="shared" ca="1" si="22"/>
        <v>505.27554413629787</v>
      </c>
      <c r="P38" s="104">
        <f t="shared" ca="1" si="22"/>
        <v>516.99246971352682</v>
      </c>
      <c r="Q38" s="104">
        <f t="shared" ca="1" si="22"/>
        <v>517.92030106465938</v>
      </c>
      <c r="R38" s="104">
        <f t="shared" ca="1" si="22"/>
        <v>502.69781752248366</v>
      </c>
      <c r="S38" s="9"/>
      <c r="T38" s="104">
        <f t="shared" ref="T38:AA38" si="23">SUM(T34:T37)</f>
        <v>168.63300000000004</v>
      </c>
      <c r="U38" s="104">
        <f t="shared" si="23"/>
        <v>247.13300000000001</v>
      </c>
      <c r="V38" s="105">
        <f t="shared" si="23"/>
        <v>444.37799999999999</v>
      </c>
      <c r="W38" s="104">
        <f t="shared" ca="1" si="23"/>
        <v>497.98726421345003</v>
      </c>
      <c r="X38" s="104">
        <f t="shared" ca="1" si="23"/>
        <v>502.69781752248366</v>
      </c>
      <c r="Y38" s="104">
        <f t="shared" ca="1" si="23"/>
        <v>535.7347594963768</v>
      </c>
      <c r="Z38" s="104">
        <f t="shared" ca="1" si="23"/>
        <v>570.78043854345367</v>
      </c>
      <c r="AA38" s="104">
        <f t="shared" ca="1" si="23"/>
        <v>572.77416171057666</v>
      </c>
      <c r="AB38" s="9"/>
      <c r="AC38" s="9"/>
      <c r="AD38" s="9"/>
      <c r="AE38" s="9"/>
    </row>
    <row r="39" spans="1:31" ht="13.5" customHeight="1">
      <c r="A39" s="10"/>
      <c r="B39" s="9"/>
      <c r="C39" s="9"/>
      <c r="D39" s="9"/>
      <c r="E39" s="9"/>
      <c r="F39" s="9"/>
      <c r="G39" s="107"/>
      <c r="H39" s="107"/>
      <c r="I39" s="107"/>
      <c r="J39" s="108"/>
      <c r="K39" s="107"/>
      <c r="L39" s="107"/>
      <c r="M39" s="107"/>
      <c r="N39" s="109"/>
      <c r="O39" s="107"/>
      <c r="P39" s="107"/>
      <c r="Q39" s="107"/>
      <c r="R39" s="107"/>
      <c r="S39" s="9"/>
      <c r="T39" s="107"/>
      <c r="U39" s="107"/>
      <c r="V39" s="108"/>
      <c r="W39" s="107"/>
      <c r="X39" s="107"/>
      <c r="Y39" s="107"/>
      <c r="Z39" s="107"/>
      <c r="AA39" s="107"/>
      <c r="AB39" s="9"/>
      <c r="AC39" s="9"/>
      <c r="AD39" s="9"/>
      <c r="AE39" s="9"/>
    </row>
    <row r="40" spans="1:31" ht="13.5" customHeight="1">
      <c r="A40" s="10"/>
      <c r="B40" s="9"/>
      <c r="C40" s="9" t="str">
        <f>Model!C128</f>
        <v>PP&amp;E, Net</v>
      </c>
      <c r="D40" s="9"/>
      <c r="E40" s="9"/>
      <c r="F40" s="9"/>
      <c r="G40" s="80">
        <f>Model!P128</f>
        <v>95.085000000000008</v>
      </c>
      <c r="H40" s="80">
        <f>Model!Q128</f>
        <v>95.254999999999995</v>
      </c>
      <c r="I40" s="80">
        <f>Model!R128</f>
        <v>97.37299999999999</v>
      </c>
      <c r="J40" s="81">
        <f>Model!S128</f>
        <v>98.998999999999995</v>
      </c>
      <c r="K40" s="80">
        <f>Model!U128</f>
        <v>96.676999999999992</v>
      </c>
      <c r="L40" s="80">
        <f>Model!V128</f>
        <v>98.883927919999991</v>
      </c>
      <c r="M40" s="80">
        <f>Model!W128</f>
        <v>101.22647077999999</v>
      </c>
      <c r="N40" s="82">
        <f>Model!X128</f>
        <v>103.34223463159998</v>
      </c>
      <c r="O40" s="80">
        <f>Model!Z128</f>
        <v>105.13837689220638</v>
      </c>
      <c r="P40" s="80">
        <f>Model!AA128</f>
        <v>107.04228768844916</v>
      </c>
      <c r="Q40" s="80">
        <f>Model!AB128</f>
        <v>109.03633252924718</v>
      </c>
      <c r="R40" s="80">
        <f>Model!AC128</f>
        <v>111.12246101385817</v>
      </c>
      <c r="S40" s="9"/>
      <c r="T40" s="80">
        <f>Model!J128</f>
        <v>90.751999999999995</v>
      </c>
      <c r="U40" s="80">
        <f>Model!O128</f>
        <v>95.437999999999988</v>
      </c>
      <c r="V40" s="81">
        <f>Model!T128</f>
        <v>98.998999999999995</v>
      </c>
      <c r="W40" s="80">
        <f>Model!Y128</f>
        <v>103.34223463159998</v>
      </c>
      <c r="X40" s="80">
        <f>Model!AD128</f>
        <v>111.12246101385817</v>
      </c>
      <c r="Y40" s="80">
        <f>Model!AE128</f>
        <v>119.44730324287444</v>
      </c>
      <c r="Z40" s="80">
        <f>Model!AF128</f>
        <v>128.23001179448661</v>
      </c>
      <c r="AA40" s="80">
        <f>Model!AG128</f>
        <v>137.58618175054798</v>
      </c>
      <c r="AB40" s="9"/>
      <c r="AC40" s="9"/>
      <c r="AD40" s="9"/>
      <c r="AE40" s="9"/>
    </row>
    <row r="41" spans="1:31" ht="13.5" customHeight="1">
      <c r="A41" s="10"/>
      <c r="B41" s="9"/>
      <c r="C41" s="9" t="str">
        <f>Model!C129</f>
        <v>Investments and Assets of Consolidated Variable Interest Entities</v>
      </c>
      <c r="D41" s="9"/>
      <c r="E41" s="9"/>
      <c r="F41" s="9"/>
      <c r="G41" s="100">
        <f>Model!P129</f>
        <v>698.27300000000002</v>
      </c>
      <c r="H41" s="100">
        <f>Model!Q129</f>
        <v>743.53300000000002</v>
      </c>
      <c r="I41" s="100">
        <f>Model!R129</f>
        <v>780.83600000000001</v>
      </c>
      <c r="J41" s="101">
        <f>Model!S129</f>
        <v>838.45299999999997</v>
      </c>
      <c r="K41" s="100">
        <f>Model!U129</f>
        <v>945.03800000000001</v>
      </c>
      <c r="L41" s="100">
        <f>Model!V129</f>
        <v>973.38914</v>
      </c>
      <c r="M41" s="100">
        <f>Model!W129</f>
        <v>1002.5908142000001</v>
      </c>
      <c r="N41" s="102">
        <f>Model!X129</f>
        <v>1032.6685386260001</v>
      </c>
      <c r="O41" s="100">
        <f>Model!Z129</f>
        <v>1104.9553363298203</v>
      </c>
      <c r="P41" s="100">
        <f>Model!AA129</f>
        <v>1171.2526565096096</v>
      </c>
      <c r="Q41" s="100">
        <f>Model!AB129</f>
        <v>1235.6715526176381</v>
      </c>
      <c r="R41" s="100">
        <f>Model!AC129</f>
        <v>1297.4551302485202</v>
      </c>
      <c r="S41" s="9"/>
      <c r="T41" s="100">
        <f>Model!J129</f>
        <v>647.24600000000009</v>
      </c>
      <c r="U41" s="100">
        <f>Model!O129</f>
        <v>666.74199999999996</v>
      </c>
      <c r="V41" s="101">
        <f>Model!T129</f>
        <v>838.45299999999997</v>
      </c>
      <c r="W41" s="100">
        <f>Model!Y129</f>
        <v>1032.6685386260001</v>
      </c>
      <c r="X41" s="100">
        <f>Model!AD129</f>
        <v>1297.4551302485202</v>
      </c>
      <c r="Y41" s="100">
        <f>Model!AE129</f>
        <v>1492.0733997857981</v>
      </c>
      <c r="Z41" s="100">
        <f>Model!AF129</f>
        <v>1715.8844097536676</v>
      </c>
      <c r="AA41" s="100">
        <f>Model!AG129</f>
        <v>1973.2670712167176</v>
      </c>
      <c r="AB41" s="9"/>
      <c r="AC41" s="9"/>
      <c r="AD41" s="9"/>
      <c r="AE41" s="9"/>
    </row>
    <row r="42" spans="1:31" ht="13.5" customHeight="1">
      <c r="A42" s="10"/>
      <c r="B42" s="9"/>
      <c r="C42" s="9" t="str">
        <f>Model!C130</f>
        <v>Deferred Income Taxes</v>
      </c>
      <c r="D42" s="9"/>
      <c r="E42" s="9"/>
      <c r="F42" s="9"/>
      <c r="G42" s="100">
        <f>Model!P130</f>
        <v>259.30099999999999</v>
      </c>
      <c r="H42" s="100">
        <f>Model!Q130</f>
        <v>257.18700000000001</v>
      </c>
      <c r="I42" s="100">
        <f>Model!R130</f>
        <v>255.001</v>
      </c>
      <c r="J42" s="101">
        <f>Model!S130</f>
        <v>308.52499999999998</v>
      </c>
      <c r="K42" s="100">
        <f>Model!U130</f>
        <v>301.97000000000003</v>
      </c>
      <c r="L42" s="100">
        <f>Model!V130</f>
        <v>285.06152300000002</v>
      </c>
      <c r="M42" s="100">
        <f>Model!W130</f>
        <v>302.57845275</v>
      </c>
      <c r="N42" s="102">
        <f>Model!X130</f>
        <v>327.94339699800003</v>
      </c>
      <c r="O42" s="100">
        <f>Model!Z130</f>
        <v>348.00256299249003</v>
      </c>
      <c r="P42" s="100">
        <f>Model!AA130</f>
        <v>368.88271677203943</v>
      </c>
      <c r="Q42" s="100">
        <f>Model!AB130</f>
        <v>386.34618790461565</v>
      </c>
      <c r="R42" s="100">
        <f>Model!AC130</f>
        <v>404.18739389338094</v>
      </c>
      <c r="S42" s="9"/>
      <c r="T42" s="100">
        <f>Model!J130</f>
        <v>233.91200000000001</v>
      </c>
      <c r="U42" s="100">
        <f>Model!O130</f>
        <v>261.887</v>
      </c>
      <c r="V42" s="101">
        <f>Model!T130</f>
        <v>308.52499999999998</v>
      </c>
      <c r="W42" s="100">
        <f>Model!Y130</f>
        <v>327.94339699800003</v>
      </c>
      <c r="X42" s="100">
        <f>Model!AD130</f>
        <v>404.18739389338094</v>
      </c>
      <c r="Y42" s="100">
        <f>Model!AE130</f>
        <v>437.0542170233544</v>
      </c>
      <c r="Z42" s="100">
        <f>Model!AF130</f>
        <v>461.09219895963878</v>
      </c>
      <c r="AA42" s="100">
        <f>Model!AG130</f>
        <v>491.19892269322202</v>
      </c>
      <c r="AB42" s="9"/>
      <c r="AC42" s="9"/>
      <c r="AD42" s="9"/>
      <c r="AE42" s="9"/>
    </row>
    <row r="43" spans="1:31" ht="13.5" hidden="1" customHeight="1">
      <c r="A43" s="10"/>
      <c r="B43" s="9"/>
      <c r="C43" s="9" t="e">
        <f>Model!#REF!</f>
        <v>#REF!</v>
      </c>
      <c r="D43" s="9"/>
      <c r="E43" s="9"/>
      <c r="F43" s="9"/>
      <c r="G43" s="100" t="e">
        <f>Model!#REF!</f>
        <v>#REF!</v>
      </c>
      <c r="H43" s="100" t="e">
        <f>Model!#REF!</f>
        <v>#REF!</v>
      </c>
      <c r="I43" s="100" t="e">
        <f>Model!#REF!</f>
        <v>#REF!</v>
      </c>
      <c r="J43" s="101" t="e">
        <f>Model!#REF!</f>
        <v>#REF!</v>
      </c>
      <c r="K43" s="100" t="e">
        <f>Model!#REF!</f>
        <v>#REF!</v>
      </c>
      <c r="L43" s="100" t="e">
        <f>Model!#REF!</f>
        <v>#REF!</v>
      </c>
      <c r="M43" s="100" t="e">
        <f>Model!#REF!</f>
        <v>#REF!</v>
      </c>
      <c r="N43" s="102" t="e">
        <f>Model!#REF!</f>
        <v>#REF!</v>
      </c>
      <c r="O43" s="100" t="e">
        <f>Model!#REF!</f>
        <v>#REF!</v>
      </c>
      <c r="P43" s="100" t="e">
        <f>Model!#REF!</f>
        <v>#REF!</v>
      </c>
      <c r="Q43" s="100" t="e">
        <f>Model!#REF!</f>
        <v>#REF!</v>
      </c>
      <c r="R43" s="100" t="e">
        <f>Model!#REF!</f>
        <v>#REF!</v>
      </c>
      <c r="S43" s="9"/>
      <c r="T43" s="100" t="e">
        <f>Model!#REF!</f>
        <v>#REF!</v>
      </c>
      <c r="U43" s="100" t="e">
        <f>Model!#REF!</f>
        <v>#REF!</v>
      </c>
      <c r="V43" s="101" t="e">
        <f>Model!#REF!</f>
        <v>#REF!</v>
      </c>
      <c r="W43" s="100" t="e">
        <f>Model!#REF!</f>
        <v>#REF!</v>
      </c>
      <c r="X43" s="100" t="e">
        <f>Model!#REF!</f>
        <v>#REF!</v>
      </c>
      <c r="Y43" s="100" t="e">
        <f>Model!#REF!</f>
        <v>#REF!</v>
      </c>
      <c r="Z43" s="100" t="e">
        <f>Model!#REF!</f>
        <v>#REF!</v>
      </c>
      <c r="AA43" s="100" t="e">
        <f>Model!#REF!</f>
        <v>#REF!</v>
      </c>
      <c r="AB43" s="9"/>
      <c r="AC43" s="9"/>
      <c r="AD43" s="9"/>
      <c r="AE43" s="9"/>
    </row>
    <row r="44" spans="1:31" ht="13.5" customHeight="1">
      <c r="A44" s="10"/>
      <c r="B44" s="9"/>
      <c r="C44" s="103" t="str">
        <f>Model!C131</f>
        <v>Total Non-Current Assets</v>
      </c>
      <c r="D44" s="9"/>
      <c r="E44" s="9"/>
      <c r="F44" s="9"/>
      <c r="G44" s="104">
        <f>SUM(G40:G42)</f>
        <v>1052.6590000000001</v>
      </c>
      <c r="H44" s="104">
        <f t="shared" ref="H44:AA44" si="24">SUM(H40:H42)</f>
        <v>1095.9749999999999</v>
      </c>
      <c r="I44" s="104">
        <f t="shared" si="24"/>
        <v>1133.21</v>
      </c>
      <c r="J44" s="104">
        <f t="shared" si="24"/>
        <v>1245.9769999999999</v>
      </c>
      <c r="K44" s="104">
        <f t="shared" si="24"/>
        <v>1343.6849999999999</v>
      </c>
      <c r="L44" s="104">
        <f t="shared" si="24"/>
        <v>1357.33459092</v>
      </c>
      <c r="M44" s="104">
        <f t="shared" si="24"/>
        <v>1406.3957377300001</v>
      </c>
      <c r="N44" s="104">
        <f t="shared" si="24"/>
        <v>1463.9541702556</v>
      </c>
      <c r="O44" s="104">
        <f t="shared" si="24"/>
        <v>1558.0962762145168</v>
      </c>
      <c r="P44" s="104">
        <f t="shared" si="24"/>
        <v>1647.177660970098</v>
      </c>
      <c r="Q44" s="104">
        <f t="shared" si="24"/>
        <v>1731.0540730515008</v>
      </c>
      <c r="R44" s="104">
        <f t="shared" si="24"/>
        <v>1812.7649851557592</v>
      </c>
      <c r="S44" s="104">
        <f t="shared" si="24"/>
        <v>0</v>
      </c>
      <c r="T44" s="104">
        <f t="shared" si="24"/>
        <v>971.91000000000008</v>
      </c>
      <c r="U44" s="104">
        <f t="shared" si="24"/>
        <v>1024.067</v>
      </c>
      <c r="V44" s="104">
        <f t="shared" si="24"/>
        <v>1245.9769999999999</v>
      </c>
      <c r="W44" s="104">
        <f t="shared" si="24"/>
        <v>1463.9541702556</v>
      </c>
      <c r="X44" s="104">
        <f t="shared" si="24"/>
        <v>1812.7649851557592</v>
      </c>
      <c r="Y44" s="104">
        <f t="shared" si="24"/>
        <v>2048.5749200520268</v>
      </c>
      <c r="Z44" s="104">
        <f t="shared" si="24"/>
        <v>2305.2066205077931</v>
      </c>
      <c r="AA44" s="104">
        <f t="shared" si="24"/>
        <v>2602.0521756604876</v>
      </c>
      <c r="AB44" s="9"/>
      <c r="AC44" s="9"/>
      <c r="AD44" s="9"/>
      <c r="AE44" s="9"/>
    </row>
    <row r="45" spans="1:31" ht="13.5" customHeight="1">
      <c r="A45" s="10"/>
      <c r="B45" s="9"/>
      <c r="C45" s="9"/>
      <c r="D45" s="9"/>
      <c r="E45" s="9"/>
      <c r="F45" s="9"/>
      <c r="G45" s="107"/>
      <c r="H45" s="107"/>
      <c r="I45" s="107"/>
      <c r="J45" s="108"/>
      <c r="K45" s="107"/>
      <c r="L45" s="107"/>
      <c r="M45" s="107"/>
      <c r="N45" s="109"/>
      <c r="O45" s="107"/>
      <c r="P45" s="107"/>
      <c r="Q45" s="107"/>
      <c r="R45" s="107"/>
      <c r="S45" s="9"/>
      <c r="T45" s="107"/>
      <c r="U45" s="107"/>
      <c r="V45" s="108"/>
      <c r="W45" s="107"/>
      <c r="X45" s="107"/>
      <c r="Y45" s="107"/>
      <c r="Z45" s="107"/>
      <c r="AA45" s="107"/>
      <c r="AB45" s="9"/>
      <c r="AC45" s="9"/>
      <c r="AD45" s="9"/>
      <c r="AE45" s="9"/>
    </row>
    <row r="46" spans="1:31" ht="13.5" customHeight="1">
      <c r="A46" s="10"/>
      <c r="B46" s="9"/>
      <c r="C46" s="103" t="str">
        <f>Model!C133</f>
        <v>Total Assets</v>
      </c>
      <c r="D46" s="9"/>
      <c r="E46" s="9"/>
      <c r="F46" s="9"/>
      <c r="G46" s="110">
        <f t="shared" ref="G46:R46" si="25">SUM(G38,G44)</f>
        <v>1371.913</v>
      </c>
      <c r="H46" s="110">
        <f t="shared" si="25"/>
        <v>1424.33</v>
      </c>
      <c r="I46" s="110">
        <f t="shared" si="25"/>
        <v>1591.028</v>
      </c>
      <c r="J46" s="111">
        <f t="shared" si="25"/>
        <v>1690.3549999999998</v>
      </c>
      <c r="K46" s="110">
        <f t="shared" si="25"/>
        <v>1802.038</v>
      </c>
      <c r="L46" s="110">
        <f t="shared" ca="1" si="25"/>
        <v>1814.9452969986273</v>
      </c>
      <c r="M46" s="110">
        <f t="shared" ca="1" si="25"/>
        <v>1896.1859181203181</v>
      </c>
      <c r="N46" s="112">
        <f t="shared" ca="1" si="25"/>
        <v>1961.9414344690501</v>
      </c>
      <c r="O46" s="110">
        <f t="shared" ca="1" si="25"/>
        <v>2063.3718203508147</v>
      </c>
      <c r="P46" s="110">
        <f t="shared" ca="1" si="25"/>
        <v>2164.1701306836248</v>
      </c>
      <c r="Q46" s="110">
        <f t="shared" ca="1" si="25"/>
        <v>2248.9743741161601</v>
      </c>
      <c r="R46" s="110">
        <f t="shared" ca="1" si="25"/>
        <v>2315.462802678243</v>
      </c>
      <c r="S46" s="113"/>
      <c r="T46" s="110">
        <f t="shared" ref="T46:AA46" si="26">SUM(T38,T44)</f>
        <v>1140.5430000000001</v>
      </c>
      <c r="U46" s="110">
        <f t="shared" si="26"/>
        <v>1271.2</v>
      </c>
      <c r="V46" s="111">
        <f t="shared" si="26"/>
        <v>1690.3549999999998</v>
      </c>
      <c r="W46" s="110">
        <f t="shared" ca="1" si="26"/>
        <v>1961.9414344690501</v>
      </c>
      <c r="X46" s="110">
        <f t="shared" ca="1" si="26"/>
        <v>2315.462802678243</v>
      </c>
      <c r="Y46" s="110">
        <f t="shared" ca="1" si="26"/>
        <v>2584.3096795484034</v>
      </c>
      <c r="Z46" s="110">
        <f t="shared" ca="1" si="26"/>
        <v>2875.9870590512469</v>
      </c>
      <c r="AA46" s="110">
        <f t="shared" ca="1" si="26"/>
        <v>3174.8263373710643</v>
      </c>
      <c r="AB46" s="9"/>
      <c r="AC46" s="9"/>
      <c r="AD46" s="9"/>
      <c r="AE46" s="9"/>
    </row>
    <row r="47" spans="1:31" ht="13.5" customHeight="1">
      <c r="A47" s="10"/>
      <c r="B47" s="9"/>
      <c r="C47" s="9"/>
      <c r="D47" s="9"/>
      <c r="E47" s="9"/>
      <c r="F47" s="9"/>
      <c r="G47" s="9"/>
      <c r="H47" s="9"/>
      <c r="I47" s="9"/>
      <c r="J47" s="88"/>
      <c r="K47" s="9"/>
      <c r="L47" s="9"/>
      <c r="M47" s="9"/>
      <c r="N47" s="89"/>
      <c r="O47" s="9"/>
      <c r="P47" s="9"/>
      <c r="Q47" s="9"/>
      <c r="R47" s="9"/>
      <c r="S47" s="9"/>
      <c r="T47" s="9"/>
      <c r="U47" s="9"/>
      <c r="V47" s="88"/>
      <c r="W47" s="9"/>
      <c r="X47" s="9"/>
      <c r="Y47" s="9"/>
      <c r="Z47" s="9"/>
      <c r="AA47" s="9"/>
      <c r="AB47" s="9"/>
      <c r="AC47" s="9"/>
      <c r="AD47" s="9"/>
      <c r="AE47" s="9"/>
    </row>
    <row r="48" spans="1:31" ht="13.5" customHeight="1">
      <c r="A48" s="10"/>
      <c r="B48" s="9"/>
      <c r="C48" s="9" t="str">
        <f>Model!C135</f>
        <v>Accounts Payable</v>
      </c>
      <c r="D48" s="9"/>
      <c r="E48" s="9"/>
      <c r="F48" s="9"/>
      <c r="G48" s="100">
        <f>Model!P135</f>
        <v>4.6829999999999998</v>
      </c>
      <c r="H48" s="100">
        <f>Model!Q135</f>
        <v>6.43</v>
      </c>
      <c r="I48" s="100">
        <f>Model!R135</f>
        <v>5.25</v>
      </c>
      <c r="J48" s="101">
        <f>Model!S135</f>
        <v>5.4690000000000003</v>
      </c>
      <c r="K48" s="100">
        <f>Model!U135</f>
        <v>6.508</v>
      </c>
      <c r="L48" s="100">
        <f>Model!V135</f>
        <v>6.3024768484615388</v>
      </c>
      <c r="M48" s="100">
        <f>Model!W135</f>
        <v>6.6170470189402177</v>
      </c>
      <c r="N48" s="102">
        <f>Model!X135</f>
        <v>7.1717495339289128</v>
      </c>
      <c r="O48" s="100">
        <f>Model!Z135</f>
        <v>8.4379210594421536</v>
      </c>
      <c r="P48" s="100">
        <f>Model!AA135</f>
        <v>8.1988466294246258</v>
      </c>
      <c r="Q48" s="100">
        <f>Model!AB135</f>
        <v>8.4936556737795925</v>
      </c>
      <c r="R48" s="100">
        <f>Model!AC135</f>
        <v>8.8858869555101627</v>
      </c>
      <c r="S48" s="9"/>
      <c r="T48" s="100">
        <f>Model!J135</f>
        <v>4.5590000000000002</v>
      </c>
      <c r="U48" s="100">
        <f>Model!O135</f>
        <v>4.5049999999999999</v>
      </c>
      <c r="V48" s="101">
        <f>Model!T135</f>
        <v>5.4690000000000003</v>
      </c>
      <c r="W48" s="100">
        <f>Model!Y135</f>
        <v>7.1717495339289128</v>
      </c>
      <c r="X48" s="100">
        <f>Model!AD135</f>
        <v>8.8858869555101627</v>
      </c>
      <c r="Y48" s="100">
        <f>Model!AE135</f>
        <v>9.0946050378636709</v>
      </c>
      <c r="Z48" s="100">
        <f>Model!AF135</f>
        <v>9.5948083149461691</v>
      </c>
      <c r="AA48" s="100">
        <f>Model!AG135</f>
        <v>10.221295260217733</v>
      </c>
      <c r="AB48" s="9"/>
      <c r="AC48" s="9"/>
      <c r="AD48" s="9"/>
      <c r="AE48" s="9"/>
    </row>
    <row r="49" spans="1:31" ht="13.5" customHeight="1">
      <c r="A49" s="10"/>
      <c r="B49" s="9"/>
      <c r="C49" s="9" t="str">
        <f>Model!C136</f>
        <v>Accrued Liabilities</v>
      </c>
      <c r="D49" s="9"/>
      <c r="E49" s="9"/>
      <c r="F49" s="9"/>
      <c r="G49" s="100">
        <f>Model!P136</f>
        <v>109.32500000000002</v>
      </c>
      <c r="H49" s="100">
        <f>Model!Q136</f>
        <v>100.16399999999999</v>
      </c>
      <c r="I49" s="100">
        <f>Model!R136</f>
        <v>111.61199999999999</v>
      </c>
      <c r="J49" s="101">
        <f>Model!S136</f>
        <v>95.599000000000004</v>
      </c>
      <c r="K49" s="100">
        <f>Model!U136</f>
        <v>110.395</v>
      </c>
      <c r="L49" s="100">
        <f>Model!V136</f>
        <v>114.70507864200002</v>
      </c>
      <c r="M49" s="100">
        <f>Model!W136</f>
        <v>121.7536651485</v>
      </c>
      <c r="N49" s="102">
        <f>Model!X136</f>
        <v>131.96019142429199</v>
      </c>
      <c r="O49" s="100">
        <f>Model!Z136</f>
        <v>143.33215239639074</v>
      </c>
      <c r="P49" s="100">
        <f>Model!AA136</f>
        <v>151.93208154017415</v>
      </c>
      <c r="Q49" s="100">
        <f>Model!AB136</f>
        <v>159.12477829568169</v>
      </c>
      <c r="R49" s="100">
        <f>Model!AC136</f>
        <v>166.47305307195768</v>
      </c>
      <c r="S49" s="9"/>
      <c r="T49" s="100">
        <f>Model!J136</f>
        <v>54.962000000000003</v>
      </c>
      <c r="U49" s="100">
        <f>Model!O136</f>
        <v>77.421999999999997</v>
      </c>
      <c r="V49" s="101">
        <f>Model!T136</f>
        <v>95.599000000000004</v>
      </c>
      <c r="W49" s="100">
        <f>Model!Y136</f>
        <v>131.96019142429199</v>
      </c>
      <c r="X49" s="100">
        <f>Model!AD136</f>
        <v>166.47305307195768</v>
      </c>
      <c r="Y49" s="100">
        <f>Model!AE136</f>
        <v>181.06531848110399</v>
      </c>
      <c r="Z49" s="100">
        <f>Model!AF136</f>
        <v>191.02391099756463</v>
      </c>
      <c r="AA49" s="100">
        <f>Model!AG136</f>
        <v>203.49669654433487</v>
      </c>
      <c r="AB49" s="9"/>
      <c r="AC49" s="9"/>
      <c r="AD49" s="9"/>
      <c r="AE49" s="9"/>
    </row>
    <row r="50" spans="1:31" ht="13.5" customHeight="1">
      <c r="A50" s="10"/>
      <c r="B50" s="9"/>
      <c r="C50" s="9" t="str">
        <f>Model!C137</f>
        <v>Other Current Liabilities</v>
      </c>
      <c r="D50" s="9"/>
      <c r="E50" s="9"/>
      <c r="F50" s="9"/>
      <c r="G50" s="100">
        <f>Model!P137</f>
        <v>0</v>
      </c>
      <c r="H50" s="100">
        <f>Model!Q137</f>
        <v>0</v>
      </c>
      <c r="I50" s="100">
        <f>Model!R137</f>
        <v>0</v>
      </c>
      <c r="J50" s="101">
        <f>Model!S137</f>
        <v>0</v>
      </c>
      <c r="K50" s="100">
        <f>Model!U137</f>
        <v>0</v>
      </c>
      <c r="L50" s="100">
        <f>Model!V137</f>
        <v>0</v>
      </c>
      <c r="M50" s="100">
        <f>Model!W137</f>
        <v>0</v>
      </c>
      <c r="N50" s="102">
        <f>Model!X137</f>
        <v>0</v>
      </c>
      <c r="O50" s="100">
        <f>Model!Z137</f>
        <v>0</v>
      </c>
      <c r="P50" s="100">
        <f>Model!AA137</f>
        <v>0</v>
      </c>
      <c r="Q50" s="100">
        <f>Model!AB137</f>
        <v>0</v>
      </c>
      <c r="R50" s="100">
        <f>Model!AC137</f>
        <v>0</v>
      </c>
      <c r="S50" s="9"/>
      <c r="T50" s="100">
        <f>Model!J137</f>
        <v>0</v>
      </c>
      <c r="U50" s="100">
        <f>Model!O137</f>
        <v>0</v>
      </c>
      <c r="V50" s="101">
        <f>Model!T137</f>
        <v>0</v>
      </c>
      <c r="W50" s="100">
        <f>Model!Y137</f>
        <v>0</v>
      </c>
      <c r="X50" s="100">
        <f>Model!AD137</f>
        <v>0</v>
      </c>
      <c r="Y50" s="100">
        <f>Model!AE137</f>
        <v>0</v>
      </c>
      <c r="Z50" s="100">
        <f>Model!AF137</f>
        <v>0</v>
      </c>
      <c r="AA50" s="100">
        <f>Model!AG137</f>
        <v>0</v>
      </c>
      <c r="AB50" s="9"/>
      <c r="AC50" s="9"/>
      <c r="AD50" s="9"/>
      <c r="AE50" s="9"/>
    </row>
    <row r="51" spans="1:31" ht="13.5" customHeight="1">
      <c r="A51" s="10"/>
      <c r="B51" s="9"/>
      <c r="C51" s="103" t="str">
        <f>Model!C138</f>
        <v>Total Current Liabilities (Excl. Debt)</v>
      </c>
      <c r="D51" s="9"/>
      <c r="E51" s="9"/>
      <c r="F51" s="9"/>
      <c r="G51" s="104">
        <f t="shared" ref="G51:R51" si="27">SUM(G48:G50)</f>
        <v>114.00800000000001</v>
      </c>
      <c r="H51" s="104">
        <f t="shared" si="27"/>
        <v>106.59399999999999</v>
      </c>
      <c r="I51" s="104">
        <f t="shared" si="27"/>
        <v>116.86199999999999</v>
      </c>
      <c r="J51" s="105">
        <f t="shared" si="27"/>
        <v>101.068</v>
      </c>
      <c r="K51" s="104">
        <f t="shared" si="27"/>
        <v>116.90299999999999</v>
      </c>
      <c r="L51" s="104">
        <f t="shared" si="27"/>
        <v>121.00755549046156</v>
      </c>
      <c r="M51" s="104">
        <f t="shared" si="27"/>
        <v>128.37071216744022</v>
      </c>
      <c r="N51" s="106">
        <f t="shared" si="27"/>
        <v>139.13194095822089</v>
      </c>
      <c r="O51" s="104">
        <f t="shared" si="27"/>
        <v>151.77007345583289</v>
      </c>
      <c r="P51" s="104">
        <f t="shared" si="27"/>
        <v>160.13092816959877</v>
      </c>
      <c r="Q51" s="104">
        <f t="shared" si="27"/>
        <v>167.61843396946128</v>
      </c>
      <c r="R51" s="104">
        <f t="shared" si="27"/>
        <v>175.35894002746784</v>
      </c>
      <c r="S51" s="9"/>
      <c r="T51" s="104">
        <f t="shared" ref="T51:AA51" si="28">SUM(T48:T50)</f>
        <v>59.521000000000001</v>
      </c>
      <c r="U51" s="104">
        <f t="shared" si="28"/>
        <v>81.926999999999992</v>
      </c>
      <c r="V51" s="105">
        <f t="shared" si="28"/>
        <v>101.068</v>
      </c>
      <c r="W51" s="104">
        <f t="shared" si="28"/>
        <v>139.13194095822089</v>
      </c>
      <c r="X51" s="104">
        <f t="shared" si="28"/>
        <v>175.35894002746784</v>
      </c>
      <c r="Y51" s="104">
        <f t="shared" si="28"/>
        <v>190.15992351896764</v>
      </c>
      <c r="Z51" s="104">
        <f t="shared" si="28"/>
        <v>200.61871931251079</v>
      </c>
      <c r="AA51" s="104">
        <f t="shared" si="28"/>
        <v>213.71799180455261</v>
      </c>
      <c r="AB51" s="9"/>
      <c r="AC51" s="9"/>
      <c r="AD51" s="9"/>
      <c r="AE51" s="9"/>
    </row>
    <row r="52" spans="1:31" ht="13.5" customHeight="1">
      <c r="A52" s="10"/>
      <c r="B52" s="9"/>
      <c r="C52" s="9"/>
      <c r="D52" s="9"/>
      <c r="E52" s="9"/>
      <c r="F52" s="9"/>
      <c r="G52" s="107"/>
      <c r="H52" s="107"/>
      <c r="I52" s="107"/>
      <c r="J52" s="108"/>
      <c r="K52" s="107"/>
      <c r="L52" s="107"/>
      <c r="M52" s="107"/>
      <c r="N52" s="109"/>
      <c r="O52" s="107"/>
      <c r="P52" s="107"/>
      <c r="Q52" s="107"/>
      <c r="R52" s="107"/>
      <c r="S52" s="9"/>
      <c r="T52" s="107"/>
      <c r="U52" s="107"/>
      <c r="V52" s="108"/>
      <c r="W52" s="107"/>
      <c r="X52" s="107"/>
      <c r="Y52" s="107"/>
      <c r="Z52" s="107"/>
      <c r="AA52" s="107"/>
      <c r="AB52" s="9"/>
      <c r="AC52" s="9"/>
      <c r="AD52" s="9"/>
      <c r="AE52" s="9"/>
    </row>
    <row r="53" spans="1:31" ht="13.5" customHeight="1">
      <c r="A53" s="10"/>
      <c r="B53" s="9"/>
      <c r="C53" s="9" t="str">
        <f>Model!C141</f>
        <v>Revolver</v>
      </c>
      <c r="D53" s="9"/>
      <c r="E53" s="9"/>
      <c r="F53" s="9"/>
      <c r="G53" s="80">
        <f>Model!P141</f>
        <v>0</v>
      </c>
      <c r="H53" s="80">
        <f>Model!Q141</f>
        <v>0</v>
      </c>
      <c r="I53" s="80">
        <f>Model!R141</f>
        <v>0</v>
      </c>
      <c r="J53" s="81">
        <f>Model!S141</f>
        <v>0</v>
      </c>
      <c r="K53" s="80">
        <f>Model!U141</f>
        <v>0</v>
      </c>
      <c r="L53" s="80">
        <f ca="1">Model!V141</f>
        <v>0</v>
      </c>
      <c r="M53" s="80">
        <f ca="1">Model!W141</f>
        <v>0</v>
      </c>
      <c r="N53" s="82">
        <f ca="1">Model!X141</f>
        <v>0</v>
      </c>
      <c r="O53" s="80">
        <f ca="1">Model!Z141</f>
        <v>0</v>
      </c>
      <c r="P53" s="80">
        <f ca="1">Model!AA141</f>
        <v>0</v>
      </c>
      <c r="Q53" s="80">
        <f ca="1">Model!AB141</f>
        <v>0</v>
      </c>
      <c r="R53" s="80">
        <f ca="1">Model!AC141</f>
        <v>0</v>
      </c>
      <c r="S53" s="9"/>
      <c r="T53" s="80">
        <f>Model!J141</f>
        <v>0</v>
      </c>
      <c r="U53" s="80">
        <f>Model!O141</f>
        <v>0</v>
      </c>
      <c r="V53" s="81">
        <f>Model!T141</f>
        <v>0</v>
      </c>
      <c r="W53" s="80">
        <f ca="1">Model!Y141</f>
        <v>0</v>
      </c>
      <c r="X53" s="80">
        <f ca="1">Model!AD141</f>
        <v>0</v>
      </c>
      <c r="Y53" s="80">
        <f ca="1">Model!AE141</f>
        <v>0</v>
      </c>
      <c r="Z53" s="80">
        <f ca="1">Model!AF141</f>
        <v>0</v>
      </c>
      <c r="AA53" s="80">
        <f ca="1">Model!AG141</f>
        <v>0</v>
      </c>
      <c r="AB53" s="9"/>
      <c r="AC53" s="9"/>
      <c r="AD53" s="9"/>
      <c r="AE53" s="9"/>
    </row>
    <row r="54" spans="1:31" ht="13.5" customHeight="1">
      <c r="A54" s="10"/>
      <c r="B54" s="9"/>
      <c r="C54" s="9" t="str">
        <f>Model!C142</f>
        <v>LT Debt (Incl. Current Portion)</v>
      </c>
      <c r="D54" s="9"/>
      <c r="E54" s="9"/>
      <c r="F54" s="9"/>
      <c r="G54" s="100">
        <f>Model!P142</f>
        <v>195.565</v>
      </c>
      <c r="H54" s="100">
        <f>Model!Q142</f>
        <v>194.971</v>
      </c>
      <c r="I54" s="100">
        <f>Model!R142</f>
        <v>292.024</v>
      </c>
      <c r="J54" s="101">
        <f>Model!S142</f>
        <v>290.303</v>
      </c>
      <c r="K54" s="100">
        <f>Model!U142</f>
        <v>288.58199999999999</v>
      </c>
      <c r="L54" s="100">
        <f>Model!V142</f>
        <v>287.08199999999999</v>
      </c>
      <c r="M54" s="100">
        <f>Model!W142</f>
        <v>285.58199999999999</v>
      </c>
      <c r="N54" s="102">
        <f>Model!X142</f>
        <v>284.08199999999999</v>
      </c>
      <c r="O54" s="100">
        <f>Model!Z142</f>
        <v>282.58199999999999</v>
      </c>
      <c r="P54" s="100">
        <f>Model!AA142</f>
        <v>281.08199999999999</v>
      </c>
      <c r="Q54" s="100">
        <f>Model!AB142</f>
        <v>279.58199999999999</v>
      </c>
      <c r="R54" s="100">
        <f>Model!AC142</f>
        <v>278.08199999999999</v>
      </c>
      <c r="S54" s="9"/>
      <c r="T54" s="100">
        <f>Model!J142</f>
        <v>213.53299999999999</v>
      </c>
      <c r="U54" s="100">
        <f>Model!O142</f>
        <v>196.15899999999999</v>
      </c>
      <c r="V54" s="101">
        <f>Model!T142</f>
        <v>290.303</v>
      </c>
      <c r="W54" s="100">
        <f>Model!Y142</f>
        <v>284.08199999999999</v>
      </c>
      <c r="X54" s="100">
        <f>Model!AD142</f>
        <v>278.08199999999999</v>
      </c>
      <c r="Y54" s="100">
        <f>Model!AE142</f>
        <v>272.08199999999999</v>
      </c>
      <c r="Z54" s="100">
        <f>Model!AF142</f>
        <v>266.08199999999999</v>
      </c>
      <c r="AA54" s="100">
        <f>Model!AG142</f>
        <v>260.08199999999999</v>
      </c>
      <c r="AB54" s="9"/>
      <c r="AC54" s="9"/>
      <c r="AD54" s="9"/>
      <c r="AE54" s="9"/>
    </row>
    <row r="55" spans="1:31" ht="13.5" hidden="1" customHeight="1">
      <c r="A55" s="10"/>
      <c r="B55" s="9"/>
      <c r="C55" s="9" t="e">
        <f>Model!#REF!</f>
        <v>#REF!</v>
      </c>
      <c r="D55" s="9"/>
      <c r="E55" s="9"/>
      <c r="F55" s="9"/>
      <c r="G55" s="100" t="e">
        <f>Model!#REF!</f>
        <v>#REF!</v>
      </c>
      <c r="H55" s="100" t="e">
        <f>Model!#REF!</f>
        <v>#REF!</v>
      </c>
      <c r="I55" s="100" t="e">
        <f>Model!#REF!</f>
        <v>#REF!</v>
      </c>
      <c r="J55" s="101" t="e">
        <f>Model!#REF!</f>
        <v>#REF!</v>
      </c>
      <c r="K55" s="100" t="e">
        <f>Model!#REF!</f>
        <v>#REF!</v>
      </c>
      <c r="L55" s="100" t="e">
        <f>Model!#REF!</f>
        <v>#REF!</v>
      </c>
      <c r="M55" s="100" t="e">
        <f>Model!#REF!</f>
        <v>#REF!</v>
      </c>
      <c r="N55" s="102" t="e">
        <f>Model!#REF!</f>
        <v>#REF!</v>
      </c>
      <c r="O55" s="100" t="e">
        <f>Model!#REF!</f>
        <v>#REF!</v>
      </c>
      <c r="P55" s="100" t="e">
        <f>Model!#REF!</f>
        <v>#REF!</v>
      </c>
      <c r="Q55" s="100" t="e">
        <f>Model!#REF!</f>
        <v>#REF!</v>
      </c>
      <c r="R55" s="100" t="e">
        <f>Model!#REF!</f>
        <v>#REF!</v>
      </c>
      <c r="S55" s="9"/>
      <c r="T55" s="100" t="e">
        <f>Model!#REF!</f>
        <v>#REF!</v>
      </c>
      <c r="U55" s="100" t="e">
        <f>Model!#REF!</f>
        <v>#REF!</v>
      </c>
      <c r="V55" s="101" t="e">
        <f>Model!#REF!</f>
        <v>#REF!</v>
      </c>
      <c r="W55" s="100" t="e">
        <f>Model!#REF!</f>
        <v>#REF!</v>
      </c>
      <c r="X55" s="100" t="e">
        <f>Model!#REF!</f>
        <v>#REF!</v>
      </c>
      <c r="Y55" s="100" t="e">
        <f>Model!#REF!</f>
        <v>#REF!</v>
      </c>
      <c r="Z55" s="100" t="e">
        <f>Model!#REF!</f>
        <v>#REF!</v>
      </c>
      <c r="AA55" s="100" t="e">
        <f>Model!#REF!</f>
        <v>#REF!</v>
      </c>
      <c r="AB55" s="9"/>
      <c r="AC55" s="9"/>
      <c r="AD55" s="9"/>
      <c r="AE55" s="9"/>
    </row>
    <row r="56" spans="1:31" ht="13.5" customHeight="1">
      <c r="A56" s="10"/>
      <c r="B56" s="9"/>
      <c r="C56" s="9" t="str">
        <f>Model!C143</f>
        <v>Other Non-Current Liabilities</v>
      </c>
      <c r="D56" s="9"/>
      <c r="E56" s="9"/>
      <c r="F56" s="9"/>
      <c r="G56" s="100">
        <f>Model!P143</f>
        <v>125.164</v>
      </c>
      <c r="H56" s="100">
        <f>Model!Q143</f>
        <v>120.49700000000001</v>
      </c>
      <c r="I56" s="100">
        <f>Model!R143</f>
        <v>120.092</v>
      </c>
      <c r="J56" s="101">
        <f>Model!S143</f>
        <v>134.441</v>
      </c>
      <c r="K56" s="100">
        <f>Model!U143</f>
        <v>160.85900000000001</v>
      </c>
      <c r="L56" s="100">
        <f>Model!V143</f>
        <v>156.324061</v>
      </c>
      <c r="M56" s="114">
        <f>Model!W143</f>
        <v>165.93011924999999</v>
      </c>
      <c r="N56" s="102">
        <f>Model!X143</f>
        <v>179.839927386</v>
      </c>
      <c r="O56" s="100">
        <f>Model!Z143</f>
        <v>190.84011518942998</v>
      </c>
      <c r="P56" s="100">
        <f>Model!AA143</f>
        <v>202.29052210079581</v>
      </c>
      <c r="Q56" s="100">
        <f>Model!AB143</f>
        <v>211.86726433478921</v>
      </c>
      <c r="R56" s="100">
        <f>Model!AC143</f>
        <v>221.65115148991856</v>
      </c>
      <c r="S56" s="9"/>
      <c r="T56" s="100">
        <f>Model!J143</f>
        <v>118.595</v>
      </c>
      <c r="U56" s="100">
        <f>Model!O143</f>
        <v>115.73400000000001</v>
      </c>
      <c r="V56" s="101">
        <f>Model!T143</f>
        <v>134.441</v>
      </c>
      <c r="W56" s="100">
        <f>Model!Y143</f>
        <v>179.839927386</v>
      </c>
      <c r="X56" s="100">
        <f>Model!AD143</f>
        <v>221.65115148991856</v>
      </c>
      <c r="Y56" s="100">
        <f>Model!AE143</f>
        <v>221.12862170824479</v>
      </c>
      <c r="Z56" s="100">
        <f>Model!AF143</f>
        <v>233.29069590219819</v>
      </c>
      <c r="AA56" s="100">
        <f>Model!AG143</f>
        <v>248.5232644578802</v>
      </c>
      <c r="AB56" s="9"/>
      <c r="AC56" s="9"/>
      <c r="AD56" s="9"/>
      <c r="AE56" s="9"/>
    </row>
    <row r="57" spans="1:31" ht="13.5" customHeight="1">
      <c r="A57" s="10"/>
      <c r="B57" s="9"/>
      <c r="C57" s="103" t="str">
        <f>Model!C144</f>
        <v>Total Non-Current Liabilities</v>
      </c>
      <c r="D57" s="9"/>
      <c r="E57" s="9"/>
      <c r="F57" s="9"/>
      <c r="G57" s="104">
        <f>SUM(G53,G54,G56)</f>
        <v>320.72899999999998</v>
      </c>
      <c r="H57" s="104">
        <f t="shared" ref="H57:AA57" si="29">SUM(H53,H54,H56)</f>
        <v>315.46800000000002</v>
      </c>
      <c r="I57" s="104">
        <f t="shared" si="29"/>
        <v>412.11599999999999</v>
      </c>
      <c r="J57" s="104">
        <f t="shared" si="29"/>
        <v>424.74400000000003</v>
      </c>
      <c r="K57" s="104">
        <f t="shared" si="29"/>
        <v>449.44100000000003</v>
      </c>
      <c r="L57" s="104">
        <f t="shared" ca="1" si="29"/>
        <v>443.40606100000002</v>
      </c>
      <c r="M57" s="104">
        <f t="shared" ca="1" si="29"/>
        <v>451.51211924999996</v>
      </c>
      <c r="N57" s="104">
        <f t="shared" ca="1" si="29"/>
        <v>463.92192738599999</v>
      </c>
      <c r="O57" s="104">
        <f t="shared" ca="1" si="29"/>
        <v>473.42211518942997</v>
      </c>
      <c r="P57" s="104">
        <f t="shared" ca="1" si="29"/>
        <v>483.37252210079578</v>
      </c>
      <c r="Q57" s="104">
        <f t="shared" ca="1" si="29"/>
        <v>491.44926433478918</v>
      </c>
      <c r="R57" s="104">
        <f t="shared" ca="1" si="29"/>
        <v>499.73315148991855</v>
      </c>
      <c r="S57" s="104">
        <f t="shared" si="29"/>
        <v>0</v>
      </c>
      <c r="T57" s="104">
        <f t="shared" si="29"/>
        <v>332.12799999999999</v>
      </c>
      <c r="U57" s="104">
        <f t="shared" si="29"/>
        <v>311.89300000000003</v>
      </c>
      <c r="V57" s="104">
        <f t="shared" si="29"/>
        <v>424.74400000000003</v>
      </c>
      <c r="W57" s="104">
        <f t="shared" ca="1" si="29"/>
        <v>463.92192738599999</v>
      </c>
      <c r="X57" s="104">
        <f t="shared" ca="1" si="29"/>
        <v>499.73315148991855</v>
      </c>
      <c r="Y57" s="104">
        <f t="shared" ca="1" si="29"/>
        <v>493.21062170824479</v>
      </c>
      <c r="Z57" s="104">
        <f t="shared" ca="1" si="29"/>
        <v>499.37269590219819</v>
      </c>
      <c r="AA57" s="104">
        <f t="shared" ca="1" si="29"/>
        <v>508.6052644578802</v>
      </c>
      <c r="AB57" s="9"/>
      <c r="AC57" s="9"/>
      <c r="AD57" s="9"/>
      <c r="AE57" s="9"/>
    </row>
    <row r="58" spans="1:31" ht="13.5" customHeight="1">
      <c r="A58" s="10"/>
      <c r="B58" s="9"/>
      <c r="C58" s="9"/>
      <c r="D58" s="9"/>
      <c r="E58" s="9"/>
      <c r="F58" s="9"/>
      <c r="G58" s="107"/>
      <c r="H58" s="107"/>
      <c r="I58" s="107"/>
      <c r="J58" s="108"/>
      <c r="K58" s="107"/>
      <c r="L58" s="107"/>
      <c r="M58" s="107"/>
      <c r="N58" s="109"/>
      <c r="O58" s="107"/>
      <c r="P58" s="107"/>
      <c r="Q58" s="107"/>
      <c r="R58" s="107"/>
      <c r="S58" s="9"/>
      <c r="T58" s="107"/>
      <c r="U58" s="107"/>
      <c r="V58" s="108"/>
      <c r="W58" s="107"/>
      <c r="X58" s="107"/>
      <c r="Y58" s="107"/>
      <c r="Z58" s="107"/>
      <c r="AA58" s="107"/>
      <c r="AB58" s="9"/>
      <c r="AC58" s="9"/>
      <c r="AD58" s="9"/>
      <c r="AE58" s="9"/>
    </row>
    <row r="59" spans="1:31" ht="13.5" customHeight="1">
      <c r="A59" s="10"/>
      <c r="B59" s="9"/>
      <c r="C59" s="103" t="str">
        <f>Model!C146</f>
        <v>Total Liabilities</v>
      </c>
      <c r="D59" s="9"/>
      <c r="E59" s="9"/>
      <c r="F59" s="9"/>
      <c r="G59" s="104">
        <f t="shared" ref="G59:R59" si="30">SUM(G51,G57)</f>
        <v>434.73699999999997</v>
      </c>
      <c r="H59" s="104">
        <f t="shared" si="30"/>
        <v>422.06200000000001</v>
      </c>
      <c r="I59" s="104">
        <f t="shared" si="30"/>
        <v>528.97799999999995</v>
      </c>
      <c r="J59" s="105">
        <f t="shared" si="30"/>
        <v>525.81200000000001</v>
      </c>
      <c r="K59" s="104">
        <f t="shared" si="30"/>
        <v>566.34400000000005</v>
      </c>
      <c r="L59" s="104">
        <f t="shared" ca="1" si="30"/>
        <v>564.41361649046155</v>
      </c>
      <c r="M59" s="104">
        <f t="shared" ca="1" si="30"/>
        <v>579.88283141744023</v>
      </c>
      <c r="N59" s="106">
        <f t="shared" ca="1" si="30"/>
        <v>603.05386834422086</v>
      </c>
      <c r="O59" s="104">
        <f t="shared" ca="1" si="30"/>
        <v>625.19218864526283</v>
      </c>
      <c r="P59" s="104">
        <f t="shared" ca="1" si="30"/>
        <v>643.50345027039452</v>
      </c>
      <c r="Q59" s="104">
        <f t="shared" ca="1" si="30"/>
        <v>659.06769830425048</v>
      </c>
      <c r="R59" s="104">
        <f t="shared" ca="1" si="30"/>
        <v>675.09209151738639</v>
      </c>
      <c r="S59" s="9"/>
      <c r="T59" s="104">
        <f t="shared" ref="T59:AA59" si="31">SUM(T51,T57)</f>
        <v>391.649</v>
      </c>
      <c r="U59" s="104">
        <f t="shared" si="31"/>
        <v>393.82000000000005</v>
      </c>
      <c r="V59" s="105">
        <f t="shared" si="31"/>
        <v>525.81200000000001</v>
      </c>
      <c r="W59" s="104">
        <f t="shared" ca="1" si="31"/>
        <v>603.05386834422086</v>
      </c>
      <c r="X59" s="104">
        <f t="shared" ca="1" si="31"/>
        <v>675.09209151738639</v>
      </c>
      <c r="Y59" s="104">
        <f t="shared" ca="1" si="31"/>
        <v>683.37054522721246</v>
      </c>
      <c r="Z59" s="104">
        <f t="shared" ca="1" si="31"/>
        <v>699.99141521470892</v>
      </c>
      <c r="AA59" s="104">
        <f t="shared" ca="1" si="31"/>
        <v>722.32325626243278</v>
      </c>
      <c r="AB59" s="9"/>
      <c r="AC59" s="9"/>
      <c r="AD59" s="9"/>
      <c r="AE59" s="9"/>
    </row>
    <row r="60" spans="1:31" ht="13.5" customHeight="1">
      <c r="A60" s="10"/>
      <c r="B60" s="9"/>
      <c r="C60" s="9"/>
      <c r="D60" s="9"/>
      <c r="E60" s="9"/>
      <c r="F60" s="9"/>
      <c r="G60" s="9"/>
      <c r="H60" s="9"/>
      <c r="I60" s="9"/>
      <c r="J60" s="88"/>
      <c r="K60" s="9"/>
      <c r="L60" s="9"/>
      <c r="M60" s="9"/>
      <c r="N60" s="89"/>
      <c r="O60" s="9"/>
      <c r="P60" s="9"/>
      <c r="Q60" s="9"/>
      <c r="R60" s="9"/>
      <c r="S60" s="9"/>
      <c r="T60" s="9"/>
      <c r="U60" s="9"/>
      <c r="V60" s="88"/>
      <c r="W60" s="9"/>
      <c r="X60" s="9"/>
      <c r="Y60" s="9"/>
      <c r="Z60" s="9"/>
      <c r="AA60" s="9"/>
      <c r="AB60" s="9"/>
      <c r="AC60" s="9"/>
      <c r="AD60" s="9"/>
      <c r="AE60" s="9"/>
    </row>
    <row r="61" spans="1:31" ht="13.5" customHeight="1">
      <c r="A61" s="10"/>
      <c r="B61" s="9"/>
      <c r="C61" s="9" t="str">
        <f>Model!C148</f>
        <v>Common Stock &amp; APIC</v>
      </c>
      <c r="D61" s="9"/>
      <c r="E61" s="9"/>
      <c r="F61" s="9"/>
      <c r="G61" s="80">
        <f>Model!P148</f>
        <v>210.154</v>
      </c>
      <c r="H61" s="80">
        <f>Model!Q148</f>
        <v>214.84300000000002</v>
      </c>
      <c r="I61" s="80">
        <f>Model!R148</f>
        <v>224.012</v>
      </c>
      <c r="J61" s="81">
        <f>Model!S148</f>
        <v>261.911</v>
      </c>
      <c r="K61" s="80">
        <f>Model!U148</f>
        <v>271.74699999999996</v>
      </c>
      <c r="L61" s="80">
        <f>Model!V148</f>
        <v>275.11566784789545</v>
      </c>
      <c r="M61" s="80">
        <f>Model!W148</f>
        <v>278.69133914340347</v>
      </c>
      <c r="N61" s="82">
        <f>Model!X148</f>
        <v>282.56675651215443</v>
      </c>
      <c r="O61" s="80">
        <f>Model!Z148</f>
        <v>286.67921978885568</v>
      </c>
      <c r="P61" s="80">
        <f>Model!AA148</f>
        <v>291.03843086215903</v>
      </c>
      <c r="Q61" s="80">
        <f>Model!AB148</f>
        <v>295.60401364462132</v>
      </c>
      <c r="R61" s="80">
        <f>Model!AC148</f>
        <v>300.38043195602324</v>
      </c>
      <c r="S61" s="9"/>
      <c r="T61" s="80">
        <f>Model!J148</f>
        <v>171.62100000000001</v>
      </c>
      <c r="U61" s="80">
        <f>Model!O148</f>
        <v>208.45699999999999</v>
      </c>
      <c r="V61" s="81">
        <f>Model!T148</f>
        <v>261.911</v>
      </c>
      <c r="W61" s="80">
        <f>Model!Y148</f>
        <v>282.56675651215443</v>
      </c>
      <c r="X61" s="80">
        <f>Model!AD148</f>
        <v>300.38043195602324</v>
      </c>
      <c r="Y61" s="80">
        <f>Model!AE148</f>
        <v>319.44106468096288</v>
      </c>
      <c r="Z61" s="80">
        <f>Model!AF148</f>
        <v>339.55003220577419</v>
      </c>
      <c r="AA61" s="80">
        <f>Model!AG148</f>
        <v>360.97200205680809</v>
      </c>
      <c r="AB61" s="9"/>
      <c r="AC61" s="9"/>
      <c r="AD61" s="9"/>
      <c r="AE61" s="9"/>
    </row>
    <row r="62" spans="1:31" ht="13.5" customHeight="1">
      <c r="A62" s="10"/>
      <c r="B62" s="9"/>
      <c r="C62" s="9" t="str">
        <f>Model!C149</f>
        <v>Retained Earnings</v>
      </c>
      <c r="D62" s="9"/>
      <c r="E62" s="9"/>
      <c r="F62" s="9"/>
      <c r="G62" s="100">
        <f>Model!P149</f>
        <v>356.209</v>
      </c>
      <c r="H62" s="100">
        <f>Model!Q149</f>
        <v>391.73700000000002</v>
      </c>
      <c r="I62" s="100">
        <f>Model!R149</f>
        <v>425.245</v>
      </c>
      <c r="J62" s="101">
        <f>Model!S149</f>
        <v>455.51100000000002</v>
      </c>
      <c r="K62" s="100">
        <f>Model!U149</f>
        <v>486.91399999999999</v>
      </c>
      <c r="L62" s="100">
        <f ca="1">Model!V149</f>
        <v>532.3262866602704</v>
      </c>
      <c r="M62" s="100">
        <f ca="1">Model!W149</f>
        <v>582.09065205947445</v>
      </c>
      <c r="N62" s="102">
        <f ca="1">Model!X149</f>
        <v>637.7987859366749</v>
      </c>
      <c r="O62" s="100">
        <f ca="1">Model!Z149</f>
        <v>698.74285108331571</v>
      </c>
      <c r="P62" s="100">
        <f ca="1">Model!AA149</f>
        <v>762.05251506768809</v>
      </c>
      <c r="Q62" s="100">
        <f ca="1">Model!AB149</f>
        <v>826.79627681254851</v>
      </c>
      <c r="R62" s="100">
        <f ca="1">Model!AC149</f>
        <v>895.3979155996393</v>
      </c>
      <c r="S62" s="9"/>
      <c r="T62" s="100">
        <f>Model!J149</f>
        <v>243.82300000000001</v>
      </c>
      <c r="U62" s="100">
        <f>Model!O149</f>
        <v>316.69600000000003</v>
      </c>
      <c r="V62" s="101">
        <f>Model!T149</f>
        <v>455.51100000000002</v>
      </c>
      <c r="W62" s="100">
        <f ca="1">Model!Y149</f>
        <v>637.7987859366749</v>
      </c>
      <c r="X62" s="100">
        <f ca="1">Model!AD149</f>
        <v>895.3979155996393</v>
      </c>
      <c r="Y62" s="100">
        <f ca="1">Model!AE149</f>
        <v>1154.3405916246586</v>
      </c>
      <c r="Z62" s="100">
        <f ca="1">Model!AF149</f>
        <v>1417.284426634822</v>
      </c>
      <c r="AA62" s="100">
        <f ca="1">Model!AG149</f>
        <v>1686.5819181445981</v>
      </c>
      <c r="AB62" s="9"/>
      <c r="AC62" s="9"/>
      <c r="AD62" s="9"/>
      <c r="AE62" s="9"/>
    </row>
    <row r="63" spans="1:31" ht="13.5" customHeight="1">
      <c r="A63" s="10"/>
      <c r="B63" s="9"/>
      <c r="C63" s="9" t="str">
        <f>Model!C150</f>
        <v>Treasury Stock</v>
      </c>
      <c r="D63" s="9"/>
      <c r="E63" s="9"/>
      <c r="F63" s="9"/>
      <c r="G63" s="100">
        <f>Model!P150</f>
        <v>0</v>
      </c>
      <c r="H63" s="100">
        <f>Model!Q150</f>
        <v>0</v>
      </c>
      <c r="I63" s="100">
        <f>Model!R150</f>
        <v>0</v>
      </c>
      <c r="J63" s="101">
        <f>Model!S150</f>
        <v>0</v>
      </c>
      <c r="K63" s="100">
        <f>Model!U150</f>
        <v>0</v>
      </c>
      <c r="L63" s="100">
        <f>Model!V150</f>
        <v>0</v>
      </c>
      <c r="M63" s="100">
        <f>Model!W150</f>
        <v>0</v>
      </c>
      <c r="N63" s="102">
        <f>Model!X150</f>
        <v>-35</v>
      </c>
      <c r="O63" s="100">
        <f>Model!Z150</f>
        <v>-35</v>
      </c>
      <c r="P63" s="100">
        <f>Model!AA150</f>
        <v>-35</v>
      </c>
      <c r="Q63" s="100">
        <f>Model!AB150</f>
        <v>-35</v>
      </c>
      <c r="R63" s="100">
        <f>Model!AC150</f>
        <v>-70</v>
      </c>
      <c r="S63" s="9"/>
      <c r="T63" s="100">
        <f>Model!J150</f>
        <v>0</v>
      </c>
      <c r="U63" s="100">
        <f>Model!O150</f>
        <v>0</v>
      </c>
      <c r="V63" s="101">
        <f>Model!T150</f>
        <v>0</v>
      </c>
      <c r="W63" s="100">
        <f>Model!Y150</f>
        <v>-35</v>
      </c>
      <c r="X63" s="100">
        <f>Model!AD150</f>
        <v>-70</v>
      </c>
      <c r="Y63" s="100">
        <f>Model!AE150</f>
        <v>-105</v>
      </c>
      <c r="Z63" s="100">
        <f>Model!AF150</f>
        <v>-140</v>
      </c>
      <c r="AA63" s="100">
        <f>Model!AG150</f>
        <v>-175</v>
      </c>
      <c r="AB63" s="9"/>
      <c r="AC63" s="9"/>
      <c r="AD63" s="9"/>
      <c r="AE63" s="9"/>
    </row>
    <row r="64" spans="1:31" ht="13.5" customHeight="1">
      <c r="A64" s="10"/>
      <c r="B64" s="9"/>
      <c r="C64" s="9" t="str">
        <f>Model!C151</f>
        <v>Accumulated Other Comprehensive Income (AOCI)</v>
      </c>
      <c r="D64" s="9"/>
      <c r="E64" s="9"/>
      <c r="F64" s="9"/>
      <c r="G64" s="100">
        <f>Model!P151</f>
        <v>0</v>
      </c>
      <c r="H64" s="100">
        <f>Model!Q151</f>
        <v>0</v>
      </c>
      <c r="I64" s="100">
        <f>Model!R151</f>
        <v>0</v>
      </c>
      <c r="J64" s="101">
        <f>Model!S151</f>
        <v>-0.14099999999999999</v>
      </c>
      <c r="K64" s="100">
        <f>Model!U151</f>
        <v>0.14000000000000001</v>
      </c>
      <c r="L64" s="100">
        <f>Model!V151</f>
        <v>0.14000000000000001</v>
      </c>
      <c r="M64" s="100">
        <f>Model!W151</f>
        <v>0.14000000000000001</v>
      </c>
      <c r="N64" s="102">
        <f>Model!X151</f>
        <v>0.14000000000000001</v>
      </c>
      <c r="O64" s="100">
        <f>Model!Z151</f>
        <v>0.14000000000000004</v>
      </c>
      <c r="P64" s="100">
        <f>Model!AA151</f>
        <v>0.14000000000000004</v>
      </c>
      <c r="Q64" s="100">
        <f>Model!AB151</f>
        <v>0.14000000000000004</v>
      </c>
      <c r="R64" s="100">
        <f>Model!AC151</f>
        <v>0.14000000000000004</v>
      </c>
      <c r="S64" s="9"/>
      <c r="T64" s="100">
        <f>Model!J151</f>
        <v>0</v>
      </c>
      <c r="U64" s="100">
        <f>Model!O151</f>
        <v>0</v>
      </c>
      <c r="V64" s="101">
        <f>Model!T151</f>
        <v>-0.14099999999999999</v>
      </c>
      <c r="W64" s="100">
        <f>Model!Y151</f>
        <v>0.14000000000000001</v>
      </c>
      <c r="X64" s="100">
        <f>Model!AD151</f>
        <v>0.14000000000000004</v>
      </c>
      <c r="Y64" s="100">
        <f>Model!AE151</f>
        <v>0.14000000000000004</v>
      </c>
      <c r="Z64" s="100">
        <f>Model!AF151</f>
        <v>0.14000000000000004</v>
      </c>
      <c r="AA64" s="100">
        <f>Model!AG151</f>
        <v>0.14000000000000004</v>
      </c>
      <c r="AB64" s="9"/>
      <c r="AC64" s="9"/>
      <c r="AD64" s="9"/>
      <c r="AE64" s="9"/>
    </row>
    <row r="65" spans="1:31" ht="13.5" customHeight="1">
      <c r="A65" s="10"/>
      <c r="B65" s="9"/>
      <c r="C65" s="103" t="str">
        <f>Model!C152</f>
        <v>Total Shareholder's Equity</v>
      </c>
      <c r="D65" s="9"/>
      <c r="E65" s="9"/>
      <c r="F65" s="9"/>
      <c r="G65" s="104">
        <f t="shared" ref="G65:R65" si="32">SUM(G61:G64)</f>
        <v>566.36300000000006</v>
      </c>
      <c r="H65" s="104">
        <f t="shared" si="32"/>
        <v>606.58000000000004</v>
      </c>
      <c r="I65" s="104">
        <f t="shared" si="32"/>
        <v>649.25700000000006</v>
      </c>
      <c r="J65" s="105">
        <f t="shared" si="32"/>
        <v>717.28100000000006</v>
      </c>
      <c r="K65" s="104">
        <f t="shared" si="32"/>
        <v>758.80099999999993</v>
      </c>
      <c r="L65" s="104">
        <f t="shared" ca="1" si="32"/>
        <v>807.58195450816584</v>
      </c>
      <c r="M65" s="104">
        <f t="shared" ca="1" si="32"/>
        <v>860.92199120287785</v>
      </c>
      <c r="N65" s="106">
        <f t="shared" ca="1" si="32"/>
        <v>885.50554244882926</v>
      </c>
      <c r="O65" s="104">
        <f t="shared" ca="1" si="32"/>
        <v>950.56207087217138</v>
      </c>
      <c r="P65" s="104">
        <f t="shared" ca="1" si="32"/>
        <v>1018.2309459298471</v>
      </c>
      <c r="Q65" s="104">
        <f t="shared" ca="1" si="32"/>
        <v>1087.5402904571699</v>
      </c>
      <c r="R65" s="104">
        <f t="shared" ca="1" si="32"/>
        <v>1125.9183475556626</v>
      </c>
      <c r="S65" s="9"/>
      <c r="T65" s="104">
        <f t="shared" ref="T65:AA65" si="33">SUM(T61:T64)</f>
        <v>415.44400000000002</v>
      </c>
      <c r="U65" s="104">
        <f t="shared" si="33"/>
        <v>525.15300000000002</v>
      </c>
      <c r="V65" s="105">
        <f t="shared" si="33"/>
        <v>717.28100000000006</v>
      </c>
      <c r="W65" s="104">
        <f t="shared" ca="1" si="33"/>
        <v>885.50554244882926</v>
      </c>
      <c r="X65" s="104">
        <f t="shared" ca="1" si="33"/>
        <v>1125.9183475556626</v>
      </c>
      <c r="Y65" s="104">
        <f t="shared" ca="1" si="33"/>
        <v>1368.9216563056216</v>
      </c>
      <c r="Z65" s="104">
        <f t="shared" ca="1" si="33"/>
        <v>1616.9744588405963</v>
      </c>
      <c r="AA65" s="104">
        <f t="shared" ca="1" si="33"/>
        <v>1872.6939202014064</v>
      </c>
      <c r="AB65" s="9"/>
      <c r="AC65" s="9"/>
      <c r="AD65" s="9"/>
      <c r="AE65" s="9"/>
    </row>
    <row r="66" spans="1:31" ht="13.5" customHeight="1">
      <c r="A66" s="10"/>
      <c r="B66" s="9"/>
      <c r="C66" s="9"/>
      <c r="D66" s="9"/>
      <c r="E66" s="9"/>
      <c r="F66" s="9"/>
      <c r="G66" s="107"/>
      <c r="H66" s="107"/>
      <c r="I66" s="107"/>
      <c r="J66" s="108"/>
      <c r="K66" s="107"/>
      <c r="L66" s="107"/>
      <c r="M66" s="107"/>
      <c r="N66" s="109"/>
      <c r="O66" s="107"/>
      <c r="P66" s="107"/>
      <c r="Q66" s="107"/>
      <c r="R66" s="107"/>
      <c r="S66" s="9"/>
      <c r="T66" s="107"/>
      <c r="U66" s="107"/>
      <c r="V66" s="108"/>
      <c r="W66" s="107"/>
      <c r="X66" s="107"/>
      <c r="Y66" s="107"/>
      <c r="Z66" s="107"/>
      <c r="AA66" s="107"/>
      <c r="AB66" s="9"/>
      <c r="AC66" s="9"/>
      <c r="AD66" s="9"/>
      <c r="AE66" s="9"/>
    </row>
    <row r="67" spans="1:31" ht="13.5" customHeight="1">
      <c r="A67" s="10"/>
      <c r="B67" s="9"/>
      <c r="C67" s="9" t="str">
        <f>Model!C154</f>
        <v>Noncontrolling Interests</v>
      </c>
      <c r="D67" s="9"/>
      <c r="E67" s="9"/>
      <c r="F67" s="9"/>
      <c r="G67" s="100">
        <f>Model!P154</f>
        <v>170.46700000000001</v>
      </c>
      <c r="H67" s="100">
        <f>Model!Q154</f>
        <v>195.34200000000001</v>
      </c>
      <c r="I67" s="100">
        <f>Model!R154</f>
        <v>212.768</v>
      </c>
      <c r="J67" s="101">
        <f>Model!S154</f>
        <v>206.614</v>
      </c>
      <c r="K67" s="100">
        <f>Model!U154</f>
        <v>236.245</v>
      </c>
      <c r="L67" s="100">
        <f>Model!V154</f>
        <v>202.30172600000003</v>
      </c>
      <c r="M67" s="100">
        <f>Model!W154</f>
        <v>214.73309550000002</v>
      </c>
      <c r="N67" s="102">
        <f>Model!X154</f>
        <v>232.73402367600002</v>
      </c>
      <c r="O67" s="100">
        <f>Model!Z154</f>
        <v>246.96956083338003</v>
      </c>
      <c r="P67" s="100">
        <f>Model!AA154</f>
        <v>261.78773448338285</v>
      </c>
      <c r="Q67" s="100">
        <f>Model!AB154</f>
        <v>261.71838535473961</v>
      </c>
      <c r="R67" s="100">
        <f>Model!AC154</f>
        <v>273.80436360519354</v>
      </c>
      <c r="S67" s="9"/>
      <c r="T67" s="100">
        <f>Model!J154</f>
        <v>158.74800000000002</v>
      </c>
      <c r="U67" s="100">
        <f>Model!O154</f>
        <v>150.80500000000001</v>
      </c>
      <c r="V67" s="101">
        <f>Model!T154</f>
        <v>206.614</v>
      </c>
      <c r="W67" s="100">
        <f>Model!Y154</f>
        <v>232.73402367600002</v>
      </c>
      <c r="X67" s="100">
        <f>Model!AD154</f>
        <v>273.80436360519354</v>
      </c>
      <c r="Y67" s="100">
        <f>Model!AE154</f>
        <v>291.36947801556965</v>
      </c>
      <c r="Z67" s="100">
        <f>Model!AF154</f>
        <v>318.37318499594107</v>
      </c>
      <c r="AA67" s="100">
        <f>Model!AG154</f>
        <v>339.16116090722471</v>
      </c>
      <c r="AB67" s="9"/>
      <c r="AC67" s="9"/>
      <c r="AD67" s="9"/>
      <c r="AE67" s="9"/>
    </row>
    <row r="68" spans="1:31" ht="13.5" customHeight="1">
      <c r="A68" s="10"/>
      <c r="B68" s="9"/>
      <c r="C68" s="103" t="str">
        <f>Model!C155</f>
        <v>Total Equity</v>
      </c>
      <c r="D68" s="9"/>
      <c r="E68" s="9"/>
      <c r="F68" s="9"/>
      <c r="G68" s="104">
        <f t="shared" ref="G68:R68" si="34">SUM(G65,G67)</f>
        <v>736.83</v>
      </c>
      <c r="H68" s="104">
        <f t="shared" si="34"/>
        <v>801.92200000000003</v>
      </c>
      <c r="I68" s="104">
        <f t="shared" si="34"/>
        <v>862.02500000000009</v>
      </c>
      <c r="J68" s="105">
        <f t="shared" si="34"/>
        <v>923.8950000000001</v>
      </c>
      <c r="K68" s="104">
        <f t="shared" si="34"/>
        <v>995.04599999999994</v>
      </c>
      <c r="L68" s="104">
        <f t="shared" ca="1" si="34"/>
        <v>1009.8836805081659</v>
      </c>
      <c r="M68" s="104">
        <f t="shared" ca="1" si="34"/>
        <v>1075.655086702878</v>
      </c>
      <c r="N68" s="106">
        <f t="shared" ca="1" si="34"/>
        <v>1118.2395661248293</v>
      </c>
      <c r="O68" s="104">
        <f t="shared" ca="1" si="34"/>
        <v>1197.5316317055515</v>
      </c>
      <c r="P68" s="104">
        <f t="shared" ca="1" si="34"/>
        <v>1280.01868041323</v>
      </c>
      <c r="Q68" s="104">
        <f t="shared" ca="1" si="34"/>
        <v>1349.2586758119096</v>
      </c>
      <c r="R68" s="104">
        <f t="shared" ca="1" si="34"/>
        <v>1399.7227111608563</v>
      </c>
      <c r="S68" s="9"/>
      <c r="T68" s="104">
        <f t="shared" ref="T68:AA68" si="35">SUM(T65,T67)</f>
        <v>574.19200000000001</v>
      </c>
      <c r="U68" s="104">
        <f t="shared" si="35"/>
        <v>675.95800000000008</v>
      </c>
      <c r="V68" s="105">
        <f t="shared" si="35"/>
        <v>923.8950000000001</v>
      </c>
      <c r="W68" s="104">
        <f t="shared" ca="1" si="35"/>
        <v>1118.2395661248293</v>
      </c>
      <c r="X68" s="104">
        <f t="shared" ca="1" si="35"/>
        <v>1399.7227111608563</v>
      </c>
      <c r="Y68" s="104">
        <f t="shared" ca="1" si="35"/>
        <v>1660.2911343211913</v>
      </c>
      <c r="Z68" s="104">
        <f t="shared" ca="1" si="35"/>
        <v>1935.3476438365374</v>
      </c>
      <c r="AA68" s="104">
        <f t="shared" ca="1" si="35"/>
        <v>2211.8550811086311</v>
      </c>
      <c r="AB68" s="9"/>
      <c r="AC68" s="9"/>
      <c r="AD68" s="9"/>
      <c r="AE68" s="9"/>
    </row>
    <row r="69" spans="1:31" ht="13.5" customHeight="1">
      <c r="A69" s="10"/>
      <c r="B69" s="9"/>
      <c r="C69" s="9"/>
      <c r="D69" s="9"/>
      <c r="E69" s="9"/>
      <c r="F69" s="9"/>
      <c r="G69" s="107"/>
      <c r="H69" s="107"/>
      <c r="I69" s="107"/>
      <c r="J69" s="108"/>
      <c r="K69" s="107"/>
      <c r="L69" s="107"/>
      <c r="M69" s="107"/>
      <c r="N69" s="109"/>
      <c r="O69" s="107"/>
      <c r="P69" s="107"/>
      <c r="Q69" s="107"/>
      <c r="R69" s="107"/>
      <c r="S69" s="9"/>
      <c r="T69" s="107"/>
      <c r="U69" s="107"/>
      <c r="V69" s="108"/>
      <c r="W69" s="107"/>
      <c r="X69" s="107"/>
      <c r="Y69" s="107"/>
      <c r="Z69" s="107"/>
      <c r="AA69" s="107"/>
      <c r="AB69" s="9"/>
      <c r="AC69" s="9"/>
      <c r="AD69" s="9"/>
      <c r="AE69" s="9"/>
    </row>
    <row r="70" spans="1:31" ht="13.5" customHeight="1">
      <c r="A70" s="10"/>
      <c r="B70" s="9"/>
      <c r="C70" s="103" t="str">
        <f>Model!C157</f>
        <v>Total Liabilities &amp; Shareholder's Equity</v>
      </c>
      <c r="D70" s="9"/>
      <c r="E70" s="9"/>
      <c r="F70" s="9"/>
      <c r="G70" s="110">
        <f t="shared" ref="G70:R70" si="36">SUM(G59,G68)</f>
        <v>1171.567</v>
      </c>
      <c r="H70" s="110">
        <f t="shared" si="36"/>
        <v>1223.9839999999999</v>
      </c>
      <c r="I70" s="110">
        <f t="shared" si="36"/>
        <v>1391.0030000000002</v>
      </c>
      <c r="J70" s="111">
        <f t="shared" si="36"/>
        <v>1449.7070000000001</v>
      </c>
      <c r="K70" s="110">
        <f t="shared" si="36"/>
        <v>1561.3899999999999</v>
      </c>
      <c r="L70" s="110">
        <f t="shared" ca="1" si="36"/>
        <v>1574.2972969986274</v>
      </c>
      <c r="M70" s="110">
        <f t="shared" ca="1" si="36"/>
        <v>1655.5379181203182</v>
      </c>
      <c r="N70" s="112">
        <f t="shared" ca="1" si="36"/>
        <v>1721.2934344690502</v>
      </c>
      <c r="O70" s="110">
        <f t="shared" ca="1" si="36"/>
        <v>1822.7238203508143</v>
      </c>
      <c r="P70" s="110">
        <f t="shared" ca="1" si="36"/>
        <v>1923.5221306836245</v>
      </c>
      <c r="Q70" s="110">
        <f t="shared" ca="1" si="36"/>
        <v>2008.32637411616</v>
      </c>
      <c r="R70" s="110">
        <f t="shared" ca="1" si="36"/>
        <v>2074.8148026782428</v>
      </c>
      <c r="S70" s="113"/>
      <c r="T70" s="110">
        <f t="shared" ref="T70:AA70" si="37">SUM(T59,T68)</f>
        <v>965.84100000000001</v>
      </c>
      <c r="U70" s="110">
        <f t="shared" si="37"/>
        <v>1069.7780000000002</v>
      </c>
      <c r="V70" s="111">
        <f t="shared" si="37"/>
        <v>1449.7070000000001</v>
      </c>
      <c r="W70" s="110">
        <f t="shared" ca="1" si="37"/>
        <v>1721.2934344690502</v>
      </c>
      <c r="X70" s="110">
        <f t="shared" ca="1" si="37"/>
        <v>2074.8148026782428</v>
      </c>
      <c r="Y70" s="110">
        <f t="shared" ca="1" si="37"/>
        <v>2343.6616795484038</v>
      </c>
      <c r="Z70" s="110">
        <f t="shared" ca="1" si="37"/>
        <v>2635.3390590512463</v>
      </c>
      <c r="AA70" s="110">
        <f t="shared" ca="1" si="37"/>
        <v>2934.1783373710641</v>
      </c>
      <c r="AB70" s="9"/>
      <c r="AC70" s="9"/>
      <c r="AD70" s="9"/>
      <c r="AE70" s="9"/>
    </row>
    <row r="71" spans="1:31" ht="4.5" customHeight="1">
      <c r="A71" s="10"/>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row>
    <row r="72" spans="1:31" ht="13.5" customHeight="1">
      <c r="A72" s="10"/>
      <c r="B72" s="9"/>
      <c r="C72" s="76"/>
      <c r="D72" s="76"/>
      <c r="E72" s="76"/>
      <c r="F72" s="76"/>
      <c r="G72" s="999" t="str">
        <f>G$5</f>
        <v>Quarterly</v>
      </c>
      <c r="H72" s="1000"/>
      <c r="I72" s="1000"/>
      <c r="J72" s="1000"/>
      <c r="K72" s="1000"/>
      <c r="L72" s="1000"/>
      <c r="M72" s="1000"/>
      <c r="N72" s="1000"/>
      <c r="O72" s="1000"/>
      <c r="P72" s="1000"/>
      <c r="Q72" s="1000"/>
      <c r="R72" s="1000"/>
      <c r="S72" s="1001"/>
      <c r="T72" s="1002" t="str">
        <f>T$31</f>
        <v>Annuals</v>
      </c>
      <c r="U72" s="1003"/>
      <c r="V72" s="1003"/>
      <c r="W72" s="1003"/>
      <c r="X72" s="1003"/>
      <c r="Y72" s="1003"/>
      <c r="Z72" s="1003"/>
      <c r="AA72" s="1004"/>
      <c r="AB72" s="9"/>
      <c r="AC72" s="9"/>
      <c r="AD72" s="9"/>
      <c r="AE72" s="9"/>
    </row>
    <row r="73" spans="1:31" ht="13.5" customHeight="1">
      <c r="A73" s="10" t="s">
        <v>0</v>
      </c>
      <c r="B73" s="9"/>
      <c r="C73" s="76" t="s">
        <v>104</v>
      </c>
      <c r="D73" s="76"/>
      <c r="E73" s="76"/>
      <c r="F73" s="76"/>
      <c r="G73" s="78" t="str">
        <f t="shared" ref="G73:R73" si="38">G$6</f>
        <v>1Q25</v>
      </c>
      <c r="H73" s="78" t="str">
        <f t="shared" si="38"/>
        <v>2Q25</v>
      </c>
      <c r="I73" s="78" t="str">
        <f t="shared" si="38"/>
        <v>3Q25</v>
      </c>
      <c r="J73" s="78" t="str">
        <f t="shared" si="38"/>
        <v>4Q25</v>
      </c>
      <c r="K73" s="78" t="str">
        <f t="shared" si="38"/>
        <v>1Q26</v>
      </c>
      <c r="L73" s="78" t="str">
        <f t="shared" si="38"/>
        <v>2Q26e</v>
      </c>
      <c r="M73" s="78" t="str">
        <f t="shared" si="38"/>
        <v>3Q26e</v>
      </c>
      <c r="N73" s="78" t="str">
        <f t="shared" si="38"/>
        <v>4Q26e</v>
      </c>
      <c r="O73" s="78" t="str">
        <f t="shared" si="38"/>
        <v>1Q27e</v>
      </c>
      <c r="P73" s="78" t="str">
        <f t="shared" si="38"/>
        <v>2Q27e</v>
      </c>
      <c r="Q73" s="78" t="str">
        <f t="shared" si="38"/>
        <v>3Q27e</v>
      </c>
      <c r="R73" s="78" t="str">
        <f t="shared" si="38"/>
        <v>4Q27e</v>
      </c>
      <c r="S73" s="78"/>
      <c r="T73" s="78">
        <f t="shared" ref="T73:AA73" si="39">T$6</f>
        <v>2023</v>
      </c>
      <c r="U73" s="78">
        <f t="shared" si="39"/>
        <v>2024</v>
      </c>
      <c r="V73" s="78">
        <f t="shared" si="39"/>
        <v>2025</v>
      </c>
      <c r="W73" s="78" t="str">
        <f t="shared" si="39"/>
        <v>2026e</v>
      </c>
      <c r="X73" s="78" t="str">
        <f t="shared" si="39"/>
        <v>2027e</v>
      </c>
      <c r="Y73" s="78" t="str">
        <f t="shared" si="39"/>
        <v>2028e</v>
      </c>
      <c r="Z73" s="78" t="str">
        <f t="shared" si="39"/>
        <v>2029e</v>
      </c>
      <c r="AA73" s="78" t="str">
        <f t="shared" si="39"/>
        <v>2030e</v>
      </c>
      <c r="AB73" s="9"/>
      <c r="AC73" s="9"/>
      <c r="AD73" s="9"/>
      <c r="AE73" s="9"/>
    </row>
    <row r="74" spans="1:31" ht="4.5" customHeight="1">
      <c r="A74" s="10"/>
      <c r="B74" s="9"/>
      <c r="C74" s="37"/>
      <c r="D74" s="37"/>
      <c r="E74" s="37"/>
      <c r="F74" s="37"/>
      <c r="G74" s="115"/>
      <c r="H74" s="115"/>
      <c r="I74" s="115"/>
      <c r="J74" s="115"/>
      <c r="K74" s="115"/>
      <c r="L74" s="115"/>
      <c r="M74" s="115"/>
      <c r="N74" s="116"/>
      <c r="O74" s="116"/>
      <c r="P74" s="116"/>
      <c r="Q74" s="116"/>
      <c r="R74" s="116"/>
      <c r="S74" s="9"/>
      <c r="T74" s="9"/>
      <c r="U74" s="9"/>
      <c r="V74" s="9"/>
      <c r="W74" s="9"/>
      <c r="X74" s="9"/>
      <c r="Y74" s="9"/>
      <c r="Z74" s="9"/>
      <c r="AA74" s="9"/>
      <c r="AB74" s="9"/>
      <c r="AC74" s="9"/>
      <c r="AD74" s="9"/>
      <c r="AE74" s="9"/>
    </row>
    <row r="75" spans="1:31" ht="13.5" customHeight="1">
      <c r="A75" s="10"/>
      <c r="B75" s="9"/>
      <c r="C75" s="95" t="s">
        <v>105</v>
      </c>
      <c r="D75" s="95"/>
      <c r="E75" s="95"/>
      <c r="F75" s="9"/>
      <c r="G75" s="9"/>
      <c r="H75" s="9"/>
      <c r="I75" s="9"/>
      <c r="J75" s="88"/>
      <c r="K75" s="9"/>
      <c r="L75" s="9"/>
      <c r="M75" s="9"/>
      <c r="N75" s="89"/>
      <c r="O75" s="9"/>
      <c r="P75" s="9"/>
      <c r="Q75" s="9"/>
      <c r="R75" s="9"/>
      <c r="S75" s="9"/>
      <c r="T75" s="9"/>
      <c r="U75" s="9"/>
      <c r="V75" s="88"/>
      <c r="W75" s="9"/>
      <c r="X75" s="9"/>
      <c r="Y75" s="9"/>
      <c r="Z75" s="9"/>
      <c r="AA75" s="9"/>
      <c r="AB75" s="9"/>
      <c r="AC75" s="9"/>
      <c r="AD75" s="9"/>
      <c r="AE75" s="9"/>
    </row>
    <row r="76" spans="1:31" ht="13.5" customHeight="1">
      <c r="A76" s="10"/>
      <c r="B76" s="9"/>
      <c r="C76" s="103" t="s">
        <v>106</v>
      </c>
      <c r="D76" s="9"/>
      <c r="E76" s="9"/>
      <c r="F76" s="9"/>
      <c r="G76" s="117">
        <f t="shared" ref="G76:R76" si="40">G12</f>
        <v>1</v>
      </c>
      <c r="H76" s="117">
        <f t="shared" si="40"/>
        <v>1</v>
      </c>
      <c r="I76" s="117">
        <f t="shared" si="40"/>
        <v>1</v>
      </c>
      <c r="J76" s="118">
        <f t="shared" si="40"/>
        <v>1</v>
      </c>
      <c r="K76" s="117">
        <f t="shared" si="40"/>
        <v>1</v>
      </c>
      <c r="L76" s="117">
        <f t="shared" si="40"/>
        <v>1</v>
      </c>
      <c r="M76" s="117">
        <f t="shared" si="40"/>
        <v>1</v>
      </c>
      <c r="N76" s="119">
        <f t="shared" si="40"/>
        <v>1</v>
      </c>
      <c r="O76" s="117">
        <f t="shared" si="40"/>
        <v>1</v>
      </c>
      <c r="P76" s="117">
        <f t="shared" si="40"/>
        <v>1</v>
      </c>
      <c r="Q76" s="117">
        <f t="shared" si="40"/>
        <v>1</v>
      </c>
      <c r="R76" s="117">
        <f t="shared" si="40"/>
        <v>1</v>
      </c>
      <c r="S76" s="9"/>
      <c r="T76" s="117">
        <f t="shared" ref="T76:AA76" si="41">T12</f>
        <v>1</v>
      </c>
      <c r="U76" s="117">
        <f t="shared" si="41"/>
        <v>1</v>
      </c>
      <c r="V76" s="118">
        <f t="shared" si="41"/>
        <v>1</v>
      </c>
      <c r="W76" s="117">
        <f t="shared" si="41"/>
        <v>1</v>
      </c>
      <c r="X76" s="117">
        <f t="shared" si="41"/>
        <v>1</v>
      </c>
      <c r="Y76" s="117">
        <f t="shared" si="41"/>
        <v>1</v>
      </c>
      <c r="Z76" s="117">
        <f t="shared" si="41"/>
        <v>1</v>
      </c>
      <c r="AA76" s="117">
        <f t="shared" si="41"/>
        <v>1</v>
      </c>
      <c r="AB76" s="9"/>
      <c r="AC76" s="9"/>
      <c r="AD76" s="9"/>
      <c r="AE76" s="9"/>
    </row>
    <row r="77" spans="1:31" ht="13.5" customHeight="1">
      <c r="A77" s="10"/>
      <c r="B77" s="9"/>
      <c r="C77" s="103" t="s">
        <v>107</v>
      </c>
      <c r="D77" s="9"/>
      <c r="E77" s="9"/>
      <c r="F77" s="9"/>
      <c r="G77" s="117">
        <f t="shared" ref="G77:R77" si="42">G28</f>
        <v>0.31254860698110609</v>
      </c>
      <c r="H77" s="117">
        <f t="shared" si="42"/>
        <v>0.30834872232481547</v>
      </c>
      <c r="I77" s="117">
        <f t="shared" si="42"/>
        <v>0.30452095256773698</v>
      </c>
      <c r="J77" s="118">
        <f t="shared" si="42"/>
        <v>0.30924924105812424</v>
      </c>
      <c r="K77" s="117">
        <f t="shared" si="42"/>
        <v>0.30490230623216902</v>
      </c>
      <c r="L77" s="117">
        <f t="shared" ca="1" si="42"/>
        <v>0.32299999999999995</v>
      </c>
      <c r="M77" s="117">
        <f t="shared" ca="1" si="42"/>
        <v>0.32299999999999995</v>
      </c>
      <c r="N77" s="119">
        <f t="shared" ca="1" si="42"/>
        <v>0.32300000000000001</v>
      </c>
      <c r="O77" s="117">
        <f t="shared" ca="1" si="42"/>
        <v>0.3254999999999999</v>
      </c>
      <c r="P77" s="117">
        <f t="shared" ca="1" si="42"/>
        <v>0.32550000000000001</v>
      </c>
      <c r="Q77" s="117">
        <f t="shared" ca="1" si="42"/>
        <v>0.33025000000000004</v>
      </c>
      <c r="R77" s="117">
        <f t="shared" ca="1" si="42"/>
        <v>0.33024999999999999</v>
      </c>
      <c r="S77" s="9"/>
      <c r="T77" s="117">
        <f t="shared" ref="T77:AA77" si="43">T28</f>
        <v>0.30609377157198159</v>
      </c>
      <c r="U77" s="117">
        <f t="shared" si="43"/>
        <v>0.28793590951932141</v>
      </c>
      <c r="V77" s="118">
        <f t="shared" si="43"/>
        <v>0.30885430400412928</v>
      </c>
      <c r="W77" s="117">
        <f t="shared" ca="1" si="43"/>
        <v>0.31884633779249583</v>
      </c>
      <c r="X77" s="117">
        <f t="shared" ca="1" si="43"/>
        <v>0.32799103590865797</v>
      </c>
      <c r="Y77" s="117">
        <f t="shared" ca="1" si="43"/>
        <v>0.33319999999999989</v>
      </c>
      <c r="Z77" s="117">
        <f t="shared" ca="1" si="43"/>
        <v>0.3301</v>
      </c>
      <c r="AA77" s="117">
        <f t="shared" ca="1" si="43"/>
        <v>0.33009999999999995</v>
      </c>
      <c r="AB77" s="9"/>
      <c r="AC77" s="9"/>
      <c r="AD77" s="9"/>
      <c r="AE77" s="9"/>
    </row>
    <row r="78" spans="1:31" ht="13.5" customHeight="1">
      <c r="A78" s="10"/>
      <c r="B78" s="9"/>
      <c r="C78" s="103" t="s">
        <v>108</v>
      </c>
      <c r="D78" s="9"/>
      <c r="E78" s="9"/>
      <c r="F78" s="9"/>
      <c r="G78" s="117">
        <f t="shared" ref="G78:R78" si="44">G16</f>
        <v>0.45550014995094823</v>
      </c>
      <c r="H78" s="117">
        <f t="shared" si="44"/>
        <v>0.44794965299768663</v>
      </c>
      <c r="I78" s="117">
        <f t="shared" si="44"/>
        <v>0.45002704132270699</v>
      </c>
      <c r="J78" s="118">
        <f t="shared" si="44"/>
        <v>0.42444171679976572</v>
      </c>
      <c r="K78" s="117">
        <f t="shared" si="44"/>
        <v>0.43746234896964048</v>
      </c>
      <c r="L78" s="117">
        <f t="shared" si="44"/>
        <v>0.433</v>
      </c>
      <c r="M78" s="117">
        <f t="shared" si="44"/>
        <v>0.433</v>
      </c>
      <c r="N78" s="119">
        <f t="shared" si="44"/>
        <v>0.43300000000000005</v>
      </c>
      <c r="O78" s="117">
        <f t="shared" si="44"/>
        <v>0.43</v>
      </c>
      <c r="P78" s="117">
        <f t="shared" si="44"/>
        <v>0.43000000000000005</v>
      </c>
      <c r="Q78" s="117">
        <f t="shared" si="44"/>
        <v>0.43000000000000005</v>
      </c>
      <c r="R78" s="117">
        <f t="shared" si="44"/>
        <v>0.43000000000000005</v>
      </c>
      <c r="S78" s="9"/>
      <c r="T78" s="117">
        <f t="shared" ref="T78:AA78" si="45">T16</f>
        <v>0.45373170459552953</v>
      </c>
      <c r="U78" s="117">
        <f t="shared" si="45"/>
        <v>0.44383957879684099</v>
      </c>
      <c r="V78" s="118">
        <f t="shared" si="45"/>
        <v>0.44399576977238686</v>
      </c>
      <c r="W78" s="117">
        <f t="shared" si="45"/>
        <v>0.43402416863218435</v>
      </c>
      <c r="X78" s="117">
        <f t="shared" si="45"/>
        <v>0.4300000000000001</v>
      </c>
      <c r="Y78" s="117">
        <f t="shared" si="45"/>
        <v>0.41999999999999993</v>
      </c>
      <c r="Z78" s="117">
        <f t="shared" si="45"/>
        <v>0.42000000000000004</v>
      </c>
      <c r="AA78" s="117">
        <f t="shared" si="45"/>
        <v>0.42</v>
      </c>
      <c r="AB78" s="9"/>
      <c r="AC78" s="9"/>
      <c r="AD78" s="9"/>
      <c r="AE78" s="9"/>
    </row>
    <row r="79" spans="1:31" ht="13.5" customHeight="1">
      <c r="A79" s="10"/>
      <c r="B79" s="9"/>
      <c r="C79" s="103" t="s">
        <v>109</v>
      </c>
      <c r="D79" s="9"/>
      <c r="E79" s="9"/>
      <c r="F79" s="9"/>
      <c r="G79" s="117">
        <f t="shared" ref="G79:R79" si="46">G20</f>
        <v>0.44267044848041232</v>
      </c>
      <c r="H79" s="117">
        <f t="shared" si="46"/>
        <v>0.50615004100027328</v>
      </c>
      <c r="I79" s="117">
        <f t="shared" si="46"/>
        <v>0.46032651654275203</v>
      </c>
      <c r="J79" s="118">
        <f t="shared" si="46"/>
        <v>0.37027271395594363</v>
      </c>
      <c r="K79" s="117">
        <f t="shared" si="46"/>
        <v>0.43800225053705993</v>
      </c>
      <c r="L79" s="117">
        <f t="shared" ca="1" si="46"/>
        <v>0.36886000333134744</v>
      </c>
      <c r="M79" s="117">
        <f t="shared" ca="1" si="46"/>
        <v>0.36921091159478192</v>
      </c>
      <c r="N79" s="119">
        <f t="shared" ca="1" si="46"/>
        <v>0.3692741220534449</v>
      </c>
      <c r="O79" s="117">
        <f t="shared" ca="1" si="46"/>
        <v>0.37507948894074844</v>
      </c>
      <c r="P79" s="117">
        <f t="shared" ca="1" si="46"/>
        <v>0.37438062396705174</v>
      </c>
      <c r="Q79" s="117">
        <f t="shared" ca="1" si="46"/>
        <v>0.36268095840285031</v>
      </c>
      <c r="R79" s="117">
        <f t="shared" ca="1" si="46"/>
        <v>0.36195822830036689</v>
      </c>
      <c r="S79" s="9"/>
      <c r="T79" s="117">
        <f t="shared" ref="T79:AA79" si="47">T20</f>
        <v>0.35376820557046484</v>
      </c>
      <c r="U79" s="117">
        <f t="shared" si="47"/>
        <v>0.41023252118835341</v>
      </c>
      <c r="V79" s="118">
        <f t="shared" si="47"/>
        <v>0.44008954168793946</v>
      </c>
      <c r="W79" s="117">
        <f t="shared" ca="1" si="47"/>
        <v>0.38493270800595436</v>
      </c>
      <c r="X79" s="117">
        <f t="shared" ca="1" si="47"/>
        <v>0.36821253734164766</v>
      </c>
      <c r="Y79" s="117">
        <f t="shared" ca="1" si="47"/>
        <v>0.35990145696180914</v>
      </c>
      <c r="Z79" s="117">
        <f t="shared" ca="1" si="47"/>
        <v>0.36057433949006557</v>
      </c>
      <c r="AA79" s="117">
        <f t="shared" ca="1" si="47"/>
        <v>0.36095313584677224</v>
      </c>
      <c r="AB79" s="9"/>
      <c r="AC79" s="9"/>
      <c r="AD79" s="9"/>
      <c r="AE79" s="9"/>
    </row>
    <row r="80" spans="1:31" ht="13.5" customHeight="1">
      <c r="A80" s="10"/>
      <c r="B80" s="9"/>
      <c r="C80" s="103" t="s">
        <v>110</v>
      </c>
      <c r="D80" s="9"/>
      <c r="E80" s="9"/>
      <c r="F80" s="9"/>
      <c r="G80" s="117">
        <f t="shared" ref="G80:R80" si="48">G19/G46</f>
        <v>6.3478515037032224E-2</v>
      </c>
      <c r="H80" s="117">
        <f t="shared" si="48"/>
        <v>5.3303658562271386E-2</v>
      </c>
      <c r="I80" s="117">
        <f t="shared" si="48"/>
        <v>4.8682361341220892E-2</v>
      </c>
      <c r="J80" s="118">
        <f t="shared" si="48"/>
        <v>4.3366038494872403E-2</v>
      </c>
      <c r="K80" s="117">
        <f t="shared" si="48"/>
        <v>4.2768243510958141E-2</v>
      </c>
      <c r="L80" s="117">
        <f t="shared" ca="1" si="48"/>
        <v>3.737704203672295E-2</v>
      </c>
      <c r="M80" s="117">
        <f t="shared" ca="1" si="48"/>
        <v>3.8010178596121533E-2</v>
      </c>
      <c r="N80" s="119">
        <f t="shared" ca="1" si="48"/>
        <v>3.9822638181013968E-2</v>
      </c>
      <c r="O80" s="117">
        <f t="shared" ca="1" si="48"/>
        <v>4.0812816340742408E-2</v>
      </c>
      <c r="P80" s="117">
        <f t="shared" ca="1" si="48"/>
        <v>4.1169782689971693E-2</v>
      </c>
      <c r="Q80" s="117">
        <f t="shared" ca="1" si="48"/>
        <v>4.0196216900153639E-2</v>
      </c>
      <c r="R80" s="117">
        <f t="shared" ca="1" si="48"/>
        <v>4.0763523032162796E-2</v>
      </c>
      <c r="S80" s="9"/>
      <c r="T80" s="117">
        <f t="shared" ref="T80:AA80" si="49">T19/T46</f>
        <v>0.16400609183520481</v>
      </c>
      <c r="U80" s="117">
        <f t="shared" si="49"/>
        <v>0.17873190685966017</v>
      </c>
      <c r="V80" s="118">
        <f t="shared" si="49"/>
        <v>0.1856225467431398</v>
      </c>
      <c r="W80" s="117">
        <f t="shared" ca="1" si="49"/>
        <v>0.15041801490702458</v>
      </c>
      <c r="X80" s="117">
        <f t="shared" ca="1" si="49"/>
        <v>0.15465465985839294</v>
      </c>
      <c r="Y80" s="117">
        <f t="shared" ca="1" si="49"/>
        <v>0.1449189154317852</v>
      </c>
      <c r="Z80" s="117">
        <f t="shared" ca="1" si="49"/>
        <v>0.13764054174743065</v>
      </c>
      <c r="AA80" s="117">
        <f t="shared" ca="1" si="49"/>
        <v>0.13296549662430401</v>
      </c>
      <c r="AB80" s="9"/>
      <c r="AC80" s="9"/>
      <c r="AD80" s="9"/>
      <c r="AE80" s="9"/>
    </row>
    <row r="81" spans="1:31" ht="13.5" customHeight="1">
      <c r="A81" s="10"/>
      <c r="B81" s="9"/>
      <c r="C81" s="103" t="s">
        <v>111</v>
      </c>
      <c r="D81" s="9"/>
      <c r="E81" s="9"/>
      <c r="F81" s="9"/>
      <c r="G81" s="117">
        <f t="shared" ref="G81:R81" si="50">G19*4/G68</f>
        <v>0.47276576686616983</v>
      </c>
      <c r="H81" s="117">
        <f t="shared" si="50"/>
        <v>0.37870017283476443</v>
      </c>
      <c r="I81" s="117">
        <f t="shared" si="50"/>
        <v>0.35940952988602415</v>
      </c>
      <c r="J81" s="118">
        <f t="shared" si="50"/>
        <v>0.3173693980376559</v>
      </c>
      <c r="K81" s="117">
        <f t="shared" si="50"/>
        <v>0.30981482263131555</v>
      </c>
      <c r="L81" s="117">
        <f t="shared" ca="1" si="50"/>
        <v>0.26869346626587765</v>
      </c>
      <c r="M81" s="117">
        <f t="shared" ca="1" si="50"/>
        <v>0.26802035816193803</v>
      </c>
      <c r="N81" s="119">
        <f t="shared" ca="1" si="50"/>
        <v>0.27947386675988489</v>
      </c>
      <c r="O81" s="117">
        <f t="shared" ca="1" si="50"/>
        <v>0.28128531361365205</v>
      </c>
      <c r="P81" s="117">
        <f t="shared" ca="1" si="50"/>
        <v>0.27842848029564293</v>
      </c>
      <c r="Q81" s="117">
        <f t="shared" ca="1" si="50"/>
        <v>0.2679997938585425</v>
      </c>
      <c r="R81" s="117">
        <f t="shared" ca="1" si="50"/>
        <v>0.2697289128324899</v>
      </c>
      <c r="S81" s="9"/>
      <c r="T81" s="117">
        <f t="shared" ref="T81:AA81" si="51">T19/T68</f>
        <v>0.32577256388107118</v>
      </c>
      <c r="U81" s="117">
        <f t="shared" si="51"/>
        <v>0.33612147500288475</v>
      </c>
      <c r="V81" s="118">
        <f t="shared" si="51"/>
        <v>0.33961435011554342</v>
      </c>
      <c r="W81" s="117">
        <f t="shared" ca="1" si="51"/>
        <v>0.26390707758567311</v>
      </c>
      <c r="X81" s="117">
        <f t="shared" ca="1" si="51"/>
        <v>0.25583432297528275</v>
      </c>
      <c r="Y81" s="117">
        <f t="shared" ca="1" si="51"/>
        <v>0.22557209886755153</v>
      </c>
      <c r="Z81" s="117">
        <f t="shared" ca="1" si="51"/>
        <v>0.20453814493074496</v>
      </c>
      <c r="AA81" s="117">
        <f t="shared" ca="1" si="51"/>
        <v>0.19085443899555865</v>
      </c>
      <c r="AB81" s="9"/>
      <c r="AC81" s="9"/>
      <c r="AD81" s="9"/>
      <c r="AE81" s="9"/>
    </row>
    <row r="82" spans="1:31" ht="13.5" customHeight="1">
      <c r="A82" s="10"/>
      <c r="B82" s="9"/>
      <c r="C82" s="103" t="s">
        <v>112</v>
      </c>
      <c r="D82" s="9"/>
      <c r="E82" s="9"/>
      <c r="F82" s="9"/>
      <c r="G82" s="117">
        <f t="shared" ref="G82:S82" si="52">G19*4/(G53+G54+G68)</f>
        <v>0.37360560706567492</v>
      </c>
      <c r="H82" s="117">
        <f t="shared" si="52"/>
        <v>0.30463449938960346</v>
      </c>
      <c r="I82" s="117">
        <f t="shared" si="52"/>
        <v>0.26846347078850202</v>
      </c>
      <c r="J82" s="118">
        <f t="shared" si="52"/>
        <v>0.24148944406101813</v>
      </c>
      <c r="K82" s="117">
        <f t="shared" si="52"/>
        <v>0.24016303788948198</v>
      </c>
      <c r="L82" s="117">
        <f t="shared" ca="1" si="52"/>
        <v>0.20921844788889368</v>
      </c>
      <c r="M82" s="117">
        <f t="shared" ca="1" si="52"/>
        <v>0.21179077797176088</v>
      </c>
      <c r="N82" s="119">
        <f t="shared" ca="1" si="52"/>
        <v>0.22285811119086993</v>
      </c>
      <c r="O82" s="117">
        <f t="shared" ca="1" si="52"/>
        <v>0.22758256756166129</v>
      </c>
      <c r="P82" s="117">
        <f t="shared" ca="1" si="52"/>
        <v>0.22829639395400877</v>
      </c>
      <c r="Q82" s="117">
        <f t="shared" ca="1" si="52"/>
        <v>0.22199902811194144</v>
      </c>
      <c r="R82" s="117">
        <f t="shared" ca="1" si="52"/>
        <v>0.22502361725229811</v>
      </c>
      <c r="S82" s="117" t="e">
        <f t="shared" si="52"/>
        <v>#DIV/0!</v>
      </c>
      <c r="T82" s="117">
        <f t="shared" ref="T82:AA82" si="53">T19/(T53+T54+T68)</f>
        <v>0.23746358183376179</v>
      </c>
      <c r="U82" s="117">
        <f t="shared" si="53"/>
        <v>0.26052009076763782</v>
      </c>
      <c r="V82" s="118">
        <f t="shared" si="53"/>
        <v>0.25841584321502753</v>
      </c>
      <c r="W82" s="117">
        <f t="shared" ca="1" si="53"/>
        <v>0.21044483880554193</v>
      </c>
      <c r="X82" s="117">
        <f t="shared" ca="1" si="53"/>
        <v>0.21343193864034457</v>
      </c>
      <c r="Y82" s="117">
        <f t="shared" ca="1" si="53"/>
        <v>0.19381109644312028</v>
      </c>
      <c r="Z82" s="117">
        <f t="shared" ca="1" si="53"/>
        <v>0.17981606542580322</v>
      </c>
      <c r="AA82" s="117">
        <f t="shared" ca="1" si="53"/>
        <v>0.17077391001195646</v>
      </c>
      <c r="AB82" s="9"/>
      <c r="AC82" s="9"/>
      <c r="AD82" s="9"/>
      <c r="AE82" s="9"/>
    </row>
    <row r="83" spans="1:31" ht="13.5" customHeight="1">
      <c r="A83" s="10"/>
      <c r="B83" s="9"/>
      <c r="C83" s="9"/>
      <c r="D83" s="9"/>
      <c r="E83" s="9"/>
      <c r="F83" s="9"/>
      <c r="G83" s="9"/>
      <c r="H83" s="9"/>
      <c r="I83" s="9"/>
      <c r="J83" s="88"/>
      <c r="K83" s="9"/>
      <c r="L83" s="9"/>
      <c r="M83" s="9"/>
      <c r="N83" s="89"/>
      <c r="O83" s="9"/>
      <c r="P83" s="9"/>
      <c r="Q83" s="9"/>
      <c r="R83" s="9"/>
      <c r="S83" s="9"/>
      <c r="T83" s="9"/>
      <c r="U83" s="9"/>
      <c r="V83" s="88"/>
      <c r="W83" s="9"/>
      <c r="X83" s="9"/>
      <c r="Y83" s="9"/>
      <c r="Z83" s="9"/>
      <c r="AA83" s="9"/>
      <c r="AB83" s="9"/>
      <c r="AC83" s="9"/>
      <c r="AD83" s="9"/>
      <c r="AE83" s="9"/>
    </row>
    <row r="84" spans="1:31" ht="13.5" customHeight="1">
      <c r="A84" s="10"/>
      <c r="B84" s="9"/>
      <c r="C84" s="95" t="s">
        <v>113</v>
      </c>
      <c r="D84" s="95"/>
      <c r="E84" s="95"/>
      <c r="F84" s="9"/>
      <c r="G84" s="9"/>
      <c r="H84" s="9"/>
      <c r="I84" s="9"/>
      <c r="J84" s="88"/>
      <c r="K84" s="9"/>
      <c r="L84" s="9"/>
      <c r="M84" s="9"/>
      <c r="N84" s="89"/>
      <c r="O84" s="9"/>
      <c r="P84" s="9"/>
      <c r="Q84" s="9"/>
      <c r="R84" s="9"/>
      <c r="S84" s="9"/>
      <c r="T84" s="9"/>
      <c r="U84" s="9"/>
      <c r="V84" s="88"/>
      <c r="W84" s="9"/>
      <c r="X84" s="9"/>
      <c r="Y84" s="9"/>
      <c r="Z84" s="9"/>
      <c r="AA84" s="9"/>
      <c r="AB84" s="9"/>
      <c r="AC84" s="9"/>
      <c r="AD84" s="9"/>
      <c r="AE84" s="9"/>
    </row>
    <row r="85" spans="1:31" ht="13.5" customHeight="1">
      <c r="A85" s="10"/>
      <c r="B85" s="9"/>
      <c r="C85" s="103" t="s">
        <v>114</v>
      </c>
      <c r="D85" s="9"/>
      <c r="E85" s="9"/>
      <c r="F85" s="9"/>
      <c r="G85" s="80">
        <f>-Model!P39</f>
        <v>2.9470000000000001</v>
      </c>
      <c r="H85" s="80">
        <f>-Model!Q39</f>
        <v>2.7040000000000002</v>
      </c>
      <c r="I85" s="80">
        <f>-Model!R39</f>
        <v>3.8660000000000001</v>
      </c>
      <c r="J85" s="81">
        <f>-Model!S39</f>
        <v>3.8149999999999999</v>
      </c>
      <c r="K85" s="80">
        <f>-Model!U39</f>
        <v>3.8559999999999999</v>
      </c>
      <c r="L85" s="80">
        <f ca="1">-Model!V39</f>
        <v>2.5113341999999998</v>
      </c>
      <c r="M85" s="80">
        <f ca="1">-Model!W39</f>
        <v>2.4982467000000002</v>
      </c>
      <c r="N85" s="82">
        <f ca="1">-Model!X39</f>
        <v>2.4851592</v>
      </c>
      <c r="O85" s="80">
        <f ca="1">-Model!Z39</f>
        <v>2.4720716999999999</v>
      </c>
      <c r="P85" s="80">
        <f ca="1">-Model!AA39</f>
        <v>2.4589842000000002</v>
      </c>
      <c r="Q85" s="80">
        <f ca="1">-Model!AB39</f>
        <v>2.4458967</v>
      </c>
      <c r="R85" s="80">
        <f ca="1">-Model!AC39</f>
        <v>2.4328091999999999</v>
      </c>
      <c r="S85" s="9"/>
      <c r="T85" s="80">
        <f>-Model!J39</f>
        <v>8.6180000000000003</v>
      </c>
      <c r="U85" s="80">
        <f>-Model!O39</f>
        <v>11.175000000000001</v>
      </c>
      <c r="V85" s="81">
        <f>-Model!T39</f>
        <v>13.331999999999999</v>
      </c>
      <c r="W85" s="80">
        <f ca="1">-Model!Y39</f>
        <v>11.350740100000001</v>
      </c>
      <c r="X85" s="80">
        <f ca="1">-Model!AD39</f>
        <v>9.8097618000000004</v>
      </c>
      <c r="Y85" s="80">
        <f ca="1">-Model!AE39</f>
        <v>9.6003617999999999</v>
      </c>
      <c r="Z85" s="80">
        <f ca="1">-Model!AF39</f>
        <v>9.3909617999999995</v>
      </c>
      <c r="AA85" s="80">
        <f ca="1">-Model!AG39</f>
        <v>9.1815618000000008</v>
      </c>
      <c r="AB85" s="9"/>
      <c r="AC85" s="9"/>
      <c r="AD85" s="9"/>
      <c r="AE85" s="9"/>
    </row>
    <row r="86" spans="1:31" ht="13.5" customHeight="1">
      <c r="A86" s="10"/>
      <c r="B86" s="9"/>
      <c r="C86" s="103" t="s">
        <v>115</v>
      </c>
      <c r="D86" s="9"/>
      <c r="E86" s="9"/>
      <c r="F86" s="9"/>
      <c r="G86" s="100">
        <f>Model!P194</f>
        <v>-0.35299999999998022</v>
      </c>
      <c r="H86" s="100">
        <f>Model!Q194</f>
        <v>0.16999999999998749</v>
      </c>
      <c r="I86" s="100">
        <f>Model!R194</f>
        <v>2.117999999999995</v>
      </c>
      <c r="J86" s="101">
        <f>Model!S194</f>
        <v>1.6260000000000048</v>
      </c>
      <c r="K86" s="100">
        <f>Model!U194</f>
        <v>-2.3220000000000027</v>
      </c>
      <c r="L86" s="100">
        <f>Model!V194</f>
        <v>2.20692792</v>
      </c>
      <c r="M86" s="100">
        <f>Model!W194</f>
        <v>2.34254286</v>
      </c>
      <c r="N86" s="102">
        <f>Model!X194</f>
        <v>2.1157638516000001</v>
      </c>
      <c r="O86" s="100">
        <f>Model!Z194</f>
        <v>1.7961422606063999</v>
      </c>
      <c r="P86" s="100">
        <f>Model!AA194</f>
        <v>1.9039107962427841</v>
      </c>
      <c r="Q86" s="100">
        <f>Model!AB194</f>
        <v>1.9940448407980162</v>
      </c>
      <c r="R86" s="100">
        <f>Model!AC194</f>
        <v>2.0861284846109984</v>
      </c>
      <c r="S86" s="9"/>
      <c r="T86" s="100">
        <f>Model!J194</f>
        <v>-2.9279999999999973</v>
      </c>
      <c r="U86" s="100">
        <f>Model!O194</f>
        <v>4.6859999999999928</v>
      </c>
      <c r="V86" s="101">
        <f>Model!T194</f>
        <v>3.561000000000007</v>
      </c>
      <c r="W86" s="100">
        <f>Model!Y194</f>
        <v>4.3432346315999979</v>
      </c>
      <c r="X86" s="100">
        <f>Model!AD194</f>
        <v>7.7802263822581992</v>
      </c>
      <c r="Y86" s="100">
        <f>Model!AE194</f>
        <v>8.3248422290162747</v>
      </c>
      <c r="Z86" s="100">
        <f>Model!AF194</f>
        <v>8.7827085516121688</v>
      </c>
      <c r="AA86" s="100">
        <f>Model!AG194</f>
        <v>9.3561699560613718</v>
      </c>
      <c r="AB86" s="9"/>
      <c r="AC86" s="9"/>
      <c r="AD86" s="9"/>
      <c r="AE86" s="9"/>
    </row>
    <row r="87" spans="1:31" ht="13.5" customHeight="1">
      <c r="A87" s="10"/>
      <c r="B87" s="9"/>
      <c r="C87" s="103" t="s">
        <v>116</v>
      </c>
      <c r="D87" s="9"/>
      <c r="E87" s="9"/>
      <c r="F87" s="9"/>
      <c r="G87" s="120">
        <f t="shared" ref="G87:R87" si="54">IF(ISERROR(G15/G85),"N/A",(G15/G85))</f>
        <v>30.407533084492702</v>
      </c>
      <c r="H87" s="120">
        <f t="shared" si="54"/>
        <v>24.8491124260355</v>
      </c>
      <c r="I87" s="120">
        <f t="shared" si="54"/>
        <v>19.586652871184686</v>
      </c>
      <c r="J87" s="121">
        <f t="shared" si="54"/>
        <v>22.025688073394502</v>
      </c>
      <c r="K87" s="120">
        <f t="shared" si="54"/>
        <v>19.962396265560166</v>
      </c>
      <c r="L87" s="120">
        <f t="shared" ca="1" si="54"/>
        <v>31.709565290035872</v>
      </c>
      <c r="M87" s="120">
        <f t="shared" ca="1" si="54"/>
        <v>33.834430708944794</v>
      </c>
      <c r="N87" s="122">
        <f t="shared" ca="1" si="54"/>
        <v>36.863865612424348</v>
      </c>
      <c r="O87" s="120">
        <f t="shared" ca="1" si="54"/>
        <v>39.053335915618469</v>
      </c>
      <c r="P87" s="120">
        <f t="shared" ca="1" si="54"/>
        <v>41.616861669159832</v>
      </c>
      <c r="Q87" s="120">
        <f t="shared" ca="1" si="54"/>
        <v>43.820293061801578</v>
      </c>
      <c r="R87" s="120">
        <f t="shared" ca="1" si="54"/>
        <v>46.090505596510063</v>
      </c>
      <c r="S87" s="9"/>
      <c r="T87" s="120">
        <f t="shared" ref="T87:AA87" si="55">IF(ISERROR(T15/T85),"N/A",(T15/T85))</f>
        <v>27.838477605012766</v>
      </c>
      <c r="U87" s="120">
        <f t="shared" si="55"/>
        <v>21.997046979865772</v>
      </c>
      <c r="V87" s="121">
        <f t="shared" si="55"/>
        <v>23.743849384938496</v>
      </c>
      <c r="W87" s="120">
        <f t="shared" ca="1" si="55"/>
        <v>29.315061616050919</v>
      </c>
      <c r="X87" s="120">
        <f t="shared" ca="1" si="55"/>
        <v>42.629696477072279</v>
      </c>
      <c r="Y87" s="120">
        <f t="shared" ca="1" si="55"/>
        <v>45.524765225343316</v>
      </c>
      <c r="Z87" s="120">
        <f t="shared" ca="1" si="55"/>
        <v>49.099571351641409</v>
      </c>
      <c r="AA87" s="120">
        <f t="shared" ca="1" si="55"/>
        <v>53.498406196342543</v>
      </c>
      <c r="AB87" s="9"/>
      <c r="AC87" s="9"/>
      <c r="AD87" s="9"/>
      <c r="AE87" s="9"/>
    </row>
    <row r="88" spans="1:31" ht="13.5" customHeight="1">
      <c r="A88" s="10"/>
      <c r="B88" s="9"/>
      <c r="C88" s="103" t="s">
        <v>117</v>
      </c>
      <c r="D88" s="9"/>
      <c r="E88" s="9"/>
      <c r="F88" s="9"/>
      <c r="G88" s="120">
        <f t="shared" ref="G88:R88" si="56">IF(ISERROR(G27/G85),"N/A",(G27/G85))</f>
        <v>20.864608076009496</v>
      </c>
      <c r="H88" s="120">
        <f t="shared" si="56"/>
        <v>17.105029585798814</v>
      </c>
      <c r="I88" s="120">
        <f t="shared" si="56"/>
        <v>13.253750646663216</v>
      </c>
      <c r="J88" s="121">
        <f t="shared" si="56"/>
        <v>16.047968545216261</v>
      </c>
      <c r="K88" s="120">
        <f t="shared" si="56"/>
        <v>13.91338174273859</v>
      </c>
      <c r="L88" s="120">
        <f t="shared" ca="1" si="56"/>
        <v>23.654017525823523</v>
      </c>
      <c r="M88" s="120">
        <f t="shared" ca="1" si="56"/>
        <v>25.239078796741726</v>
      </c>
      <c r="N88" s="122">
        <f t="shared" ca="1" si="56"/>
        <v>27.498911299799225</v>
      </c>
      <c r="O88" s="120">
        <f t="shared" ca="1" si="56"/>
        <v>29.562467071008857</v>
      </c>
      <c r="P88" s="120">
        <f t="shared" ca="1" si="56"/>
        <v>31.502996449561682</v>
      </c>
      <c r="Q88" s="120">
        <f t="shared" ca="1" si="56"/>
        <v>33.655004148046444</v>
      </c>
      <c r="R88" s="120">
        <f t="shared" ca="1" si="56"/>
        <v>35.398580170342903</v>
      </c>
      <c r="S88" s="9"/>
      <c r="T88" s="120">
        <f t="shared" ref="T88:AA88" si="57">IF(ISERROR(T27/T85),"N/A",(T27/T85))</f>
        <v>18.780227430958458</v>
      </c>
      <c r="U88" s="120">
        <f t="shared" si="57"/>
        <v>14.270335570469799</v>
      </c>
      <c r="V88" s="121">
        <f t="shared" si="57"/>
        <v>16.516801680168019</v>
      </c>
      <c r="W88" s="120">
        <f t="shared" ca="1" si="57"/>
        <v>21.535667167789345</v>
      </c>
      <c r="X88" s="120">
        <f t="shared" ca="1" si="57"/>
        <v>32.516647227875815</v>
      </c>
      <c r="Y88" s="120">
        <f t="shared" ca="1" si="57"/>
        <v>36.116313745439022</v>
      </c>
      <c r="Z88" s="120">
        <f t="shared" ca="1" si="57"/>
        <v>38.589925007563885</v>
      </c>
      <c r="AA88" s="120">
        <f t="shared" ca="1" si="57"/>
        <v>42.04719972717303</v>
      </c>
      <c r="AB88" s="9"/>
      <c r="AC88" s="9"/>
      <c r="AD88" s="9"/>
      <c r="AE88" s="9"/>
    </row>
    <row r="89" spans="1:31" ht="13.5" customHeight="1">
      <c r="A89" s="10"/>
      <c r="B89" s="9"/>
      <c r="C89" s="103" t="s">
        <v>118</v>
      </c>
      <c r="D89" s="9"/>
      <c r="E89" s="9"/>
      <c r="F89" s="9"/>
      <c r="G89" s="120">
        <f t="shared" ref="G89:R89" si="58">IF(ISERROR((G27-G86)/G85),"N/A",((G27-G86)/G85))</f>
        <v>20.984390906006094</v>
      </c>
      <c r="H89" s="120">
        <f t="shared" si="58"/>
        <v>17.042159763313609</v>
      </c>
      <c r="I89" s="120">
        <f t="shared" si="58"/>
        <v>12.7058975685463</v>
      </c>
      <c r="J89" s="121">
        <f t="shared" si="58"/>
        <v>15.621756225425958</v>
      </c>
      <c r="K89" s="120">
        <f t="shared" si="58"/>
        <v>14.515560165975105</v>
      </c>
      <c r="L89" s="120">
        <f t="shared" ca="1" si="58"/>
        <v>22.775230497000358</v>
      </c>
      <c r="M89" s="120">
        <f t="shared" ca="1" si="58"/>
        <v>24.30140404268321</v>
      </c>
      <c r="N89" s="122">
        <f t="shared" ca="1" si="58"/>
        <v>26.64755181683331</v>
      </c>
      <c r="O89" s="120">
        <f t="shared" ca="1" si="58"/>
        <v>28.83589337955549</v>
      </c>
      <c r="P89" s="120">
        <f t="shared" ca="1" si="58"/>
        <v>30.72872925571685</v>
      </c>
      <c r="Q89" s="120">
        <f t="shared" ca="1" si="58"/>
        <v>32.839742881780367</v>
      </c>
      <c r="R89" s="120">
        <f t="shared" ca="1" si="58"/>
        <v>34.54108239180318</v>
      </c>
      <c r="S89" s="9"/>
      <c r="T89" s="120">
        <f t="shared" ref="T89:AA89" si="59">IF(ISERROR((T27-T86)/T85),"N/A",((T27-T86)/T85))</f>
        <v>19.119981434207471</v>
      </c>
      <c r="U89" s="120">
        <f t="shared" si="59"/>
        <v>13.851006711409397</v>
      </c>
      <c r="V89" s="121">
        <f t="shared" si="59"/>
        <v>16.249699969997003</v>
      </c>
      <c r="W89" s="120">
        <f t="shared" ca="1" si="59"/>
        <v>21.15302827434838</v>
      </c>
      <c r="X89" s="120">
        <f t="shared" ca="1" si="59"/>
        <v>31.723536595744239</v>
      </c>
      <c r="Y89" s="120">
        <f t="shared" ca="1" si="59"/>
        <v>35.249175360194386</v>
      </c>
      <c r="Z89" s="120">
        <f t="shared" ca="1" si="59"/>
        <v>37.654695077056424</v>
      </c>
      <c r="AA89" s="120">
        <f t="shared" ca="1" si="59"/>
        <v>41.028182466290311</v>
      </c>
      <c r="AB89" s="9"/>
      <c r="AC89" s="9"/>
      <c r="AD89" s="9"/>
      <c r="AE89" s="9"/>
    </row>
    <row r="90" spans="1:31" ht="13.5" customHeight="1">
      <c r="A90" s="10"/>
      <c r="B90" s="9"/>
      <c r="C90" s="9"/>
      <c r="D90" s="9"/>
      <c r="E90" s="9"/>
      <c r="F90" s="9"/>
      <c r="G90" s="9"/>
      <c r="H90" s="9"/>
      <c r="I90" s="9"/>
      <c r="J90" s="88"/>
      <c r="K90" s="9"/>
      <c r="L90" s="9"/>
      <c r="M90" s="9"/>
      <c r="N90" s="89"/>
      <c r="O90" s="9"/>
      <c r="P90" s="9"/>
      <c r="Q90" s="9"/>
      <c r="R90" s="9"/>
      <c r="S90" s="9"/>
      <c r="T90" s="9"/>
      <c r="U90" s="9"/>
      <c r="V90" s="88"/>
      <c r="W90" s="9"/>
      <c r="X90" s="9"/>
      <c r="Y90" s="9"/>
      <c r="Z90" s="9"/>
      <c r="AA90" s="9"/>
      <c r="AB90" s="9"/>
      <c r="AC90" s="9"/>
      <c r="AD90" s="9"/>
      <c r="AE90" s="9"/>
    </row>
    <row r="91" spans="1:31" ht="13.5" customHeight="1">
      <c r="A91" s="10"/>
      <c r="B91" s="9"/>
      <c r="C91" s="95" t="s">
        <v>119</v>
      </c>
      <c r="D91" s="95"/>
      <c r="E91" s="95"/>
      <c r="F91" s="9"/>
      <c r="G91" s="9"/>
      <c r="H91" s="9"/>
      <c r="I91" s="9"/>
      <c r="J91" s="88"/>
      <c r="K91" s="9"/>
      <c r="L91" s="9"/>
      <c r="M91" s="9"/>
      <c r="N91" s="89"/>
      <c r="O91" s="9"/>
      <c r="P91" s="9"/>
      <c r="Q91" s="9"/>
      <c r="R91" s="9"/>
      <c r="S91" s="9"/>
      <c r="T91" s="9"/>
      <c r="U91" s="9"/>
      <c r="V91" s="88"/>
      <c r="W91" s="9"/>
      <c r="X91" s="9"/>
      <c r="Y91" s="9"/>
      <c r="Z91" s="9"/>
      <c r="AA91" s="9"/>
      <c r="AB91" s="9"/>
      <c r="AC91" s="9"/>
      <c r="AD91" s="9"/>
      <c r="AE91" s="9"/>
    </row>
    <row r="92" spans="1:31" ht="13.5" customHeight="1">
      <c r="A92" s="10"/>
      <c r="B92" s="9"/>
      <c r="C92" s="103" t="s">
        <v>120</v>
      </c>
      <c r="D92" s="9"/>
      <c r="E92" s="9"/>
      <c r="F92" s="9"/>
      <c r="G92" s="120">
        <f t="shared" ref="G92:R92" si="60">IF(ISERROR((G53+G54)/G27),"NA",((G53+G54)/G27))</f>
        <v>3.180539292219621</v>
      </c>
      <c r="H92" s="120">
        <f t="shared" si="60"/>
        <v>4.2154069013231865</v>
      </c>
      <c r="I92" s="120">
        <f t="shared" si="60"/>
        <v>5.6992525224926336</v>
      </c>
      <c r="J92" s="121">
        <f t="shared" si="60"/>
        <v>4.7417310487888509</v>
      </c>
      <c r="K92" s="120">
        <f t="shared" si="60"/>
        <v>5.3789748369058712</v>
      </c>
      <c r="L92" s="120">
        <f t="shared" ca="1" si="60"/>
        <v>4.8327745744042634</v>
      </c>
      <c r="M92" s="120">
        <f t="shared" ca="1" si="60"/>
        <v>4.5292053205546559</v>
      </c>
      <c r="N92" s="123">
        <f t="shared" ca="1" si="60"/>
        <v>4.15694235085925</v>
      </c>
      <c r="O92" s="120">
        <f t="shared" ca="1" si="60"/>
        <v>3.8667202903836397</v>
      </c>
      <c r="P92" s="120">
        <f t="shared" ca="1" si="60"/>
        <v>3.6284858396140742</v>
      </c>
      <c r="Q92" s="120">
        <f t="shared" ca="1" si="60"/>
        <v>3.3964204551857815</v>
      </c>
      <c r="R92" s="120">
        <f t="shared" ca="1" si="60"/>
        <v>3.2290813468720017</v>
      </c>
      <c r="S92" s="120"/>
      <c r="T92" s="120">
        <f t="shared" ref="T92:AA92" si="61">IF(ISERROR((T53+T54)/T27),"NA",((T53+T54)/T27))</f>
        <v>1.3193428401957392</v>
      </c>
      <c r="U92" s="120">
        <f t="shared" si="61"/>
        <v>1.2300606379843357</v>
      </c>
      <c r="V92" s="121">
        <f t="shared" si="61"/>
        <v>1.3183486071879453</v>
      </c>
      <c r="W92" s="120">
        <f t="shared" ca="1" si="61"/>
        <v>1.1621473776109472</v>
      </c>
      <c r="X92" s="120">
        <f t="shared" ca="1" si="61"/>
        <v>0.87178352389961</v>
      </c>
      <c r="Y92" s="120">
        <f t="shared" ca="1" si="61"/>
        <v>0.78470928970204712</v>
      </c>
      <c r="Z92" s="120">
        <f t="shared" ca="1" si="61"/>
        <v>0.73422892184373612</v>
      </c>
      <c r="AA92" s="120">
        <f t="shared" ca="1" si="61"/>
        <v>0.6736846571456615</v>
      </c>
      <c r="AB92" s="9"/>
      <c r="AC92" s="9"/>
      <c r="AD92" s="9"/>
      <c r="AE92" s="9"/>
    </row>
    <row r="93" spans="1:31" ht="13.5" customHeight="1">
      <c r="A93" s="10"/>
      <c r="B93" s="9"/>
      <c r="C93" s="103" t="s">
        <v>121</v>
      </c>
      <c r="D93" s="9"/>
      <c r="E93" s="9"/>
      <c r="F93" s="9"/>
      <c r="G93" s="120">
        <f t="shared" ref="G93:R93" si="62">IF(ISERROR((G53+G54)/G68),"NA",((G53+G54)/G68))</f>
        <v>0.26541400323005304</v>
      </c>
      <c r="H93" s="120">
        <f t="shared" si="62"/>
        <v>0.24312963106137506</v>
      </c>
      <c r="I93" s="120">
        <f t="shared" si="62"/>
        <v>0.33876511702096801</v>
      </c>
      <c r="J93" s="121">
        <f t="shared" si="62"/>
        <v>0.31421644234463869</v>
      </c>
      <c r="K93" s="120">
        <f t="shared" si="62"/>
        <v>0.2900187529018759</v>
      </c>
      <c r="L93" s="120">
        <f t="shared" ca="1" si="62"/>
        <v>0.28427234298463216</v>
      </c>
      <c r="M93" s="120">
        <f t="shared" ca="1" si="62"/>
        <v>0.26549588574472544</v>
      </c>
      <c r="N93" s="123">
        <f t="shared" ca="1" si="62"/>
        <v>0.25404395319731327</v>
      </c>
      <c r="O93" s="120">
        <f t="shared" ca="1" si="62"/>
        <v>0.2359703848469876</v>
      </c>
      <c r="P93" s="120">
        <f t="shared" ca="1" si="62"/>
        <v>0.2195921077567852</v>
      </c>
      <c r="Q93" s="120">
        <f t="shared" ca="1" si="62"/>
        <v>0.20721156366236662</v>
      </c>
      <c r="R93" s="120">
        <f t="shared" ca="1" si="62"/>
        <v>0.19866934913799708</v>
      </c>
      <c r="S93" s="120"/>
      <c r="T93" s="120">
        <f t="shared" ref="T93:AA93" si="63">IF(ISERROR((T53+T54)/T68),"NA",((T53+T54)/T68))</f>
        <v>0.37188431744085598</v>
      </c>
      <c r="U93" s="120">
        <f t="shared" si="63"/>
        <v>0.29019406531175007</v>
      </c>
      <c r="V93" s="121">
        <f t="shared" si="63"/>
        <v>0.31421644234463869</v>
      </c>
      <c r="W93" s="120">
        <f t="shared" ca="1" si="63"/>
        <v>0.25404395319731327</v>
      </c>
      <c r="X93" s="120">
        <f t="shared" ca="1" si="63"/>
        <v>0.19866934913799708</v>
      </c>
      <c r="Y93" s="120">
        <f t="shared" ca="1" si="63"/>
        <v>0.16387607834287479</v>
      </c>
      <c r="Z93" s="120">
        <f t="shared" ca="1" si="63"/>
        <v>0.13748537677320452</v>
      </c>
      <c r="AA93" s="120">
        <f t="shared" ca="1" si="63"/>
        <v>0.11758546128150543</v>
      </c>
      <c r="AB93" s="9"/>
      <c r="AC93" s="9"/>
      <c r="AD93" s="9"/>
      <c r="AE93" s="9"/>
    </row>
    <row r="94" spans="1:31" ht="13.5" customHeight="1">
      <c r="A94" s="10"/>
      <c r="B94" s="9"/>
      <c r="C94" s="103" t="s">
        <v>122</v>
      </c>
      <c r="D94" s="9"/>
      <c r="E94" s="9"/>
      <c r="F94" s="9"/>
      <c r="G94" s="120">
        <f t="shared" ref="G94:R94" si="64">IF(ISERROR((G53+G54)/G46),"NA",((G53+G54)/G46))</f>
        <v>0.1425491266574484</v>
      </c>
      <c r="H94" s="120">
        <f t="shared" si="64"/>
        <v>0.13688611487506408</v>
      </c>
      <c r="I94" s="120">
        <f t="shared" si="64"/>
        <v>0.18354422423741129</v>
      </c>
      <c r="J94" s="121">
        <f t="shared" si="64"/>
        <v>0.17174084733680206</v>
      </c>
      <c r="K94" s="120">
        <f t="shared" si="64"/>
        <v>0.16014201698299368</v>
      </c>
      <c r="L94" s="120">
        <f t="shared" ca="1" si="64"/>
        <v>0.15817666817548007</v>
      </c>
      <c r="M94" s="120">
        <f t="shared" ca="1" si="64"/>
        <v>0.15060864932648396</v>
      </c>
      <c r="N94" s="123">
        <f t="shared" ca="1" si="64"/>
        <v>0.14479637108886464</v>
      </c>
      <c r="O94" s="120">
        <f t="shared" ca="1" si="64"/>
        <v>0.1369515650126284</v>
      </c>
      <c r="P94" s="120">
        <f t="shared" ca="1" si="64"/>
        <v>0.12987980751365927</v>
      </c>
      <c r="Q94" s="120">
        <f t="shared" ca="1" si="64"/>
        <v>0.12431533378848518</v>
      </c>
      <c r="R94" s="120">
        <f t="shared" ca="1" si="64"/>
        <v>0.12009780493055164</v>
      </c>
      <c r="S94" s="120"/>
      <c r="T94" s="120">
        <f t="shared" ref="T94:AA94" si="65">IF(ISERROR((T53+T54)/T46),"NA",((T53+T54)/T46))</f>
        <v>0.18722047305537798</v>
      </c>
      <c r="U94" s="120">
        <f t="shared" si="65"/>
        <v>0.15431010069225928</v>
      </c>
      <c r="V94" s="121">
        <f t="shared" si="65"/>
        <v>0.17174084733680206</v>
      </c>
      <c r="W94" s="120">
        <f t="shared" ca="1" si="65"/>
        <v>0.14479637108886464</v>
      </c>
      <c r="X94" s="120">
        <f t="shared" ca="1" si="65"/>
        <v>0.12009780493055164</v>
      </c>
      <c r="Y94" s="120">
        <f t="shared" ca="1" si="65"/>
        <v>0.10528227408394225</v>
      </c>
      <c r="Z94" s="120">
        <f t="shared" ca="1" si="65"/>
        <v>9.2518496967012503E-2</v>
      </c>
      <c r="AA94" s="120">
        <f t="shared" ca="1" si="65"/>
        <v>8.1920071324393315E-2</v>
      </c>
      <c r="AB94" s="9"/>
      <c r="AC94" s="9"/>
      <c r="AD94" s="9"/>
      <c r="AE94" s="9"/>
    </row>
    <row r="95" spans="1:31" ht="13.5" customHeight="1">
      <c r="A95" s="10"/>
      <c r="B95" s="9"/>
      <c r="C95" s="9"/>
      <c r="D95" s="9"/>
      <c r="E95" s="9"/>
      <c r="F95" s="9"/>
      <c r="G95" s="9"/>
      <c r="H95" s="9"/>
      <c r="I95" s="9"/>
      <c r="J95" s="88"/>
      <c r="K95" s="9"/>
      <c r="L95" s="9"/>
      <c r="M95" s="9"/>
      <c r="N95" s="89"/>
      <c r="O95" s="9"/>
      <c r="P95" s="9"/>
      <c r="Q95" s="9"/>
      <c r="R95" s="9"/>
      <c r="S95" s="9"/>
      <c r="T95" s="9"/>
      <c r="U95" s="9"/>
      <c r="V95" s="88"/>
      <c r="W95" s="9"/>
      <c r="X95" s="9"/>
      <c r="Y95" s="9"/>
      <c r="Z95" s="9"/>
      <c r="AA95" s="9"/>
      <c r="AB95" s="9"/>
      <c r="AC95" s="9"/>
      <c r="AD95" s="9"/>
      <c r="AE95" s="9"/>
    </row>
    <row r="96" spans="1:31" ht="13.5" customHeight="1">
      <c r="A96" s="10"/>
      <c r="B96" s="9"/>
      <c r="C96" s="95" t="s">
        <v>123</v>
      </c>
      <c r="D96" s="95"/>
      <c r="E96" s="95"/>
      <c r="F96" s="9"/>
      <c r="G96" s="9"/>
      <c r="H96" s="9"/>
      <c r="I96" s="9"/>
      <c r="J96" s="88"/>
      <c r="K96" s="9"/>
      <c r="L96" s="9"/>
      <c r="M96" s="9"/>
      <c r="N96" s="89"/>
      <c r="O96" s="9"/>
      <c r="P96" s="9"/>
      <c r="Q96" s="9"/>
      <c r="R96" s="9"/>
      <c r="S96" s="9"/>
      <c r="T96" s="9"/>
      <c r="U96" s="9"/>
      <c r="V96" s="88"/>
      <c r="W96" s="9"/>
      <c r="X96" s="9"/>
      <c r="Y96" s="9"/>
      <c r="Z96" s="9"/>
      <c r="AA96" s="9"/>
      <c r="AB96" s="9"/>
      <c r="AC96" s="9"/>
      <c r="AD96" s="9"/>
      <c r="AE96" s="9"/>
    </row>
    <row r="97" spans="1:31" ht="13.5" customHeight="1">
      <c r="A97" s="10"/>
      <c r="B97" s="9"/>
      <c r="C97" s="103" t="s">
        <v>124</v>
      </c>
      <c r="D97" s="9"/>
      <c r="E97" s="9"/>
      <c r="F97" s="9"/>
      <c r="G97" s="120">
        <f t="shared" ref="G97:R97" si="66">G8/G46</f>
        <v>0.1433990347784444</v>
      </c>
      <c r="H97" s="120">
        <f t="shared" si="66"/>
        <v>0.10531197124261935</v>
      </c>
      <c r="I97" s="120">
        <f t="shared" si="66"/>
        <v>0.10575615262584945</v>
      </c>
      <c r="J97" s="121">
        <f t="shared" si="66"/>
        <v>0.11711918502326436</v>
      </c>
      <c r="K97" s="120">
        <f t="shared" si="66"/>
        <v>9.764388986247792E-2</v>
      </c>
      <c r="L97" s="120">
        <f t="shared" ca="1" si="66"/>
        <v>0.10133124139010295</v>
      </c>
      <c r="M97" s="120">
        <f t="shared" ca="1" si="66"/>
        <v>0.10294977044946775</v>
      </c>
      <c r="N97" s="122">
        <f t="shared" ca="1" si="66"/>
        <v>0.1078403164553471</v>
      </c>
      <c r="O97" s="124">
        <f t="shared" ca="1" si="66"/>
        <v>0.10881111216185334</v>
      </c>
      <c r="P97" s="124">
        <f t="shared" ca="1" si="66"/>
        <v>0.109967717489554</v>
      </c>
      <c r="Q97" s="124">
        <f t="shared" ca="1" si="66"/>
        <v>0.11083078934490247</v>
      </c>
      <c r="R97" s="124">
        <f t="shared" ca="1" si="66"/>
        <v>0.11261941253159094</v>
      </c>
      <c r="S97" s="9"/>
      <c r="T97" s="124">
        <f t="shared" ref="T97:AA97" si="67">T8/T46</f>
        <v>0.46359760219474405</v>
      </c>
      <c r="U97" s="124">
        <f t="shared" si="67"/>
        <v>0.43568439269981118</v>
      </c>
      <c r="V97" s="125">
        <f t="shared" si="67"/>
        <v>0.4217835898376377</v>
      </c>
      <c r="W97" s="124">
        <f t="shared" ca="1" si="67"/>
        <v>0.3907644421442561</v>
      </c>
      <c r="X97" s="124">
        <f t="shared" ca="1" si="67"/>
        <v>0.42001464962312218</v>
      </c>
      <c r="Y97" s="124">
        <f t="shared" ca="1" si="67"/>
        <v>0.40266276401088102</v>
      </c>
      <c r="Z97" s="124">
        <f t="shared" ca="1" si="67"/>
        <v>0.38172583756815809</v>
      </c>
      <c r="AA97" s="124">
        <f t="shared" ca="1" si="67"/>
        <v>0.36837329675049291</v>
      </c>
      <c r="AB97" s="9"/>
      <c r="AC97" s="9"/>
      <c r="AD97" s="9"/>
      <c r="AE97" s="9"/>
    </row>
    <row r="98" spans="1:31" ht="13.5" customHeight="1">
      <c r="A98" s="10"/>
      <c r="B98" s="9"/>
      <c r="C98" s="103" t="str">
        <f>Model!C183</f>
        <v>Days Sales Outstanding</v>
      </c>
      <c r="D98" s="9"/>
      <c r="E98" s="9"/>
      <c r="F98" s="9"/>
      <c r="G98" s="126">
        <f>Model!P183</f>
        <v>57.045153026213455</v>
      </c>
      <c r="H98" s="126">
        <f>Model!Q183</f>
        <v>71.771571810478733</v>
      </c>
      <c r="I98" s="126">
        <f>Model!R183</f>
        <v>63.187702438473572</v>
      </c>
      <c r="J98" s="127">
        <f>Model!S183</f>
        <v>73.664176428098784</v>
      </c>
      <c r="K98" s="126">
        <f>Model!U183</f>
        <v>86.817536002909776</v>
      </c>
      <c r="L98" s="126">
        <f>Model!V183</f>
        <v>79</v>
      </c>
      <c r="M98" s="126">
        <f>Model!W183</f>
        <v>79</v>
      </c>
      <c r="N98" s="128">
        <f>Model!X183</f>
        <v>79</v>
      </c>
      <c r="O98" s="126">
        <f>Model!Z183</f>
        <v>86</v>
      </c>
      <c r="P98" s="126">
        <f>Model!AA183</f>
        <v>86</v>
      </c>
      <c r="Q98" s="126">
        <f>Model!AB183</f>
        <v>86</v>
      </c>
      <c r="R98" s="126">
        <f>Model!AC183</f>
        <v>86</v>
      </c>
      <c r="S98" s="126"/>
      <c r="T98" s="126">
        <f>Model!J183</f>
        <v>33.172044413932397</v>
      </c>
      <c r="U98" s="126">
        <f>Model!O183</f>
        <v>51.217057391819324</v>
      </c>
      <c r="V98" s="127">
        <f>Model!T183</f>
        <v>74.156079409339043</v>
      </c>
      <c r="W98" s="126">
        <f>Model!Y183</f>
        <v>86.432473818167892</v>
      </c>
      <c r="X98" s="126">
        <f>Model!AD183</f>
        <v>80.054628900311897</v>
      </c>
      <c r="Y98" s="126">
        <f>Model!AE183</f>
        <v>78</v>
      </c>
      <c r="Z98" s="126">
        <f>Model!AF183</f>
        <v>80</v>
      </c>
      <c r="AA98" s="126">
        <f>Model!AG183</f>
        <v>80</v>
      </c>
      <c r="AB98" s="9"/>
      <c r="AC98" s="9"/>
      <c r="AD98" s="9"/>
      <c r="AE98" s="9"/>
    </row>
    <row r="99" spans="1:31" ht="13.5" customHeight="1">
      <c r="A99" s="10"/>
      <c r="B99" s="9"/>
      <c r="C99" s="103" t="str">
        <f>Model!C184</f>
        <v>Days Inventory Outstanding</v>
      </c>
      <c r="D99" s="9"/>
      <c r="E99" s="9"/>
      <c r="F99" s="9"/>
      <c r="G99" s="126">
        <f>Model!P184</f>
        <v>0</v>
      </c>
      <c r="H99" s="126">
        <f>Model!Q184</f>
        <v>0</v>
      </c>
      <c r="I99" s="126">
        <f>Model!R184</f>
        <v>0</v>
      </c>
      <c r="J99" s="127">
        <f>Model!S184</f>
        <v>0</v>
      </c>
      <c r="K99" s="126">
        <f>Model!U184</f>
        <v>0</v>
      </c>
      <c r="L99" s="126">
        <f>Model!V184</f>
        <v>0</v>
      </c>
      <c r="M99" s="126">
        <f>Model!W184</f>
        <v>0</v>
      </c>
      <c r="N99" s="128">
        <f>Model!X184</f>
        <v>0</v>
      </c>
      <c r="O99" s="126">
        <f>Model!Z184</f>
        <v>0</v>
      </c>
      <c r="P99" s="126">
        <f>Model!AA184</f>
        <v>0</v>
      </c>
      <c r="Q99" s="126">
        <f>Model!AB184</f>
        <v>0</v>
      </c>
      <c r="R99" s="126">
        <f>Model!AC184</f>
        <v>0</v>
      </c>
      <c r="S99" s="126"/>
      <c r="T99" s="126">
        <f>Model!J184</f>
        <v>0</v>
      </c>
      <c r="U99" s="126">
        <f>Model!O184</f>
        <v>0</v>
      </c>
      <c r="V99" s="127">
        <f>Model!T184</f>
        <v>0</v>
      </c>
      <c r="W99" s="126">
        <f>Model!Y184</f>
        <v>0</v>
      </c>
      <c r="X99" s="126">
        <f>Model!AD184</f>
        <v>0</v>
      </c>
      <c r="Y99" s="126">
        <f>Model!AE184</f>
        <v>0</v>
      </c>
      <c r="Z99" s="126">
        <f>Model!AF184</f>
        <v>0</v>
      </c>
      <c r="AA99" s="126">
        <f>Model!AG184</f>
        <v>0</v>
      </c>
      <c r="AB99" s="9"/>
      <c r="AC99" s="9"/>
      <c r="AD99" s="9"/>
      <c r="AE99" s="9"/>
    </row>
    <row r="100" spans="1:31" ht="13.5" customHeight="1">
      <c r="A100" s="10"/>
      <c r="B100" s="9"/>
      <c r="C100" s="103" t="str">
        <f>Model!C185</f>
        <v>Days Payables Outstanding</v>
      </c>
      <c r="D100" s="9"/>
      <c r="E100" s="9"/>
      <c r="F100" s="9"/>
      <c r="G100" s="126">
        <f>Model!P185</f>
        <v>3.8597834204630312</v>
      </c>
      <c r="H100" s="126">
        <f>Model!Q185</f>
        <v>6.1062651708188911</v>
      </c>
      <c r="I100" s="126">
        <f>Model!R185</f>
        <v>5.8059845038308175</v>
      </c>
      <c r="J100" s="127">
        <f>Model!S185</f>
        <v>4.3272982579314592</v>
      </c>
      <c r="K100" s="126">
        <f>Model!U185</f>
        <v>5.4450259135407091</v>
      </c>
      <c r="L100" s="126">
        <f>Model!V185</f>
        <v>5.5</v>
      </c>
      <c r="M100" s="126">
        <f>Model!W185</f>
        <v>5.5</v>
      </c>
      <c r="N100" s="128">
        <f>Model!X185</f>
        <v>5.5</v>
      </c>
      <c r="O100" s="126">
        <f>Model!Z185</f>
        <v>6</v>
      </c>
      <c r="P100" s="126">
        <f>Model!AA185</f>
        <v>5.5</v>
      </c>
      <c r="Q100" s="126">
        <f>Model!AB185</f>
        <v>5.5</v>
      </c>
      <c r="R100" s="126">
        <f>Model!AC185</f>
        <v>5.5</v>
      </c>
      <c r="S100" s="126"/>
      <c r="T100" s="126">
        <f>Model!J185</f>
        <v>3.8381462465508704</v>
      </c>
      <c r="U100" s="126">
        <f>Model!O185</f>
        <v>5.0165652138625116</v>
      </c>
      <c r="V100" s="127">
        <f>Model!T185</f>
        <v>5.0255164463145574</v>
      </c>
      <c r="W100" s="126">
        <f>Model!Y185</f>
        <v>5.593758122614525</v>
      </c>
      <c r="X100" s="126">
        <f>Model!AD185</f>
        <v>5.6147599864982052</v>
      </c>
      <c r="Y100" s="126">
        <f>Model!AE185</f>
        <v>5.5</v>
      </c>
      <c r="Z100" s="126">
        <f>Model!AF185</f>
        <v>5.5</v>
      </c>
      <c r="AA100" s="126">
        <f>Model!AG185</f>
        <v>5.5</v>
      </c>
      <c r="AB100" s="9"/>
      <c r="AC100" s="9"/>
      <c r="AD100" s="9"/>
      <c r="AE100" s="9"/>
    </row>
    <row r="101" spans="1:31" ht="13.5" customHeight="1">
      <c r="A101" s="10"/>
      <c r="B101" s="9"/>
      <c r="C101" s="103" t="s">
        <v>125</v>
      </c>
      <c r="D101" s="9"/>
      <c r="E101" s="9"/>
      <c r="F101" s="9"/>
      <c r="G101" s="126">
        <f t="shared" ref="G101:R101" si="68">G98+G99-G100</f>
        <v>53.185369605750424</v>
      </c>
      <c r="H101" s="126">
        <f t="shared" si="68"/>
        <v>65.665306639659846</v>
      </c>
      <c r="I101" s="126">
        <f t="shared" si="68"/>
        <v>57.381717934642751</v>
      </c>
      <c r="J101" s="127">
        <f t="shared" si="68"/>
        <v>69.336878170167324</v>
      </c>
      <c r="K101" s="126">
        <f t="shared" si="68"/>
        <v>81.372510089369072</v>
      </c>
      <c r="L101" s="126">
        <f t="shared" si="68"/>
        <v>73.5</v>
      </c>
      <c r="M101" s="126">
        <f t="shared" si="68"/>
        <v>73.5</v>
      </c>
      <c r="N101" s="128">
        <f t="shared" si="68"/>
        <v>73.5</v>
      </c>
      <c r="O101" s="126">
        <f t="shared" si="68"/>
        <v>80</v>
      </c>
      <c r="P101" s="126">
        <f t="shared" si="68"/>
        <v>80.5</v>
      </c>
      <c r="Q101" s="126">
        <f t="shared" si="68"/>
        <v>80.5</v>
      </c>
      <c r="R101" s="126">
        <f t="shared" si="68"/>
        <v>80.5</v>
      </c>
      <c r="S101" s="126"/>
      <c r="T101" s="126">
        <f t="shared" ref="T101:AA101" si="69">T98+T99-T100</f>
        <v>29.333898167381527</v>
      </c>
      <c r="U101" s="126">
        <f t="shared" si="69"/>
        <v>46.200492177956811</v>
      </c>
      <c r="V101" s="127">
        <f t="shared" si="69"/>
        <v>69.130562963024488</v>
      </c>
      <c r="W101" s="126">
        <f t="shared" si="69"/>
        <v>80.838715695553361</v>
      </c>
      <c r="X101" s="126">
        <f t="shared" si="69"/>
        <v>74.439868913813697</v>
      </c>
      <c r="Y101" s="126">
        <f t="shared" si="69"/>
        <v>72.5</v>
      </c>
      <c r="Z101" s="126">
        <f t="shared" si="69"/>
        <v>74.5</v>
      </c>
      <c r="AA101" s="126">
        <f t="shared" si="69"/>
        <v>74.5</v>
      </c>
      <c r="AB101" s="9"/>
      <c r="AC101" s="9"/>
      <c r="AD101" s="9"/>
      <c r="AE101" s="9"/>
    </row>
    <row r="102" spans="1:31" ht="13.5" customHeight="1">
      <c r="A102" s="10"/>
      <c r="B102" s="9"/>
      <c r="C102" s="9"/>
      <c r="D102" s="9"/>
      <c r="E102" s="9"/>
      <c r="F102" s="9"/>
      <c r="G102" s="9"/>
      <c r="H102" s="9"/>
      <c r="I102" s="9"/>
      <c r="J102" s="88"/>
      <c r="K102" s="9"/>
      <c r="L102" s="9"/>
      <c r="M102" s="9"/>
      <c r="N102" s="89"/>
      <c r="O102" s="9"/>
      <c r="P102" s="9"/>
      <c r="Q102" s="9"/>
      <c r="R102" s="9"/>
      <c r="S102" s="9"/>
      <c r="T102" s="9"/>
      <c r="U102" s="9"/>
      <c r="V102" s="88"/>
      <c r="W102" s="9"/>
      <c r="X102" s="9"/>
      <c r="Y102" s="9"/>
      <c r="Z102" s="9"/>
      <c r="AA102" s="9"/>
      <c r="AB102" s="9"/>
      <c r="AC102" s="9"/>
      <c r="AD102" s="9"/>
      <c r="AE102" s="9"/>
    </row>
    <row r="103" spans="1:31" ht="13.5" customHeight="1">
      <c r="A103" s="10"/>
      <c r="B103" s="9"/>
      <c r="C103" s="95" t="s">
        <v>126</v>
      </c>
      <c r="D103" s="95"/>
      <c r="E103" s="95"/>
      <c r="F103" s="9"/>
      <c r="G103" s="9"/>
      <c r="H103" s="9"/>
      <c r="I103" s="9"/>
      <c r="J103" s="88"/>
      <c r="K103" s="9"/>
      <c r="L103" s="9"/>
      <c r="M103" s="9"/>
      <c r="N103" s="89"/>
      <c r="O103" s="9"/>
      <c r="P103" s="9"/>
      <c r="Q103" s="9"/>
      <c r="R103" s="9"/>
      <c r="S103" s="9"/>
      <c r="T103" s="9"/>
      <c r="U103" s="9"/>
      <c r="V103" s="88"/>
      <c r="W103" s="9"/>
      <c r="X103" s="9"/>
      <c r="Y103" s="9"/>
      <c r="Z103" s="9"/>
      <c r="AA103" s="9"/>
      <c r="AB103" s="9"/>
      <c r="AC103" s="9"/>
      <c r="AD103" s="9"/>
      <c r="AE103" s="9"/>
    </row>
    <row r="104" spans="1:31" ht="13.5" customHeight="1">
      <c r="A104" s="10"/>
      <c r="B104" s="9"/>
      <c r="C104" s="103" t="s">
        <v>127</v>
      </c>
      <c r="D104" s="9"/>
      <c r="E104" s="9"/>
      <c r="F104" s="9"/>
      <c r="G104" s="120">
        <f t="shared" ref="G104:R104" si="70">IF(ISERROR(G38/G51),"NA",(G38/G51))</f>
        <v>2.8002771735316818</v>
      </c>
      <c r="H104" s="120">
        <f t="shared" si="70"/>
        <v>3.0804266656659847</v>
      </c>
      <c r="I104" s="120">
        <f t="shared" si="70"/>
        <v>3.917595112183601</v>
      </c>
      <c r="J104" s="121">
        <f t="shared" si="70"/>
        <v>4.3968219416630383</v>
      </c>
      <c r="K104" s="120">
        <f t="shared" si="70"/>
        <v>3.9207975843220453</v>
      </c>
      <c r="L104" s="120">
        <f t="shared" ca="1" si="70"/>
        <v>3.781670526471371</v>
      </c>
      <c r="M104" s="120">
        <f t="shared" ca="1" si="70"/>
        <v>3.815435562525046</v>
      </c>
      <c r="N104" s="122">
        <f t="shared" ca="1" si="70"/>
        <v>3.5792447139294037</v>
      </c>
      <c r="O104" s="124">
        <f t="shared" ca="1" si="70"/>
        <v>3.3292172338793775</v>
      </c>
      <c r="P104" s="124">
        <f t="shared" ca="1" si="70"/>
        <v>3.2285610008203216</v>
      </c>
      <c r="Q104" s="124">
        <f t="shared" ca="1" si="70"/>
        <v>3.0898767444577144</v>
      </c>
      <c r="R104" s="124">
        <f t="shared" ca="1" si="70"/>
        <v>2.8666791521649375</v>
      </c>
      <c r="S104" s="9"/>
      <c r="T104" s="124">
        <f t="shared" ref="T104:AA104" si="71">IF(ISERROR(T38/T51),"NA",(T38/T51))</f>
        <v>2.8331681255355257</v>
      </c>
      <c r="U104" s="124">
        <f t="shared" si="71"/>
        <v>3.0165024961245992</v>
      </c>
      <c r="V104" s="125">
        <f t="shared" si="71"/>
        <v>4.3968219416630383</v>
      </c>
      <c r="W104" s="124">
        <f t="shared" ca="1" si="71"/>
        <v>3.5792447139294037</v>
      </c>
      <c r="X104" s="124">
        <f t="shared" ca="1" si="71"/>
        <v>2.8666791521649375</v>
      </c>
      <c r="Y104" s="124">
        <f t="shared" ca="1" si="71"/>
        <v>2.8172853121858745</v>
      </c>
      <c r="Z104" s="124">
        <f t="shared" ca="1" si="71"/>
        <v>2.8451005992832057</v>
      </c>
      <c r="AA104" s="124">
        <f t="shared" ca="1" si="71"/>
        <v>2.6800465270812799</v>
      </c>
      <c r="AB104" s="9"/>
      <c r="AC104" s="9"/>
      <c r="AD104" s="9"/>
      <c r="AE104" s="9"/>
    </row>
    <row r="105" spans="1:31" ht="13.5" customHeight="1">
      <c r="A105" s="10"/>
      <c r="B105" s="9"/>
      <c r="C105" s="103" t="s">
        <v>128</v>
      </c>
      <c r="D105" s="9"/>
      <c r="E105" s="9"/>
      <c r="F105" s="9"/>
      <c r="G105" s="120">
        <f t="shared" ref="G105:R105" si="72">IF(ISERROR((G34+G35)/G51),"NA",((G34+G35)/G51))</f>
        <v>2.5679075152620867</v>
      </c>
      <c r="H105" s="120">
        <f t="shared" si="72"/>
        <v>2.7138488095014726</v>
      </c>
      <c r="I105" s="120">
        <f t="shared" si="72"/>
        <v>3.604037240505896</v>
      </c>
      <c r="J105" s="121">
        <f t="shared" si="72"/>
        <v>4.0623342699964384</v>
      </c>
      <c r="K105" s="120">
        <f t="shared" si="72"/>
        <v>3.6047663447473552</v>
      </c>
      <c r="L105" s="120">
        <f t="shared" ca="1" si="72"/>
        <v>3.4777049447280115</v>
      </c>
      <c r="M105" s="120">
        <f t="shared" ca="1" si="72"/>
        <v>3.5112978013426108</v>
      </c>
      <c r="N105" s="122">
        <f t="shared" ca="1" si="72"/>
        <v>3.2751069527469689</v>
      </c>
      <c r="O105" s="124">
        <f t="shared" ca="1" si="72"/>
        <v>3.0333515503971356</v>
      </c>
      <c r="P105" s="124">
        <f t="shared" ca="1" si="72"/>
        <v>2.9313181730284432</v>
      </c>
      <c r="Q105" s="124">
        <f t="shared" ca="1" si="72"/>
        <v>2.7924683995674808</v>
      </c>
      <c r="R105" s="124">
        <f t="shared" ca="1" si="72"/>
        <v>2.5692708072747039</v>
      </c>
      <c r="S105" s="9"/>
      <c r="T105" s="124">
        <f t="shared" ref="T105:AA105" si="73">IF(ISERROR((T34+T35)/T51),"NA",((T34+T35)/T51))</f>
        <v>2.466793232640581</v>
      </c>
      <c r="U105" s="124">
        <f t="shared" si="73"/>
        <v>2.7210199323788253</v>
      </c>
      <c r="V105" s="125">
        <f t="shared" si="73"/>
        <v>4.0623342699964384</v>
      </c>
      <c r="W105" s="124">
        <f t="shared" ca="1" si="73"/>
        <v>3.2751069527469689</v>
      </c>
      <c r="X105" s="124">
        <f t="shared" ca="1" si="73"/>
        <v>2.5692708072747039</v>
      </c>
      <c r="Y105" s="124">
        <f t="shared" ca="1" si="73"/>
        <v>2.5163107994422464</v>
      </c>
      <c r="Z105" s="124">
        <f t="shared" ca="1" si="73"/>
        <v>2.5441260865395772</v>
      </c>
      <c r="AA105" s="124">
        <f t="shared" ca="1" si="73"/>
        <v>2.3790720143376518</v>
      </c>
      <c r="AB105" s="9"/>
      <c r="AC105" s="9"/>
      <c r="AD105" s="9"/>
      <c r="AE105" s="9"/>
    </row>
    <row r="106" spans="1:31" ht="13.5" customHeight="1">
      <c r="A106" s="10"/>
      <c r="B106" s="9"/>
      <c r="C106" s="103" t="s">
        <v>129</v>
      </c>
      <c r="D106" s="9"/>
      <c r="E106" s="9"/>
      <c r="F106" s="9"/>
      <c r="G106" s="120">
        <f t="shared" ref="G106:R106" si="74">IF(ISERROR(G34/G51),"NA",(G34/G51))</f>
        <v>1.3302838397305452</v>
      </c>
      <c r="H106" s="120">
        <f t="shared" si="74"/>
        <v>1.8178415295420005</v>
      </c>
      <c r="I106" s="120">
        <f t="shared" si="74"/>
        <v>2.4435060156423818</v>
      </c>
      <c r="J106" s="121">
        <f t="shared" si="74"/>
        <v>2.2673942296275778</v>
      </c>
      <c r="K106" s="120">
        <f t="shared" si="74"/>
        <v>2.2526966801536314</v>
      </c>
      <c r="L106" s="120">
        <f t="shared" ca="1" si="74"/>
        <v>2.1582939030947474</v>
      </c>
      <c r="M106" s="120">
        <f t="shared" ca="1" si="74"/>
        <v>2.2054889353962879</v>
      </c>
      <c r="N106" s="122">
        <f t="shared" ca="1" si="74"/>
        <v>1.969298086800646</v>
      </c>
      <c r="O106" s="124">
        <f t="shared" ca="1" si="74"/>
        <v>1.6353049141623679</v>
      </c>
      <c r="P106" s="124">
        <f t="shared" ca="1" si="74"/>
        <v>1.5267641515942956</v>
      </c>
      <c r="Q106" s="124">
        <f t="shared" ca="1" si="74"/>
        <v>1.4024076571457365</v>
      </c>
      <c r="R106" s="124">
        <f t="shared" ca="1" si="74"/>
        <v>1.1792100648529593</v>
      </c>
      <c r="S106" s="9"/>
      <c r="T106" s="124">
        <f t="shared" ref="T106:AA106" si="75">IF(ISERROR(T34/T51),"NA",(T34/T51))</f>
        <v>1.6748038507417551</v>
      </c>
      <c r="U106" s="124">
        <f t="shared" si="75"/>
        <v>1.3992212579491501</v>
      </c>
      <c r="V106" s="125">
        <f t="shared" si="75"/>
        <v>2.2673942296275778</v>
      </c>
      <c r="W106" s="124">
        <f t="shared" ca="1" si="75"/>
        <v>1.969298086800646</v>
      </c>
      <c r="X106" s="124">
        <f t="shared" ca="1" si="75"/>
        <v>1.1792100648529593</v>
      </c>
      <c r="Y106" s="124">
        <f t="shared" ca="1" si="75"/>
        <v>1.3468955070884234</v>
      </c>
      <c r="Z106" s="124">
        <f t="shared" ca="1" si="75"/>
        <v>1.3447257866895022</v>
      </c>
      <c r="AA106" s="124">
        <f t="shared" ca="1" si="75"/>
        <v>1.179671714487577</v>
      </c>
      <c r="AB106" s="9"/>
      <c r="AC106" s="9"/>
      <c r="AD106" s="9"/>
      <c r="AE106" s="9"/>
    </row>
    <row r="107" spans="1:31" ht="13.5" customHeight="1">
      <c r="A107" s="10"/>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spans="1:31" ht="13.5" customHeight="1">
      <c r="A108" s="10"/>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row>
    <row r="109" spans="1:31" ht="13.5" customHeight="1">
      <c r="A109" s="10"/>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row>
    <row r="110" spans="1:31" ht="13.5" customHeight="1">
      <c r="A110" s="10" t="s">
        <v>0</v>
      </c>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row>
    <row r="111" spans="1:31" ht="13.5" customHeight="1">
      <c r="A111" s="1"/>
      <c r="B111" s="2"/>
      <c r="C111" s="2"/>
      <c r="D111" s="2"/>
      <c r="E111" s="2"/>
      <c r="F111" s="2"/>
      <c r="G111" s="2"/>
      <c r="H111" s="2"/>
      <c r="I111" s="2"/>
      <c r="J111" s="129"/>
      <c r="K111" s="2"/>
      <c r="L111" s="2"/>
      <c r="M111" s="2"/>
      <c r="N111" s="2"/>
      <c r="O111" s="2"/>
      <c r="P111" s="2"/>
      <c r="Q111" s="2"/>
      <c r="R111" s="2"/>
      <c r="S111" s="2"/>
      <c r="T111" s="2"/>
      <c r="U111" s="2"/>
      <c r="V111" s="2"/>
      <c r="W111" s="2"/>
      <c r="X111" s="2"/>
      <c r="Y111" s="2"/>
      <c r="Z111" s="2"/>
      <c r="AA111" s="2"/>
      <c r="AB111" s="2"/>
      <c r="AC111" s="2"/>
      <c r="AD111" s="2"/>
      <c r="AE111" s="2"/>
    </row>
    <row r="112" spans="1:31" ht="13.5" customHeight="1">
      <c r="A112" s="1"/>
      <c r="B112" s="2"/>
      <c r="C112" s="2"/>
      <c r="D112" s="129"/>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row>
    <row r="113" spans="1:31" ht="13.5" customHeight="1">
      <c r="A113" s="1"/>
      <c r="B113" s="2"/>
      <c r="I113" s="2"/>
      <c r="J113" s="2"/>
      <c r="K113" s="2"/>
      <c r="L113" s="2"/>
      <c r="M113" s="2"/>
      <c r="N113" s="2"/>
      <c r="O113" s="2"/>
      <c r="P113" s="2"/>
      <c r="Q113" s="2"/>
      <c r="R113" s="2"/>
      <c r="S113" s="2"/>
      <c r="T113" s="2"/>
      <c r="U113" s="2"/>
      <c r="V113" s="2"/>
      <c r="W113" s="2"/>
      <c r="X113" s="2"/>
      <c r="Y113" s="2"/>
      <c r="Z113" s="2"/>
      <c r="AA113" s="2"/>
      <c r="AB113" s="2"/>
      <c r="AC113" s="2"/>
      <c r="AD113" s="2"/>
      <c r="AE113" s="2"/>
    </row>
    <row r="114" spans="1:31" ht="13.5" customHeight="1">
      <c r="A114" s="1"/>
      <c r="B114" s="2"/>
      <c r="I114" s="2"/>
      <c r="J114" s="2"/>
      <c r="K114" s="2"/>
      <c r="L114" s="2"/>
      <c r="M114" s="2"/>
      <c r="N114" s="2"/>
      <c r="O114" s="2"/>
      <c r="P114" s="2"/>
      <c r="Q114" s="2"/>
      <c r="R114" s="2"/>
      <c r="S114" s="2"/>
      <c r="T114" s="2"/>
      <c r="U114" s="2"/>
      <c r="V114" s="2"/>
      <c r="W114" s="2"/>
      <c r="X114" s="2"/>
      <c r="Y114" s="2"/>
      <c r="Z114" s="2"/>
      <c r="AA114" s="2"/>
      <c r="AB114" s="2"/>
      <c r="AC114" s="2"/>
      <c r="AD114" s="2"/>
      <c r="AE114" s="2"/>
    </row>
    <row r="115" spans="1:31" ht="13.5" customHeight="1">
      <c r="A115" s="1"/>
      <c r="B115" s="2"/>
      <c r="I115" s="2"/>
      <c r="J115" s="2"/>
      <c r="K115" s="2"/>
      <c r="L115" s="2"/>
      <c r="M115" s="2"/>
      <c r="N115" s="2"/>
      <c r="O115" s="2"/>
      <c r="P115" s="2"/>
      <c r="Q115" s="2"/>
      <c r="R115" s="2"/>
      <c r="S115" s="2"/>
      <c r="T115" s="2"/>
      <c r="U115" s="2"/>
      <c r="V115" s="2"/>
      <c r="W115" s="2"/>
      <c r="X115" s="2"/>
      <c r="Y115" s="2"/>
      <c r="Z115" s="2"/>
      <c r="AA115" s="2"/>
      <c r="AB115" s="2"/>
      <c r="AC115" s="2"/>
      <c r="AD115" s="2"/>
      <c r="AE115" s="2"/>
    </row>
    <row r="116" spans="1:31" ht="13.5" customHeight="1">
      <c r="A116" s="1"/>
      <c r="B116" s="2"/>
      <c r="I116" s="2"/>
      <c r="J116" s="2"/>
      <c r="K116" s="2"/>
      <c r="L116" s="2"/>
      <c r="M116" s="2"/>
      <c r="N116" s="2"/>
      <c r="O116" s="2"/>
      <c r="P116" s="2"/>
      <c r="Q116" s="2"/>
      <c r="R116" s="2"/>
      <c r="S116" s="2"/>
      <c r="T116" s="2"/>
      <c r="U116" s="2"/>
      <c r="V116" s="2"/>
      <c r="W116" s="2"/>
      <c r="X116" s="2"/>
      <c r="Y116" s="2"/>
      <c r="Z116" s="2"/>
      <c r="AA116" s="2"/>
      <c r="AB116" s="2"/>
      <c r="AC116" s="2"/>
      <c r="AD116" s="2"/>
      <c r="AE116" s="2"/>
    </row>
    <row r="117" spans="1:31" ht="13.5" customHeight="1">
      <c r="A117" s="1"/>
      <c r="B117" s="2"/>
      <c r="I117" s="2"/>
      <c r="J117" s="2"/>
      <c r="K117" s="2"/>
      <c r="L117" s="2"/>
      <c r="M117" s="2"/>
      <c r="N117" s="2"/>
      <c r="O117" s="2"/>
      <c r="P117" s="2"/>
      <c r="Q117" s="2"/>
      <c r="R117" s="2"/>
      <c r="S117" s="2"/>
      <c r="T117" s="2"/>
      <c r="U117" s="2"/>
      <c r="V117" s="2"/>
      <c r="W117" s="2"/>
      <c r="X117" s="2"/>
      <c r="Y117" s="2"/>
      <c r="Z117" s="2"/>
      <c r="AA117" s="2"/>
      <c r="AB117" s="2"/>
      <c r="AC117" s="2"/>
      <c r="AD117" s="2"/>
      <c r="AE117" s="2"/>
    </row>
    <row r="118" spans="1:31" ht="13.5" customHeight="1">
      <c r="A118" s="1"/>
      <c r="B118" s="2"/>
      <c r="I118" s="2"/>
      <c r="J118" s="2"/>
      <c r="K118" s="2"/>
      <c r="L118" s="2"/>
      <c r="M118" s="2"/>
      <c r="N118" s="2"/>
      <c r="O118" s="2"/>
      <c r="P118" s="2"/>
      <c r="Q118" s="2"/>
      <c r="R118" s="2"/>
      <c r="S118" s="2"/>
      <c r="T118" s="2"/>
      <c r="U118" s="2"/>
      <c r="V118" s="2"/>
      <c r="W118" s="2"/>
      <c r="X118" s="2"/>
      <c r="Y118" s="2"/>
      <c r="Z118" s="2"/>
      <c r="AA118" s="2"/>
      <c r="AB118" s="2"/>
      <c r="AC118" s="2"/>
      <c r="AD118" s="2"/>
      <c r="AE118" s="2"/>
    </row>
    <row r="119" spans="1:31" ht="13.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row>
    <row r="120" spans="1:31" ht="13.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row>
    <row r="121" spans="1:31" ht="13.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row>
    <row r="122" spans="1:31" ht="13.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row>
    <row r="123" spans="1:31" ht="13.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row>
    <row r="124" spans="1:31" ht="13.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row>
    <row r="125" spans="1:31" ht="13.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row>
    <row r="126" spans="1:31" ht="13.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row>
    <row r="127" spans="1:31" ht="13.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row>
    <row r="128" spans="1:31" ht="13.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row>
    <row r="129" spans="1:31" ht="13.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row>
    <row r="130" spans="1:31" ht="13.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row>
    <row r="131" spans="1:31" ht="13.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row>
    <row r="132" spans="1:31" ht="13.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row>
    <row r="133" spans="1:31" ht="13.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row>
    <row r="134" spans="1:31" ht="13.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row>
    <row r="135" spans="1:31" ht="13.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row>
    <row r="136" spans="1:31" ht="13.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row>
    <row r="137" spans="1:31" ht="13.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row>
    <row r="138" spans="1:31" ht="13.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row>
    <row r="139" spans="1:31" ht="13.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row>
    <row r="140" spans="1:31" ht="13.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row>
    <row r="141" spans="1:31" ht="13.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row>
    <row r="142" spans="1:31" ht="13.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row>
    <row r="143" spans="1:31" ht="13.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row>
    <row r="144" spans="1:31" ht="13.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row>
    <row r="145" spans="1:31" ht="13.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row>
    <row r="146" spans="1:31" ht="13.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row>
    <row r="147" spans="1:31" ht="13.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row>
    <row r="148" spans="1:31" ht="13.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row>
    <row r="149" spans="1:31" ht="13.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row>
    <row r="150" spans="1:31" ht="13.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row>
    <row r="151" spans="1:31" ht="13.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row>
    <row r="152" spans="1:31" ht="13.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row>
    <row r="153" spans="1:31" ht="13.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row>
    <row r="154" spans="1:31" ht="13.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row>
    <row r="155" spans="1:31" ht="13.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row>
    <row r="156" spans="1:31" ht="13.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row>
    <row r="157" spans="1:31" ht="13.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row>
    <row r="158" spans="1:31" ht="13.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row>
    <row r="159" spans="1:31" ht="13.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row>
    <row r="160" spans="1:31" ht="13.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row>
    <row r="161" spans="1:31" ht="13.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row>
    <row r="162" spans="1:31" ht="13.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row>
    <row r="163" spans="1:31" ht="13.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row>
    <row r="164" spans="1:31" ht="13.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row>
    <row r="165" spans="1:31" ht="13.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spans="1:31" ht="13.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row>
    <row r="167" spans="1:31" ht="13.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spans="1:31" ht="13.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row>
    <row r="169" spans="1:31" ht="13.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spans="1:31" ht="13.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spans="1:31" ht="13.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spans="1:31" ht="13.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row>
    <row r="173" spans="1:31" ht="13.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row>
    <row r="174" spans="1:31" ht="13.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spans="1:31" ht="13.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row>
    <row r="176" spans="1:31" ht="13.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row>
    <row r="177" spans="1:31" ht="13.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spans="1:31" ht="13.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spans="1:31" ht="13.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row>
    <row r="180" spans="1:31" ht="13.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spans="1:31" ht="13.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spans="1:31" ht="13.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spans="1:31" ht="13.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spans="1:31" ht="13.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spans="1:31" ht="13.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spans="1:31" ht="13.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spans="1:31" ht="13.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spans="1:31" ht="13.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spans="1:31" ht="13.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spans="1:31" ht="13.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spans="1:31" ht="13.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spans="1:31" ht="13.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spans="1:31" ht="13.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spans="1:31" ht="13.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spans="1:31" ht="13.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spans="1:31" ht="13.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spans="1:31" ht="13.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spans="1:31" ht="13.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spans="1:31" ht="13.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spans="1:31" ht="13.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spans="1:31" ht="13.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spans="1:31" ht="13.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spans="1:31" ht="13.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spans="1:31" ht="13.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spans="1:31" ht="13.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spans="1:31" ht="13.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spans="1:31" ht="13.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spans="1:31" ht="13.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spans="1:31" ht="13.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spans="1:31" ht="13.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spans="1:31" ht="13.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spans="1:31" ht="13.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spans="1:31" ht="13.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spans="1:31" ht="13.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spans="1:31" ht="13.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spans="1:31" ht="13.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spans="1:31" ht="13.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spans="1:31" ht="13.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spans="1:31" ht="13.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spans="1:31" ht="13.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spans="1:31" ht="13.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spans="1:31" ht="13.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spans="1:31" ht="13.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spans="1:31" ht="13.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spans="1:31" ht="13.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spans="1:31" ht="13.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spans="1:31" ht="13.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spans="1:31" ht="13.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spans="1:31" ht="13.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spans="1:31" ht="13.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spans="1:31" ht="13.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spans="1:31" ht="13.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spans="1:31" ht="13.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spans="1:31" ht="13.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spans="1:31" ht="13.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spans="1:31" ht="13.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spans="1:31" ht="13.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spans="1:31" ht="13.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spans="1:31" ht="13.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spans="1:31" ht="13.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spans="1:31" ht="13.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spans="1:31" ht="13.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spans="1:31" ht="13.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spans="1:31" ht="13.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spans="1:31" ht="13.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spans="1:31" ht="13.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spans="1:31" ht="13.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spans="1:31" ht="13.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spans="1:31" ht="13.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spans="1:31" ht="13.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spans="1:31" ht="13.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spans="1:31" ht="13.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spans="1:31" ht="13.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spans="1:31" ht="13.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spans="1:31" ht="13.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spans="1:31" ht="13.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spans="1:31" ht="13.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spans="1:31" ht="13.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spans="1:31" ht="13.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spans="1:31" ht="13.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spans="1:31" ht="13.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spans="1:31" ht="13.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spans="1:31" ht="13.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spans="1:31" ht="13.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spans="1:31" ht="13.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spans="1:31" ht="13.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spans="1:31" ht="13.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spans="1:31" ht="13.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spans="1:31" ht="13.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spans="1:31" ht="13.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spans="1:31" ht="13.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spans="1:31" ht="13.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spans="1:31" ht="13.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spans="1:31" ht="13.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spans="1:31" ht="13.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spans="1:31" ht="13.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spans="1:31" ht="13.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spans="1:31" ht="13.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spans="1:31" ht="13.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spans="1:31" ht="13.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spans="1:31" ht="13.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spans="1:31" ht="13.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spans="1:31" ht="13.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spans="1:31" ht="13.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spans="1:31" ht="13.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spans="1:31" ht="13.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spans="1:31" ht="13.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spans="1:31" ht="13.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spans="1:31" ht="13.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spans="1:31" ht="13.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spans="1:31" ht="13.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spans="1:31" ht="13.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spans="1:31" ht="13.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spans="1:31" ht="13.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spans="1:31" ht="13.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spans="1:31" ht="13.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spans="1:31" ht="13.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spans="1:31" ht="13.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spans="1:31" ht="13.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spans="1:31" ht="13.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spans="1:31" ht="13.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spans="1:31" ht="13.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spans="1:31" ht="13.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spans="1:31" ht="13.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spans="1:31" ht="13.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spans="1:31" ht="13.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spans="1:31" ht="13.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spans="1:31" ht="13.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spans="1:31" ht="13.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spans="1:31" ht="13.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spans="1:31" ht="13.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spans="1:31" ht="13.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spans="1:31" ht="13.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spans="1:31" ht="13.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spans="1:31" ht="13.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spans="1:31" ht="13.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spans="1:31" ht="13.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spans="1:31" ht="13.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spans="1:31" ht="13.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spans="1:31" ht="13.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spans="1:31" ht="13.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spans="1:31" ht="13.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spans="1:31" ht="13.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spans="1:31" ht="13.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spans="1:31" ht="13.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spans="1:31" ht="13.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spans="1:31" ht="13.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spans="1:31" ht="13.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spans="1:31" ht="13.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spans="1:31" ht="13.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spans="1:31" ht="13.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spans="1:31" ht="13.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spans="1:31" ht="13.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spans="1:31" ht="13.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spans="1:31" ht="13.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spans="1:31" ht="13.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spans="1:31" ht="13.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spans="1:31" ht="13.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spans="1:31" ht="13.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spans="1:31" ht="13.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spans="1:31" ht="13.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spans="1:31" ht="13.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spans="1:31" ht="13.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spans="1:31" ht="13.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spans="1:31" ht="13.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spans="1:31" ht="13.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spans="1:31" ht="13.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spans="1:31" ht="13.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spans="1:31" ht="13.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spans="1:31" ht="13.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spans="1:31" ht="13.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spans="1:31" ht="13.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spans="1:31" ht="13.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spans="1:31" ht="13.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spans="1:31" ht="13.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spans="1:31" ht="13.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spans="1:31" ht="13.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spans="1:31" ht="13.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spans="1:31" ht="13.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spans="1:31" ht="13.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spans="1:31" ht="13.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spans="1:31" ht="13.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spans="1:31" ht="13.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spans="1:31" ht="13.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spans="1:31" ht="13.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spans="1:31" ht="13.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spans="1:31" ht="13.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spans="1:31" ht="13.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spans="1:31" ht="13.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spans="1:31" ht="13.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spans="1:31" ht="13.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spans="1:31" ht="13.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spans="1:31" ht="13.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spans="1:31" ht="13.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spans="1:31" ht="13.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spans="1:31" ht="13.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spans="1:31" ht="13.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spans="1:31" ht="13.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spans="1:31" ht="13.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spans="1:31" ht="13.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spans="1:31" ht="13.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spans="1:31" ht="13.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spans="1:31" ht="13.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spans="1:31" ht="13.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spans="1:31" ht="13.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spans="1:31" ht="13.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spans="1:31" ht="13.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spans="1:31" ht="13.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spans="1:31" ht="13.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spans="1:31" ht="13.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spans="1:31" ht="13.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spans="1:31" ht="13.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spans="1:31" ht="13.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spans="1:31" ht="13.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spans="1:31" ht="13.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spans="1:31" ht="13.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spans="1:31" ht="13.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spans="1:31" ht="13.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spans="1:31" ht="13.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spans="1:31" ht="13.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spans="1:31" ht="13.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spans="1:31" ht="13.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spans="1:31" ht="13.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spans="1:31" ht="13.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spans="1:31" ht="13.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spans="1:31" ht="13.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spans="1:31" ht="13.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spans="1:31" ht="13.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spans="1:31" ht="13.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spans="1:31" ht="13.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spans="1:31" ht="13.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spans="1:31" ht="13.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spans="1:31" ht="13.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spans="1:31" ht="13.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spans="1:31" ht="13.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spans="1:31" ht="13.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spans="1:31" ht="13.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spans="1:31" ht="13.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spans="1:31" ht="13.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spans="1:31" ht="13.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spans="1:31" ht="13.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spans="1:31" ht="13.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spans="1:31" ht="13.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spans="1:31" ht="13.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spans="1:31" ht="13.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spans="1:31" ht="13.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spans="1:31" ht="13.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spans="1:31" ht="13.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spans="1:31" ht="13.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spans="1:31" ht="13.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spans="1:31" ht="13.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spans="1:31" ht="13.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spans="1:31" ht="13.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spans="1:31" ht="13.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spans="1:31" ht="13.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spans="1:31" ht="13.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spans="1:31" ht="13.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spans="1:31" ht="13.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spans="1:31" ht="13.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spans="1:31" ht="13.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spans="1:31" ht="13.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spans="1:31" ht="13.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spans="1:31" ht="13.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spans="1:31" ht="13.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spans="1:31" ht="13.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spans="1:31" ht="13.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spans="1:31" ht="13.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spans="1:31" ht="13.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spans="1:31" ht="13.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spans="1:31" ht="13.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spans="1:31" ht="13.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spans="1:31" ht="13.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spans="1:31" ht="13.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spans="1:31" ht="13.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spans="1:31" ht="13.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spans="1:31" ht="13.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spans="1:31" ht="13.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spans="1:31" ht="13.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spans="1:31" ht="13.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spans="1:31" ht="13.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spans="1:31" ht="13.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spans="1:31" ht="13.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spans="1:31" ht="13.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spans="1:31" ht="13.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spans="1:31" ht="13.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spans="1:31" ht="13.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spans="1:31" ht="13.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spans="1:31" ht="13.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spans="1:31" ht="13.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spans="1:31" ht="13.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spans="1:31" ht="13.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spans="1:31" ht="13.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spans="1:31" ht="13.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spans="1:31" ht="13.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spans="1:31" ht="13.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spans="1:31" ht="13.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spans="1:31" ht="13.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spans="1:31" ht="13.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spans="1:31" ht="13.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spans="1:31" ht="13.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spans="1:31" ht="13.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spans="1:31" ht="13.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spans="1:31" ht="13.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spans="1:31" ht="13.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spans="1:31" ht="13.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spans="1:31" ht="13.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spans="1:31" ht="13.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spans="1:31" ht="13.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spans="1:31" ht="13.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spans="1:31" ht="13.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spans="1:31" ht="13.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spans="1:31" ht="13.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spans="1:31" ht="13.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spans="1:31" ht="13.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spans="1:31" ht="13.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spans="1:31" ht="13.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spans="1:31" ht="13.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spans="1:31" ht="13.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spans="1:31" ht="13.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spans="1:31" ht="13.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spans="1:31" ht="13.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spans="1:31" ht="13.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spans="1:31" ht="13.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spans="1:31" ht="13.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spans="1:31" ht="13.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spans="1:31" ht="13.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spans="1:31" ht="13.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spans="1:31" ht="13.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spans="1:31" ht="13.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spans="1:31" ht="13.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spans="1:31" ht="13.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spans="1:31" ht="13.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spans="1:31" ht="13.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spans="1:31" ht="13.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spans="1:31" ht="13.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spans="1:31" ht="13.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spans="1:31" ht="13.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spans="1:31" ht="13.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spans="1:31" ht="13.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spans="1:31" ht="13.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spans="1:31" ht="13.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spans="1:31" ht="13.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spans="1:31" ht="13.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spans="1:31" ht="13.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spans="1:31" ht="13.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spans="1:31" ht="13.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spans="1:31" ht="13.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spans="1:31" ht="13.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spans="1:31" ht="13.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spans="1:31" ht="13.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spans="1:31" ht="13.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spans="1:31" ht="13.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spans="1:31" ht="13.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spans="1:31" ht="13.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spans="1:31" ht="13.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spans="1:31" ht="13.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spans="1:31" ht="13.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spans="1:31" ht="13.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spans="1:31" ht="13.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spans="1:31" ht="13.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spans="1:31" ht="13.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spans="1:31" ht="13.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spans="1:31" ht="13.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spans="1:31" ht="13.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spans="1:31" ht="13.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spans="1:31" ht="13.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spans="1:31" ht="13.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spans="1:31" ht="13.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spans="1:31" ht="13.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spans="1:31" ht="13.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spans="1:31" ht="13.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spans="1:31" ht="13.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spans="1:31" ht="13.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spans="1:31" ht="13.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spans="1:31" ht="13.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spans="1:31" ht="13.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spans="1:31" ht="13.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spans="1:31" ht="13.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spans="1:31" ht="13.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spans="1:31" ht="13.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spans="1:31" ht="13.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spans="1:31" ht="13.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spans="1:31" ht="13.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spans="1:31" ht="13.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spans="1:31" ht="13.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spans="1:31" ht="13.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spans="1:31" ht="13.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spans="1:31" ht="13.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spans="1:31" ht="13.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spans="1:31" ht="13.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spans="1:31" ht="13.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spans="1:31" ht="13.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spans="1:31" ht="13.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spans="1:31" ht="13.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spans="1:31" ht="13.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spans="1:31" ht="13.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spans="1:31" ht="13.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spans="1:31" ht="13.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spans="1:31" ht="13.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spans="1:31" ht="13.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spans="1:31" ht="13.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spans="1:31" ht="13.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spans="1:31" ht="13.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spans="1:31" ht="13.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spans="1:31" ht="13.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spans="1:31" ht="13.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spans="1:31" ht="13.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spans="1:31" ht="13.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spans="1:31" ht="13.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spans="1:31" ht="13.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spans="1:31" ht="13.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spans="1:31" ht="13.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spans="1:31" ht="13.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spans="1:31" ht="13.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spans="1:31" ht="13.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spans="1:31" ht="13.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spans="1:31" ht="13.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spans="1:31" ht="13.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spans="1:31" ht="13.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spans="1:31" ht="13.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spans="1:31" ht="13.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spans="1:31" ht="13.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spans="1:31" ht="13.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spans="1:31" ht="13.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spans="1:31" ht="13.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spans="1:31" ht="13.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spans="1:31" ht="13.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spans="1:31" ht="13.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spans="1:31" ht="13.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spans="1:31" ht="13.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spans="1:31" ht="13.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spans="1:31" ht="13.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spans="1:31" ht="13.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spans="1:31" ht="13.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spans="1:31" ht="13.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spans="1:31" ht="13.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spans="1:31" ht="13.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spans="1:31" ht="13.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spans="1:31" ht="13.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spans="1:31" ht="13.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spans="1:31" ht="13.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spans="1:31" ht="13.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spans="1:31" ht="13.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spans="1:31" ht="13.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spans="1:31" ht="13.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spans="1:31" ht="13.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spans="1:31" ht="13.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spans="1:31" ht="13.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spans="1:31" ht="13.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spans="1:31" ht="13.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spans="1:31" ht="13.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spans="1:31" ht="13.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spans="1:31" ht="13.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spans="1:31" ht="13.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spans="1:31" ht="13.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spans="1:31" ht="13.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spans="1:31" ht="13.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spans="1:31" ht="13.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spans="1:31" ht="13.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spans="1:31" ht="13.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spans="1:31" ht="13.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spans="1:31" ht="13.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spans="1:31" ht="13.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spans="1:31" ht="13.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spans="1:31" ht="13.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spans="1:31" ht="13.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spans="1:31" ht="13.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spans="1:31" ht="13.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spans="1:31" ht="13.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spans="1:31" ht="13.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spans="1:31" ht="13.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spans="1:31" ht="13.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spans="1:31" ht="13.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spans="1:31" ht="13.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spans="1:31" ht="13.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spans="1:31" ht="13.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spans="1:31" ht="13.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spans="1:31" ht="13.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spans="1:31" ht="13.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spans="1:31" ht="13.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spans="1:31" ht="13.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spans="1:31" ht="13.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spans="1:31" ht="13.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spans="1:31" ht="13.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spans="1:31" ht="13.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spans="1:31" ht="13.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spans="1:31" ht="13.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spans="1:31" ht="13.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spans="1:31" ht="13.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spans="1:31" ht="13.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spans="1:31" ht="13.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spans="1:31" ht="13.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spans="1:31" ht="13.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spans="1:31" ht="13.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spans="1:31" ht="13.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spans="1:31" ht="13.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spans="1:31" ht="13.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spans="1:31" ht="13.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spans="1:31" ht="13.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spans="1:31" ht="13.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spans="1:31" ht="13.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spans="1:31" ht="13.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spans="1:31" ht="13.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spans="1:31" ht="13.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spans="1:31" ht="13.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spans="1:31" ht="13.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spans="1:31" ht="13.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spans="1:31" ht="13.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spans="1:31" ht="13.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spans="1:31" ht="13.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spans="1:31" ht="13.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spans="1:31" ht="13.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spans="1:31" ht="13.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spans="1:31" ht="13.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spans="1:31" ht="13.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spans="1:31" ht="13.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spans="1:31" ht="13.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spans="1:31" ht="13.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spans="1:31" ht="13.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spans="1:31" ht="13.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spans="1:31" ht="13.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spans="1:31" ht="13.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spans="1:31" ht="13.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spans="1:31" ht="13.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spans="1:31" ht="13.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spans="1:31" ht="13.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spans="1:31" ht="13.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spans="1:31" ht="13.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spans="1:31" ht="13.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spans="1:31" ht="13.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spans="1:31" ht="13.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spans="1:31" ht="13.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spans="1:31" ht="13.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spans="1:31" ht="13.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spans="1:31" ht="13.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spans="1:31" ht="13.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spans="1:31" ht="13.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spans="1:31" ht="13.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spans="1:31" ht="13.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spans="1:31" ht="13.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spans="1:31" ht="13.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spans="1:31" ht="13.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spans="1:31" ht="13.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spans="1:31" ht="13.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spans="1:31" ht="13.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spans="1:31" ht="13.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spans="1:31" ht="13.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spans="1:31" ht="13.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spans="1:31" ht="13.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spans="1:31" ht="13.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spans="1:31" ht="13.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spans="1:31" ht="13.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spans="1:31" ht="13.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spans="1:31" ht="13.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spans="1:31" ht="13.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spans="1:31" ht="13.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spans="1:31" ht="13.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spans="1:31" ht="13.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spans="1:31" ht="13.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spans="1:31" ht="13.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spans="1:31" ht="13.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spans="1:31" ht="13.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spans="1:31" ht="13.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spans="1:31" ht="13.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spans="1:31" ht="13.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spans="1:31" ht="13.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spans="1:31" ht="13.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spans="1:31" ht="13.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spans="1:31" ht="13.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spans="1:31" ht="13.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spans="1:31" ht="13.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spans="1:31" ht="13.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spans="1:31" ht="13.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spans="1:31" ht="13.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spans="1:31" ht="13.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spans="1:31" ht="13.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spans="1:31" ht="13.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spans="1:31" ht="13.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spans="1:31" ht="13.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spans="1:31" ht="13.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spans="1:31" ht="13.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spans="1:31" ht="13.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spans="1:31" ht="13.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spans="1:31" ht="13.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spans="1:31" ht="13.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spans="1:31" ht="13.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spans="1:31" ht="13.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spans="1:31" ht="13.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spans="1:31" ht="13.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spans="1:31" ht="13.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spans="1:31" ht="13.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spans="1:31" ht="13.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spans="1:31" ht="13.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spans="1:31" ht="13.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spans="1:31" ht="13.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spans="1:31" ht="13.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spans="1:31" ht="13.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spans="1:31" ht="13.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spans="1:31" ht="13.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spans="1:31" ht="13.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spans="1:31" ht="13.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spans="1:31" ht="13.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spans="1:31" ht="13.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spans="1:31" ht="13.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spans="1:31" ht="13.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spans="1:31" ht="13.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spans="1:31" ht="13.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spans="1:31" ht="13.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spans="1:31" ht="13.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spans="1:31" ht="13.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spans="1:31" ht="13.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spans="1:31" ht="13.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spans="1:31" ht="13.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spans="1:31" ht="13.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spans="1:31" ht="13.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spans="1:31" ht="13.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spans="1:31" ht="13.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spans="1:31" ht="13.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spans="1:31" ht="13.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spans="1:31" ht="13.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spans="1:31" ht="13.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spans="1:31" ht="13.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spans="1:31" ht="13.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spans="1:31" ht="13.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spans="1:31" ht="13.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spans="1:31" ht="13.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spans="1:31" ht="13.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spans="1:31" ht="13.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spans="1:31" ht="13.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spans="1:31" ht="13.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spans="1:31" ht="13.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spans="1:31" ht="13.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spans="1:31" ht="13.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spans="1:31" ht="13.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spans="1:31" ht="13.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spans="1:31" ht="13.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spans="1:31" ht="13.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spans="1:31" ht="13.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spans="1:31" ht="13.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spans="1:31" ht="13.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spans="1:31" ht="13.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spans="1:31" ht="13.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spans="1:31" ht="13.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spans="1:31" ht="13.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spans="1:31" ht="13.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spans="1:31" ht="13.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spans="1:31" ht="13.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spans="1:31" ht="13.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spans="1:31" ht="13.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spans="1:31" ht="13.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spans="1:31" ht="13.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spans="1:31" ht="13.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spans="1:31" ht="13.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spans="1:31" ht="13.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spans="1:31" ht="13.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spans="1:31" ht="13.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spans="1:31" ht="13.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spans="1:31" ht="13.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spans="1:31" ht="13.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spans="1:31" ht="13.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spans="1:31" ht="13.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spans="1:31" ht="13.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spans="1:31" ht="13.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spans="1:31" ht="13.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spans="1:31" ht="13.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spans="1:31" ht="13.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spans="1:31" ht="13.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spans="1:31" ht="13.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spans="1:31" ht="13.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spans="1:31" ht="13.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spans="1:31" ht="13.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spans="1:31" ht="13.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spans="1:31" ht="13.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spans="1:31" ht="13.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spans="1:31" ht="13.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spans="1:31" ht="13.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spans="1:31" ht="13.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spans="1:31" ht="13.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spans="1:31" ht="13.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spans="1:31" ht="13.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spans="1:31" ht="13.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spans="1:31" ht="13.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spans="1:31" ht="13.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spans="1:31" ht="13.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spans="1:31" ht="13.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spans="1:31" ht="13.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spans="1:31" ht="13.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spans="1:31" ht="13.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spans="1:31" ht="13.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spans="1:31" ht="13.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spans="1:31" ht="13.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spans="1:31" ht="13.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spans="1:31" ht="13.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spans="1:31" ht="13.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spans="1:31" ht="13.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spans="1:31" ht="13.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spans="1:31" ht="13.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spans="1:31" ht="13.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spans="1:31" ht="13.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spans="1:31" ht="13.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spans="1:31" ht="13.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spans="1:31" ht="13.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spans="1:31" ht="13.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spans="1:31" ht="13.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spans="1:31" ht="13.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spans="1:31" ht="13.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spans="1:31" ht="13.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spans="1:31" ht="13.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spans="1:31" ht="13.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spans="1:31" ht="13.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spans="1:31" ht="13.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spans="1:31" ht="13.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spans="1:31" ht="13.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spans="1:31" ht="13.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spans="1:31" ht="13.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spans="1:31" ht="13.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spans="1:31" ht="13.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spans="1:31" ht="13.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spans="1:31" ht="13.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spans="1:31" ht="13.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spans="1:31" ht="13.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spans="1:31" ht="13.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spans="1:31" ht="13.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spans="1:31" ht="13.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spans="1:31" ht="13.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spans="1:31" ht="13.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spans="1:31" ht="13.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spans="1:31" ht="13.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spans="1:31" ht="13.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spans="1:31" ht="13.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spans="1:31" ht="13.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spans="1:31" ht="13.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spans="1:31" ht="13.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spans="1:31" ht="13.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spans="1:31" ht="13.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spans="1:31" ht="13.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spans="1:31" ht="13.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spans="1:31" ht="13.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spans="1:31" ht="13.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spans="1:31" ht="13.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spans="1:31" ht="13.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spans="1:31" ht="13.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spans="1:31" ht="13.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spans="1:31" ht="13.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spans="1:31" ht="13.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spans="1:31" ht="13.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spans="1:31" ht="13.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spans="1:31" ht="13.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spans="1:31" ht="13.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spans="1:31" ht="13.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spans="1:31" ht="13.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spans="1:31" ht="13.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spans="1:31" ht="13.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spans="1:31" ht="13.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spans="1:31" ht="13.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spans="1:31" ht="13.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spans="1:31" ht="13.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spans="1:31" ht="13.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spans="1:31" ht="13.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spans="1:31" ht="13.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spans="1:31" ht="13.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spans="1:31" ht="13.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spans="1:31" ht="13.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spans="1:31" ht="13.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spans="1:31" ht="13.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spans="1:31" ht="13.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spans="1:31" ht="13.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spans="1:31" ht="13.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spans="1:31" ht="13.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spans="1:31" ht="13.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spans="1:31" ht="13.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spans="1:31" ht="13.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spans="1:31" ht="13.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spans="1:31" ht="13.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spans="1:31" ht="13.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spans="1:31" ht="13.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spans="1:31" ht="13.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spans="1:31" ht="13.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spans="1:31" ht="13.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spans="1:31" ht="13.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spans="1:31" ht="13.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spans="1:31" ht="13.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spans="1:31" ht="13.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spans="1:31" ht="13.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spans="1:31" ht="13.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spans="1:31" ht="13.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spans="1:31" ht="13.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spans="1:31" ht="13.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spans="1:31" ht="13.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spans="1:31" ht="13.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spans="1:31" ht="13.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spans="1:31" ht="13.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spans="1:31" ht="13.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spans="1:31" ht="13.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spans="1:31" ht="13.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spans="1:31" ht="13.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spans="1:31" ht="13.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spans="1:31" ht="13.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spans="1:31" ht="13.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spans="1:31" ht="13.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spans="1:31" ht="13.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spans="1:31" ht="13.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spans="1:31" ht="13.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spans="1:31" ht="13.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spans="1:31" ht="13.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spans="1:31" ht="13.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spans="1:31" ht="13.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spans="1:31" ht="13.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spans="1:31" ht="13.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spans="1:31" ht="13.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spans="1:31" ht="13.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spans="1:31" ht="13.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spans="1:31" ht="13.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spans="1:31" ht="13.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spans="1:31" ht="13.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spans="1:31" ht="13.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spans="1:31" ht="13.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spans="1:31" ht="13.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row>
    <row r="999" spans="1:31" ht="13.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row>
    <row r="1000" spans="1:31" ht="13.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row>
  </sheetData>
  <mergeCells count="6">
    <mergeCell ref="G5:S5"/>
    <mergeCell ref="T5:AA5"/>
    <mergeCell ref="G31:S31"/>
    <mergeCell ref="T31:AA31"/>
    <mergeCell ref="G72:S72"/>
    <mergeCell ref="T72:AA72"/>
  </mergeCells>
  <pageMargins left="0.7" right="0.7" top="0.75" bottom="0.75" header="0" footer="0"/>
  <pageSetup scale="45"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pageSetUpPr fitToPage="1"/>
  </sheetPr>
  <dimension ref="A1:AD1000"/>
  <sheetViews>
    <sheetView showGridLines="0" zoomScale="80" zoomScaleNormal="80" workbookViewId="0"/>
  </sheetViews>
  <sheetFormatPr defaultColWidth="14.44140625" defaultRowHeight="15" customHeight="1"/>
  <cols>
    <col min="1" max="1" width="0.88671875" customWidth="1"/>
    <col min="2" max="2" width="25.5546875" customWidth="1"/>
    <col min="3" max="4" width="5.6640625" customWidth="1"/>
    <col min="5" max="6" width="9.88671875" customWidth="1"/>
    <col min="7" max="7" width="11.5546875" customWidth="1"/>
    <col min="8" max="8" width="10.88671875" customWidth="1"/>
    <col min="9" max="10" width="10.5546875" customWidth="1"/>
    <col min="11" max="11" width="11" customWidth="1"/>
    <col min="12" max="12" width="1.6640625" customWidth="1"/>
    <col min="13" max="13" width="9.88671875" customWidth="1"/>
    <col min="14" max="14" width="1.6640625" customWidth="1"/>
    <col min="15" max="15" width="12" customWidth="1"/>
    <col min="16" max="16" width="0.88671875" customWidth="1"/>
    <col min="17" max="17" width="8.6640625" customWidth="1"/>
    <col min="18" max="18" width="19" customWidth="1"/>
    <col min="19" max="19" width="14.109375" customWidth="1"/>
    <col min="20" max="22" width="13.109375" customWidth="1"/>
    <col min="23" max="23" width="8.6640625" customWidth="1"/>
    <col min="24" max="24" width="13.88671875" customWidth="1"/>
    <col min="25" max="30" width="8.6640625" customWidth="1"/>
  </cols>
  <sheetData>
    <row r="1" spans="1:30" ht="22.2">
      <c r="A1" s="2"/>
      <c r="B1" s="130" t="str">
        <f>Company_Name&amp;" "&amp;"("&amp;Ticker&amp;")"&amp;" Valuation Overview"</f>
        <v>Hamilton Lane Inc. (HLNE) Valuation Overview</v>
      </c>
      <c r="C1" s="2"/>
      <c r="D1" s="2"/>
      <c r="E1" s="2"/>
      <c r="F1" s="2"/>
      <c r="G1" s="2"/>
      <c r="H1" s="2"/>
      <c r="I1" s="2"/>
      <c r="J1" s="131"/>
      <c r="K1" s="1011" t="s">
        <v>130</v>
      </c>
      <c r="L1" s="1011"/>
      <c r="M1" s="1011"/>
      <c r="N1" s="1012" t="str">
        <f>Case_Scenario&amp;" Case"</f>
        <v>Base Case</v>
      </c>
      <c r="O1" s="1012"/>
      <c r="P1" s="2"/>
      <c r="Q1" s="2"/>
      <c r="R1" s="9" t="s">
        <v>131</v>
      </c>
      <c r="S1" s="9" t="str">
        <f>IF(N1="Base Case","","Check!")</f>
        <v/>
      </c>
      <c r="T1" s="9"/>
      <c r="U1" s="9"/>
      <c r="V1" s="2"/>
      <c r="W1" s="9"/>
      <c r="X1" s="9"/>
      <c r="Y1" s="37" t="s">
        <v>132</v>
      </c>
      <c r="Z1" s="9"/>
      <c r="AA1" s="9"/>
      <c r="AB1" s="9"/>
      <c r="AC1" s="9"/>
      <c r="AD1" s="9"/>
    </row>
    <row r="2" spans="1:30" ht="15.75" customHeight="1">
      <c r="A2" s="2"/>
      <c r="B2" s="9" t="str">
        <f>Cover!C2</f>
        <v>$ in Millions Except Per Share Data</v>
      </c>
      <c r="C2" s="2"/>
      <c r="D2" s="2"/>
      <c r="E2" s="2"/>
      <c r="F2" s="2"/>
      <c r="G2" s="2"/>
      <c r="H2" s="2"/>
      <c r="I2" s="2"/>
      <c r="J2" s="2"/>
      <c r="K2" s="1013" t="s">
        <v>133</v>
      </c>
      <c r="L2" s="1013"/>
      <c r="M2" s="1013"/>
      <c r="N2" s="1013"/>
      <c r="O2" s="133">
        <f>Share_Price</f>
        <v>118.26</v>
      </c>
      <c r="P2" s="2"/>
      <c r="Q2" s="2"/>
      <c r="R2" s="2"/>
      <c r="S2" s="2"/>
      <c r="T2" s="2"/>
      <c r="U2" s="2"/>
      <c r="V2" s="2"/>
      <c r="W2" s="9"/>
      <c r="X2" s="9"/>
      <c r="Y2" s="37" t="s">
        <v>134</v>
      </c>
      <c r="Z2" s="9"/>
      <c r="AA2" s="9"/>
      <c r="AB2" s="9"/>
      <c r="AC2" s="9"/>
      <c r="AD2" s="9"/>
    </row>
    <row r="3" spans="1:30" ht="17.25" customHeight="1" thickBot="1">
      <c r="A3" s="2"/>
      <c r="B3" s="2"/>
      <c r="C3" s="2"/>
      <c r="D3" s="2"/>
      <c r="E3" s="2"/>
      <c r="F3" s="2"/>
      <c r="G3" s="2"/>
      <c r="H3" s="2"/>
      <c r="I3" s="2"/>
      <c r="J3" s="2"/>
      <c r="K3" s="1014" t="s">
        <v>135</v>
      </c>
      <c r="L3" s="1014"/>
      <c r="M3" s="1014"/>
      <c r="N3" s="1014"/>
      <c r="O3" s="1015">
        <f>Current_Date</f>
        <v>45940</v>
      </c>
      <c r="P3" s="1015"/>
      <c r="Q3" s="2"/>
      <c r="R3" s="2"/>
      <c r="S3" s="2"/>
      <c r="T3" s="2"/>
      <c r="U3" s="2"/>
      <c r="V3" s="9"/>
      <c r="W3" s="9"/>
      <c r="X3" s="9"/>
      <c r="Y3" s="9"/>
      <c r="Z3" s="9"/>
      <c r="AA3" s="9"/>
      <c r="AB3" s="9"/>
      <c r="AC3" s="9"/>
      <c r="AD3" s="9"/>
    </row>
    <row r="4" spans="1:30" ht="15.75" customHeight="1" thickBot="1">
      <c r="A4" s="2"/>
      <c r="B4" s="943" t="str">
        <f>"Multiples Analysis "&amp;"("&amp;S21&amp;")"</f>
        <v>Multiples Analysis (P/E)</v>
      </c>
      <c r="C4" s="944"/>
      <c r="D4" s="944"/>
      <c r="E4" s="944"/>
      <c r="F4" s="944"/>
      <c r="G4" s="945"/>
      <c r="H4" s="2"/>
      <c r="I4" s="1008" t="s">
        <v>136</v>
      </c>
      <c r="J4" s="1009"/>
      <c r="K4" s="1009"/>
      <c r="L4" s="1009"/>
      <c r="M4" s="1009"/>
      <c r="N4" s="1009"/>
      <c r="O4" s="1010"/>
      <c r="P4" s="2"/>
      <c r="Q4" s="2"/>
      <c r="R4" s="2"/>
      <c r="S4" s="2"/>
      <c r="T4" s="2"/>
      <c r="U4" s="2"/>
      <c r="V4" s="9"/>
      <c r="W4" s="9"/>
      <c r="X4" s="9"/>
      <c r="Y4" s="9"/>
      <c r="Z4" s="9"/>
      <c r="AA4" s="9"/>
      <c r="AB4" s="9"/>
      <c r="AC4" s="9"/>
      <c r="AD4" s="9"/>
    </row>
    <row r="5" spans="1:30" ht="4.5" customHeight="1">
      <c r="A5" s="2"/>
      <c r="B5" s="2"/>
      <c r="C5" s="2"/>
      <c r="D5" s="2"/>
      <c r="E5" s="2"/>
      <c r="F5" s="2"/>
      <c r="G5" s="2"/>
      <c r="H5" s="2"/>
      <c r="I5" s="880"/>
      <c r="O5" s="881"/>
      <c r="P5" s="2"/>
      <c r="Q5" s="2"/>
      <c r="R5" s="2"/>
      <c r="S5" s="2"/>
      <c r="T5" s="2"/>
      <c r="U5" s="2"/>
      <c r="V5" s="9"/>
      <c r="W5" s="9"/>
      <c r="X5" s="9"/>
      <c r="Y5" s="9"/>
      <c r="Z5" s="9"/>
      <c r="AA5" s="9"/>
      <c r="AB5" s="9"/>
      <c r="AC5" s="9"/>
      <c r="AD5" s="9"/>
    </row>
    <row r="6" spans="1:30" ht="15.75" customHeight="1">
      <c r="A6" s="2"/>
      <c r="B6" s="2"/>
      <c r="C6" s="2"/>
      <c r="D6" s="2"/>
      <c r="E6" s="2"/>
      <c r="F6" s="2"/>
      <c r="G6" s="2"/>
      <c r="H6" s="2"/>
      <c r="I6" s="1005" t="s">
        <v>7</v>
      </c>
      <c r="J6" s="1006"/>
      <c r="K6" s="1006"/>
      <c r="L6" s="1006"/>
      <c r="M6" s="1006"/>
      <c r="N6" s="1006"/>
      <c r="O6" s="1007"/>
      <c r="P6" s="2"/>
      <c r="Q6" s="2"/>
      <c r="R6" s="2"/>
      <c r="S6" s="2"/>
      <c r="T6" s="2"/>
      <c r="U6" s="2"/>
      <c r="V6" s="9"/>
      <c r="W6" s="9"/>
      <c r="X6" s="9"/>
      <c r="Y6" s="9"/>
      <c r="Z6" s="9"/>
      <c r="AA6" s="9"/>
      <c r="AB6" s="9"/>
      <c r="AC6" s="9"/>
      <c r="AD6" s="9"/>
    </row>
    <row r="7" spans="1:30" ht="15.75" customHeight="1">
      <c r="A7" s="2"/>
      <c r="B7" s="2"/>
      <c r="C7" s="2"/>
      <c r="D7" s="2"/>
      <c r="E7" s="2"/>
      <c r="F7" s="2"/>
      <c r="G7" s="2"/>
      <c r="H7" s="882"/>
      <c r="I7" s="9" t="str">
        <f>Cover!I9</f>
        <v>Implied Enterprise Value:</v>
      </c>
      <c r="J7" s="9"/>
      <c r="K7" s="9"/>
      <c r="L7" s="9"/>
      <c r="M7" s="9"/>
      <c r="N7" s="1022">
        <f ca="1">Cover!L9</f>
        <v>8117.2261955708609</v>
      </c>
      <c r="O7" s="1023"/>
      <c r="Q7" s="2"/>
      <c r="R7" s="2"/>
      <c r="S7" s="2"/>
      <c r="T7" s="2"/>
      <c r="U7" s="2"/>
      <c r="V7" s="9"/>
      <c r="W7" s="9"/>
      <c r="X7" s="9"/>
      <c r="Y7" s="9"/>
      <c r="Z7" s="9"/>
      <c r="AA7" s="9"/>
      <c r="AB7" s="9"/>
      <c r="AC7" s="9"/>
      <c r="AD7" s="9"/>
    </row>
    <row r="8" spans="1:30" ht="15.75" customHeight="1">
      <c r="A8" s="2"/>
      <c r="B8" s="2"/>
      <c r="C8" s="2"/>
      <c r="D8" s="2"/>
      <c r="E8" s="2"/>
      <c r="F8" s="2"/>
      <c r="G8" s="2"/>
      <c r="H8" s="882"/>
      <c r="I8" s="883" t="str">
        <f>Cover!I10</f>
        <v>Implied Equity Value:</v>
      </c>
      <c r="J8" s="883"/>
      <c r="K8" s="883"/>
      <c r="L8" s="883"/>
      <c r="M8" s="883"/>
      <c r="N8" s="1016">
        <f ca="1">Cover!L10</f>
        <v>7855.7461955708613</v>
      </c>
      <c r="O8" s="1017"/>
      <c r="Q8" s="2"/>
      <c r="R8" s="2"/>
      <c r="S8" s="2"/>
      <c r="T8" s="2"/>
      <c r="U8" s="2"/>
      <c r="V8" s="9"/>
      <c r="W8" s="9"/>
      <c r="X8" s="9"/>
      <c r="Y8" s="9"/>
      <c r="Z8" s="9"/>
      <c r="AA8" s="9"/>
      <c r="AB8" s="9"/>
      <c r="AC8" s="9"/>
      <c r="AD8" s="9"/>
    </row>
    <row r="9" spans="1:30" ht="15.75" customHeight="1">
      <c r="A9" s="2"/>
      <c r="B9" s="2"/>
      <c r="C9" s="2"/>
      <c r="D9" s="2"/>
      <c r="E9" s="2"/>
      <c r="F9" s="2"/>
      <c r="G9" s="2"/>
      <c r="H9" s="882"/>
      <c r="I9" s="9" t="str">
        <f>Cover!I12</f>
        <v>Implied Share Price:</v>
      </c>
      <c r="J9" s="9"/>
      <c r="K9" s="9"/>
      <c r="L9" s="9"/>
      <c r="M9" s="9"/>
      <c r="N9" s="1018">
        <f ca="1">Cover!L12</f>
        <v>144.22152002149554</v>
      </c>
      <c r="O9" s="1019"/>
      <c r="Q9" s="2"/>
      <c r="R9" s="2"/>
      <c r="S9" s="2"/>
      <c r="T9" s="2"/>
      <c r="U9" s="2"/>
      <c r="V9" s="9"/>
      <c r="W9" s="9"/>
      <c r="X9" s="9"/>
      <c r="Y9" s="9"/>
      <c r="Z9" s="9"/>
      <c r="AA9" s="9"/>
      <c r="AB9" s="9"/>
      <c r="AC9" s="9"/>
      <c r="AD9" s="9"/>
    </row>
    <row r="10" spans="1:30" ht="15.75" customHeight="1">
      <c r="A10" s="2"/>
      <c r="B10" s="2"/>
      <c r="C10" s="2"/>
      <c r="D10" s="2"/>
      <c r="E10" s="2"/>
      <c r="F10" s="2"/>
      <c r="G10" s="2"/>
      <c r="H10" s="882"/>
      <c r="I10" s="884" t="str">
        <f>Cover!I13</f>
        <v>% Return:</v>
      </c>
      <c r="J10" s="884"/>
      <c r="K10" s="884"/>
      <c r="L10" s="884"/>
      <c r="M10" s="884"/>
      <c r="N10" s="1020">
        <f ca="1">Cover!L13</f>
        <v>0.21952917319039011</v>
      </c>
      <c r="O10" s="1021"/>
      <c r="Q10" s="2"/>
      <c r="R10" s="2"/>
      <c r="S10" s="2"/>
      <c r="T10" s="2"/>
      <c r="U10" s="2"/>
      <c r="V10" s="9"/>
      <c r="W10" s="9"/>
      <c r="X10" s="9"/>
      <c r="Y10" s="9"/>
      <c r="Z10" s="9"/>
      <c r="AA10" s="9"/>
      <c r="AB10" s="9"/>
      <c r="AC10" s="9"/>
      <c r="AD10" s="9"/>
    </row>
    <row r="11" spans="1:30" ht="4.5" customHeight="1">
      <c r="A11" s="2"/>
      <c r="B11" s="2"/>
      <c r="C11" s="2"/>
      <c r="D11" s="2"/>
      <c r="E11" s="2"/>
      <c r="F11" s="2"/>
      <c r="G11" s="2"/>
      <c r="H11" s="2"/>
      <c r="I11" s="885"/>
      <c r="J11" s="9"/>
      <c r="K11" s="9"/>
      <c r="L11" s="9"/>
      <c r="M11" s="9"/>
      <c r="N11" s="9"/>
      <c r="O11" s="886"/>
      <c r="Q11" s="2"/>
      <c r="R11" s="2"/>
      <c r="S11" s="2"/>
      <c r="T11" s="2"/>
      <c r="U11" s="2"/>
      <c r="V11" s="9"/>
      <c r="W11" s="9"/>
      <c r="X11" s="9"/>
      <c r="Y11" s="9"/>
      <c r="Z11" s="9"/>
      <c r="AA11" s="9"/>
      <c r="AB11" s="9"/>
      <c r="AC11" s="9"/>
      <c r="AD11" s="9"/>
    </row>
    <row r="12" spans="1:30" ht="15.75" customHeight="1">
      <c r="A12" s="2"/>
      <c r="B12" s="2"/>
      <c r="C12" s="2"/>
      <c r="D12" s="2"/>
      <c r="E12" s="2"/>
      <c r="F12" s="2"/>
      <c r="G12" s="2"/>
      <c r="H12" s="2"/>
      <c r="I12" s="1005" t="str">
        <f>Cover!I15</f>
        <v>Perpetuity Growth Method</v>
      </c>
      <c r="J12" s="1006"/>
      <c r="K12" s="1006"/>
      <c r="L12" s="1006"/>
      <c r="M12" s="1006"/>
      <c r="N12" s="1006"/>
      <c r="O12" s="1007"/>
      <c r="Q12" s="2"/>
      <c r="R12" s="2"/>
      <c r="S12" s="2"/>
      <c r="T12" s="2"/>
      <c r="U12" s="2"/>
      <c r="V12" s="9"/>
      <c r="W12" s="9"/>
      <c r="X12" s="9"/>
      <c r="Y12" s="9"/>
      <c r="Z12" s="9"/>
      <c r="AA12" s="9"/>
      <c r="AB12" s="9"/>
      <c r="AC12" s="9"/>
      <c r="AD12" s="9"/>
    </row>
    <row r="13" spans="1:30" ht="15.75" customHeight="1">
      <c r="A13" s="2"/>
      <c r="B13" s="2"/>
      <c r="C13" s="2"/>
      <c r="D13" s="2"/>
      <c r="E13" s="2"/>
      <c r="F13" s="2"/>
      <c r="G13" s="2"/>
      <c r="H13" s="2"/>
      <c r="I13" s="887" t="str">
        <f>Cover!I16</f>
        <v>Implied Enterprise Value:</v>
      </c>
      <c r="J13" s="888"/>
      <c r="K13" s="888"/>
      <c r="L13" s="888"/>
      <c r="M13" s="888"/>
      <c r="N13" s="1022">
        <f ca="1">Cover!L16</f>
        <v>5013.5851811205175</v>
      </c>
      <c r="O13" s="1023"/>
      <c r="Q13" s="2"/>
      <c r="R13" s="2"/>
      <c r="S13" s="2"/>
      <c r="T13" s="2"/>
      <c r="U13" s="2"/>
      <c r="V13" s="9"/>
      <c r="W13" s="9"/>
      <c r="X13" s="9"/>
      <c r="Y13" s="9"/>
      <c r="Z13" s="9"/>
      <c r="AA13" s="9"/>
      <c r="AB13" s="9"/>
      <c r="AC13" s="9"/>
      <c r="AD13" s="9"/>
    </row>
    <row r="14" spans="1:30" ht="15.75" customHeight="1">
      <c r="A14" s="2"/>
      <c r="B14" s="2"/>
      <c r="C14" s="2"/>
      <c r="D14" s="2"/>
      <c r="E14" s="2"/>
      <c r="F14" s="2"/>
      <c r="G14" s="2"/>
      <c r="H14" s="2"/>
      <c r="I14" s="889" t="str">
        <f>Cover!I17</f>
        <v>Implied Equity Value:</v>
      </c>
      <c r="J14" s="883"/>
      <c r="K14" s="883"/>
      <c r="L14" s="883"/>
      <c r="M14" s="883"/>
      <c r="N14" s="1016">
        <f ca="1">Cover!L17</f>
        <v>4752.105181120517</v>
      </c>
      <c r="O14" s="1017"/>
      <c r="Q14" s="2"/>
      <c r="AB14" s="9"/>
      <c r="AC14" s="9"/>
      <c r="AD14" s="9"/>
    </row>
    <row r="15" spans="1:30" ht="15.75" customHeight="1">
      <c r="A15" s="2"/>
      <c r="B15" s="2"/>
      <c r="C15" s="2"/>
      <c r="D15" s="2"/>
      <c r="E15" s="2"/>
      <c r="F15" s="2"/>
      <c r="G15" s="2"/>
      <c r="H15" s="2"/>
      <c r="I15" s="885" t="str">
        <f>Cover!I19</f>
        <v>Implied Share Price:</v>
      </c>
      <c r="J15" s="9"/>
      <c r="K15" s="9"/>
      <c r="L15" s="9"/>
      <c r="M15" s="9"/>
      <c r="N15" s="1018">
        <f ca="1">Cover!L19</f>
        <v>87.242613936488283</v>
      </c>
      <c r="O15" s="1019"/>
      <c r="Q15" s="2"/>
      <c r="AB15" s="9"/>
      <c r="AC15" s="9"/>
      <c r="AD15" s="9"/>
    </row>
    <row r="16" spans="1:30" ht="15.75" customHeight="1">
      <c r="A16" s="2"/>
      <c r="B16" s="2"/>
      <c r="C16" s="2"/>
      <c r="D16" s="2"/>
      <c r="E16" s="2"/>
      <c r="F16" s="2"/>
      <c r="G16" s="2"/>
      <c r="H16" s="2"/>
      <c r="I16" s="890" t="str">
        <f>Cover!I20</f>
        <v>% Return:</v>
      </c>
      <c r="J16" s="884"/>
      <c r="K16" s="884"/>
      <c r="L16" s="884"/>
      <c r="M16" s="884"/>
      <c r="N16" s="1020">
        <f ca="1">Cover!L20</f>
        <v>-0.2622812959877534</v>
      </c>
      <c r="O16" s="1021"/>
      <c r="Q16" s="2"/>
      <c r="AB16" s="9"/>
      <c r="AC16" s="9"/>
      <c r="AD16" s="9"/>
    </row>
    <row r="17" spans="1:30" ht="4.5" customHeight="1">
      <c r="A17" s="2"/>
      <c r="B17" s="2"/>
      <c r="C17" s="2"/>
      <c r="D17" s="2"/>
      <c r="E17" s="2"/>
      <c r="F17" s="2"/>
      <c r="G17" s="2"/>
      <c r="H17" s="2"/>
      <c r="I17" s="2"/>
      <c r="J17" s="2"/>
      <c r="K17" s="2"/>
      <c r="L17" s="2"/>
      <c r="M17" s="2"/>
      <c r="N17" s="2"/>
      <c r="O17" s="2"/>
      <c r="P17" s="2"/>
      <c r="Q17" s="2"/>
      <c r="AB17" s="9"/>
      <c r="AC17" s="9"/>
      <c r="AD17" s="9"/>
    </row>
    <row r="18" spans="1:30" ht="15.75" customHeight="1">
      <c r="A18" s="2"/>
      <c r="B18" s="891"/>
      <c r="C18" s="892"/>
      <c r="D18" s="892"/>
      <c r="E18" s="946" t="s">
        <v>94</v>
      </c>
      <c r="F18" s="946"/>
      <c r="G18" s="946"/>
      <c r="H18" s="946"/>
      <c r="I18" s="946"/>
      <c r="J18" s="946"/>
      <c r="K18" s="947"/>
      <c r="L18" s="2"/>
      <c r="M18" s="893" t="s">
        <v>98</v>
      </c>
      <c r="N18" s="139"/>
      <c r="O18" s="893" t="s">
        <v>98</v>
      </c>
      <c r="P18" s="2"/>
      <c r="Q18" s="2"/>
      <c r="R18" s="9"/>
      <c r="S18" s="9"/>
      <c r="T18" s="9"/>
      <c r="U18" s="9"/>
      <c r="V18" s="9"/>
      <c r="W18" s="9"/>
      <c r="X18" s="9"/>
      <c r="Y18" s="9"/>
      <c r="Z18" s="9"/>
      <c r="AA18" s="9"/>
      <c r="AB18" s="9"/>
      <c r="AC18" s="9"/>
      <c r="AD18" s="9"/>
    </row>
    <row r="19" spans="1:30" ht="15.75" customHeight="1">
      <c r="A19" s="2"/>
      <c r="B19" s="894" t="s">
        <v>137</v>
      </c>
      <c r="C19" s="895"/>
      <c r="D19" s="895"/>
      <c r="E19" s="895">
        <f>Summary!U6</f>
        <v>2024</v>
      </c>
      <c r="F19" s="895">
        <f>Summary!V6</f>
        <v>2025</v>
      </c>
      <c r="G19" s="895" t="str">
        <f>Summary!W6</f>
        <v>2026e</v>
      </c>
      <c r="H19" s="895" t="str">
        <f>Summary!X6</f>
        <v>2027e</v>
      </c>
      <c r="I19" s="895" t="str">
        <f>Summary!Y6</f>
        <v>2028e</v>
      </c>
      <c r="J19" s="895" t="str">
        <f>Summary!Z6</f>
        <v>2029e</v>
      </c>
      <c r="K19" s="896" t="str">
        <f>Summary!AA6</f>
        <v>2030e</v>
      </c>
      <c r="L19" s="139"/>
      <c r="M19" s="897" t="s">
        <v>99</v>
      </c>
      <c r="N19" s="139"/>
      <c r="O19" s="897" t="s">
        <v>100</v>
      </c>
      <c r="P19" s="2"/>
      <c r="Q19" s="2"/>
      <c r="R19" s="2"/>
      <c r="S19" s="2"/>
      <c r="T19" s="2"/>
      <c r="U19" s="2"/>
      <c r="V19" s="9"/>
      <c r="W19" s="9"/>
      <c r="X19" s="9"/>
      <c r="Y19" s="9"/>
      <c r="Z19" s="9"/>
      <c r="AA19" s="9"/>
      <c r="AB19" s="9"/>
      <c r="AC19" s="9"/>
      <c r="AD19" s="9"/>
    </row>
    <row r="20" spans="1:30" ht="4.5" customHeight="1">
      <c r="A20" s="2"/>
      <c r="B20" s="2"/>
      <c r="C20" s="2"/>
      <c r="D20" s="142"/>
      <c r="E20" s="139"/>
      <c r="F20" s="139"/>
      <c r="G20" s="139"/>
      <c r="H20" s="139"/>
      <c r="I20" s="139"/>
      <c r="J20" s="139"/>
      <c r="K20" s="139"/>
      <c r="L20" s="139"/>
      <c r="M20" s="2"/>
      <c r="N20" s="2"/>
      <c r="O20" s="2"/>
      <c r="P20" s="2"/>
      <c r="Q20" s="2"/>
      <c r="R20" s="9"/>
      <c r="S20" s="9"/>
      <c r="T20" s="9"/>
      <c r="U20" s="9"/>
      <c r="V20" s="9"/>
      <c r="W20" s="9"/>
      <c r="X20" s="9"/>
      <c r="Y20" s="9"/>
      <c r="Z20" s="9"/>
      <c r="AA20" s="9"/>
      <c r="AB20" s="9"/>
      <c r="AC20" s="9"/>
      <c r="AD20" s="9"/>
    </row>
    <row r="21" spans="1:30" ht="15.75" customHeight="1">
      <c r="A21" s="2"/>
      <c r="B21" s="9" t="str">
        <f>Summary!C8</f>
        <v>Revenue</v>
      </c>
      <c r="C21" s="9"/>
      <c r="D21" s="143">
        <f>Summary!T8</f>
        <v>528.75300000000004</v>
      </c>
      <c r="E21" s="898">
        <f>Summary!U8</f>
        <v>553.84199999999998</v>
      </c>
      <c r="F21" s="899">
        <f>Summary!V8</f>
        <v>712.96399999999994</v>
      </c>
      <c r="G21" s="898">
        <f>Summary!W8</f>
        <v>766.65695015999995</v>
      </c>
      <c r="H21" s="898">
        <f>Summary!X8</f>
        <v>972.52829778227476</v>
      </c>
      <c r="I21" s="898">
        <f>Summary!Y8</f>
        <v>1040.6052786270343</v>
      </c>
      <c r="J21" s="898">
        <f>Summary!Z8</f>
        <v>1097.838568951521</v>
      </c>
      <c r="K21" s="899">
        <f>Summary!AA8</f>
        <v>1169.5212445076716</v>
      </c>
      <c r="L21" s="898"/>
      <c r="M21" s="900">
        <f>Summary!AC8</f>
        <v>0.16120093930438717</v>
      </c>
      <c r="N21" s="144"/>
      <c r="O21" s="900">
        <f>Summary!AE8</f>
        <v>0.10404837476077167</v>
      </c>
      <c r="P21" s="2"/>
      <c r="Q21" s="2"/>
      <c r="R21" s="9" t="s">
        <v>138</v>
      </c>
      <c r="S21" s="901" t="s">
        <v>132</v>
      </c>
      <c r="T21" s="2"/>
      <c r="U21" s="9"/>
      <c r="V21" s="9"/>
      <c r="W21" s="9"/>
      <c r="Y21" s="9"/>
      <c r="Z21" s="9"/>
      <c r="AA21" s="9"/>
      <c r="AB21" s="9"/>
      <c r="AC21" s="9"/>
      <c r="AD21" s="9"/>
    </row>
    <row r="22" spans="1:30" ht="15.75" customHeight="1">
      <c r="A22" s="2"/>
      <c r="B22" s="902" t="str">
        <f>Summary!C9</f>
        <v>YoY % Growth</v>
      </c>
      <c r="C22" s="9"/>
      <c r="D22" s="143"/>
      <c r="E22" s="903">
        <f>Summary!U9</f>
        <v>4.7449376173752E-2</v>
      </c>
      <c r="F22" s="904">
        <f>Summary!V9</f>
        <v>0.28730576590435541</v>
      </c>
      <c r="G22" s="903">
        <f>Summary!W9</f>
        <v>7.530948289114181E-2</v>
      </c>
      <c r="H22" s="903">
        <f>Summary!X9</f>
        <v>0.26853124801035166</v>
      </c>
      <c r="I22" s="903">
        <f>Summary!Y9</f>
        <v>7.0000000000000284E-2</v>
      </c>
      <c r="J22" s="903">
        <f>Summary!Z9</f>
        <v>5.4999999999999716E-2</v>
      </c>
      <c r="K22" s="904">
        <f>Summary!AA9</f>
        <v>6.5294368027724037E-2</v>
      </c>
      <c r="L22" s="903"/>
      <c r="M22" s="905"/>
      <c r="N22" s="144"/>
      <c r="O22" s="905"/>
      <c r="P22" s="2"/>
      <c r="Q22" s="2"/>
      <c r="R22" s="9"/>
      <c r="S22" s="9"/>
      <c r="T22" s="9"/>
      <c r="U22" s="9"/>
      <c r="V22" s="9"/>
      <c r="W22" s="9"/>
      <c r="Y22" s="9"/>
      <c r="Z22" s="9"/>
      <c r="AA22" s="9"/>
      <c r="AB22" s="9"/>
      <c r="AC22" s="9"/>
      <c r="AD22" s="9"/>
    </row>
    <row r="23" spans="1:30" ht="15.75" customHeight="1">
      <c r="A23" s="2"/>
      <c r="B23" s="2"/>
      <c r="C23" s="2"/>
      <c r="D23" s="143"/>
      <c r="E23" s="80"/>
      <c r="F23" s="906"/>
      <c r="G23" s="80"/>
      <c r="H23" s="80"/>
      <c r="I23" s="80"/>
      <c r="J23" s="80"/>
      <c r="K23" s="907"/>
      <c r="L23" s="2"/>
      <c r="M23" s="905"/>
      <c r="N23" s="144"/>
      <c r="O23" s="905"/>
      <c r="P23" s="2"/>
      <c r="Q23" s="2"/>
      <c r="R23" s="908" t="s">
        <v>139</v>
      </c>
      <c r="S23" s="908" t="s">
        <v>134</v>
      </c>
      <c r="T23" s="908" t="s">
        <v>132</v>
      </c>
      <c r="U23" s="908" t="s">
        <v>140</v>
      </c>
      <c r="W23" s="9"/>
      <c r="Y23" s="9"/>
      <c r="Z23" s="9"/>
      <c r="AA23" s="9"/>
      <c r="AB23" s="9"/>
      <c r="AC23" s="9"/>
      <c r="AD23" s="9"/>
    </row>
    <row r="24" spans="1:30" ht="15.75" customHeight="1">
      <c r="A24" s="2"/>
      <c r="B24" s="9" t="str">
        <f>Summary!C11</f>
        <v>Gross Profit</v>
      </c>
      <c r="C24" s="9"/>
      <c r="D24" s="143">
        <f>Summary!T11</f>
        <v>528.75300000000004</v>
      </c>
      <c r="E24" s="898">
        <f>Summary!U11</f>
        <v>553.84199999999998</v>
      </c>
      <c r="F24" s="899">
        <f>Summary!V11</f>
        <v>712.96399999999994</v>
      </c>
      <c r="G24" s="898">
        <f>Summary!W11</f>
        <v>766.65695015999995</v>
      </c>
      <c r="H24" s="898">
        <f>Summary!X11</f>
        <v>972.52829778227476</v>
      </c>
      <c r="I24" s="898">
        <f>Summary!Y11</f>
        <v>1040.6052786270343</v>
      </c>
      <c r="J24" s="898">
        <f>Summary!Z11</f>
        <v>1097.838568951521</v>
      </c>
      <c r="K24" s="899">
        <f>Summary!AA11</f>
        <v>1169.5212445076716</v>
      </c>
      <c r="L24" s="898"/>
      <c r="M24" s="905">
        <f>Summary!AC11</f>
        <v>0.16120093930438717</v>
      </c>
      <c r="N24" s="144"/>
      <c r="O24" s="905">
        <f>Summary!AE11</f>
        <v>0.10404837476077167</v>
      </c>
      <c r="P24" s="2"/>
      <c r="Q24" s="2"/>
      <c r="R24" s="64" t="s">
        <v>141</v>
      </c>
      <c r="S24" s="909">
        <f>Valuation!D12</f>
        <v>22.107788881681699</v>
      </c>
      <c r="T24" s="909">
        <f>Valuation!D11</f>
        <v>25.0589159465829</v>
      </c>
      <c r="U24" s="910">
        <f>IF($S$21=$S$23,S24,T24)</f>
        <v>25.0589159465829</v>
      </c>
      <c r="W24" s="9"/>
      <c r="X24" s="9"/>
      <c r="Y24" s="9"/>
      <c r="Z24" s="9"/>
      <c r="AA24" s="9"/>
      <c r="AB24" s="9"/>
      <c r="AC24" s="9"/>
      <c r="AD24" s="9"/>
    </row>
    <row r="25" spans="1:30" ht="15.75" customHeight="1">
      <c r="A25" s="2"/>
      <c r="B25" s="902" t="str">
        <f>Summary!C12</f>
        <v>% Margin</v>
      </c>
      <c r="C25" s="9"/>
      <c r="D25" s="143"/>
      <c r="E25" s="903">
        <f>Summary!U12</f>
        <v>1</v>
      </c>
      <c r="F25" s="904">
        <f>Summary!V12</f>
        <v>1</v>
      </c>
      <c r="G25" s="903">
        <f>Summary!W12</f>
        <v>1</v>
      </c>
      <c r="H25" s="903">
        <f>Summary!X12</f>
        <v>1</v>
      </c>
      <c r="I25" s="903">
        <f>Summary!Y12</f>
        <v>1</v>
      </c>
      <c r="J25" s="903">
        <f>Summary!Z12</f>
        <v>1</v>
      </c>
      <c r="K25" s="904">
        <f>Summary!AA12</f>
        <v>1</v>
      </c>
      <c r="L25" s="903"/>
      <c r="M25" s="905"/>
      <c r="N25" s="144"/>
      <c r="O25" s="905"/>
      <c r="P25" s="2"/>
      <c r="Q25" s="2"/>
      <c r="R25" s="64" t="str">
        <f>Model!Y25</f>
        <v>2026e</v>
      </c>
      <c r="S25" s="146">
        <f ca="1">(Comparables!H10*S30)/(Model!Y61)</f>
        <v>24.149010308975377</v>
      </c>
      <c r="T25" s="146">
        <f ca="1">(Comparables!$G$10*S30)/Summary!W19</f>
        <v>18.816316162085847</v>
      </c>
      <c r="U25" s="146">
        <f ca="1">IF($S$21=$S$23,S25,T25)</f>
        <v>18.816316162085847</v>
      </c>
      <c r="W25" s="9"/>
      <c r="X25" s="9"/>
      <c r="Y25" s="9"/>
      <c r="Z25" s="9"/>
      <c r="AA25" s="9"/>
      <c r="AB25" s="9"/>
      <c r="AC25" s="9"/>
      <c r="AD25" s="9"/>
    </row>
    <row r="26" spans="1:30" ht="15.75" customHeight="1">
      <c r="A26" s="2"/>
      <c r="B26" s="902" t="str">
        <f>Summary!C13</f>
        <v>YoY % Growth</v>
      </c>
      <c r="C26" s="9"/>
      <c r="D26" s="143"/>
      <c r="E26" s="903">
        <f>Summary!U13</f>
        <v>4.7449376173752E-2</v>
      </c>
      <c r="F26" s="904">
        <f>Summary!V13</f>
        <v>0.28730576590435541</v>
      </c>
      <c r="G26" s="903">
        <f>Summary!W13</f>
        <v>7.530948289114181E-2</v>
      </c>
      <c r="H26" s="903">
        <f>Summary!X13</f>
        <v>0.26853124801035166</v>
      </c>
      <c r="I26" s="903">
        <f>Summary!Y13</f>
        <v>7.0000000000000284E-2</v>
      </c>
      <c r="J26" s="903">
        <f>Summary!Z13</f>
        <v>5.4999999999999716E-2</v>
      </c>
      <c r="K26" s="904">
        <f>Summary!AA13</f>
        <v>6.5294368027724037E-2</v>
      </c>
      <c r="L26" s="903"/>
      <c r="M26" s="905"/>
      <c r="N26" s="144"/>
      <c r="O26" s="905"/>
      <c r="P26" s="2"/>
      <c r="Q26" s="2"/>
      <c r="R26" s="64" t="str">
        <f>Summary!AA6</f>
        <v>2030e</v>
      </c>
      <c r="S26" s="146">
        <f ca="1">(Comparables!H10*S30)/(Model!AG61)</f>
        <v>15.290729574059721</v>
      </c>
      <c r="T26" s="146">
        <f ca="1">(Comparables!$G$10*S30)/Summary!AA19</f>
        <v>13.154112729939378</v>
      </c>
      <c r="U26" s="146">
        <f ca="1">IF($S$21=$S$23,S26,T26)</f>
        <v>13.154112729939378</v>
      </c>
      <c r="W26" s="9"/>
      <c r="X26" s="9"/>
      <c r="Y26" s="9"/>
      <c r="Z26" s="9"/>
      <c r="AA26" s="9"/>
      <c r="AB26" s="9"/>
      <c r="AC26" s="9"/>
      <c r="AD26" s="9"/>
    </row>
    <row r="27" spans="1:30" ht="15.75" customHeight="1">
      <c r="A27" s="2"/>
      <c r="B27" s="2"/>
      <c r="C27" s="2"/>
      <c r="D27" s="143"/>
      <c r="E27" s="80"/>
      <c r="F27" s="906"/>
      <c r="G27" s="80"/>
      <c r="H27" s="80"/>
      <c r="I27" s="80"/>
      <c r="J27" s="80"/>
      <c r="K27" s="907"/>
      <c r="L27" s="2"/>
      <c r="M27" s="905"/>
      <c r="N27" s="144"/>
      <c r="O27" s="905"/>
      <c r="P27" s="2"/>
      <c r="Q27" s="2"/>
      <c r="R27" s="64" t="s">
        <v>142</v>
      </c>
      <c r="S27" s="146">
        <f>Valuation!K60</f>
        <v>25</v>
      </c>
      <c r="T27" s="146">
        <f ca="1">Valuation!K72/Summary!AA19</f>
        <v>18.609234533056302</v>
      </c>
      <c r="U27" s="146">
        <f ca="1">IF($S$21=$S$23,S27,T27)</f>
        <v>18.609234533056302</v>
      </c>
      <c r="W27" s="9"/>
      <c r="X27" s="9"/>
      <c r="Y27" s="9"/>
      <c r="Z27" s="9"/>
      <c r="AA27" s="9"/>
      <c r="AB27" s="9"/>
      <c r="AC27" s="9"/>
      <c r="AD27" s="9"/>
    </row>
    <row r="28" spans="1:30" ht="15.75" customHeight="1">
      <c r="A28" s="2"/>
      <c r="B28" s="9" t="str">
        <f>Summary!C27</f>
        <v>EBITDA</v>
      </c>
      <c r="C28" s="9"/>
      <c r="D28" s="143">
        <f>Summary!T27</f>
        <v>161.84799999999998</v>
      </c>
      <c r="E28" s="898">
        <f>Summary!U27</f>
        <v>159.471</v>
      </c>
      <c r="F28" s="899">
        <f>Summary!V27</f>
        <v>220.20200000000003</v>
      </c>
      <c r="G28" s="898">
        <f ca="1">Summary!W27</f>
        <v>244.44576090167999</v>
      </c>
      <c r="H28" s="898">
        <f ca="1">Summary!X27</f>
        <v>318.98056384009209</v>
      </c>
      <c r="I28" s="898">
        <f ca="1">Summary!Y27</f>
        <v>346.72967883852772</v>
      </c>
      <c r="J28" s="898">
        <f ca="1">Summary!Z27</f>
        <v>362.39651161089711</v>
      </c>
      <c r="K28" s="899">
        <f ca="1">Summary!AA27</f>
        <v>386.05896281198233</v>
      </c>
      <c r="L28" s="898"/>
      <c r="M28" s="905">
        <f>Summary!AC27</f>
        <v>0.16642538066181878</v>
      </c>
      <c r="N28" s="144"/>
      <c r="O28" s="905">
        <f ca="1">Summary!AE27</f>
        <v>0.11883611378438386</v>
      </c>
      <c r="P28" s="2"/>
      <c r="Q28" s="2"/>
      <c r="R28" s="64" t="s">
        <v>143</v>
      </c>
      <c r="S28" s="146">
        <f ca="1">Valuation!K79</f>
        <v>13.895187235908168</v>
      </c>
      <c r="T28" s="146">
        <f ca="1">Valuation!R72/Summary!AA19</f>
        <v>11.257115191817554</v>
      </c>
      <c r="U28" s="146">
        <f ca="1">IF($S$21=$S$23,S28,T28)</f>
        <v>11.257115191817554</v>
      </c>
      <c r="W28" s="9"/>
      <c r="X28" s="9"/>
      <c r="Y28" s="9"/>
      <c r="Z28" s="9"/>
      <c r="AA28" s="9"/>
      <c r="AB28" s="9"/>
      <c r="AC28" s="9"/>
      <c r="AD28" s="9"/>
    </row>
    <row r="29" spans="1:30" ht="15.75" customHeight="1">
      <c r="A29" s="2"/>
      <c r="B29" s="902" t="str">
        <f>Summary!C28</f>
        <v>Margin</v>
      </c>
      <c r="C29" s="9"/>
      <c r="D29" s="143"/>
      <c r="E29" s="903">
        <f>Summary!U28</f>
        <v>0.28793590951932141</v>
      </c>
      <c r="F29" s="904">
        <f>Summary!V28</f>
        <v>0.30885430400412928</v>
      </c>
      <c r="G29" s="903">
        <f ca="1">Summary!W28</f>
        <v>0.31884633779249583</v>
      </c>
      <c r="H29" s="903">
        <f ca="1">Summary!X28</f>
        <v>0.32799103590865797</v>
      </c>
      <c r="I29" s="903">
        <f ca="1">Summary!Y28</f>
        <v>0.33319999999999989</v>
      </c>
      <c r="J29" s="903">
        <f ca="1">Summary!Z28</f>
        <v>0.3301</v>
      </c>
      <c r="K29" s="904">
        <f ca="1">Summary!AA28</f>
        <v>0.33009999999999995</v>
      </c>
      <c r="L29" s="903"/>
      <c r="M29" s="905"/>
      <c r="N29" s="144"/>
      <c r="O29" s="905"/>
      <c r="P29" s="2"/>
      <c r="Q29" s="2"/>
      <c r="R29" s="9"/>
      <c r="S29" s="9"/>
      <c r="T29" s="9"/>
      <c r="U29" s="9"/>
      <c r="W29" s="9"/>
      <c r="X29" s="9"/>
      <c r="Y29" s="9"/>
      <c r="Z29" s="9"/>
      <c r="AA29" s="9"/>
      <c r="AB29" s="9"/>
      <c r="AC29" s="9"/>
      <c r="AD29" s="9"/>
    </row>
    <row r="30" spans="1:30" ht="15.75" customHeight="1">
      <c r="A30" s="2"/>
      <c r="B30" s="902" t="str">
        <f>Summary!C29</f>
        <v>YoY % Growth</v>
      </c>
      <c r="C30" s="9"/>
      <c r="D30" s="143"/>
      <c r="E30" s="903">
        <f>Summary!U17</f>
        <v>2.4613191503551235E-2</v>
      </c>
      <c r="F30" s="904">
        <f>Summary!V17</f>
        <v>0.28775877990537668</v>
      </c>
      <c r="G30" s="903">
        <f ca="1">Summary!W29</f>
        <v>0.11009782336981488</v>
      </c>
      <c r="H30" s="903">
        <f ca="1">Summary!X29</f>
        <v>0.30491346081632886</v>
      </c>
      <c r="I30" s="903">
        <f ca="1">Summary!Y29</f>
        <v>8.6993121663508477E-2</v>
      </c>
      <c r="J30" s="903">
        <f ca="1">Summary!Z29</f>
        <v>4.5184573829532004E-2</v>
      </c>
      <c r="K30" s="904">
        <f ca="1">Summary!AA29</f>
        <v>6.5294368027723815E-2</v>
      </c>
      <c r="L30" s="903"/>
      <c r="M30" s="905"/>
      <c r="N30" s="144"/>
      <c r="O30" s="905"/>
      <c r="P30" s="2"/>
      <c r="Q30" s="2"/>
      <c r="R30" s="9" t="s">
        <v>144</v>
      </c>
      <c r="S30" s="64">
        <f>IF($B$2="$ in Millions Except Per Share Data",1,IF($B$2="$ in Thousands Except Per Share Data",1000,IF($B$2="$ in Billions Except Per Share Data",0.001,0)))</f>
        <v>1</v>
      </c>
      <c r="T30" s="9"/>
      <c r="U30" s="9"/>
      <c r="V30" s="9"/>
      <c r="W30" s="9"/>
      <c r="X30" s="9"/>
      <c r="Y30" s="9"/>
      <c r="Z30" s="9"/>
      <c r="AA30" s="9"/>
      <c r="AB30" s="9"/>
      <c r="AC30" s="9"/>
      <c r="AD30" s="9"/>
    </row>
    <row r="31" spans="1:30" ht="15.75" customHeight="1">
      <c r="A31" s="2"/>
      <c r="B31" s="2"/>
      <c r="C31" s="2"/>
      <c r="D31" s="143"/>
      <c r="E31" s="80"/>
      <c r="F31" s="906"/>
      <c r="G31" s="80"/>
      <c r="H31" s="80"/>
      <c r="I31" s="80"/>
      <c r="J31" s="80"/>
      <c r="K31" s="906"/>
      <c r="L31" s="80"/>
      <c r="M31" s="905"/>
      <c r="N31" s="144"/>
      <c r="O31" s="905"/>
      <c r="P31" s="2"/>
      <c r="Q31" s="2"/>
      <c r="R31" s="9"/>
      <c r="S31" s="9"/>
      <c r="T31" s="9"/>
      <c r="U31" s="9"/>
      <c r="V31" s="9"/>
      <c r="W31" s="9"/>
      <c r="X31" s="9"/>
      <c r="Y31" s="9"/>
      <c r="Z31" s="9"/>
      <c r="AA31" s="9"/>
      <c r="AB31" s="9"/>
      <c r="AC31" s="9"/>
      <c r="AD31" s="9"/>
    </row>
    <row r="32" spans="1:30" ht="15.75" customHeight="1">
      <c r="A32" s="2"/>
      <c r="B32" s="9" t="str">
        <f>Summary!C19</f>
        <v>Net Income (Loss)</v>
      </c>
      <c r="C32" s="9"/>
      <c r="D32" s="143">
        <f>Summary!T19</f>
        <v>187.05600000000001</v>
      </c>
      <c r="E32" s="898">
        <f>Summary!U19</f>
        <v>227.20400000000001</v>
      </c>
      <c r="F32" s="899">
        <f>Summary!V19</f>
        <v>313.76800000000003</v>
      </c>
      <c r="G32" s="898">
        <f ca="1">Summary!W19</f>
        <v>295.11133593667478</v>
      </c>
      <c r="H32" s="898">
        <f ca="1">Summary!X19</f>
        <v>358.09711216296489</v>
      </c>
      <c r="I32" s="898">
        <f ca="1">Summary!Y19</f>
        <v>374.51535590001902</v>
      </c>
      <c r="J32" s="898">
        <f ca="1">Summary!Z19</f>
        <v>395.85241686641348</v>
      </c>
      <c r="K32" s="899">
        <f ca="1">Summary!AA19</f>
        <v>422.14236064446368</v>
      </c>
      <c r="L32" s="898"/>
      <c r="M32" s="905">
        <f>Summary!AC19</f>
        <v>0.29514532771254909</v>
      </c>
      <c r="N32" s="144"/>
      <c r="O32" s="905">
        <f ca="1">Summary!AE19</f>
        <v>6.1133577096917913E-2</v>
      </c>
      <c r="P32" s="2"/>
      <c r="Q32" s="2"/>
      <c r="R32" s="9"/>
      <c r="S32" s="9"/>
      <c r="T32" s="9"/>
      <c r="U32" s="9"/>
      <c r="V32" s="9"/>
      <c r="W32" s="9"/>
      <c r="X32" s="9"/>
      <c r="Y32" s="9"/>
      <c r="Z32" s="9"/>
      <c r="AA32" s="9"/>
      <c r="AB32" s="9"/>
      <c r="AC32" s="9"/>
      <c r="AD32" s="9"/>
    </row>
    <row r="33" spans="1:30" ht="15.75" customHeight="1">
      <c r="A33" s="2"/>
      <c r="B33" s="902" t="str">
        <f>Summary!C20</f>
        <v>Margin</v>
      </c>
      <c r="C33" s="9"/>
      <c r="D33" s="143"/>
      <c r="E33" s="903">
        <f>Summary!U20</f>
        <v>0.41023252118835341</v>
      </c>
      <c r="F33" s="904">
        <f>Summary!V20</f>
        <v>0.44008954168793946</v>
      </c>
      <c r="G33" s="903">
        <f ca="1">Summary!W20</f>
        <v>0.38493270800595436</v>
      </c>
      <c r="H33" s="903">
        <f ca="1">Summary!X20</f>
        <v>0.36821253734164766</v>
      </c>
      <c r="I33" s="903">
        <f ca="1">Summary!Y20</f>
        <v>0.35990145696180914</v>
      </c>
      <c r="J33" s="903">
        <f ca="1">Summary!Z20</f>
        <v>0.36057433949006557</v>
      </c>
      <c r="K33" s="904">
        <f ca="1">Summary!AA20</f>
        <v>0.36095313584677224</v>
      </c>
      <c r="L33" s="903"/>
      <c r="M33" s="905"/>
      <c r="N33" s="144"/>
      <c r="O33" s="905"/>
      <c r="P33" s="2"/>
      <c r="Q33" s="2"/>
      <c r="R33" s="147"/>
      <c r="S33" s="147"/>
      <c r="T33" s="147"/>
      <c r="U33" s="147"/>
      <c r="V33" s="147"/>
      <c r="W33" s="9"/>
      <c r="X33" s="826"/>
      <c r="Y33" s="826"/>
      <c r="Z33" s="148"/>
      <c r="AA33" s="9"/>
      <c r="AB33" s="9"/>
      <c r="AC33" s="9"/>
      <c r="AD33" s="9"/>
    </row>
    <row r="34" spans="1:30" ht="15.75" customHeight="1">
      <c r="A34" s="2"/>
      <c r="B34" s="902" t="str">
        <f>Summary!C21</f>
        <v>YoY % Growth</v>
      </c>
      <c r="C34" s="9"/>
      <c r="D34" s="143"/>
      <c r="E34" s="903">
        <f>Summary!U21</f>
        <v>0.21463091266786405</v>
      </c>
      <c r="F34" s="904">
        <f>Summary!V21</f>
        <v>0.38099681343638325</v>
      </c>
      <c r="G34" s="903">
        <f ca="1">Summary!W21</f>
        <v>-5.9460059863737702E-2</v>
      </c>
      <c r="H34" s="903">
        <f ca="1">Summary!X21</f>
        <v>0.21343055503569563</v>
      </c>
      <c r="I34" s="903">
        <f ca="1">Summary!Y21</f>
        <v>4.584857900105721E-2</v>
      </c>
      <c r="J34" s="903">
        <f ca="1">Summary!Z21</f>
        <v>5.6972459554076593E-2</v>
      </c>
      <c r="K34" s="904">
        <f ca="1">Summary!AA21</f>
        <v>6.6413498207646748E-2</v>
      </c>
      <c r="L34" s="903"/>
      <c r="M34" s="905"/>
      <c r="N34" s="144"/>
      <c r="O34" s="905"/>
      <c r="P34" s="2"/>
      <c r="Q34" s="2"/>
      <c r="R34" s="826"/>
      <c r="S34" s="826"/>
      <c r="T34" s="826"/>
      <c r="U34" s="826"/>
      <c r="V34" s="826"/>
      <c r="W34" s="9"/>
      <c r="X34" s="9"/>
      <c r="Y34" s="9"/>
      <c r="Z34" s="9"/>
      <c r="AA34" s="9"/>
      <c r="AB34" s="9"/>
      <c r="AC34" s="9"/>
      <c r="AD34" s="9"/>
    </row>
    <row r="35" spans="1:30" ht="15.75" customHeight="1">
      <c r="A35" s="2"/>
      <c r="B35" s="2"/>
      <c r="C35" s="2"/>
      <c r="D35" s="143"/>
      <c r="E35" s="80"/>
      <c r="F35" s="906"/>
      <c r="G35" s="80"/>
      <c r="H35" s="80"/>
      <c r="I35" s="80"/>
      <c r="J35" s="80"/>
      <c r="K35" s="906"/>
      <c r="L35" s="80"/>
      <c r="M35" s="905"/>
      <c r="N35" s="144"/>
      <c r="O35" s="905"/>
      <c r="P35" s="2"/>
      <c r="Q35" s="2"/>
      <c r="R35" s="826"/>
      <c r="S35" s="826"/>
      <c r="T35" s="826"/>
      <c r="U35" s="826"/>
      <c r="V35" s="826"/>
      <c r="W35" s="9"/>
      <c r="X35" s="9"/>
      <c r="Y35" s="9"/>
      <c r="Z35" s="9"/>
      <c r="AA35" s="9"/>
      <c r="AB35" s="9"/>
      <c r="AC35" s="9"/>
      <c r="AD35" s="9"/>
    </row>
    <row r="36" spans="1:30" ht="15.75" customHeight="1">
      <c r="A36" s="2"/>
      <c r="B36" s="9" t="str">
        <f>Summary!C23</f>
        <v>Adj. EPS (Diluted)</v>
      </c>
      <c r="C36" s="9"/>
      <c r="D36" s="143">
        <f>Summary!T23</f>
        <v>2.0297217773473872</v>
      </c>
      <c r="E36" s="911">
        <f>Summary!U23</f>
        <v>2.6133209647495361</v>
      </c>
      <c r="F36" s="912">
        <f>Summary!V23</f>
        <v>5.3949627791563284</v>
      </c>
      <c r="G36" s="911">
        <f ca="1">Summary!W23</f>
        <v>3.7993392151880983</v>
      </c>
      <c r="H36" s="911">
        <f ca="1">Summary!X23</f>
        <v>4.7821320412240276</v>
      </c>
      <c r="I36" s="911">
        <f ca="1">Summary!Y23</f>
        <v>5.2892287943405707</v>
      </c>
      <c r="J36" s="911">
        <f ca="1">Summary!Z23</f>
        <v>5.561176650889875</v>
      </c>
      <c r="K36" s="912">
        <f ca="1">Summary!AA23</f>
        <v>5.9656229973151804</v>
      </c>
      <c r="L36" s="898"/>
      <c r="M36" s="905">
        <f>Summary!AC23</f>
        <v>0.63033169126595223</v>
      </c>
      <c r="N36" s="144"/>
      <c r="O36" s="905">
        <f ca="1">Summary!AE23</f>
        <v>2.0313117914673162E-2</v>
      </c>
      <c r="P36" s="2"/>
      <c r="Q36" s="2"/>
      <c r="R36" s="9"/>
      <c r="S36" s="9"/>
      <c r="T36" s="9"/>
      <c r="U36" s="9"/>
      <c r="V36" s="9"/>
      <c r="W36" s="9"/>
      <c r="X36" s="9"/>
      <c r="Y36" s="9"/>
      <c r="Z36" s="9"/>
      <c r="AA36" s="9"/>
      <c r="AB36" s="9"/>
      <c r="AC36" s="9"/>
      <c r="AD36" s="9"/>
    </row>
    <row r="37" spans="1:30" ht="15.75" customHeight="1">
      <c r="A37" s="2"/>
      <c r="B37" s="902" t="str">
        <f>Summary!C24</f>
        <v>YoY % Growth</v>
      </c>
      <c r="C37" s="9"/>
      <c r="D37" s="143"/>
      <c r="E37" s="903">
        <f>Summary!U24</f>
        <v>0.28752669154727495</v>
      </c>
      <c r="F37" s="904">
        <f>Summary!V24</f>
        <v>1.0644087932281172</v>
      </c>
      <c r="G37" s="903">
        <f ca="1">Summary!W24</f>
        <v>-0.29576173725108734</v>
      </c>
      <c r="H37" s="903">
        <f ca="1">Summary!X24</f>
        <v>0.25867467219224682</v>
      </c>
      <c r="I37" s="903">
        <f ca="1">Summary!Y24</f>
        <v>0.10603988947715193</v>
      </c>
      <c r="J37" s="903">
        <f ca="1">Summary!Z24</f>
        <v>5.141540801568012E-2</v>
      </c>
      <c r="K37" s="904">
        <f ca="1">Summary!AA24</f>
        <v>7.2726757629716365E-2</v>
      </c>
      <c r="L37" s="903"/>
      <c r="M37" s="913"/>
      <c r="N37" s="2"/>
      <c r="O37" s="913"/>
      <c r="P37" s="2"/>
      <c r="Q37" s="2"/>
      <c r="R37" s="9"/>
      <c r="S37" s="9"/>
      <c r="T37" s="9"/>
      <c r="U37" s="9"/>
      <c r="V37" s="9"/>
      <c r="W37" s="9"/>
      <c r="X37" s="9"/>
      <c r="Y37" s="9"/>
      <c r="Z37" s="9"/>
      <c r="AA37" s="9"/>
      <c r="AB37" s="9"/>
      <c r="AC37" s="9"/>
      <c r="AD37" s="9"/>
    </row>
    <row r="38" spans="1:30" ht="15.75" customHeight="1">
      <c r="A38" s="2"/>
      <c r="B38" s="902"/>
      <c r="C38" s="9"/>
      <c r="D38" s="143"/>
      <c r="E38" s="903"/>
      <c r="F38" s="904"/>
      <c r="G38" s="903"/>
      <c r="H38" s="903"/>
      <c r="I38" s="903"/>
      <c r="J38" s="903"/>
      <c r="K38" s="904"/>
      <c r="L38" s="903"/>
      <c r="M38" s="913"/>
      <c r="N38" s="2"/>
      <c r="O38" s="913"/>
      <c r="P38" s="2"/>
      <c r="Q38" s="9"/>
      <c r="R38" s="9"/>
      <c r="S38" s="9"/>
      <c r="T38" s="9"/>
      <c r="U38" s="9"/>
      <c r="V38" s="9"/>
      <c r="W38" s="9"/>
      <c r="X38" s="9"/>
      <c r="Y38" s="9"/>
      <c r="Z38" s="9"/>
      <c r="AA38" s="9"/>
      <c r="AB38" s="9"/>
      <c r="AC38" s="9"/>
      <c r="AD38" s="2"/>
    </row>
    <row r="39" spans="1:30" ht="15.75" customHeight="1">
      <c r="A39" s="2"/>
      <c r="B39" s="9" t="s">
        <v>145</v>
      </c>
      <c r="C39" s="2"/>
      <c r="D39" s="143">
        <f>Model!J114</f>
        <v>191.15300000000002</v>
      </c>
      <c r="E39" s="898">
        <f>Model!O114</f>
        <v>161.31300000000005</v>
      </c>
      <c r="F39" s="899">
        <f>Model!T114</f>
        <v>238.05100000000002</v>
      </c>
      <c r="G39" s="898">
        <f ca="1">Model!Y114</f>
        <v>292.20212879943847</v>
      </c>
      <c r="H39" s="898">
        <f ca="1">Model!AD114</f>
        <v>289.95116687698101</v>
      </c>
      <c r="I39" s="898">
        <f ca="1">Model!AE114</f>
        <v>387.78288756231422</v>
      </c>
      <c r="J39" s="898">
        <f ca="1">Model!AF114</f>
        <v>369.32368204883448</v>
      </c>
      <c r="K39" s="899">
        <f ca="1">Model!AG114</f>
        <v>397.70140627890117</v>
      </c>
      <c r="L39" s="2"/>
      <c r="M39" s="905">
        <f>IFERROR((F39/D39)^(1/2)-1,"N/A")</f>
        <v>0.11594925329227213</v>
      </c>
      <c r="N39" s="2"/>
      <c r="O39" s="905">
        <f ca="1">IFERROR((K39/G39)^(1/4)-1,"N/A")</f>
        <v>8.011112124171138E-2</v>
      </c>
      <c r="P39" s="2"/>
      <c r="Q39" s="2"/>
      <c r="R39" s="9"/>
      <c r="S39" s="9"/>
      <c r="T39" s="9"/>
      <c r="U39" s="9"/>
      <c r="V39" s="9"/>
      <c r="W39" s="9"/>
      <c r="X39" s="9"/>
      <c r="Y39" s="9"/>
      <c r="Z39" s="9"/>
      <c r="AA39" s="9"/>
      <c r="AB39" s="9"/>
      <c r="AC39" s="9"/>
      <c r="AD39" s="9"/>
    </row>
    <row r="40" spans="1:30" ht="15.75" customHeight="1">
      <c r="A40" s="2"/>
      <c r="B40" s="902" t="s">
        <v>101</v>
      </c>
      <c r="C40" s="2"/>
      <c r="D40" s="142"/>
      <c r="E40" s="903">
        <f t="shared" ref="E40:K40" si="0">E39/D39-1</f>
        <v>-0.15610531877605882</v>
      </c>
      <c r="F40" s="904">
        <f t="shared" si="0"/>
        <v>0.47570871535462089</v>
      </c>
      <c r="G40" s="903">
        <f t="shared" ca="1" si="0"/>
        <v>0.2274770061853908</v>
      </c>
      <c r="H40" s="903">
        <f t="shared" ca="1" si="0"/>
        <v>-7.7034412162084731E-3</v>
      </c>
      <c r="I40" s="903">
        <f t="shared" ca="1" si="0"/>
        <v>0.33740757707259283</v>
      </c>
      <c r="J40" s="903">
        <f t="shared" ca="1" si="0"/>
        <v>-4.7601908453253849E-2</v>
      </c>
      <c r="K40" s="904">
        <f t="shared" ca="1" si="0"/>
        <v>7.6837001279312478E-2</v>
      </c>
      <c r="L40" s="2"/>
      <c r="M40" s="914"/>
      <c r="N40" s="2"/>
      <c r="O40" s="914"/>
      <c r="P40" s="2"/>
      <c r="Q40" s="2"/>
      <c r="R40" s="9"/>
      <c r="S40" s="9"/>
      <c r="T40" s="9"/>
      <c r="U40" s="9"/>
      <c r="V40" s="9"/>
      <c r="W40" s="9"/>
      <c r="X40" s="9"/>
      <c r="Y40" s="9"/>
      <c r="Z40" s="9"/>
      <c r="AA40" s="9"/>
      <c r="AB40" s="9"/>
      <c r="AC40" s="9"/>
      <c r="AD40" s="9"/>
    </row>
    <row r="41" spans="1:30" ht="4.5" customHeight="1">
      <c r="A41" s="2"/>
      <c r="B41" s="2"/>
      <c r="C41" s="2"/>
      <c r="D41" s="142"/>
      <c r="E41" s="2"/>
      <c r="F41" s="2"/>
      <c r="G41" s="2"/>
      <c r="H41" s="2"/>
      <c r="I41" s="2"/>
      <c r="J41" s="2"/>
      <c r="K41" s="2"/>
      <c r="L41" s="2"/>
      <c r="M41" s="2"/>
      <c r="N41" s="2"/>
      <c r="O41" s="2"/>
      <c r="P41" s="2"/>
      <c r="Q41" s="2"/>
      <c r="R41" s="9"/>
      <c r="S41" s="9"/>
      <c r="T41" s="9"/>
      <c r="U41" s="9"/>
      <c r="V41" s="9"/>
      <c r="W41" s="9"/>
      <c r="X41" s="9"/>
      <c r="Y41" s="9"/>
      <c r="Z41" s="9"/>
      <c r="AA41" s="9"/>
      <c r="AB41" s="9"/>
      <c r="AC41" s="9"/>
      <c r="AD41" s="9"/>
    </row>
    <row r="42" spans="1:30" ht="15.75" customHeight="1">
      <c r="A42" s="2"/>
      <c r="B42" s="891"/>
      <c r="C42" s="892"/>
      <c r="D42" s="915"/>
      <c r="E42" s="946" t="s">
        <v>94</v>
      </c>
      <c r="F42" s="946"/>
      <c r="G42" s="946"/>
      <c r="H42" s="946"/>
      <c r="I42" s="946"/>
      <c r="J42" s="946"/>
      <c r="K42" s="947"/>
      <c r="L42" s="2"/>
      <c r="M42" s="893" t="s">
        <v>146</v>
      </c>
      <c r="N42" s="139"/>
      <c r="O42" s="893" t="s">
        <v>146</v>
      </c>
      <c r="P42" s="2"/>
      <c r="Q42" s="2"/>
      <c r="R42" s="9"/>
      <c r="S42" s="9"/>
      <c r="T42" s="9"/>
      <c r="U42" s="9"/>
      <c r="V42" s="9"/>
      <c r="W42" s="9"/>
      <c r="X42" s="9"/>
      <c r="Y42" s="9"/>
      <c r="Z42" s="9"/>
      <c r="AA42" s="9"/>
      <c r="AB42" s="9"/>
      <c r="AC42" s="9"/>
      <c r="AD42" s="9"/>
    </row>
    <row r="43" spans="1:30" ht="15.75" customHeight="1">
      <c r="A43" s="2"/>
      <c r="B43" s="894" t="s">
        <v>147</v>
      </c>
      <c r="C43" s="895"/>
      <c r="D43" s="916"/>
      <c r="E43" s="895">
        <f t="shared" ref="E43:K43" si="1">E19</f>
        <v>2024</v>
      </c>
      <c r="F43" s="895">
        <f t="shared" si="1"/>
        <v>2025</v>
      </c>
      <c r="G43" s="895" t="str">
        <f t="shared" si="1"/>
        <v>2026e</v>
      </c>
      <c r="H43" s="895" t="str">
        <f t="shared" si="1"/>
        <v>2027e</v>
      </c>
      <c r="I43" s="895" t="str">
        <f t="shared" si="1"/>
        <v>2028e</v>
      </c>
      <c r="J43" s="895" t="str">
        <f t="shared" si="1"/>
        <v>2029e</v>
      </c>
      <c r="K43" s="895" t="str">
        <f t="shared" si="1"/>
        <v>2030e</v>
      </c>
      <c r="L43" s="2"/>
      <c r="M43" s="897" t="s">
        <v>99</v>
      </c>
      <c r="N43" s="139"/>
      <c r="O43" s="897" t="s">
        <v>100</v>
      </c>
      <c r="P43" s="2"/>
      <c r="Q43" s="2"/>
      <c r="R43" s="9"/>
      <c r="S43" s="9"/>
      <c r="T43" s="9"/>
      <c r="U43" s="9"/>
      <c r="V43" s="9"/>
      <c r="W43" s="9"/>
      <c r="X43" s="9"/>
      <c r="Y43" s="9"/>
      <c r="Z43" s="9"/>
      <c r="AA43" s="9"/>
      <c r="AB43" s="9"/>
      <c r="AC43" s="9"/>
      <c r="AD43" s="9"/>
    </row>
    <row r="44" spans="1:30" ht="15.75" customHeight="1">
      <c r="A44" s="9"/>
      <c r="B44" s="884" t="str">
        <f>Summary!C91</f>
        <v>Leverage</v>
      </c>
      <c r="C44" s="884"/>
      <c r="D44" s="142"/>
      <c r="E44" s="9"/>
      <c r="F44" s="9"/>
      <c r="G44" s="9"/>
      <c r="H44" s="9"/>
      <c r="I44" s="9"/>
      <c r="J44" s="9"/>
      <c r="K44" s="9"/>
      <c r="L44" s="9"/>
      <c r="M44" s="2"/>
      <c r="N44" s="2"/>
      <c r="O44" s="2"/>
      <c r="P44" s="9"/>
      <c r="Q44" s="9"/>
      <c r="R44" s="9"/>
      <c r="S44" s="9"/>
      <c r="T44" s="9"/>
      <c r="U44" s="9"/>
      <c r="V44" s="9"/>
      <c r="W44" s="9"/>
      <c r="X44" s="9"/>
      <c r="Y44" s="9"/>
      <c r="Z44" s="9"/>
      <c r="AA44" s="9"/>
      <c r="AB44" s="9"/>
      <c r="AC44" s="9"/>
      <c r="AD44" s="9"/>
    </row>
    <row r="45" spans="1:30" ht="15.75" customHeight="1">
      <c r="A45" s="2"/>
      <c r="B45" s="103" t="str">
        <f>Summary!C92</f>
        <v>Total Debt / EBITDA</v>
      </c>
      <c r="C45" s="2"/>
      <c r="D45" s="143">
        <f>Summary!T92</f>
        <v>1.3193428401957392</v>
      </c>
      <c r="E45" s="120">
        <f>Summary!U92</f>
        <v>1.2300606379843357</v>
      </c>
      <c r="F45" s="917">
        <f>Summary!V92</f>
        <v>1.3183486071879453</v>
      </c>
      <c r="G45" s="120">
        <f ca="1">Summary!W92</f>
        <v>1.1621473776109472</v>
      </c>
      <c r="H45" s="120">
        <f ca="1">Summary!X92</f>
        <v>0.87178352389961</v>
      </c>
      <c r="I45" s="120">
        <f ca="1">Summary!Y92</f>
        <v>0.78470928970204712</v>
      </c>
      <c r="J45" s="120">
        <f ca="1">Summary!Z92</f>
        <v>0.73422892184373612</v>
      </c>
      <c r="K45" s="917">
        <f ca="1">Summary!AA92</f>
        <v>0.6736846571456615</v>
      </c>
      <c r="L45" s="2"/>
      <c r="M45" s="918">
        <f>AVERAGE(D45:F45)</f>
        <v>1.2892506951226734</v>
      </c>
      <c r="N45" s="144"/>
      <c r="O45" s="918">
        <f ca="1">AVERAGE(G45:K45)</f>
        <v>0.84531075404040035</v>
      </c>
      <c r="P45" s="2"/>
      <c r="Q45" s="2"/>
      <c r="R45" s="9"/>
      <c r="S45" s="9"/>
      <c r="T45" s="9"/>
      <c r="U45" s="9"/>
      <c r="V45" s="9"/>
      <c r="W45" s="9"/>
      <c r="X45" s="9"/>
      <c r="Y45" s="9"/>
      <c r="Z45" s="9"/>
      <c r="AA45" s="9"/>
      <c r="AB45" s="9"/>
      <c r="AC45" s="9"/>
      <c r="AD45" s="9"/>
    </row>
    <row r="46" spans="1:30" ht="13.5" customHeight="1">
      <c r="A46" s="2"/>
      <c r="B46" s="103" t="str">
        <f>Summary!C93</f>
        <v>Total Debt / Equity</v>
      </c>
      <c r="C46" s="2"/>
      <c r="D46" s="143">
        <f>Summary!T93</f>
        <v>0.37188431744085598</v>
      </c>
      <c r="E46" s="120">
        <f>Summary!U93</f>
        <v>0.29019406531175007</v>
      </c>
      <c r="F46" s="917">
        <f>Summary!V93</f>
        <v>0.31421644234463869</v>
      </c>
      <c r="G46" s="120">
        <f ca="1">Summary!W93</f>
        <v>0.25404395319731327</v>
      </c>
      <c r="H46" s="120">
        <f ca="1">Summary!X93</f>
        <v>0.19866934913799708</v>
      </c>
      <c r="I46" s="120">
        <f ca="1">Summary!Y93</f>
        <v>0.16387607834287479</v>
      </c>
      <c r="J46" s="120">
        <f ca="1">Summary!Z93</f>
        <v>0.13748537677320452</v>
      </c>
      <c r="K46" s="917">
        <f ca="1">Summary!AA93</f>
        <v>0.11758546128150543</v>
      </c>
      <c r="L46" s="2"/>
      <c r="M46" s="919">
        <f>AVERAGE(D46:F46)</f>
        <v>0.32543160836574825</v>
      </c>
      <c r="N46" s="144"/>
      <c r="O46" s="919">
        <f ca="1">AVERAGE(G46:K46)</f>
        <v>0.17433204374657901</v>
      </c>
      <c r="P46" s="2"/>
      <c r="Q46" s="2"/>
      <c r="R46" s="9"/>
      <c r="S46" s="9"/>
      <c r="T46" s="9"/>
      <c r="U46" s="9"/>
      <c r="V46" s="9"/>
      <c r="W46" s="9"/>
      <c r="X46" s="9"/>
      <c r="Y46" s="9"/>
      <c r="Z46" s="9"/>
      <c r="AA46" s="9"/>
      <c r="AB46" s="9"/>
      <c r="AC46" s="9"/>
      <c r="AD46" s="9"/>
    </row>
    <row r="47" spans="1:30" ht="13.5" customHeight="1">
      <c r="A47" s="2"/>
      <c r="B47" s="103" t="str">
        <f>Summary!C94</f>
        <v>Total Debt / Total Assets</v>
      </c>
      <c r="C47" s="2"/>
      <c r="D47" s="143">
        <f>Summary!T94</f>
        <v>0.18722047305537798</v>
      </c>
      <c r="E47" s="120">
        <f>Summary!U94</f>
        <v>0.15431010069225928</v>
      </c>
      <c r="F47" s="917">
        <f>Summary!V94</f>
        <v>0.17174084733680206</v>
      </c>
      <c r="G47" s="120">
        <f ca="1">Summary!W94</f>
        <v>0.14479637108886464</v>
      </c>
      <c r="H47" s="120">
        <f ca="1">Summary!X94</f>
        <v>0.12009780493055164</v>
      </c>
      <c r="I47" s="120">
        <f ca="1">Summary!Y94</f>
        <v>0.10528227408394225</v>
      </c>
      <c r="J47" s="120">
        <f ca="1">Summary!Z94</f>
        <v>9.2518496967012503E-2</v>
      </c>
      <c r="K47" s="917">
        <f ca="1">Summary!AA94</f>
        <v>8.1920071324393315E-2</v>
      </c>
      <c r="L47" s="2"/>
      <c r="M47" s="919">
        <f>AVERAGE(D47:F47)</f>
        <v>0.17109047369481312</v>
      </c>
      <c r="N47" s="144"/>
      <c r="O47" s="919">
        <f ca="1">AVERAGE(G47:K47)</f>
        <v>0.10892300367895287</v>
      </c>
      <c r="P47" s="2"/>
      <c r="Q47" s="2"/>
      <c r="R47" s="9"/>
      <c r="S47" s="9"/>
      <c r="T47" s="9"/>
      <c r="U47" s="9"/>
      <c r="V47" s="9"/>
      <c r="W47" s="9"/>
      <c r="X47" s="9"/>
      <c r="Y47" s="9"/>
      <c r="Z47" s="9"/>
      <c r="AA47" s="9"/>
      <c r="AB47" s="9"/>
      <c r="AC47" s="9"/>
      <c r="AD47" s="9"/>
    </row>
    <row r="48" spans="1:30" ht="13.5" customHeight="1">
      <c r="A48" s="2"/>
      <c r="B48" s="2"/>
      <c r="C48" s="2"/>
      <c r="D48" s="143"/>
      <c r="E48" s="2"/>
      <c r="F48" s="907"/>
      <c r="G48" s="2"/>
      <c r="H48" s="2"/>
      <c r="I48" s="2"/>
      <c r="J48" s="2"/>
      <c r="K48" s="907"/>
      <c r="L48" s="2"/>
      <c r="M48" s="905"/>
      <c r="N48" s="144"/>
      <c r="O48" s="905"/>
      <c r="P48" s="2"/>
      <c r="Q48" s="2"/>
      <c r="R48" s="9"/>
      <c r="S48" s="9"/>
      <c r="T48" s="9"/>
      <c r="U48" s="9"/>
      <c r="V48" s="9"/>
      <c r="W48" s="9"/>
      <c r="X48" s="9"/>
      <c r="Y48" s="9"/>
      <c r="Z48" s="9"/>
      <c r="AA48" s="9"/>
      <c r="AB48" s="9"/>
      <c r="AC48" s="9"/>
      <c r="AD48" s="9"/>
    </row>
    <row r="49" spans="1:30" ht="13.5" customHeight="1">
      <c r="A49" s="2"/>
      <c r="B49" s="884" t="str">
        <f>Summary!C103</f>
        <v>Liquidity</v>
      </c>
      <c r="C49" s="920"/>
      <c r="D49" s="143"/>
      <c r="E49" s="2"/>
      <c r="F49" s="907"/>
      <c r="G49" s="2"/>
      <c r="H49" s="2"/>
      <c r="I49" s="2"/>
      <c r="J49" s="2"/>
      <c r="K49" s="907"/>
      <c r="L49" s="2"/>
      <c r="M49" s="905"/>
      <c r="N49" s="144"/>
      <c r="O49" s="905"/>
      <c r="P49" s="2"/>
      <c r="Q49" s="2"/>
      <c r="R49" s="9"/>
      <c r="S49" s="9"/>
      <c r="T49" s="9"/>
      <c r="U49" s="9"/>
      <c r="V49" s="9"/>
      <c r="W49" s="9"/>
      <c r="X49" s="9"/>
      <c r="Y49" s="9"/>
      <c r="Z49" s="9"/>
      <c r="AA49" s="9"/>
      <c r="AB49" s="9"/>
      <c r="AC49" s="9"/>
      <c r="AD49" s="9"/>
    </row>
    <row r="50" spans="1:30" ht="13.5" customHeight="1">
      <c r="A50" s="2"/>
      <c r="B50" s="103" t="str">
        <f>Summary!C104</f>
        <v>Current Ratio</v>
      </c>
      <c r="C50" s="2"/>
      <c r="D50" s="143">
        <f>Summary!T104</f>
        <v>2.8331681255355257</v>
      </c>
      <c r="E50" s="120">
        <f>Summary!U104</f>
        <v>3.0165024961245992</v>
      </c>
      <c r="F50" s="917">
        <f>Summary!V104</f>
        <v>4.3968219416630383</v>
      </c>
      <c r="G50" s="120">
        <f ca="1">Summary!W104</f>
        <v>3.5792447139294037</v>
      </c>
      <c r="H50" s="120">
        <f ca="1">Summary!X104</f>
        <v>2.8666791521649375</v>
      </c>
      <c r="I50" s="120">
        <f ca="1">Summary!Y104</f>
        <v>2.8172853121858745</v>
      </c>
      <c r="J50" s="120">
        <f ca="1">Summary!Z104</f>
        <v>2.8451005992832057</v>
      </c>
      <c r="K50" s="917">
        <f ca="1">Summary!AA104</f>
        <v>2.6800465270812799</v>
      </c>
      <c r="L50" s="2"/>
      <c r="M50" s="919">
        <f>AVERAGE(D50:F50)</f>
        <v>3.4154975211077208</v>
      </c>
      <c r="N50" s="144"/>
      <c r="O50" s="919">
        <f ca="1">AVERAGE(G50:K50)</f>
        <v>2.9576712609289411</v>
      </c>
      <c r="P50" s="2"/>
      <c r="Q50" s="2"/>
      <c r="R50" s="9"/>
      <c r="S50" s="9"/>
      <c r="T50" s="9"/>
      <c r="U50" s="9"/>
      <c r="V50" s="9"/>
      <c r="W50" s="9"/>
      <c r="X50" s="9"/>
      <c r="Y50" s="9"/>
      <c r="Z50" s="9"/>
      <c r="AA50" s="9"/>
      <c r="AB50" s="9"/>
      <c r="AC50" s="9"/>
      <c r="AD50" s="9"/>
    </row>
    <row r="51" spans="1:30" ht="13.5" customHeight="1">
      <c r="A51" s="2"/>
      <c r="B51" s="103" t="str">
        <f>Summary!C105</f>
        <v>Quick Ratio</v>
      </c>
      <c r="C51" s="2"/>
      <c r="D51" s="143">
        <f>Summary!T105</f>
        <v>2.466793232640581</v>
      </c>
      <c r="E51" s="120">
        <f>Summary!U105</f>
        <v>2.7210199323788253</v>
      </c>
      <c r="F51" s="917">
        <f>Summary!V105</f>
        <v>4.0623342699964384</v>
      </c>
      <c r="G51" s="120">
        <f ca="1">Summary!W105</f>
        <v>3.2751069527469689</v>
      </c>
      <c r="H51" s="120">
        <f ca="1">Summary!X105</f>
        <v>2.5692708072747039</v>
      </c>
      <c r="I51" s="120">
        <f ca="1">Summary!Y105</f>
        <v>2.5163107994422464</v>
      </c>
      <c r="J51" s="120">
        <f ca="1">Summary!Z105</f>
        <v>2.5441260865395772</v>
      </c>
      <c r="K51" s="917">
        <f ca="1">Summary!AA105</f>
        <v>2.3790720143376518</v>
      </c>
      <c r="L51" s="2"/>
      <c r="M51" s="919">
        <f>AVERAGE(D51:F51)</f>
        <v>3.0833824783386148</v>
      </c>
      <c r="N51" s="144"/>
      <c r="O51" s="919">
        <f ca="1">AVERAGE(G51:K51)</f>
        <v>2.6567773320682297</v>
      </c>
      <c r="P51" s="2"/>
      <c r="Q51" s="2"/>
      <c r="R51" s="9"/>
      <c r="S51" s="9"/>
      <c r="T51" s="9"/>
      <c r="U51" s="9"/>
      <c r="V51" s="9"/>
      <c r="W51" s="9"/>
      <c r="X51" s="9"/>
      <c r="Y51" s="9"/>
      <c r="Z51" s="9"/>
      <c r="AA51" s="9"/>
      <c r="AB51" s="9"/>
      <c r="AC51" s="9"/>
      <c r="AD51" s="9"/>
    </row>
    <row r="52" spans="1:30" ht="13.5" customHeight="1">
      <c r="A52" s="2"/>
      <c r="B52" s="103" t="str">
        <f>Summary!C106</f>
        <v>Cash Ratio</v>
      </c>
      <c r="C52" s="2"/>
      <c r="D52" s="143">
        <f>Summary!T106</f>
        <v>1.6748038507417551</v>
      </c>
      <c r="E52" s="120">
        <f>Summary!U106</f>
        <v>1.3992212579491501</v>
      </c>
      <c r="F52" s="917">
        <f>Summary!V106</f>
        <v>2.2673942296275778</v>
      </c>
      <c r="G52" s="120">
        <f ca="1">Summary!W106</f>
        <v>1.969298086800646</v>
      </c>
      <c r="H52" s="120">
        <f ca="1">Summary!X106</f>
        <v>1.1792100648529593</v>
      </c>
      <c r="I52" s="120">
        <f ca="1">Summary!Y106</f>
        <v>1.3468955070884234</v>
      </c>
      <c r="J52" s="120">
        <f ca="1">Summary!Z106</f>
        <v>1.3447257866895022</v>
      </c>
      <c r="K52" s="917">
        <f ca="1">Summary!AA106</f>
        <v>1.179671714487577</v>
      </c>
      <c r="L52" s="2"/>
      <c r="M52" s="919">
        <f>AVERAGE(D52:F52)</f>
        <v>1.7804731127728275</v>
      </c>
      <c r="N52" s="144"/>
      <c r="O52" s="919">
        <f ca="1">AVERAGE(G52:K52)</f>
        <v>1.4039602319838216</v>
      </c>
      <c r="P52" s="2"/>
      <c r="Q52" s="2"/>
      <c r="R52" s="9"/>
      <c r="S52" s="9"/>
      <c r="T52" s="9"/>
      <c r="U52" s="9"/>
      <c r="V52" s="9"/>
      <c r="W52" s="9"/>
      <c r="X52" s="9"/>
      <c r="Y52" s="9"/>
      <c r="Z52" s="9"/>
      <c r="AA52" s="9"/>
      <c r="AB52" s="9"/>
      <c r="AC52" s="9"/>
      <c r="AD52" s="9"/>
    </row>
    <row r="53" spans="1:30" ht="13.5" customHeight="1">
      <c r="A53" s="2"/>
      <c r="B53" s="2"/>
      <c r="C53" s="2"/>
      <c r="D53" s="143"/>
      <c r="E53" s="2"/>
      <c r="F53" s="907"/>
      <c r="G53" s="2"/>
      <c r="H53" s="2"/>
      <c r="I53" s="2"/>
      <c r="J53" s="2"/>
      <c r="K53" s="907"/>
      <c r="L53" s="2"/>
      <c r="M53" s="905"/>
      <c r="N53" s="144"/>
      <c r="O53" s="905"/>
      <c r="P53" s="2"/>
      <c r="Q53" s="2"/>
      <c r="R53" s="9"/>
      <c r="S53" s="9"/>
      <c r="T53" s="9"/>
      <c r="U53" s="9"/>
      <c r="V53" s="9"/>
      <c r="W53" s="9"/>
      <c r="X53" s="9"/>
      <c r="Y53" s="9"/>
      <c r="Z53" s="9"/>
      <c r="AA53" s="9"/>
      <c r="AB53" s="9"/>
      <c r="AC53" s="9"/>
      <c r="AD53" s="9"/>
    </row>
    <row r="54" spans="1:30" ht="13.5" customHeight="1">
      <c r="A54" s="2"/>
      <c r="B54" s="884" t="str">
        <f>Summary!C75</f>
        <v>Profitability</v>
      </c>
      <c r="C54" s="884"/>
      <c r="D54" s="143"/>
      <c r="E54" s="2"/>
      <c r="F54" s="907"/>
      <c r="G54" s="2"/>
      <c r="H54" s="2"/>
      <c r="I54" s="2"/>
      <c r="J54" s="2"/>
      <c r="K54" s="907"/>
      <c r="L54" s="2"/>
      <c r="M54" s="905"/>
      <c r="N54" s="144"/>
      <c r="O54" s="905"/>
      <c r="P54" s="2"/>
      <c r="Q54" s="2"/>
      <c r="R54" s="9"/>
      <c r="S54" s="9"/>
      <c r="T54" s="9"/>
      <c r="U54" s="9"/>
      <c r="V54" s="9"/>
      <c r="W54" s="9"/>
      <c r="X54" s="9"/>
      <c r="Y54" s="9"/>
      <c r="Z54" s="9"/>
      <c r="AA54" s="9"/>
      <c r="AB54" s="9"/>
      <c r="AC54" s="9"/>
      <c r="AD54" s="9"/>
    </row>
    <row r="55" spans="1:30" ht="13.5" customHeight="1">
      <c r="A55" s="2"/>
      <c r="B55" s="103" t="str">
        <f>Summary!C80</f>
        <v>Return on Assets (ROA)</v>
      </c>
      <c r="C55" s="2"/>
      <c r="D55" s="143">
        <f>Summary!T80</f>
        <v>0.16400609183520481</v>
      </c>
      <c r="E55" s="117">
        <f>Summary!U80</f>
        <v>0.17873190685966017</v>
      </c>
      <c r="F55" s="921">
        <f>Summary!V80</f>
        <v>0.1856225467431398</v>
      </c>
      <c r="G55" s="117">
        <f ca="1">Summary!W80</f>
        <v>0.15041801490702458</v>
      </c>
      <c r="H55" s="117">
        <f ca="1">Summary!X80</f>
        <v>0.15465465985839294</v>
      </c>
      <c r="I55" s="117">
        <f ca="1">Summary!Y80</f>
        <v>0.1449189154317852</v>
      </c>
      <c r="J55" s="117">
        <f ca="1">Summary!Z80</f>
        <v>0.13764054174743065</v>
      </c>
      <c r="K55" s="921">
        <f ca="1">Summary!AA80</f>
        <v>0.13296549662430401</v>
      </c>
      <c r="L55" s="2"/>
      <c r="M55" s="905">
        <f>AVERAGE(D55:F55)</f>
        <v>0.17612018181266828</v>
      </c>
      <c r="N55" s="144"/>
      <c r="O55" s="905">
        <f ca="1">AVERAGE(G55:K55)</f>
        <v>0.14411952571378747</v>
      </c>
      <c r="P55" s="2"/>
      <c r="Q55" s="2"/>
      <c r="R55" s="9"/>
      <c r="S55" s="9"/>
      <c r="T55" s="9"/>
      <c r="U55" s="9"/>
      <c r="V55" s="9"/>
      <c r="W55" s="9"/>
      <c r="X55" s="9"/>
      <c r="Y55" s="9"/>
      <c r="Z55" s="9"/>
      <c r="AA55" s="9"/>
      <c r="AB55" s="9"/>
      <c r="AC55" s="9"/>
      <c r="AD55" s="9"/>
    </row>
    <row r="56" spans="1:30" ht="13.5" customHeight="1">
      <c r="A56" s="2"/>
      <c r="B56" s="103" t="str">
        <f>Summary!C81</f>
        <v>Return on Equity (ROE)</v>
      </c>
      <c r="C56" s="2"/>
      <c r="D56" s="143">
        <f>Summary!T81</f>
        <v>0.32577256388107118</v>
      </c>
      <c r="E56" s="117">
        <f>Summary!U81</f>
        <v>0.33612147500288475</v>
      </c>
      <c r="F56" s="921">
        <f>Summary!V81</f>
        <v>0.33961435011554342</v>
      </c>
      <c r="G56" s="117">
        <f ca="1">Summary!W81</f>
        <v>0.26390707758567311</v>
      </c>
      <c r="H56" s="117">
        <f ca="1">Summary!X81</f>
        <v>0.25583432297528275</v>
      </c>
      <c r="I56" s="117">
        <f ca="1">Summary!Y81</f>
        <v>0.22557209886755153</v>
      </c>
      <c r="J56" s="117">
        <f ca="1">Summary!Z81</f>
        <v>0.20453814493074496</v>
      </c>
      <c r="K56" s="921">
        <f ca="1">Summary!AA81</f>
        <v>0.19085443899555865</v>
      </c>
      <c r="L56" s="2"/>
      <c r="M56" s="905">
        <f>AVERAGE(D56:F56)</f>
        <v>0.33383612966649978</v>
      </c>
      <c r="N56" s="144"/>
      <c r="O56" s="905">
        <f ca="1">AVERAGE(G56:K56)</f>
        <v>0.22814121667096215</v>
      </c>
      <c r="P56" s="2"/>
      <c r="Q56" s="2"/>
      <c r="R56" s="9"/>
      <c r="S56" s="9"/>
      <c r="T56" s="9"/>
      <c r="U56" s="9"/>
      <c r="V56" s="9"/>
      <c r="W56" s="9"/>
      <c r="X56" s="9"/>
      <c r="Y56" s="9"/>
      <c r="Z56" s="9"/>
      <c r="AA56" s="9"/>
      <c r="AB56" s="9"/>
      <c r="AC56" s="9"/>
      <c r="AD56" s="9"/>
    </row>
    <row r="57" spans="1:30" ht="13.5" customHeight="1">
      <c r="A57" s="2"/>
      <c r="B57" s="103" t="s">
        <v>148</v>
      </c>
      <c r="C57" s="2"/>
      <c r="D57" s="143">
        <f>Summary!T82</f>
        <v>0.23746358183376179</v>
      </c>
      <c r="E57" s="117">
        <f>Summary!U82</f>
        <v>0.26052009076763782</v>
      </c>
      <c r="F57" s="921">
        <f>Summary!V82</f>
        <v>0.25841584321502753</v>
      </c>
      <c r="G57" s="117">
        <f ca="1">Summary!W82</f>
        <v>0.21044483880554193</v>
      </c>
      <c r="H57" s="117">
        <f ca="1">Summary!X82</f>
        <v>0.21343193864034457</v>
      </c>
      <c r="I57" s="117">
        <f ca="1">Summary!Y82</f>
        <v>0.19381109644312028</v>
      </c>
      <c r="J57" s="117">
        <f ca="1">Summary!Z82</f>
        <v>0.17981606542580322</v>
      </c>
      <c r="K57" s="921">
        <f ca="1">Summary!AA82</f>
        <v>0.17077391001195646</v>
      </c>
      <c r="L57" s="2"/>
      <c r="M57" s="905">
        <f>AVERAGE(D57:F57)</f>
        <v>0.25213317193880908</v>
      </c>
      <c r="N57" s="144"/>
      <c r="O57" s="905">
        <f ca="1">AVERAGE(G57:K57)</f>
        <v>0.19365556986535332</v>
      </c>
      <c r="P57" s="2"/>
      <c r="Q57" s="2"/>
      <c r="R57" s="9"/>
      <c r="S57" s="9"/>
      <c r="T57" s="9"/>
      <c r="U57" s="9"/>
      <c r="V57" s="9"/>
      <c r="W57" s="9"/>
      <c r="X57" s="9"/>
      <c r="Y57" s="9"/>
      <c r="Z57" s="9"/>
      <c r="AA57" s="9"/>
      <c r="AB57" s="9"/>
      <c r="AC57" s="9"/>
      <c r="AD57" s="9"/>
    </row>
    <row r="58" spans="1:30" ht="15" customHeight="1">
      <c r="A58" s="2"/>
      <c r="B58" s="2"/>
      <c r="C58" s="2"/>
      <c r="D58" s="2"/>
      <c r="E58" s="2"/>
      <c r="F58" s="907"/>
      <c r="G58" s="2"/>
      <c r="H58" s="2"/>
      <c r="I58" s="2"/>
      <c r="J58" s="2"/>
      <c r="K58" s="907"/>
      <c r="L58" s="2"/>
      <c r="M58" s="905"/>
      <c r="N58" s="144"/>
      <c r="O58" s="905"/>
      <c r="P58" s="2"/>
      <c r="Q58" s="2"/>
      <c r="R58" s="9"/>
      <c r="S58" s="9"/>
      <c r="T58" s="9"/>
      <c r="U58" s="9"/>
      <c r="V58" s="9"/>
      <c r="W58" s="9"/>
      <c r="X58" s="9"/>
      <c r="Y58" s="9"/>
      <c r="Z58" s="9"/>
      <c r="AA58" s="9"/>
      <c r="AB58" s="9"/>
      <c r="AC58" s="9"/>
      <c r="AD58" s="9"/>
    </row>
    <row r="59" spans="1:30" ht="13.5" customHeight="1">
      <c r="A59" s="2"/>
      <c r="B59" s="884" t="str">
        <f>Summary!C84</f>
        <v>Coverage</v>
      </c>
      <c r="C59" s="884"/>
      <c r="D59" s="143"/>
      <c r="E59" s="2"/>
      <c r="F59" s="907"/>
      <c r="G59" s="2"/>
      <c r="H59" s="2"/>
      <c r="I59" s="2"/>
      <c r="J59" s="2"/>
      <c r="K59" s="907"/>
      <c r="L59" s="2"/>
      <c r="M59" s="905"/>
      <c r="N59" s="144"/>
      <c r="O59" s="905"/>
      <c r="P59" s="2"/>
      <c r="Q59" s="2"/>
      <c r="R59" s="9"/>
      <c r="S59" s="9"/>
      <c r="T59" s="9"/>
      <c r="U59" s="9"/>
      <c r="V59" s="9"/>
      <c r="W59" s="9"/>
      <c r="X59" s="9"/>
      <c r="Y59" s="9"/>
      <c r="Z59" s="9"/>
      <c r="AA59" s="9"/>
      <c r="AB59" s="9"/>
      <c r="AC59" s="9"/>
      <c r="AD59" s="9"/>
    </row>
    <row r="60" spans="1:30" ht="13.5" customHeight="1">
      <c r="A60" s="2"/>
      <c r="B60" s="103" t="s">
        <v>114</v>
      </c>
      <c r="C60" s="2"/>
      <c r="D60" s="143">
        <f>Summary!T85</f>
        <v>8.6180000000000003</v>
      </c>
      <c r="E60" s="898">
        <f>Summary!U85</f>
        <v>11.175000000000001</v>
      </c>
      <c r="F60" s="899">
        <f>Summary!V85</f>
        <v>13.331999999999999</v>
      </c>
      <c r="G60" s="898">
        <f ca="1">Summary!W85</f>
        <v>11.350740100000001</v>
      </c>
      <c r="H60" s="898">
        <f ca="1">Summary!X85</f>
        <v>9.8097618000000004</v>
      </c>
      <c r="I60" s="898">
        <f ca="1">Summary!Y85</f>
        <v>9.6003617999999999</v>
      </c>
      <c r="J60" s="898">
        <f ca="1">Summary!Z85</f>
        <v>9.3909617999999995</v>
      </c>
      <c r="K60" s="899">
        <f ca="1">Summary!AA85</f>
        <v>9.1815618000000008</v>
      </c>
      <c r="L60" s="2"/>
      <c r="M60" s="922">
        <f>AVERAGE(D60:F60)</f>
        <v>11.041666666666666</v>
      </c>
      <c r="N60" s="898"/>
      <c r="O60" s="922">
        <f ca="1">AVERAGE(G60:K60)</f>
        <v>9.86667746</v>
      </c>
      <c r="P60" s="2"/>
      <c r="Q60" s="2"/>
      <c r="R60" s="9"/>
      <c r="S60" s="9"/>
      <c r="T60" s="9"/>
      <c r="U60" s="9"/>
      <c r="V60" s="9"/>
      <c r="W60" s="9"/>
      <c r="X60" s="9"/>
      <c r="Y60" s="9"/>
      <c r="Z60" s="9"/>
      <c r="AA60" s="9"/>
      <c r="AB60" s="9"/>
      <c r="AC60" s="9"/>
      <c r="AD60" s="9"/>
    </row>
    <row r="61" spans="1:30" ht="13.5" customHeight="1">
      <c r="A61" s="2"/>
      <c r="B61" s="103" t="s">
        <v>115</v>
      </c>
      <c r="C61" s="2"/>
      <c r="D61" s="143">
        <f>Summary!T86</f>
        <v>-2.9279999999999973</v>
      </c>
      <c r="E61" s="923">
        <f>Summary!U86</f>
        <v>4.6859999999999928</v>
      </c>
      <c r="F61" s="924">
        <f>Summary!V86</f>
        <v>3.561000000000007</v>
      </c>
      <c r="G61" s="923">
        <f>Summary!W86</f>
        <v>4.3432346315999979</v>
      </c>
      <c r="H61" s="923">
        <f>Summary!X86</f>
        <v>7.7802263822581992</v>
      </c>
      <c r="I61" s="923">
        <f>Summary!Y86</f>
        <v>8.3248422290162747</v>
      </c>
      <c r="J61" s="923">
        <f>Summary!Z86</f>
        <v>8.7827085516121688</v>
      </c>
      <c r="K61" s="924">
        <f>Summary!AA86</f>
        <v>9.3561699560613718</v>
      </c>
      <c r="L61" s="2"/>
      <c r="M61" s="925">
        <f>AVERAGE(D61:F61)</f>
        <v>1.7730000000000008</v>
      </c>
      <c r="N61" s="923"/>
      <c r="O61" s="925">
        <f>AVERAGE(G61:K61)</f>
        <v>7.7174363501096028</v>
      </c>
      <c r="P61" s="2"/>
      <c r="Q61" s="2"/>
      <c r="R61" s="9"/>
      <c r="S61" s="9"/>
      <c r="T61" s="9"/>
      <c r="U61" s="9"/>
      <c r="V61" s="9"/>
      <c r="W61" s="9"/>
      <c r="X61" s="9"/>
      <c r="Y61" s="9"/>
      <c r="Z61" s="9"/>
      <c r="AA61" s="9"/>
      <c r="AB61" s="9"/>
      <c r="AC61" s="9"/>
      <c r="AD61" s="9"/>
    </row>
    <row r="62" spans="1:30" ht="13.5" customHeight="1">
      <c r="A62" s="2"/>
      <c r="B62" s="103" t="s">
        <v>149</v>
      </c>
      <c r="C62" s="2"/>
      <c r="D62" s="143">
        <f>Summary!T87</f>
        <v>27.838477605012766</v>
      </c>
      <c r="E62" s="120">
        <f>Summary!U87</f>
        <v>21.997046979865772</v>
      </c>
      <c r="F62" s="917">
        <f>Summary!V87</f>
        <v>23.743849384938496</v>
      </c>
      <c r="G62" s="120">
        <f ca="1">Summary!W87</f>
        <v>29.315061616050919</v>
      </c>
      <c r="H62" s="120">
        <f ca="1">Summary!X87</f>
        <v>42.629696477072279</v>
      </c>
      <c r="I62" s="120">
        <f ca="1">Summary!Y87</f>
        <v>45.524765225343316</v>
      </c>
      <c r="J62" s="120">
        <f ca="1">Summary!Z87</f>
        <v>49.099571351641409</v>
      </c>
      <c r="K62" s="917">
        <f ca="1">Summary!AA87</f>
        <v>53.498406196342543</v>
      </c>
      <c r="L62" s="2"/>
      <c r="M62" s="919">
        <f>AVERAGE(D62:F62)</f>
        <v>24.526457989939015</v>
      </c>
      <c r="N62" s="120"/>
      <c r="O62" s="919">
        <f ca="1">AVERAGE(G62:K62)</f>
        <v>44.013500173290097</v>
      </c>
      <c r="P62" s="2"/>
      <c r="Q62" s="2"/>
      <c r="R62" s="9"/>
      <c r="S62" s="9"/>
      <c r="T62" s="9"/>
      <c r="U62" s="9"/>
      <c r="V62" s="9"/>
      <c r="W62" s="9"/>
      <c r="X62" s="9"/>
      <c r="Y62" s="9"/>
      <c r="Z62" s="9"/>
      <c r="AA62" s="9"/>
      <c r="AB62" s="9"/>
      <c r="AC62" s="9"/>
      <c r="AD62" s="9"/>
    </row>
    <row r="63" spans="1:30" ht="13.5" customHeight="1">
      <c r="A63" s="2"/>
      <c r="B63" s="103" t="s">
        <v>150</v>
      </c>
      <c r="C63" s="2"/>
      <c r="D63" s="143">
        <f>Summary!T88</f>
        <v>18.780227430958458</v>
      </c>
      <c r="E63" s="120">
        <f>Summary!U88</f>
        <v>14.270335570469799</v>
      </c>
      <c r="F63" s="917">
        <f>Summary!V88</f>
        <v>16.516801680168019</v>
      </c>
      <c r="G63" s="120">
        <f ca="1">Summary!W88</f>
        <v>21.535667167789345</v>
      </c>
      <c r="H63" s="120">
        <f ca="1">Summary!X88</f>
        <v>32.516647227875815</v>
      </c>
      <c r="I63" s="120">
        <f ca="1">Summary!Y88</f>
        <v>36.116313745439022</v>
      </c>
      <c r="J63" s="120">
        <f ca="1">Summary!Z88</f>
        <v>38.589925007563885</v>
      </c>
      <c r="K63" s="917">
        <f ca="1">Summary!AA88</f>
        <v>42.04719972717303</v>
      </c>
      <c r="L63" s="2"/>
      <c r="M63" s="919">
        <f>AVERAGE(D63:F63)</f>
        <v>16.522454893865426</v>
      </c>
      <c r="N63" s="120"/>
      <c r="O63" s="919">
        <f ca="1">AVERAGE(G63:K63)</f>
        <v>34.161150575168222</v>
      </c>
      <c r="P63" s="2"/>
      <c r="Q63" s="2"/>
      <c r="R63" s="9"/>
      <c r="S63" s="9"/>
      <c r="T63" s="9"/>
      <c r="U63" s="9"/>
      <c r="V63" s="9"/>
      <c r="W63" s="9"/>
      <c r="X63" s="9"/>
      <c r="Y63" s="9"/>
      <c r="Z63" s="9"/>
      <c r="AA63" s="9"/>
      <c r="AB63" s="9"/>
      <c r="AC63" s="9"/>
      <c r="AD63" s="9"/>
    </row>
    <row r="64" spans="1:30" ht="13.5" customHeight="1">
      <c r="A64" s="2"/>
      <c r="B64" s="103" t="s">
        <v>151</v>
      </c>
      <c r="D64" s="143">
        <f>Summary!T89</f>
        <v>19.119981434207471</v>
      </c>
      <c r="E64" s="120">
        <f>Summary!U89</f>
        <v>13.851006711409397</v>
      </c>
      <c r="F64" s="917">
        <f>Summary!V89</f>
        <v>16.249699969997003</v>
      </c>
      <c r="G64" s="120">
        <f ca="1">Summary!W89</f>
        <v>21.15302827434838</v>
      </c>
      <c r="H64" s="120">
        <f ca="1">Summary!X89</f>
        <v>31.723536595744239</v>
      </c>
      <c r="I64" s="120">
        <f ca="1">Summary!Y89</f>
        <v>35.249175360194386</v>
      </c>
      <c r="J64" s="120">
        <f ca="1">Summary!Z89</f>
        <v>37.654695077056424</v>
      </c>
      <c r="K64" s="917">
        <f ca="1">Summary!AA89</f>
        <v>41.028182466290311</v>
      </c>
      <c r="L64" s="2"/>
      <c r="M64" s="919">
        <f>AVERAGE(D64:F64)</f>
        <v>16.406896038537958</v>
      </c>
      <c r="N64" s="120"/>
      <c r="O64" s="919">
        <f ca="1">AVERAGE(G64:K64)</f>
        <v>33.361723554726744</v>
      </c>
      <c r="P64" s="2"/>
      <c r="Q64" s="2"/>
      <c r="R64" s="9"/>
      <c r="S64" s="9"/>
      <c r="T64" s="9"/>
      <c r="U64" s="9"/>
      <c r="V64" s="9"/>
      <c r="W64" s="9"/>
      <c r="X64" s="9"/>
      <c r="Y64" s="9"/>
      <c r="Z64" s="9"/>
      <c r="AA64" s="9"/>
      <c r="AB64" s="9"/>
      <c r="AC64" s="9"/>
      <c r="AD64" s="9"/>
    </row>
    <row r="65" spans="1:30" ht="13.5" customHeight="1">
      <c r="A65" s="2"/>
      <c r="B65" s="103"/>
      <c r="C65" s="9"/>
      <c r="D65" s="143"/>
      <c r="E65" s="2"/>
      <c r="F65" s="907"/>
      <c r="G65" s="2"/>
      <c r="H65" s="2"/>
      <c r="I65" s="2"/>
      <c r="J65" s="2"/>
      <c r="K65" s="907"/>
      <c r="L65" s="2"/>
      <c r="M65" s="905"/>
      <c r="N65" s="144"/>
      <c r="O65" s="905"/>
      <c r="P65" s="2"/>
      <c r="Q65" s="2"/>
      <c r="R65" s="9"/>
      <c r="S65" s="9"/>
      <c r="T65" s="9"/>
      <c r="U65" s="9"/>
      <c r="V65" s="9"/>
      <c r="W65" s="9"/>
      <c r="X65" s="9"/>
      <c r="Y65" s="9"/>
      <c r="Z65" s="9"/>
      <c r="AA65" s="9"/>
      <c r="AB65" s="9"/>
      <c r="AC65" s="9"/>
      <c r="AD65" s="9"/>
    </row>
    <row r="66" spans="1:30" ht="13.5" customHeight="1">
      <c r="A66" s="2"/>
      <c r="B66" s="884" t="str">
        <f>Summary!C96</f>
        <v>Efficiency</v>
      </c>
      <c r="C66" s="884"/>
      <c r="D66" s="143"/>
      <c r="E66" s="2"/>
      <c r="F66" s="907"/>
      <c r="G66" s="2"/>
      <c r="H66" s="2"/>
      <c r="I66" s="2"/>
      <c r="J66" s="2"/>
      <c r="K66" s="907"/>
      <c r="L66" s="2"/>
      <c r="M66" s="905"/>
      <c r="N66" s="144"/>
      <c r="O66" s="905"/>
      <c r="P66" s="2"/>
      <c r="Q66" s="2"/>
      <c r="R66" s="9"/>
      <c r="S66" s="9"/>
      <c r="T66" s="9"/>
      <c r="U66" s="9"/>
      <c r="V66" s="9"/>
      <c r="W66" s="9"/>
      <c r="X66" s="9"/>
      <c r="Y66" s="9"/>
      <c r="Z66" s="9"/>
      <c r="AA66" s="9"/>
      <c r="AB66" s="9"/>
      <c r="AC66" s="9"/>
      <c r="AD66" s="9"/>
    </row>
    <row r="67" spans="1:30" ht="13.5" customHeight="1">
      <c r="A67" s="2"/>
      <c r="B67" s="103" t="str">
        <f>Summary!C97</f>
        <v>Asset Turnover</v>
      </c>
      <c r="C67" s="9"/>
      <c r="D67" s="143">
        <f>Summary!T97</f>
        <v>0.46359760219474405</v>
      </c>
      <c r="E67" s="124">
        <f>Summary!U97</f>
        <v>0.43568439269981118</v>
      </c>
      <c r="F67" s="926">
        <f>Summary!V97</f>
        <v>0.4217835898376377</v>
      </c>
      <c r="G67" s="124">
        <f ca="1">Summary!W97</f>
        <v>0.3907644421442561</v>
      </c>
      <c r="H67" s="124">
        <f ca="1">Summary!X97</f>
        <v>0.42001464962312218</v>
      </c>
      <c r="I67" s="124">
        <f ca="1">Summary!Y97</f>
        <v>0.40266276401088102</v>
      </c>
      <c r="J67" s="124">
        <f ca="1">Summary!Z97</f>
        <v>0.38172583756815809</v>
      </c>
      <c r="K67" s="926">
        <f ca="1">Summary!AA97</f>
        <v>0.36837329675049291</v>
      </c>
      <c r="L67" s="2"/>
      <c r="M67" s="919">
        <f>AVERAGE(D67:F67)</f>
        <v>0.44035519491073094</v>
      </c>
      <c r="N67" s="124"/>
      <c r="O67" s="919">
        <f ca="1">AVERAGE(G67:K67)</f>
        <v>0.39270819801938206</v>
      </c>
      <c r="P67" s="2"/>
      <c r="Q67" s="2"/>
      <c r="R67" s="9"/>
      <c r="S67" s="9"/>
      <c r="T67" s="9"/>
      <c r="U67" s="9"/>
      <c r="V67" s="9"/>
      <c r="W67" s="9"/>
      <c r="X67" s="9"/>
      <c r="Y67" s="9"/>
      <c r="Z67" s="9"/>
      <c r="AA67" s="9"/>
      <c r="AB67" s="9"/>
      <c r="AC67" s="9"/>
      <c r="AD67" s="9"/>
    </row>
    <row r="68" spans="1:30" ht="13.5" customHeight="1">
      <c r="A68" s="2"/>
      <c r="B68" s="103" t="str">
        <f>Summary!C98</f>
        <v>Days Sales Outstanding</v>
      </c>
      <c r="C68" s="2"/>
      <c r="D68" s="143">
        <f>Summary!T98</f>
        <v>33.172044413932397</v>
      </c>
      <c r="E68" s="126">
        <f>Summary!U98</f>
        <v>51.217057391819324</v>
      </c>
      <c r="F68" s="927">
        <f>Summary!V98</f>
        <v>74.156079409339043</v>
      </c>
      <c r="G68" s="126">
        <f>Summary!W98</f>
        <v>86.432473818167892</v>
      </c>
      <c r="H68" s="126">
        <f>Summary!X98</f>
        <v>80.054628900311897</v>
      </c>
      <c r="I68" s="126">
        <f>Summary!Y98</f>
        <v>78</v>
      </c>
      <c r="J68" s="126">
        <f>Summary!Z98</f>
        <v>80</v>
      </c>
      <c r="K68" s="927">
        <f>Summary!AA98</f>
        <v>80</v>
      </c>
      <c r="L68" s="2"/>
      <c r="M68" s="928">
        <f>AVERAGE(D68:F68)</f>
        <v>52.84839373836359</v>
      </c>
      <c r="N68" s="126"/>
      <c r="O68" s="928">
        <f>AVERAGE(G68:K68)</f>
        <v>80.897420543695958</v>
      </c>
      <c r="P68" s="2"/>
      <c r="Q68" s="2"/>
      <c r="R68" s="9"/>
      <c r="S68" s="9"/>
      <c r="T68" s="9"/>
      <c r="U68" s="9"/>
      <c r="V68" s="9"/>
      <c r="W68" s="9"/>
      <c r="X68" s="9"/>
      <c r="Y68" s="9"/>
      <c r="Z68" s="9"/>
      <c r="AA68" s="9"/>
      <c r="AB68" s="9"/>
      <c r="AC68" s="9"/>
      <c r="AD68" s="9"/>
    </row>
    <row r="69" spans="1:30" ht="13.5" customHeight="1">
      <c r="A69" s="2"/>
      <c r="B69" s="103" t="str">
        <f>Summary!C99</f>
        <v>Days Inventory Outstanding</v>
      </c>
      <c r="C69" s="2"/>
      <c r="D69" s="143">
        <f>Summary!T99</f>
        <v>0</v>
      </c>
      <c r="E69" s="126">
        <f>Summary!U99</f>
        <v>0</v>
      </c>
      <c r="F69" s="927">
        <f>Summary!V99</f>
        <v>0</v>
      </c>
      <c r="G69" s="126">
        <f>Summary!W99</f>
        <v>0</v>
      </c>
      <c r="H69" s="126">
        <f>Summary!X99</f>
        <v>0</v>
      </c>
      <c r="I69" s="126">
        <f>Summary!Y99</f>
        <v>0</v>
      </c>
      <c r="J69" s="126">
        <f>Summary!Z99</f>
        <v>0</v>
      </c>
      <c r="K69" s="927">
        <f>Summary!AA99</f>
        <v>0</v>
      </c>
      <c r="L69" s="2"/>
      <c r="M69" s="928">
        <f>AVERAGE(D69:F69)</f>
        <v>0</v>
      </c>
      <c r="N69" s="126"/>
      <c r="O69" s="928">
        <f>AVERAGE(G69:K69)</f>
        <v>0</v>
      </c>
      <c r="P69" s="2"/>
      <c r="Q69" s="2"/>
      <c r="R69" s="9"/>
      <c r="S69" s="9"/>
      <c r="T69" s="9"/>
      <c r="U69" s="9"/>
      <c r="V69" s="9"/>
      <c r="W69" s="9"/>
      <c r="X69" s="9"/>
      <c r="Y69" s="9"/>
      <c r="Z69" s="9"/>
      <c r="AA69" s="9"/>
      <c r="AB69" s="9"/>
      <c r="AC69" s="9"/>
      <c r="AD69" s="9"/>
    </row>
    <row r="70" spans="1:30" ht="13.5" customHeight="1">
      <c r="A70" s="2"/>
      <c r="B70" s="103" t="str">
        <f>Summary!C100</f>
        <v>Days Payables Outstanding</v>
      </c>
      <c r="C70" s="2"/>
      <c r="D70" s="143">
        <f>Summary!T100</f>
        <v>3.8381462465508704</v>
      </c>
      <c r="E70" s="126">
        <f>Summary!U100</f>
        <v>5.0165652138625116</v>
      </c>
      <c r="F70" s="927">
        <f>Summary!V100</f>
        <v>5.0255164463145574</v>
      </c>
      <c r="G70" s="126">
        <f>Summary!W100</f>
        <v>5.593758122614525</v>
      </c>
      <c r="H70" s="126">
        <f>Summary!X100</f>
        <v>5.6147599864982052</v>
      </c>
      <c r="I70" s="126">
        <f>Summary!Y100</f>
        <v>5.5</v>
      </c>
      <c r="J70" s="126">
        <f>Summary!Z100</f>
        <v>5.5</v>
      </c>
      <c r="K70" s="927">
        <f>Summary!AA100</f>
        <v>5.5</v>
      </c>
      <c r="L70" s="2"/>
      <c r="M70" s="928">
        <f>AVERAGE(D70:F70)</f>
        <v>4.6267426355759795</v>
      </c>
      <c r="N70" s="126"/>
      <c r="O70" s="928">
        <f>AVERAGE(G70:K70)</f>
        <v>5.5417036218225464</v>
      </c>
      <c r="P70" s="2"/>
      <c r="Q70" s="2"/>
      <c r="R70" s="9"/>
      <c r="S70" s="9"/>
      <c r="T70" s="9"/>
      <c r="U70" s="9"/>
      <c r="V70" s="9"/>
      <c r="W70" s="9"/>
      <c r="X70" s="9"/>
      <c r="Y70" s="9"/>
      <c r="Z70" s="9"/>
      <c r="AA70" s="9"/>
      <c r="AB70" s="9"/>
      <c r="AC70" s="9"/>
      <c r="AD70" s="9"/>
    </row>
    <row r="71" spans="1:30" ht="13.5" customHeight="1">
      <c r="A71" s="2"/>
      <c r="B71" s="103" t="str">
        <f>Summary!C101</f>
        <v>Cash Conversion Cycle</v>
      </c>
      <c r="C71" s="2"/>
      <c r="D71" s="143">
        <f>Summary!T101</f>
        <v>29.333898167381527</v>
      </c>
      <c r="E71" s="126">
        <f>Summary!U101</f>
        <v>46.200492177956811</v>
      </c>
      <c r="F71" s="927">
        <f>Summary!V101</f>
        <v>69.130562963024488</v>
      </c>
      <c r="G71" s="126">
        <f>Summary!W101</f>
        <v>80.838715695553361</v>
      </c>
      <c r="H71" s="126">
        <f>Summary!X101</f>
        <v>74.439868913813697</v>
      </c>
      <c r="I71" s="126">
        <f>Summary!Y101</f>
        <v>72.5</v>
      </c>
      <c r="J71" s="126">
        <f>Summary!Z101</f>
        <v>74.5</v>
      </c>
      <c r="K71" s="927">
        <f>Summary!AA101</f>
        <v>74.5</v>
      </c>
      <c r="L71" s="2"/>
      <c r="M71" s="929">
        <f>AVERAGE(D71:F71)</f>
        <v>48.221651102787611</v>
      </c>
      <c r="N71" s="126"/>
      <c r="O71" s="929">
        <f>AVERAGE(G71:K71)</f>
        <v>75.355716921873409</v>
      </c>
      <c r="P71" s="2"/>
      <c r="Q71" s="2"/>
      <c r="R71" s="9"/>
      <c r="S71" s="9"/>
      <c r="T71" s="9"/>
      <c r="U71" s="9"/>
      <c r="V71" s="9"/>
      <c r="W71" s="9"/>
      <c r="X71" s="9"/>
      <c r="Y71" s="9"/>
      <c r="Z71" s="9"/>
      <c r="AA71" s="9"/>
      <c r="AB71" s="9"/>
      <c r="AC71" s="9"/>
      <c r="AD71" s="9"/>
    </row>
    <row r="72" spans="1:30" ht="13.5" customHeight="1">
      <c r="A72" s="2"/>
      <c r="B72" s="103"/>
      <c r="C72" s="2"/>
      <c r="D72" s="2"/>
      <c r="E72" s="2"/>
      <c r="F72" s="2"/>
      <c r="G72" s="2"/>
      <c r="H72" s="2"/>
      <c r="I72" s="2"/>
      <c r="J72" s="2"/>
      <c r="K72" s="2"/>
      <c r="L72" s="2"/>
      <c r="M72" s="2"/>
      <c r="N72" s="2"/>
      <c r="O72" s="2"/>
      <c r="P72" s="2"/>
      <c r="Q72" s="2"/>
      <c r="R72" s="9"/>
      <c r="S72" s="9"/>
      <c r="T72" s="9"/>
      <c r="U72" s="9"/>
      <c r="V72" s="9"/>
      <c r="W72" s="9"/>
      <c r="X72" s="9"/>
      <c r="Y72" s="9"/>
      <c r="Z72" s="9"/>
      <c r="AA72" s="9"/>
      <c r="AB72" s="9"/>
      <c r="AC72" s="9"/>
      <c r="AD72" s="9"/>
    </row>
    <row r="73" spans="1:30" ht="13.5" customHeight="1">
      <c r="A73" s="2"/>
      <c r="B73" s="2"/>
      <c r="C73" s="2"/>
      <c r="D73" s="2"/>
      <c r="E73" s="2"/>
      <c r="F73" s="2"/>
      <c r="G73" s="2"/>
      <c r="H73" s="2"/>
      <c r="I73" s="2"/>
      <c r="J73" s="2"/>
      <c r="K73" s="2"/>
      <c r="L73" s="2"/>
      <c r="M73" s="2"/>
      <c r="N73" s="2"/>
      <c r="O73" s="2"/>
      <c r="P73" s="2"/>
      <c r="Q73" s="2"/>
      <c r="R73" s="9"/>
      <c r="S73" s="9"/>
      <c r="T73" s="9"/>
      <c r="U73" s="9"/>
      <c r="V73" s="9"/>
      <c r="W73" s="9"/>
      <c r="X73" s="9"/>
      <c r="Y73" s="9"/>
      <c r="Z73" s="9"/>
      <c r="AA73" s="9"/>
      <c r="AB73" s="9"/>
      <c r="AC73" s="9"/>
      <c r="AD73" s="9"/>
    </row>
    <row r="74" spans="1:30" ht="13.5" customHeight="1">
      <c r="A74" s="2"/>
      <c r="B74" s="2"/>
      <c r="C74" s="2"/>
      <c r="D74" s="2"/>
      <c r="E74" s="2"/>
      <c r="F74" s="2"/>
      <c r="G74" s="2"/>
      <c r="H74" s="2"/>
      <c r="I74" s="2"/>
      <c r="J74" s="2"/>
      <c r="K74" s="2"/>
      <c r="L74" s="2"/>
      <c r="M74" s="2"/>
      <c r="N74" s="2"/>
      <c r="O74" s="2"/>
      <c r="P74" s="2"/>
      <c r="Q74" s="2"/>
      <c r="R74" s="9"/>
      <c r="S74" s="9"/>
      <c r="T74" s="9"/>
      <c r="U74" s="9"/>
      <c r="V74" s="9"/>
      <c r="W74" s="9"/>
      <c r="X74" s="9"/>
      <c r="Y74" s="9"/>
      <c r="Z74" s="9"/>
      <c r="AA74" s="9"/>
      <c r="AB74" s="9"/>
      <c r="AC74" s="9"/>
      <c r="AD74" s="9"/>
    </row>
    <row r="75" spans="1:30" ht="13.5" customHeight="1">
      <c r="A75" s="2"/>
      <c r="B75" s="2"/>
      <c r="C75" s="2"/>
      <c r="D75" s="2"/>
      <c r="E75" s="2"/>
      <c r="F75" s="2"/>
      <c r="G75" s="2"/>
      <c r="H75" s="2"/>
      <c r="I75" s="2"/>
      <c r="J75" s="2"/>
      <c r="K75" s="2"/>
      <c r="L75" s="2"/>
      <c r="M75" s="2"/>
      <c r="N75" s="2"/>
      <c r="O75" s="2"/>
      <c r="P75" s="2"/>
      <c r="Q75" s="2"/>
      <c r="R75" s="9"/>
      <c r="S75" s="9"/>
      <c r="T75" s="9"/>
      <c r="U75" s="9"/>
      <c r="V75" s="9"/>
      <c r="W75" s="9"/>
      <c r="X75" s="9"/>
      <c r="Y75" s="9"/>
      <c r="Z75" s="9"/>
      <c r="AA75" s="9"/>
      <c r="AB75" s="9"/>
      <c r="AC75" s="9"/>
      <c r="AD75" s="9"/>
    </row>
    <row r="76" spans="1:30" ht="13.5" customHeight="1">
      <c r="A76" s="2"/>
      <c r="B76" s="2"/>
      <c r="C76" s="2"/>
      <c r="D76" s="2"/>
      <c r="E76" s="2"/>
      <c r="F76" s="2"/>
      <c r="G76" s="2"/>
      <c r="H76" s="2"/>
      <c r="I76" s="2"/>
      <c r="J76" s="2"/>
      <c r="K76" s="2"/>
      <c r="L76" s="2"/>
      <c r="M76" s="2"/>
      <c r="N76" s="2"/>
      <c r="O76" s="2"/>
      <c r="P76" s="2"/>
      <c r="Q76" s="2"/>
      <c r="R76" s="9"/>
      <c r="S76" s="9"/>
      <c r="T76" s="9"/>
      <c r="U76" s="9"/>
      <c r="V76" s="9"/>
      <c r="W76" s="9"/>
      <c r="X76" s="9"/>
      <c r="Y76" s="9"/>
      <c r="Z76" s="9"/>
      <c r="AA76" s="9"/>
      <c r="AB76" s="9"/>
      <c r="AC76" s="9"/>
      <c r="AD76" s="9"/>
    </row>
    <row r="77" spans="1:30" ht="13.5" customHeight="1">
      <c r="A77" s="2"/>
      <c r="B77" s="2"/>
      <c r="C77" s="2"/>
      <c r="D77" s="2"/>
      <c r="E77" s="2"/>
      <c r="F77" s="2"/>
      <c r="G77" s="2"/>
      <c r="H77" s="2"/>
      <c r="I77" s="2"/>
      <c r="J77" s="2"/>
      <c r="K77" s="2"/>
      <c r="L77" s="2"/>
      <c r="M77" s="2"/>
      <c r="N77" s="2"/>
      <c r="O77" s="2"/>
      <c r="P77" s="2"/>
      <c r="Q77" s="2"/>
      <c r="R77" s="9"/>
      <c r="S77" s="9"/>
      <c r="T77" s="9"/>
      <c r="U77" s="9"/>
      <c r="V77" s="9"/>
      <c r="W77" s="9"/>
      <c r="X77" s="9"/>
      <c r="Y77" s="9"/>
      <c r="Z77" s="9"/>
      <c r="AA77" s="9"/>
      <c r="AB77" s="9"/>
      <c r="AC77" s="9"/>
      <c r="AD77" s="9"/>
    </row>
    <row r="78" spans="1:30" ht="13.5" customHeight="1">
      <c r="A78" s="2"/>
      <c r="B78" s="2"/>
      <c r="C78" s="2"/>
      <c r="D78" s="2"/>
      <c r="E78" s="2"/>
      <c r="F78" s="2"/>
      <c r="G78" s="2"/>
      <c r="H78" s="2"/>
      <c r="I78" s="2"/>
      <c r="J78" s="2"/>
      <c r="K78" s="2"/>
      <c r="L78" s="2"/>
      <c r="M78" s="2"/>
      <c r="N78" s="2"/>
      <c r="O78" s="2"/>
      <c r="P78" s="2"/>
      <c r="Q78" s="2"/>
      <c r="R78" s="9"/>
      <c r="S78" s="9"/>
      <c r="T78" s="9"/>
      <c r="U78" s="9"/>
      <c r="V78" s="9"/>
      <c r="W78" s="9"/>
      <c r="X78" s="9"/>
      <c r="Y78" s="9"/>
      <c r="Z78" s="9"/>
      <c r="AA78" s="9"/>
      <c r="AB78" s="9"/>
      <c r="AC78" s="9"/>
      <c r="AD78" s="9"/>
    </row>
    <row r="79" spans="1:30" ht="13.5" customHeight="1">
      <c r="A79" s="2"/>
      <c r="B79" s="2"/>
      <c r="C79" s="2"/>
      <c r="D79" s="2"/>
      <c r="E79" s="2"/>
      <c r="F79" s="2"/>
      <c r="G79" s="2"/>
      <c r="H79" s="2"/>
      <c r="I79" s="2"/>
      <c r="J79" s="2"/>
      <c r="K79" s="2"/>
      <c r="L79" s="2"/>
      <c r="M79" s="2"/>
      <c r="N79" s="2"/>
      <c r="O79" s="2"/>
      <c r="P79" s="2"/>
      <c r="Q79" s="2"/>
      <c r="R79" s="9"/>
      <c r="S79" s="9"/>
      <c r="T79" s="9"/>
      <c r="U79" s="9"/>
      <c r="V79" s="9"/>
      <c r="W79" s="9"/>
      <c r="X79" s="9"/>
      <c r="Y79" s="9"/>
      <c r="Z79" s="9"/>
      <c r="AA79" s="9"/>
      <c r="AB79" s="9"/>
      <c r="AC79" s="9"/>
      <c r="AD79" s="9"/>
    </row>
    <row r="80" spans="1:30" ht="13.5" customHeight="1">
      <c r="A80" s="2"/>
      <c r="B80" s="2"/>
      <c r="C80" s="2"/>
      <c r="D80" s="2"/>
      <c r="E80" s="2"/>
      <c r="F80" s="2"/>
      <c r="G80" s="2"/>
      <c r="H80" s="2"/>
      <c r="I80" s="2"/>
      <c r="J80" s="2"/>
      <c r="K80" s="2"/>
      <c r="L80" s="2"/>
      <c r="M80" s="2"/>
      <c r="N80" s="2"/>
      <c r="O80" s="2"/>
      <c r="P80" s="2"/>
      <c r="Q80" s="2"/>
      <c r="R80" s="9"/>
      <c r="S80" s="9"/>
      <c r="T80" s="9"/>
      <c r="U80" s="9"/>
      <c r="V80" s="9"/>
      <c r="W80" s="9"/>
      <c r="X80" s="9"/>
      <c r="Y80" s="9"/>
      <c r="Z80" s="9"/>
      <c r="AA80" s="9"/>
      <c r="AB80" s="9"/>
      <c r="AC80" s="9"/>
      <c r="AD80" s="9"/>
    </row>
    <row r="81" spans="1:30" ht="13.5" customHeight="1">
      <c r="A81" s="2"/>
      <c r="B81" s="2"/>
      <c r="C81" s="2"/>
      <c r="D81" s="2"/>
      <c r="E81" s="2"/>
      <c r="F81" s="2"/>
      <c r="G81" s="2"/>
      <c r="H81" s="2"/>
      <c r="I81" s="2"/>
      <c r="J81" s="2"/>
      <c r="K81" s="2"/>
      <c r="L81" s="2"/>
      <c r="M81" s="2"/>
      <c r="N81" s="2"/>
      <c r="O81" s="2"/>
      <c r="P81" s="2"/>
      <c r="Q81" s="2"/>
      <c r="R81" s="9"/>
      <c r="S81" s="9"/>
      <c r="T81" s="9"/>
      <c r="U81" s="9"/>
      <c r="V81" s="9"/>
      <c r="W81" s="9"/>
      <c r="X81" s="9"/>
      <c r="Y81" s="9"/>
      <c r="Z81" s="9"/>
      <c r="AA81" s="9"/>
      <c r="AB81" s="9"/>
      <c r="AC81" s="9"/>
      <c r="AD81" s="9"/>
    </row>
    <row r="82" spans="1:30" ht="13.5" customHeight="1">
      <c r="A82" s="2"/>
      <c r="B82" s="2"/>
      <c r="C82" s="2"/>
      <c r="D82" s="2"/>
      <c r="E82" s="2"/>
      <c r="F82" s="2"/>
      <c r="G82" s="2"/>
      <c r="H82" s="2"/>
      <c r="I82" s="2"/>
      <c r="J82" s="2"/>
      <c r="K82" s="2"/>
      <c r="L82" s="2"/>
      <c r="M82" s="2"/>
      <c r="N82" s="2"/>
      <c r="O82" s="2"/>
      <c r="P82" s="2"/>
      <c r="Q82" s="2"/>
      <c r="R82" s="9"/>
      <c r="S82" s="9"/>
      <c r="T82" s="9"/>
      <c r="U82" s="9"/>
      <c r="V82" s="9"/>
      <c r="W82" s="9"/>
      <c r="X82" s="9"/>
      <c r="Y82" s="9"/>
      <c r="Z82" s="9"/>
      <c r="AA82" s="9"/>
      <c r="AB82" s="9"/>
      <c r="AC82" s="9"/>
      <c r="AD82" s="9"/>
    </row>
    <row r="83" spans="1:30" ht="13.5" customHeight="1">
      <c r="A83" s="2"/>
      <c r="B83" s="2"/>
      <c r="C83" s="2"/>
      <c r="D83" s="2"/>
      <c r="E83" s="2"/>
      <c r="F83" s="2"/>
      <c r="G83" s="2"/>
      <c r="H83" s="2"/>
      <c r="I83" s="2"/>
      <c r="J83" s="2"/>
      <c r="K83" s="2"/>
      <c r="L83" s="2"/>
      <c r="M83" s="2"/>
      <c r="N83" s="2"/>
      <c r="O83" s="2"/>
      <c r="P83" s="2"/>
      <c r="Q83" s="2"/>
      <c r="R83" s="9"/>
      <c r="S83" s="9"/>
      <c r="T83" s="9"/>
      <c r="U83" s="9"/>
      <c r="V83" s="9"/>
      <c r="W83" s="9"/>
      <c r="X83" s="9"/>
      <c r="Y83" s="9"/>
      <c r="Z83" s="9"/>
      <c r="AA83" s="9"/>
      <c r="AB83" s="9"/>
      <c r="AC83" s="9"/>
      <c r="AD83" s="9"/>
    </row>
    <row r="84" spans="1:30" ht="13.5" customHeight="1">
      <c r="A84" s="2"/>
      <c r="B84" s="2"/>
      <c r="C84" s="2"/>
      <c r="D84" s="2"/>
      <c r="E84" s="2"/>
      <c r="F84" s="2"/>
      <c r="G84" s="2"/>
      <c r="H84" s="2"/>
      <c r="I84" s="2"/>
      <c r="J84" s="2"/>
      <c r="K84" s="2"/>
      <c r="L84" s="2"/>
      <c r="M84" s="2"/>
      <c r="N84" s="2"/>
      <c r="O84" s="2"/>
      <c r="P84" s="2"/>
      <c r="Q84" s="2"/>
      <c r="R84" s="9"/>
      <c r="S84" s="9"/>
      <c r="T84" s="9"/>
      <c r="U84" s="9"/>
      <c r="V84" s="9"/>
      <c r="W84" s="9"/>
      <c r="X84" s="9"/>
      <c r="Y84" s="9"/>
      <c r="Z84" s="9"/>
      <c r="AA84" s="9"/>
      <c r="AB84" s="9"/>
      <c r="AC84" s="9"/>
      <c r="AD84" s="9"/>
    </row>
    <row r="85" spans="1:30" ht="13.5" customHeight="1">
      <c r="A85" s="2"/>
      <c r="B85" s="2"/>
      <c r="C85" s="2"/>
      <c r="D85" s="2"/>
      <c r="E85" s="2"/>
      <c r="F85" s="2"/>
      <c r="G85" s="2"/>
      <c r="H85" s="2"/>
      <c r="I85" s="2"/>
      <c r="J85" s="2"/>
      <c r="K85" s="2"/>
      <c r="L85" s="2"/>
      <c r="M85" s="2"/>
      <c r="N85" s="2"/>
      <c r="O85" s="2"/>
      <c r="P85" s="2"/>
      <c r="Q85" s="2"/>
      <c r="R85" s="9"/>
      <c r="S85" s="9"/>
      <c r="T85" s="9"/>
      <c r="U85" s="9"/>
      <c r="V85" s="9"/>
      <c r="W85" s="9"/>
      <c r="X85" s="9"/>
      <c r="Y85" s="9"/>
      <c r="Z85" s="9"/>
      <c r="AA85" s="9"/>
      <c r="AB85" s="9"/>
      <c r="AC85" s="9"/>
      <c r="AD85" s="9"/>
    </row>
    <row r="86" spans="1:30" ht="13.5" customHeight="1">
      <c r="A86" s="2"/>
      <c r="B86" s="2"/>
      <c r="C86" s="2"/>
      <c r="D86" s="2"/>
      <c r="E86" s="2"/>
      <c r="F86" s="2"/>
      <c r="G86" s="2"/>
      <c r="H86" s="2"/>
      <c r="I86" s="2"/>
      <c r="J86" s="2"/>
      <c r="K86" s="2"/>
      <c r="L86" s="2"/>
      <c r="M86" s="2"/>
      <c r="N86" s="2"/>
      <c r="O86" s="2"/>
      <c r="P86" s="2"/>
      <c r="Q86" s="2"/>
      <c r="R86" s="9"/>
      <c r="S86" s="9"/>
      <c r="T86" s="9"/>
      <c r="U86" s="9"/>
      <c r="V86" s="9"/>
      <c r="W86" s="9"/>
      <c r="X86" s="9"/>
      <c r="Y86" s="9"/>
      <c r="Z86" s="9"/>
      <c r="AA86" s="9"/>
      <c r="AB86" s="9"/>
      <c r="AC86" s="9"/>
      <c r="AD86" s="9"/>
    </row>
    <row r="87" spans="1:30" ht="13.5" customHeight="1">
      <c r="A87" s="2"/>
      <c r="B87" s="2"/>
      <c r="C87" s="2"/>
      <c r="D87" s="2"/>
      <c r="E87" s="2"/>
      <c r="F87" s="2"/>
      <c r="G87" s="2"/>
      <c r="H87" s="2"/>
      <c r="I87" s="2"/>
      <c r="J87" s="2"/>
      <c r="K87" s="2"/>
      <c r="L87" s="2"/>
      <c r="M87" s="2"/>
      <c r="N87" s="2"/>
      <c r="O87" s="2"/>
      <c r="P87" s="2"/>
      <c r="Q87" s="2"/>
      <c r="R87" s="9"/>
      <c r="S87" s="9"/>
      <c r="T87" s="9"/>
      <c r="U87" s="9"/>
      <c r="V87" s="9"/>
      <c r="W87" s="9"/>
      <c r="X87" s="9"/>
      <c r="Y87" s="9"/>
      <c r="Z87" s="9"/>
      <c r="AA87" s="9"/>
      <c r="AB87" s="9"/>
      <c r="AC87" s="9"/>
      <c r="AD87" s="9"/>
    </row>
    <row r="88" spans="1:30" ht="13.5" customHeight="1">
      <c r="A88" s="2"/>
      <c r="B88" s="2"/>
      <c r="C88" s="2"/>
      <c r="D88" s="2"/>
      <c r="E88" s="2"/>
      <c r="F88" s="2"/>
      <c r="G88" s="2"/>
      <c r="H88" s="2"/>
      <c r="I88" s="2"/>
      <c r="J88" s="2"/>
      <c r="K88" s="2"/>
      <c r="L88" s="2"/>
      <c r="M88" s="2"/>
      <c r="N88" s="2"/>
      <c r="O88" s="2"/>
      <c r="P88" s="2"/>
      <c r="Q88" s="2"/>
      <c r="R88" s="9"/>
      <c r="S88" s="9"/>
      <c r="T88" s="9"/>
      <c r="U88" s="9"/>
      <c r="V88" s="9"/>
      <c r="W88" s="9"/>
      <c r="X88" s="9"/>
      <c r="Y88" s="9"/>
      <c r="Z88" s="9"/>
      <c r="AA88" s="9"/>
      <c r="AB88" s="9"/>
      <c r="AC88" s="9"/>
      <c r="AD88" s="9"/>
    </row>
    <row r="89" spans="1:30" ht="13.5" customHeight="1">
      <c r="A89" s="2"/>
      <c r="B89" s="2"/>
      <c r="C89" s="2"/>
      <c r="D89" s="2"/>
      <c r="E89" s="2"/>
      <c r="F89" s="2"/>
      <c r="G89" s="2"/>
      <c r="H89" s="2"/>
      <c r="I89" s="2"/>
      <c r="J89" s="2"/>
      <c r="K89" s="2"/>
      <c r="L89" s="2"/>
      <c r="M89" s="2"/>
      <c r="N89" s="2"/>
      <c r="O89" s="2"/>
      <c r="P89" s="2"/>
      <c r="Q89" s="2"/>
      <c r="R89" s="9"/>
      <c r="S89" s="9"/>
      <c r="T89" s="9"/>
      <c r="U89" s="9"/>
      <c r="V89" s="9"/>
      <c r="W89" s="9"/>
      <c r="X89" s="9"/>
      <c r="Y89" s="9"/>
      <c r="Z89" s="9"/>
      <c r="AA89" s="9"/>
      <c r="AB89" s="9"/>
      <c r="AC89" s="9"/>
      <c r="AD89" s="9"/>
    </row>
    <row r="90" spans="1:30" ht="13.5" customHeight="1">
      <c r="A90" s="2"/>
      <c r="B90" s="2"/>
      <c r="C90" s="2"/>
      <c r="D90" s="2"/>
      <c r="E90" s="2"/>
      <c r="F90" s="2"/>
      <c r="G90" s="2"/>
      <c r="H90" s="2"/>
      <c r="I90" s="2"/>
      <c r="J90" s="2"/>
      <c r="K90" s="2"/>
      <c r="L90" s="2"/>
      <c r="M90" s="2"/>
      <c r="N90" s="2"/>
      <c r="O90" s="2"/>
      <c r="P90" s="2"/>
      <c r="Q90" s="2"/>
      <c r="R90" s="9"/>
      <c r="S90" s="9"/>
      <c r="T90" s="9"/>
      <c r="U90" s="9"/>
      <c r="V90" s="9"/>
      <c r="W90" s="9"/>
      <c r="X90" s="9"/>
      <c r="Y90" s="9"/>
      <c r="Z90" s="9"/>
      <c r="AA90" s="9"/>
      <c r="AB90" s="9"/>
      <c r="AC90" s="9"/>
      <c r="AD90" s="9"/>
    </row>
    <row r="91" spans="1:30" ht="13.5" customHeight="1">
      <c r="A91" s="2"/>
      <c r="B91" s="2"/>
      <c r="C91" s="2"/>
      <c r="D91" s="2"/>
      <c r="E91" s="2"/>
      <c r="F91" s="2"/>
      <c r="G91" s="2"/>
      <c r="H91" s="2"/>
      <c r="I91" s="2"/>
      <c r="J91" s="2"/>
      <c r="K91" s="2"/>
      <c r="L91" s="2"/>
      <c r="M91" s="2"/>
      <c r="N91" s="2"/>
      <c r="O91" s="2"/>
      <c r="P91" s="2"/>
      <c r="Q91" s="2"/>
      <c r="R91" s="9"/>
      <c r="S91" s="9"/>
      <c r="T91" s="9"/>
      <c r="U91" s="9"/>
      <c r="V91" s="9"/>
      <c r="W91" s="9"/>
      <c r="X91" s="9"/>
      <c r="Y91" s="9"/>
      <c r="Z91" s="9"/>
      <c r="AA91" s="9"/>
      <c r="AB91" s="9"/>
      <c r="AC91" s="9"/>
      <c r="AD91" s="9"/>
    </row>
    <row r="92" spans="1:30" ht="13.5" customHeight="1">
      <c r="A92" s="2"/>
      <c r="B92" s="2"/>
      <c r="C92" s="2"/>
      <c r="D92" s="2"/>
      <c r="E92" s="2"/>
      <c r="F92" s="2"/>
      <c r="G92" s="2"/>
      <c r="H92" s="2"/>
      <c r="I92" s="2"/>
      <c r="J92" s="2"/>
      <c r="K92" s="2"/>
      <c r="L92" s="2"/>
      <c r="M92" s="2"/>
      <c r="N92" s="2"/>
      <c r="O92" s="2"/>
      <c r="P92" s="2"/>
      <c r="Q92" s="2"/>
      <c r="R92" s="9"/>
      <c r="S92" s="9"/>
      <c r="T92" s="9"/>
      <c r="U92" s="9"/>
      <c r="V92" s="9"/>
      <c r="W92" s="9"/>
      <c r="X92" s="9"/>
      <c r="Y92" s="9"/>
      <c r="Z92" s="9"/>
      <c r="AA92" s="9"/>
      <c r="AB92" s="9"/>
      <c r="AC92" s="9"/>
      <c r="AD92" s="9"/>
    </row>
    <row r="93" spans="1:30" ht="13.5" customHeight="1">
      <c r="A93" s="2"/>
      <c r="B93" s="2"/>
      <c r="C93" s="2"/>
      <c r="D93" s="2"/>
      <c r="E93" s="2"/>
      <c r="F93" s="2"/>
      <c r="G93" s="2"/>
      <c r="H93" s="2"/>
      <c r="I93" s="2"/>
      <c r="J93" s="2"/>
      <c r="K93" s="2"/>
      <c r="L93" s="2"/>
      <c r="M93" s="2"/>
      <c r="N93" s="2"/>
      <c r="O93" s="2"/>
      <c r="P93" s="2"/>
      <c r="Q93" s="2"/>
      <c r="R93" s="9"/>
      <c r="S93" s="9"/>
      <c r="T93" s="9"/>
      <c r="U93" s="9"/>
      <c r="V93" s="9"/>
      <c r="W93" s="9"/>
      <c r="X93" s="9"/>
      <c r="Y93" s="9"/>
      <c r="Z93" s="9"/>
      <c r="AA93" s="9"/>
      <c r="AB93" s="9"/>
      <c r="AC93" s="9"/>
      <c r="AD93" s="9"/>
    </row>
    <row r="94" spans="1:30" ht="13.5" customHeight="1">
      <c r="A94" s="2"/>
      <c r="B94" s="2"/>
      <c r="C94" s="2"/>
      <c r="D94" s="2"/>
      <c r="E94" s="2"/>
      <c r="F94" s="2"/>
      <c r="G94" s="2"/>
      <c r="H94" s="2"/>
      <c r="I94" s="2"/>
      <c r="J94" s="2"/>
      <c r="K94" s="2"/>
      <c r="L94" s="2"/>
      <c r="M94" s="2"/>
      <c r="N94" s="2"/>
      <c r="O94" s="2"/>
      <c r="P94" s="2"/>
      <c r="Q94" s="2"/>
      <c r="R94" s="9"/>
      <c r="S94" s="9"/>
      <c r="T94" s="9"/>
      <c r="U94" s="9"/>
      <c r="V94" s="9"/>
      <c r="W94" s="9"/>
      <c r="X94" s="9"/>
      <c r="Y94" s="9"/>
      <c r="Z94" s="9"/>
      <c r="AA94" s="9"/>
      <c r="AB94" s="9"/>
      <c r="AC94" s="9"/>
      <c r="AD94" s="9"/>
    </row>
    <row r="95" spans="1:30" ht="13.5" customHeight="1">
      <c r="A95" s="2"/>
      <c r="B95" s="2"/>
      <c r="C95" s="2"/>
      <c r="D95" s="2"/>
      <c r="E95" s="2"/>
      <c r="F95" s="2"/>
      <c r="G95" s="2"/>
      <c r="H95" s="2"/>
      <c r="I95" s="2"/>
      <c r="J95" s="2"/>
      <c r="K95" s="2"/>
      <c r="L95" s="2"/>
      <c r="M95" s="2"/>
      <c r="N95" s="2"/>
      <c r="O95" s="2"/>
      <c r="P95" s="2"/>
      <c r="Q95" s="2"/>
      <c r="R95" s="9"/>
      <c r="S95" s="9"/>
      <c r="T95" s="9"/>
      <c r="U95" s="9"/>
      <c r="V95" s="9"/>
      <c r="W95" s="9"/>
      <c r="X95" s="9"/>
      <c r="Y95" s="9"/>
      <c r="Z95" s="9"/>
      <c r="AA95" s="9"/>
      <c r="AB95" s="9"/>
      <c r="AC95" s="9"/>
      <c r="AD95" s="9"/>
    </row>
    <row r="96" spans="1:30" ht="13.5" customHeight="1">
      <c r="A96" s="2"/>
      <c r="B96" s="2"/>
      <c r="C96" s="2"/>
      <c r="D96" s="2"/>
      <c r="E96" s="2"/>
      <c r="F96" s="2"/>
      <c r="G96" s="2"/>
      <c r="H96" s="2"/>
      <c r="I96" s="2"/>
      <c r="J96" s="2"/>
      <c r="K96" s="2"/>
      <c r="L96" s="2"/>
      <c r="M96" s="2"/>
      <c r="N96" s="2"/>
      <c r="O96" s="2"/>
      <c r="P96" s="2"/>
      <c r="Q96" s="2"/>
      <c r="R96" s="9"/>
      <c r="S96" s="9"/>
      <c r="T96" s="9"/>
      <c r="U96" s="9"/>
      <c r="V96" s="9"/>
      <c r="W96" s="9"/>
      <c r="X96" s="9"/>
      <c r="Y96" s="9"/>
      <c r="Z96" s="9"/>
      <c r="AA96" s="9"/>
      <c r="AB96" s="9"/>
      <c r="AC96" s="9"/>
      <c r="AD96" s="9"/>
    </row>
    <row r="97" spans="1:30" ht="13.5" customHeight="1">
      <c r="A97" s="2"/>
      <c r="B97" s="2"/>
      <c r="C97" s="2"/>
      <c r="D97" s="2"/>
      <c r="E97" s="2"/>
      <c r="F97" s="2"/>
      <c r="G97" s="2"/>
      <c r="H97" s="2"/>
      <c r="I97" s="2"/>
      <c r="J97" s="2"/>
      <c r="K97" s="2"/>
      <c r="L97" s="2"/>
      <c r="M97" s="2"/>
      <c r="N97" s="2"/>
      <c r="O97" s="2"/>
      <c r="P97" s="2"/>
      <c r="Q97" s="2"/>
      <c r="R97" s="9"/>
      <c r="S97" s="9"/>
      <c r="T97" s="9"/>
      <c r="U97" s="9"/>
      <c r="V97" s="9"/>
      <c r="W97" s="9"/>
      <c r="X97" s="9"/>
      <c r="Y97" s="9"/>
      <c r="Z97" s="9"/>
      <c r="AA97" s="9"/>
      <c r="AB97" s="9"/>
      <c r="AC97" s="9"/>
      <c r="AD97" s="9"/>
    </row>
    <row r="98" spans="1:30" ht="13.5" customHeight="1">
      <c r="A98" s="2"/>
      <c r="B98" s="2"/>
      <c r="C98" s="2"/>
      <c r="D98" s="2"/>
      <c r="E98" s="2"/>
      <c r="F98" s="2"/>
      <c r="G98" s="2"/>
      <c r="H98" s="2"/>
      <c r="I98" s="2"/>
      <c r="J98" s="2"/>
      <c r="K98" s="2"/>
      <c r="L98" s="2"/>
      <c r="M98" s="2"/>
      <c r="N98" s="2"/>
      <c r="O98" s="2"/>
      <c r="P98" s="2"/>
      <c r="Q98" s="2"/>
      <c r="R98" s="9"/>
      <c r="S98" s="9"/>
      <c r="T98" s="9"/>
      <c r="U98" s="9"/>
      <c r="V98" s="9"/>
      <c r="W98" s="9"/>
      <c r="X98" s="9"/>
      <c r="Y98" s="9"/>
      <c r="Z98" s="9"/>
      <c r="AA98" s="9"/>
      <c r="AB98" s="9"/>
      <c r="AC98" s="9"/>
      <c r="AD98" s="9"/>
    </row>
    <row r="99" spans="1:30" ht="13.5" customHeight="1">
      <c r="A99" s="2"/>
      <c r="B99" s="2"/>
      <c r="C99" s="2"/>
      <c r="D99" s="2"/>
      <c r="E99" s="2"/>
      <c r="F99" s="2"/>
      <c r="G99" s="2"/>
      <c r="H99" s="2"/>
      <c r="I99" s="2"/>
      <c r="J99" s="2"/>
      <c r="K99" s="2"/>
      <c r="L99" s="2"/>
      <c r="M99" s="2"/>
      <c r="N99" s="2"/>
      <c r="O99" s="2"/>
      <c r="P99" s="2"/>
      <c r="Q99" s="2"/>
      <c r="R99" s="9"/>
      <c r="S99" s="9"/>
      <c r="T99" s="9"/>
      <c r="U99" s="9"/>
      <c r="V99" s="9"/>
      <c r="W99" s="9"/>
      <c r="X99" s="9"/>
      <c r="Y99" s="9"/>
      <c r="Z99" s="9"/>
      <c r="AA99" s="9"/>
      <c r="AB99" s="9"/>
      <c r="AC99" s="9"/>
      <c r="AD99" s="9"/>
    </row>
    <row r="100" spans="1:30" ht="13.5" customHeight="1">
      <c r="A100" s="2"/>
      <c r="B100" s="2"/>
      <c r="C100" s="2"/>
      <c r="D100" s="2"/>
      <c r="E100" s="2"/>
      <c r="F100" s="2"/>
      <c r="G100" s="2"/>
      <c r="H100" s="2"/>
      <c r="I100" s="2"/>
      <c r="J100" s="2"/>
      <c r="K100" s="2"/>
      <c r="L100" s="2"/>
      <c r="M100" s="2"/>
      <c r="N100" s="2"/>
      <c r="O100" s="2"/>
      <c r="P100" s="2"/>
      <c r="Q100" s="2"/>
      <c r="R100" s="9"/>
      <c r="S100" s="9"/>
      <c r="T100" s="9"/>
      <c r="U100" s="9"/>
      <c r="V100" s="9"/>
      <c r="W100" s="9"/>
      <c r="X100" s="9"/>
      <c r="Y100" s="9"/>
      <c r="Z100" s="9"/>
      <c r="AA100" s="9"/>
      <c r="AB100" s="9"/>
      <c r="AC100" s="9"/>
      <c r="AD100" s="9"/>
    </row>
    <row r="101" spans="1:30" ht="13.5" customHeight="1">
      <c r="A101" s="2"/>
      <c r="B101" s="2"/>
      <c r="C101" s="2"/>
      <c r="D101" s="2"/>
      <c r="E101" s="2"/>
      <c r="F101" s="2"/>
      <c r="G101" s="2"/>
      <c r="H101" s="2"/>
      <c r="I101" s="2"/>
      <c r="J101" s="2"/>
      <c r="K101" s="2"/>
      <c r="L101" s="2"/>
      <c r="M101" s="2"/>
      <c r="N101" s="2"/>
      <c r="O101" s="2"/>
      <c r="P101" s="2"/>
      <c r="Q101" s="2"/>
      <c r="R101" s="9"/>
      <c r="S101" s="9"/>
      <c r="T101" s="9"/>
      <c r="U101" s="9"/>
      <c r="V101" s="9"/>
      <c r="W101" s="9"/>
      <c r="X101" s="9"/>
      <c r="Y101" s="9"/>
      <c r="Z101" s="9"/>
      <c r="AA101" s="9"/>
      <c r="AB101" s="9"/>
      <c r="AC101" s="9"/>
      <c r="AD101" s="9"/>
    </row>
    <row r="102" spans="1:30" ht="13.5" customHeight="1">
      <c r="A102" s="2"/>
      <c r="B102" s="2"/>
      <c r="C102" s="2"/>
      <c r="D102" s="2"/>
      <c r="E102" s="2"/>
      <c r="F102" s="2"/>
      <c r="G102" s="2"/>
      <c r="H102" s="2"/>
      <c r="I102" s="2"/>
      <c r="J102" s="2"/>
      <c r="K102" s="2"/>
      <c r="L102" s="2"/>
      <c r="M102" s="2"/>
      <c r="N102" s="2"/>
      <c r="O102" s="2"/>
      <c r="P102" s="2"/>
      <c r="Q102" s="2"/>
      <c r="R102" s="9"/>
      <c r="S102" s="9"/>
      <c r="T102" s="9"/>
      <c r="U102" s="9"/>
      <c r="V102" s="9"/>
      <c r="W102" s="9"/>
      <c r="X102" s="9"/>
      <c r="Y102" s="9"/>
      <c r="Z102" s="9"/>
      <c r="AA102" s="9"/>
      <c r="AB102" s="9"/>
      <c r="AC102" s="9"/>
      <c r="AD102" s="9"/>
    </row>
    <row r="103" spans="1:30" ht="13.5" customHeight="1">
      <c r="A103" s="2"/>
      <c r="B103" s="2"/>
      <c r="C103" s="2"/>
      <c r="D103" s="2"/>
      <c r="E103" s="2"/>
      <c r="F103" s="2"/>
      <c r="G103" s="2"/>
      <c r="H103" s="2"/>
      <c r="I103" s="2"/>
      <c r="J103" s="2"/>
      <c r="K103" s="2"/>
      <c r="L103" s="2"/>
      <c r="M103" s="2"/>
      <c r="N103" s="2"/>
      <c r="O103" s="2"/>
      <c r="P103" s="2"/>
      <c r="Q103" s="2"/>
      <c r="R103" s="9"/>
      <c r="S103" s="9"/>
      <c r="T103" s="9"/>
      <c r="U103" s="9"/>
      <c r="V103" s="9"/>
      <c r="W103" s="9"/>
      <c r="X103" s="9"/>
      <c r="Y103" s="9"/>
      <c r="Z103" s="9"/>
      <c r="AA103" s="9"/>
      <c r="AB103" s="9"/>
      <c r="AC103" s="9"/>
      <c r="AD103" s="9"/>
    </row>
    <row r="104" spans="1:30" ht="13.5" customHeight="1">
      <c r="A104" s="2"/>
      <c r="B104" s="2"/>
      <c r="C104" s="2"/>
      <c r="D104" s="2"/>
      <c r="E104" s="2"/>
      <c r="F104" s="2"/>
      <c r="G104" s="2"/>
      <c r="H104" s="2"/>
      <c r="I104" s="2"/>
      <c r="J104" s="2"/>
      <c r="K104" s="2"/>
      <c r="L104" s="2"/>
      <c r="M104" s="2"/>
      <c r="N104" s="2"/>
      <c r="O104" s="2"/>
      <c r="P104" s="2"/>
      <c r="Q104" s="2"/>
      <c r="R104" s="9"/>
      <c r="S104" s="9"/>
      <c r="T104" s="9"/>
      <c r="U104" s="9"/>
      <c r="V104" s="9"/>
      <c r="W104" s="9"/>
      <c r="X104" s="9"/>
      <c r="Y104" s="9"/>
      <c r="Z104" s="9"/>
      <c r="AA104" s="9"/>
      <c r="AB104" s="9"/>
      <c r="AC104" s="9"/>
      <c r="AD104" s="9"/>
    </row>
    <row r="105" spans="1:30" ht="13.5" customHeight="1">
      <c r="A105" s="2"/>
      <c r="B105" s="2"/>
      <c r="C105" s="2"/>
      <c r="D105" s="2"/>
      <c r="E105" s="2"/>
      <c r="F105" s="2"/>
      <c r="G105" s="2"/>
      <c r="H105" s="2"/>
      <c r="I105" s="2"/>
      <c r="J105" s="2"/>
      <c r="K105" s="2"/>
      <c r="L105" s="2"/>
      <c r="M105" s="2"/>
      <c r="N105" s="2"/>
      <c r="O105" s="2"/>
      <c r="P105" s="2"/>
      <c r="Q105" s="2"/>
      <c r="R105" s="9"/>
      <c r="S105" s="9"/>
      <c r="T105" s="9"/>
      <c r="U105" s="9"/>
      <c r="V105" s="9"/>
      <c r="W105" s="9"/>
      <c r="X105" s="9"/>
      <c r="Y105" s="9"/>
      <c r="Z105" s="9"/>
      <c r="AA105" s="9"/>
      <c r="AB105" s="9"/>
      <c r="AC105" s="9"/>
      <c r="AD105" s="9"/>
    </row>
    <row r="106" spans="1:30" ht="13.5" customHeight="1">
      <c r="A106" s="2"/>
      <c r="B106" s="2"/>
      <c r="C106" s="2"/>
      <c r="D106" s="2"/>
      <c r="E106" s="2"/>
      <c r="F106" s="2"/>
      <c r="G106" s="2"/>
      <c r="H106" s="2"/>
      <c r="I106" s="2"/>
      <c r="J106" s="2"/>
      <c r="K106" s="2"/>
      <c r="L106" s="2"/>
      <c r="M106" s="2"/>
      <c r="N106" s="2"/>
      <c r="O106" s="2"/>
      <c r="P106" s="2"/>
      <c r="Q106" s="2"/>
      <c r="R106" s="9"/>
      <c r="S106" s="9"/>
      <c r="T106" s="9"/>
      <c r="U106" s="9"/>
      <c r="V106" s="9"/>
      <c r="W106" s="9"/>
      <c r="X106" s="9"/>
      <c r="Y106" s="9"/>
      <c r="Z106" s="9"/>
      <c r="AA106" s="9"/>
      <c r="AB106" s="9"/>
      <c r="AC106" s="9"/>
      <c r="AD106" s="9"/>
    </row>
    <row r="107" spans="1:30" ht="13.5" customHeight="1">
      <c r="A107" s="2"/>
      <c r="B107" s="2"/>
      <c r="C107" s="2"/>
      <c r="D107" s="2"/>
      <c r="E107" s="2"/>
      <c r="F107" s="2"/>
      <c r="G107" s="2"/>
      <c r="H107" s="2"/>
      <c r="I107" s="2"/>
      <c r="J107" s="2"/>
      <c r="K107" s="2"/>
      <c r="L107" s="2"/>
      <c r="M107" s="2"/>
      <c r="N107" s="2"/>
      <c r="O107" s="2"/>
      <c r="P107" s="2"/>
      <c r="Q107" s="2"/>
      <c r="R107" s="9"/>
      <c r="S107" s="9"/>
      <c r="T107" s="9"/>
      <c r="U107" s="9"/>
      <c r="V107" s="9"/>
      <c r="W107" s="9"/>
      <c r="X107" s="9"/>
      <c r="Y107" s="9"/>
      <c r="Z107" s="9"/>
      <c r="AA107" s="9"/>
      <c r="AB107" s="9"/>
      <c r="AC107" s="9"/>
      <c r="AD107" s="9"/>
    </row>
    <row r="108" spans="1:30" ht="13.5" customHeight="1">
      <c r="A108" s="2"/>
      <c r="B108" s="2"/>
      <c r="C108" s="2"/>
      <c r="D108" s="2"/>
      <c r="E108" s="2"/>
      <c r="F108" s="2"/>
      <c r="G108" s="2"/>
      <c r="H108" s="2"/>
      <c r="I108" s="2"/>
      <c r="J108" s="2"/>
      <c r="K108" s="2"/>
      <c r="L108" s="2"/>
      <c r="M108" s="2"/>
      <c r="N108" s="2"/>
      <c r="O108" s="2"/>
      <c r="P108" s="2"/>
      <c r="Q108" s="2"/>
      <c r="R108" s="9"/>
      <c r="S108" s="9"/>
      <c r="T108" s="9"/>
      <c r="U108" s="9"/>
      <c r="V108" s="9"/>
      <c r="W108" s="9"/>
      <c r="X108" s="9"/>
      <c r="Y108" s="9"/>
      <c r="Z108" s="9"/>
      <c r="AA108" s="9"/>
      <c r="AB108" s="9"/>
      <c r="AC108" s="9"/>
      <c r="AD108" s="9"/>
    </row>
    <row r="109" spans="1:30" ht="13.5" customHeight="1">
      <c r="A109" s="2"/>
      <c r="B109" s="2"/>
      <c r="C109" s="2"/>
      <c r="D109" s="2"/>
      <c r="E109" s="2"/>
      <c r="F109" s="2"/>
      <c r="G109" s="2"/>
      <c r="H109" s="2"/>
      <c r="I109" s="2"/>
      <c r="J109" s="2"/>
      <c r="K109" s="2"/>
      <c r="L109" s="2"/>
      <c r="M109" s="2"/>
      <c r="N109" s="2"/>
      <c r="O109" s="2"/>
      <c r="P109" s="2"/>
      <c r="Q109" s="2"/>
      <c r="R109" s="9"/>
      <c r="S109" s="9"/>
      <c r="T109" s="9"/>
      <c r="U109" s="9"/>
      <c r="V109" s="9"/>
      <c r="W109" s="9"/>
      <c r="X109" s="9"/>
      <c r="Y109" s="9"/>
      <c r="Z109" s="9"/>
      <c r="AA109" s="9"/>
      <c r="AB109" s="9"/>
      <c r="AC109" s="9"/>
      <c r="AD109" s="9"/>
    </row>
    <row r="110" spans="1:30" ht="13.5" customHeight="1">
      <c r="A110" s="2"/>
      <c r="B110" s="2"/>
      <c r="C110" s="2"/>
      <c r="D110" s="2"/>
      <c r="E110" s="2"/>
      <c r="F110" s="2"/>
      <c r="G110" s="2"/>
      <c r="H110" s="2"/>
      <c r="I110" s="2"/>
      <c r="J110" s="2"/>
      <c r="K110" s="2"/>
      <c r="L110" s="2"/>
      <c r="M110" s="2"/>
      <c r="N110" s="2"/>
      <c r="O110" s="2"/>
      <c r="P110" s="2"/>
      <c r="Q110" s="2"/>
      <c r="R110" s="9"/>
      <c r="S110" s="9"/>
      <c r="T110" s="9"/>
      <c r="U110" s="9"/>
      <c r="V110" s="9"/>
      <c r="W110" s="9"/>
      <c r="X110" s="9"/>
      <c r="Y110" s="9"/>
      <c r="Z110" s="9"/>
      <c r="AA110" s="9"/>
      <c r="AB110" s="9"/>
      <c r="AC110" s="9"/>
      <c r="AD110" s="9"/>
    </row>
    <row r="111" spans="1:30" ht="13.5" customHeight="1">
      <c r="A111" s="2"/>
      <c r="B111" s="2"/>
      <c r="C111" s="2"/>
      <c r="D111" s="2"/>
      <c r="E111" s="2"/>
      <c r="F111" s="2"/>
      <c r="G111" s="2"/>
      <c r="H111" s="2"/>
      <c r="I111" s="2"/>
      <c r="J111" s="2"/>
      <c r="K111" s="2"/>
      <c r="L111" s="2"/>
      <c r="M111" s="2"/>
      <c r="N111" s="2"/>
      <c r="O111" s="2"/>
      <c r="P111" s="2"/>
      <c r="Q111" s="2"/>
      <c r="R111" s="9"/>
      <c r="S111" s="9"/>
      <c r="T111" s="9"/>
      <c r="U111" s="9"/>
      <c r="V111" s="9"/>
      <c r="W111" s="9"/>
      <c r="X111" s="9"/>
      <c r="Y111" s="9"/>
      <c r="Z111" s="9"/>
      <c r="AA111" s="9"/>
      <c r="AB111" s="9"/>
      <c r="AC111" s="9"/>
      <c r="AD111" s="9"/>
    </row>
    <row r="112" spans="1:30" ht="13.5" customHeight="1">
      <c r="A112" s="2"/>
      <c r="B112" s="2"/>
      <c r="C112" s="2"/>
      <c r="D112" s="2"/>
      <c r="E112" s="2"/>
      <c r="F112" s="2"/>
      <c r="G112" s="2"/>
      <c r="H112" s="2"/>
      <c r="I112" s="2"/>
      <c r="J112" s="2"/>
      <c r="K112" s="2"/>
      <c r="L112" s="2"/>
      <c r="M112" s="2"/>
      <c r="N112" s="2"/>
      <c r="O112" s="2"/>
      <c r="P112" s="2"/>
      <c r="Q112" s="2"/>
      <c r="R112" s="9"/>
      <c r="S112" s="9"/>
      <c r="T112" s="9"/>
      <c r="U112" s="9"/>
      <c r="V112" s="9"/>
      <c r="W112" s="9"/>
      <c r="X112" s="9"/>
      <c r="Y112" s="9"/>
      <c r="Z112" s="9"/>
      <c r="AA112" s="9"/>
      <c r="AB112" s="9"/>
      <c r="AC112" s="9"/>
      <c r="AD112" s="9"/>
    </row>
    <row r="113" spans="1:30" ht="13.5" customHeight="1">
      <c r="A113" s="2"/>
      <c r="B113" s="2"/>
      <c r="C113" s="2"/>
      <c r="D113" s="2"/>
      <c r="E113" s="2"/>
      <c r="F113" s="2"/>
      <c r="G113" s="2"/>
      <c r="H113" s="2"/>
      <c r="I113" s="2"/>
      <c r="J113" s="2"/>
      <c r="K113" s="2"/>
      <c r="L113" s="2"/>
      <c r="M113" s="2"/>
      <c r="N113" s="2"/>
      <c r="O113" s="2"/>
      <c r="P113" s="2"/>
      <c r="Q113" s="2"/>
      <c r="R113" s="9"/>
      <c r="S113" s="9"/>
      <c r="T113" s="9"/>
      <c r="U113" s="9"/>
      <c r="V113" s="9"/>
      <c r="W113" s="9"/>
      <c r="X113" s="9"/>
      <c r="Y113" s="9"/>
      <c r="Z113" s="9"/>
      <c r="AA113" s="9"/>
      <c r="AB113" s="9"/>
      <c r="AC113" s="9"/>
      <c r="AD113" s="9"/>
    </row>
    <row r="114" spans="1:30" ht="13.5" customHeight="1">
      <c r="A114" s="2"/>
      <c r="B114" s="2"/>
      <c r="C114" s="2"/>
      <c r="D114" s="2"/>
      <c r="E114" s="2"/>
      <c r="F114" s="2"/>
      <c r="G114" s="2"/>
      <c r="H114" s="2"/>
      <c r="I114" s="2"/>
      <c r="J114" s="2"/>
      <c r="K114" s="2"/>
      <c r="L114" s="2"/>
      <c r="M114" s="2"/>
      <c r="N114" s="2"/>
      <c r="O114" s="2"/>
      <c r="P114" s="2"/>
      <c r="Q114" s="2"/>
      <c r="R114" s="9"/>
      <c r="S114" s="9"/>
      <c r="T114" s="9"/>
      <c r="U114" s="9"/>
      <c r="V114" s="9"/>
      <c r="W114" s="9"/>
      <c r="X114" s="9"/>
      <c r="Y114" s="9"/>
      <c r="Z114" s="9"/>
      <c r="AA114" s="9"/>
      <c r="AB114" s="9"/>
      <c r="AC114" s="9"/>
      <c r="AD114" s="9"/>
    </row>
    <row r="115" spans="1:30" ht="13.5" customHeight="1">
      <c r="A115" s="2"/>
      <c r="B115" s="2"/>
      <c r="C115" s="2"/>
      <c r="D115" s="2"/>
      <c r="E115" s="2"/>
      <c r="F115" s="2"/>
      <c r="G115" s="2"/>
      <c r="H115" s="2"/>
      <c r="I115" s="2"/>
      <c r="J115" s="2"/>
      <c r="K115" s="2"/>
      <c r="L115" s="2"/>
      <c r="M115" s="2"/>
      <c r="N115" s="2"/>
      <c r="O115" s="2"/>
      <c r="P115" s="2"/>
      <c r="Q115" s="2"/>
      <c r="R115" s="9"/>
      <c r="S115" s="9"/>
      <c r="T115" s="9"/>
      <c r="U115" s="9"/>
      <c r="V115" s="9"/>
      <c r="W115" s="9"/>
      <c r="X115" s="9"/>
      <c r="Y115" s="9"/>
      <c r="Z115" s="9"/>
      <c r="AA115" s="9"/>
      <c r="AB115" s="9"/>
      <c r="AC115" s="9"/>
      <c r="AD115" s="9"/>
    </row>
    <row r="116" spans="1:30" ht="13.5" customHeight="1">
      <c r="A116" s="2"/>
      <c r="B116" s="2"/>
      <c r="C116" s="2"/>
      <c r="D116" s="2"/>
      <c r="E116" s="2"/>
      <c r="F116" s="2"/>
      <c r="G116" s="2"/>
      <c r="H116" s="2"/>
      <c r="I116" s="2"/>
      <c r="J116" s="2"/>
      <c r="K116" s="2"/>
      <c r="L116" s="2"/>
      <c r="M116" s="2"/>
      <c r="N116" s="2"/>
      <c r="O116" s="2"/>
      <c r="P116" s="2"/>
      <c r="Q116" s="2"/>
      <c r="R116" s="9"/>
      <c r="S116" s="9"/>
      <c r="T116" s="9"/>
      <c r="U116" s="9"/>
      <c r="V116" s="9"/>
      <c r="W116" s="9"/>
      <c r="X116" s="9"/>
      <c r="Y116" s="9"/>
      <c r="Z116" s="9"/>
      <c r="AA116" s="9"/>
      <c r="AB116" s="9"/>
      <c r="AC116" s="9"/>
      <c r="AD116" s="9"/>
    </row>
    <row r="117" spans="1:30" ht="13.5" customHeight="1">
      <c r="A117" s="2"/>
      <c r="B117" s="2"/>
      <c r="C117" s="2"/>
      <c r="D117" s="2"/>
      <c r="E117" s="2"/>
      <c r="F117" s="2"/>
      <c r="G117" s="2"/>
      <c r="H117" s="2"/>
      <c r="I117" s="2"/>
      <c r="J117" s="2"/>
      <c r="K117" s="2"/>
      <c r="L117" s="2"/>
      <c r="M117" s="2"/>
      <c r="N117" s="2"/>
      <c r="O117" s="2"/>
      <c r="P117" s="2"/>
      <c r="Q117" s="2"/>
      <c r="R117" s="9"/>
      <c r="S117" s="9"/>
      <c r="T117" s="9"/>
      <c r="U117" s="9"/>
      <c r="V117" s="9"/>
      <c r="W117" s="9"/>
      <c r="X117" s="9"/>
      <c r="Y117" s="9"/>
      <c r="Z117" s="9"/>
      <c r="AA117" s="9"/>
      <c r="AB117" s="9"/>
      <c r="AC117" s="9"/>
      <c r="AD117" s="9"/>
    </row>
    <row r="118" spans="1:30" ht="13.5" customHeight="1">
      <c r="A118" s="2"/>
      <c r="B118" s="2"/>
      <c r="C118" s="2"/>
      <c r="D118" s="2"/>
      <c r="E118" s="2"/>
      <c r="F118" s="2"/>
      <c r="G118" s="2"/>
      <c r="H118" s="2"/>
      <c r="I118" s="2"/>
      <c r="J118" s="2"/>
      <c r="K118" s="2"/>
      <c r="L118" s="2"/>
      <c r="M118" s="2"/>
      <c r="N118" s="2"/>
      <c r="O118" s="2"/>
      <c r="P118" s="2"/>
      <c r="Q118" s="2"/>
      <c r="R118" s="9"/>
      <c r="S118" s="9"/>
      <c r="T118" s="9"/>
      <c r="U118" s="9"/>
      <c r="V118" s="9"/>
      <c r="W118" s="9"/>
      <c r="X118" s="9"/>
      <c r="Y118" s="9"/>
      <c r="Z118" s="9"/>
      <c r="AA118" s="9"/>
      <c r="AB118" s="9"/>
      <c r="AC118" s="9"/>
      <c r="AD118" s="9"/>
    </row>
    <row r="119" spans="1:30" ht="13.5" customHeight="1">
      <c r="A119" s="2"/>
      <c r="B119" s="2"/>
      <c r="C119" s="2"/>
      <c r="D119" s="2"/>
      <c r="E119" s="2"/>
      <c r="F119" s="2"/>
      <c r="G119" s="2"/>
      <c r="H119" s="2"/>
      <c r="I119" s="2"/>
      <c r="J119" s="2"/>
      <c r="K119" s="2"/>
      <c r="L119" s="2"/>
      <c r="M119" s="2"/>
      <c r="N119" s="2"/>
      <c r="O119" s="2"/>
      <c r="P119" s="2"/>
      <c r="Q119" s="2"/>
      <c r="R119" s="9"/>
      <c r="S119" s="9"/>
      <c r="T119" s="9"/>
      <c r="U119" s="9"/>
      <c r="V119" s="9"/>
      <c r="W119" s="9"/>
      <c r="X119" s="9"/>
      <c r="Y119" s="9"/>
      <c r="Z119" s="9"/>
      <c r="AA119" s="9"/>
      <c r="AB119" s="9"/>
      <c r="AC119" s="9"/>
      <c r="AD119" s="9"/>
    </row>
    <row r="120" spans="1:30" ht="13.5" customHeight="1">
      <c r="A120" s="2"/>
      <c r="B120" s="2"/>
      <c r="C120" s="2"/>
      <c r="D120" s="2"/>
      <c r="E120" s="2"/>
      <c r="F120" s="2"/>
      <c r="G120" s="2"/>
      <c r="H120" s="2"/>
      <c r="I120" s="2"/>
      <c r="J120" s="2"/>
      <c r="K120" s="2"/>
      <c r="L120" s="2"/>
      <c r="M120" s="2"/>
      <c r="N120" s="2"/>
      <c r="O120" s="2"/>
      <c r="P120" s="2"/>
      <c r="Q120" s="2"/>
      <c r="R120" s="9"/>
      <c r="S120" s="9"/>
      <c r="T120" s="9"/>
      <c r="U120" s="9"/>
      <c r="V120" s="9"/>
      <c r="W120" s="9"/>
      <c r="X120" s="9"/>
      <c r="Y120" s="9"/>
      <c r="Z120" s="9"/>
      <c r="AA120" s="9"/>
      <c r="AB120" s="9"/>
      <c r="AC120" s="9"/>
      <c r="AD120" s="9"/>
    </row>
    <row r="121" spans="1:30" ht="13.5" customHeight="1">
      <c r="A121" s="2"/>
      <c r="B121" s="2"/>
      <c r="C121" s="2"/>
      <c r="D121" s="2"/>
      <c r="E121" s="2"/>
      <c r="F121" s="2"/>
      <c r="G121" s="2"/>
      <c r="H121" s="2"/>
      <c r="I121" s="2"/>
      <c r="J121" s="2"/>
      <c r="K121" s="2"/>
      <c r="L121" s="2"/>
      <c r="M121" s="2"/>
      <c r="N121" s="2"/>
      <c r="O121" s="2"/>
      <c r="P121" s="2"/>
      <c r="Q121" s="2"/>
      <c r="R121" s="9"/>
      <c r="S121" s="9"/>
      <c r="T121" s="9"/>
      <c r="U121" s="9"/>
      <c r="V121" s="9"/>
      <c r="W121" s="9"/>
      <c r="X121" s="9"/>
      <c r="Y121" s="9"/>
      <c r="Z121" s="9"/>
      <c r="AA121" s="9"/>
      <c r="AB121" s="9"/>
      <c r="AC121" s="9"/>
      <c r="AD121" s="9"/>
    </row>
    <row r="122" spans="1:30" ht="13.5" customHeight="1">
      <c r="A122" s="2"/>
      <c r="B122" s="2"/>
      <c r="C122" s="2"/>
      <c r="D122" s="2"/>
      <c r="E122" s="2"/>
      <c r="F122" s="2"/>
      <c r="G122" s="2"/>
      <c r="H122" s="2"/>
      <c r="I122" s="2"/>
      <c r="J122" s="2"/>
      <c r="K122" s="2"/>
      <c r="L122" s="2"/>
      <c r="M122" s="2"/>
      <c r="N122" s="2"/>
      <c r="O122" s="2"/>
      <c r="P122" s="2"/>
      <c r="Q122" s="2"/>
      <c r="R122" s="9"/>
      <c r="S122" s="9"/>
      <c r="T122" s="9"/>
      <c r="U122" s="9"/>
      <c r="V122" s="9"/>
      <c r="W122" s="9"/>
      <c r="X122" s="9"/>
      <c r="Y122" s="9"/>
      <c r="Z122" s="9"/>
      <c r="AA122" s="9"/>
      <c r="AB122" s="9"/>
      <c r="AC122" s="9"/>
      <c r="AD122" s="9"/>
    </row>
    <row r="123" spans="1:30" ht="13.5" customHeight="1">
      <c r="A123" s="2"/>
      <c r="B123" s="2"/>
      <c r="C123" s="2"/>
      <c r="D123" s="2"/>
      <c r="E123" s="2"/>
      <c r="F123" s="2"/>
      <c r="G123" s="2"/>
      <c r="H123" s="2"/>
      <c r="I123" s="2"/>
      <c r="J123" s="2"/>
      <c r="K123" s="2"/>
      <c r="L123" s="2"/>
      <c r="M123" s="2"/>
      <c r="N123" s="2"/>
      <c r="O123" s="2"/>
      <c r="P123" s="2"/>
      <c r="Q123" s="2"/>
      <c r="R123" s="9"/>
      <c r="S123" s="9"/>
      <c r="T123" s="9"/>
      <c r="U123" s="9"/>
      <c r="V123" s="9"/>
      <c r="W123" s="9"/>
      <c r="X123" s="9"/>
      <c r="Y123" s="9"/>
      <c r="Z123" s="9"/>
      <c r="AA123" s="9"/>
      <c r="AB123" s="9"/>
      <c r="AC123" s="9"/>
      <c r="AD123" s="9"/>
    </row>
    <row r="124" spans="1:30" ht="13.5" customHeight="1">
      <c r="A124" s="2"/>
      <c r="B124" s="2"/>
      <c r="C124" s="2"/>
      <c r="D124" s="2"/>
      <c r="E124" s="2"/>
      <c r="F124" s="2"/>
      <c r="G124" s="2"/>
      <c r="H124" s="2"/>
      <c r="I124" s="2"/>
      <c r="J124" s="2"/>
      <c r="K124" s="2"/>
      <c r="L124" s="2"/>
      <c r="M124" s="2"/>
      <c r="N124" s="2"/>
      <c r="O124" s="2"/>
      <c r="P124" s="2"/>
      <c r="Q124" s="2"/>
      <c r="R124" s="9"/>
      <c r="S124" s="9"/>
      <c r="T124" s="9"/>
      <c r="U124" s="9"/>
      <c r="V124" s="9"/>
      <c r="W124" s="9"/>
      <c r="X124" s="9"/>
      <c r="Y124" s="9"/>
      <c r="Z124" s="9"/>
      <c r="AA124" s="9"/>
      <c r="AB124" s="9"/>
      <c r="AC124" s="9"/>
      <c r="AD124" s="9"/>
    </row>
    <row r="125" spans="1:30" ht="13.5" customHeight="1">
      <c r="A125" s="2"/>
      <c r="B125" s="2"/>
      <c r="C125" s="2"/>
      <c r="D125" s="2"/>
      <c r="E125" s="2"/>
      <c r="F125" s="2"/>
      <c r="G125" s="2"/>
      <c r="H125" s="2"/>
      <c r="I125" s="2"/>
      <c r="J125" s="2"/>
      <c r="K125" s="2"/>
      <c r="L125" s="2"/>
      <c r="M125" s="2"/>
      <c r="N125" s="2"/>
      <c r="O125" s="2"/>
      <c r="P125" s="2"/>
      <c r="Q125" s="2"/>
      <c r="R125" s="9"/>
      <c r="S125" s="9"/>
      <c r="T125" s="9"/>
      <c r="U125" s="9"/>
      <c r="V125" s="9"/>
      <c r="W125" s="9"/>
      <c r="X125" s="9"/>
      <c r="Y125" s="9"/>
      <c r="Z125" s="9"/>
      <c r="AA125" s="9"/>
      <c r="AB125" s="9"/>
      <c r="AC125" s="9"/>
      <c r="AD125" s="9"/>
    </row>
    <row r="126" spans="1:30" ht="13.5" customHeight="1">
      <c r="A126" s="2"/>
      <c r="B126" s="2"/>
      <c r="C126" s="2"/>
      <c r="D126" s="2"/>
      <c r="E126" s="2"/>
      <c r="F126" s="2"/>
      <c r="G126" s="2"/>
      <c r="H126" s="2"/>
      <c r="I126" s="2"/>
      <c r="J126" s="2"/>
      <c r="K126" s="2"/>
      <c r="L126" s="2"/>
      <c r="M126" s="2"/>
      <c r="N126" s="2"/>
      <c r="O126" s="2"/>
      <c r="P126" s="2"/>
      <c r="Q126" s="2"/>
      <c r="R126" s="9"/>
      <c r="S126" s="9"/>
      <c r="T126" s="9"/>
      <c r="U126" s="9"/>
      <c r="V126" s="9"/>
      <c r="W126" s="9"/>
      <c r="X126" s="9"/>
      <c r="Y126" s="9"/>
      <c r="Z126" s="9"/>
      <c r="AA126" s="9"/>
      <c r="AB126" s="9"/>
      <c r="AC126" s="9"/>
      <c r="AD126" s="9"/>
    </row>
    <row r="127" spans="1:30" ht="13.5" customHeight="1">
      <c r="A127" s="2"/>
      <c r="B127" s="2"/>
      <c r="C127" s="2"/>
      <c r="D127" s="2"/>
      <c r="E127" s="2"/>
      <c r="F127" s="2"/>
      <c r="G127" s="2"/>
      <c r="H127" s="2"/>
      <c r="I127" s="2"/>
      <c r="J127" s="2"/>
      <c r="K127" s="2"/>
      <c r="L127" s="2"/>
      <c r="M127" s="2"/>
      <c r="N127" s="2"/>
      <c r="O127" s="2"/>
      <c r="P127" s="2"/>
      <c r="Q127" s="2"/>
      <c r="R127" s="9"/>
      <c r="S127" s="9"/>
      <c r="T127" s="9"/>
      <c r="U127" s="9"/>
      <c r="V127" s="9"/>
      <c r="W127" s="9"/>
      <c r="X127" s="9"/>
      <c r="Y127" s="9"/>
      <c r="Z127" s="9"/>
      <c r="AA127" s="9"/>
      <c r="AB127" s="9"/>
      <c r="AC127" s="9"/>
      <c r="AD127" s="9"/>
    </row>
    <row r="128" spans="1:30" ht="13.5" customHeight="1">
      <c r="A128" s="2"/>
      <c r="B128" s="2"/>
      <c r="C128" s="2"/>
      <c r="D128" s="2"/>
      <c r="E128" s="2"/>
      <c r="F128" s="2"/>
      <c r="G128" s="2"/>
      <c r="H128" s="2"/>
      <c r="I128" s="2"/>
      <c r="J128" s="2"/>
      <c r="K128" s="2"/>
      <c r="L128" s="2"/>
      <c r="M128" s="2"/>
      <c r="N128" s="2"/>
      <c r="O128" s="2"/>
      <c r="P128" s="2"/>
      <c r="Q128" s="2"/>
      <c r="R128" s="9"/>
      <c r="S128" s="9"/>
      <c r="T128" s="9"/>
      <c r="U128" s="9"/>
      <c r="V128" s="9"/>
      <c r="W128" s="9"/>
      <c r="X128" s="9"/>
      <c r="Y128" s="9"/>
      <c r="Z128" s="9"/>
      <c r="AA128" s="9"/>
      <c r="AB128" s="9"/>
      <c r="AC128" s="9"/>
      <c r="AD128" s="9"/>
    </row>
    <row r="129" spans="1:30" ht="13.5" customHeight="1">
      <c r="A129" s="2"/>
      <c r="B129" s="2"/>
      <c r="C129" s="2"/>
      <c r="D129" s="2"/>
      <c r="E129" s="2"/>
      <c r="F129" s="2"/>
      <c r="G129" s="2"/>
      <c r="H129" s="2"/>
      <c r="I129" s="2"/>
      <c r="J129" s="2"/>
      <c r="K129" s="2"/>
      <c r="L129" s="2"/>
      <c r="M129" s="2"/>
      <c r="N129" s="2"/>
      <c r="O129" s="2"/>
      <c r="P129" s="2"/>
      <c r="Q129" s="2"/>
      <c r="R129" s="9"/>
      <c r="S129" s="9"/>
      <c r="T129" s="9"/>
      <c r="U129" s="9"/>
      <c r="V129" s="9"/>
      <c r="W129" s="9"/>
      <c r="X129" s="9"/>
      <c r="Y129" s="9"/>
      <c r="Z129" s="9"/>
      <c r="AA129" s="9"/>
      <c r="AB129" s="9"/>
      <c r="AC129" s="9"/>
      <c r="AD129" s="9"/>
    </row>
    <row r="130" spans="1:30" ht="13.5" customHeight="1">
      <c r="A130" s="2"/>
      <c r="B130" s="2"/>
      <c r="C130" s="2"/>
      <c r="D130" s="2"/>
      <c r="E130" s="2"/>
      <c r="F130" s="2"/>
      <c r="G130" s="2"/>
      <c r="H130" s="2"/>
      <c r="I130" s="2"/>
      <c r="J130" s="2"/>
      <c r="K130" s="2"/>
      <c r="L130" s="2"/>
      <c r="M130" s="2"/>
      <c r="N130" s="2"/>
      <c r="O130" s="2"/>
      <c r="P130" s="2"/>
      <c r="Q130" s="2"/>
      <c r="R130" s="9"/>
      <c r="S130" s="9"/>
      <c r="T130" s="9"/>
      <c r="U130" s="9"/>
      <c r="V130" s="9"/>
      <c r="W130" s="9"/>
      <c r="X130" s="9"/>
      <c r="Y130" s="9"/>
      <c r="Z130" s="9"/>
      <c r="AA130" s="9"/>
      <c r="AB130" s="9"/>
      <c r="AC130" s="9"/>
      <c r="AD130" s="9"/>
    </row>
    <row r="131" spans="1:30" ht="13.5" customHeight="1">
      <c r="A131" s="2"/>
      <c r="B131" s="2"/>
      <c r="C131" s="2"/>
      <c r="D131" s="2"/>
      <c r="E131" s="2"/>
      <c r="F131" s="2"/>
      <c r="G131" s="2"/>
      <c r="H131" s="2"/>
      <c r="I131" s="2"/>
      <c r="J131" s="2"/>
      <c r="K131" s="2"/>
      <c r="L131" s="2"/>
      <c r="M131" s="2"/>
      <c r="N131" s="2"/>
      <c r="O131" s="2"/>
      <c r="P131" s="2"/>
      <c r="Q131" s="2"/>
      <c r="R131" s="9"/>
      <c r="S131" s="9"/>
      <c r="T131" s="9"/>
      <c r="U131" s="9"/>
      <c r="V131" s="9"/>
      <c r="W131" s="9"/>
      <c r="X131" s="9"/>
      <c r="Y131" s="9"/>
      <c r="Z131" s="9"/>
      <c r="AA131" s="9"/>
      <c r="AB131" s="9"/>
      <c r="AC131" s="9"/>
      <c r="AD131" s="9"/>
    </row>
    <row r="132" spans="1:30" ht="13.5" customHeight="1">
      <c r="A132" s="2"/>
      <c r="B132" s="2"/>
      <c r="C132" s="2"/>
      <c r="D132" s="2"/>
      <c r="E132" s="2"/>
      <c r="F132" s="2"/>
      <c r="G132" s="2"/>
      <c r="H132" s="2"/>
      <c r="I132" s="2"/>
      <c r="J132" s="2"/>
      <c r="K132" s="2"/>
      <c r="L132" s="2"/>
      <c r="M132" s="2"/>
      <c r="N132" s="2"/>
      <c r="O132" s="2"/>
      <c r="P132" s="2"/>
      <c r="Q132" s="2"/>
      <c r="R132" s="9"/>
      <c r="S132" s="9"/>
      <c r="T132" s="9"/>
      <c r="U132" s="9"/>
      <c r="V132" s="9"/>
      <c r="W132" s="9"/>
      <c r="X132" s="9"/>
      <c r="Y132" s="9"/>
      <c r="Z132" s="9"/>
      <c r="AA132" s="9"/>
      <c r="AB132" s="9"/>
      <c r="AC132" s="9"/>
      <c r="AD132" s="9"/>
    </row>
    <row r="133" spans="1:30" ht="13.5" customHeight="1">
      <c r="A133" s="2"/>
      <c r="B133" s="2"/>
      <c r="C133" s="2"/>
      <c r="D133" s="2"/>
      <c r="E133" s="2"/>
      <c r="F133" s="2"/>
      <c r="G133" s="2"/>
      <c r="H133" s="2"/>
      <c r="I133" s="2"/>
      <c r="J133" s="2"/>
      <c r="K133" s="2"/>
      <c r="L133" s="2"/>
      <c r="M133" s="2"/>
      <c r="N133" s="2"/>
      <c r="O133" s="2"/>
      <c r="P133" s="2"/>
      <c r="Q133" s="2"/>
      <c r="R133" s="9"/>
      <c r="S133" s="9"/>
      <c r="T133" s="9"/>
      <c r="U133" s="9"/>
      <c r="V133" s="9"/>
      <c r="W133" s="9"/>
      <c r="X133" s="9"/>
      <c r="Y133" s="9"/>
      <c r="Z133" s="9"/>
      <c r="AA133" s="9"/>
      <c r="AB133" s="9"/>
      <c r="AC133" s="9"/>
      <c r="AD133" s="9"/>
    </row>
    <row r="134" spans="1:30" ht="13.5" customHeight="1">
      <c r="A134" s="2"/>
      <c r="B134" s="2"/>
      <c r="C134" s="2"/>
      <c r="D134" s="2"/>
      <c r="E134" s="2"/>
      <c r="F134" s="2"/>
      <c r="G134" s="2"/>
      <c r="H134" s="2"/>
      <c r="I134" s="2"/>
      <c r="J134" s="2"/>
      <c r="K134" s="2"/>
      <c r="L134" s="2"/>
      <c r="M134" s="2"/>
      <c r="N134" s="2"/>
      <c r="O134" s="2"/>
      <c r="P134" s="2"/>
      <c r="Q134" s="2"/>
      <c r="R134" s="9"/>
      <c r="S134" s="9"/>
      <c r="T134" s="9"/>
      <c r="U134" s="9"/>
      <c r="V134" s="9"/>
      <c r="W134" s="9"/>
      <c r="X134" s="9"/>
      <c r="Y134" s="9"/>
      <c r="Z134" s="9"/>
      <c r="AA134" s="9"/>
      <c r="AB134" s="9"/>
      <c r="AC134" s="9"/>
      <c r="AD134" s="9"/>
    </row>
    <row r="135" spans="1:30" ht="13.5" customHeight="1">
      <c r="A135" s="2"/>
      <c r="B135" s="2"/>
      <c r="C135" s="2"/>
      <c r="D135" s="2"/>
      <c r="E135" s="2"/>
      <c r="F135" s="2"/>
      <c r="G135" s="2"/>
      <c r="H135" s="2"/>
      <c r="I135" s="2"/>
      <c r="J135" s="2"/>
      <c r="K135" s="2"/>
      <c r="L135" s="2"/>
      <c r="M135" s="2"/>
      <c r="N135" s="2"/>
      <c r="O135" s="2"/>
      <c r="P135" s="2"/>
      <c r="Q135" s="2"/>
      <c r="R135" s="9"/>
      <c r="S135" s="9"/>
      <c r="T135" s="9"/>
      <c r="U135" s="9"/>
      <c r="V135" s="9"/>
      <c r="W135" s="9"/>
      <c r="X135" s="9"/>
      <c r="Y135" s="9"/>
      <c r="Z135" s="9"/>
      <c r="AA135" s="9"/>
      <c r="AB135" s="9"/>
      <c r="AC135" s="9"/>
      <c r="AD135" s="9"/>
    </row>
    <row r="136" spans="1:30" ht="13.5" customHeight="1">
      <c r="A136" s="2"/>
      <c r="B136" s="2"/>
      <c r="C136" s="2"/>
      <c r="D136" s="2"/>
      <c r="E136" s="2"/>
      <c r="F136" s="2"/>
      <c r="G136" s="2"/>
      <c r="H136" s="2"/>
      <c r="I136" s="2"/>
      <c r="J136" s="2"/>
      <c r="K136" s="2"/>
      <c r="L136" s="2"/>
      <c r="M136" s="2"/>
      <c r="N136" s="2"/>
      <c r="O136" s="2"/>
      <c r="P136" s="2"/>
      <c r="Q136" s="2"/>
      <c r="R136" s="9"/>
      <c r="S136" s="9"/>
      <c r="T136" s="9"/>
      <c r="U136" s="9"/>
      <c r="V136" s="9"/>
      <c r="W136" s="9"/>
      <c r="X136" s="9"/>
      <c r="Y136" s="9"/>
      <c r="Z136" s="9"/>
      <c r="AA136" s="9"/>
      <c r="AB136" s="9"/>
      <c r="AC136" s="9"/>
      <c r="AD136" s="9"/>
    </row>
    <row r="137" spans="1:30" ht="13.5" customHeight="1">
      <c r="A137" s="2"/>
      <c r="B137" s="2"/>
      <c r="C137" s="2"/>
      <c r="D137" s="2"/>
      <c r="E137" s="2"/>
      <c r="F137" s="2"/>
      <c r="G137" s="2"/>
      <c r="H137" s="2"/>
      <c r="I137" s="2"/>
      <c r="J137" s="2"/>
      <c r="K137" s="2"/>
      <c r="L137" s="2"/>
      <c r="M137" s="2"/>
      <c r="N137" s="2"/>
      <c r="O137" s="2"/>
      <c r="P137" s="2"/>
      <c r="Q137" s="2"/>
      <c r="R137" s="9"/>
      <c r="S137" s="9"/>
      <c r="T137" s="9"/>
      <c r="U137" s="9"/>
      <c r="V137" s="9"/>
      <c r="W137" s="9"/>
      <c r="X137" s="9"/>
      <c r="Y137" s="9"/>
      <c r="Z137" s="9"/>
      <c r="AA137" s="9"/>
      <c r="AB137" s="9"/>
      <c r="AC137" s="9"/>
      <c r="AD137" s="9"/>
    </row>
    <row r="138" spans="1:30" ht="13.5" customHeight="1">
      <c r="A138" s="2"/>
      <c r="B138" s="2"/>
      <c r="C138" s="2"/>
      <c r="D138" s="2"/>
      <c r="E138" s="2"/>
      <c r="F138" s="2"/>
      <c r="G138" s="2"/>
      <c r="H138" s="2"/>
      <c r="I138" s="2"/>
      <c r="J138" s="2"/>
      <c r="K138" s="2"/>
      <c r="L138" s="2"/>
      <c r="M138" s="2"/>
      <c r="N138" s="2"/>
      <c r="O138" s="2"/>
      <c r="P138" s="2"/>
      <c r="Q138" s="2"/>
      <c r="R138" s="9"/>
      <c r="S138" s="9"/>
      <c r="T138" s="9"/>
      <c r="U138" s="9"/>
      <c r="V138" s="9"/>
      <c r="W138" s="9"/>
      <c r="X138" s="9"/>
      <c r="Y138" s="9"/>
      <c r="Z138" s="9"/>
      <c r="AA138" s="9"/>
      <c r="AB138" s="9"/>
      <c r="AC138" s="9"/>
      <c r="AD138" s="9"/>
    </row>
    <row r="139" spans="1:30" ht="13.5" customHeight="1">
      <c r="A139" s="2"/>
      <c r="B139" s="2"/>
      <c r="C139" s="2"/>
      <c r="D139" s="2"/>
      <c r="E139" s="2"/>
      <c r="F139" s="2"/>
      <c r="G139" s="2"/>
      <c r="H139" s="2"/>
      <c r="I139" s="2"/>
      <c r="J139" s="2"/>
      <c r="K139" s="2"/>
      <c r="L139" s="2"/>
      <c r="M139" s="2"/>
      <c r="N139" s="2"/>
      <c r="O139" s="2"/>
      <c r="P139" s="2"/>
      <c r="Q139" s="2"/>
      <c r="R139" s="9"/>
      <c r="S139" s="9"/>
      <c r="T139" s="9"/>
      <c r="U139" s="9"/>
      <c r="V139" s="9"/>
      <c r="W139" s="9"/>
      <c r="X139" s="9"/>
      <c r="Y139" s="9"/>
      <c r="Z139" s="9"/>
      <c r="AA139" s="9"/>
      <c r="AB139" s="9"/>
      <c r="AC139" s="9"/>
      <c r="AD139" s="9"/>
    </row>
    <row r="140" spans="1:30" ht="13.5" customHeight="1">
      <c r="A140" s="2"/>
      <c r="B140" s="2"/>
      <c r="C140" s="2"/>
      <c r="D140" s="2"/>
      <c r="E140" s="2"/>
      <c r="F140" s="2"/>
      <c r="G140" s="2"/>
      <c r="H140" s="2"/>
      <c r="I140" s="2"/>
      <c r="J140" s="2"/>
      <c r="K140" s="2"/>
      <c r="L140" s="2"/>
      <c r="M140" s="2"/>
      <c r="N140" s="2"/>
      <c r="O140" s="2"/>
      <c r="P140" s="2"/>
      <c r="Q140" s="2"/>
      <c r="R140" s="9"/>
      <c r="S140" s="9"/>
      <c r="T140" s="9"/>
      <c r="U140" s="9"/>
      <c r="V140" s="9"/>
      <c r="W140" s="9"/>
      <c r="X140" s="9"/>
      <c r="Y140" s="9"/>
      <c r="Z140" s="9"/>
      <c r="AA140" s="9"/>
      <c r="AB140" s="9"/>
      <c r="AC140" s="9"/>
      <c r="AD140" s="9"/>
    </row>
    <row r="141" spans="1:30" ht="13.5" customHeight="1">
      <c r="A141" s="2"/>
      <c r="B141" s="2"/>
      <c r="C141" s="2"/>
      <c r="D141" s="2"/>
      <c r="E141" s="2"/>
      <c r="F141" s="2"/>
      <c r="G141" s="2"/>
      <c r="H141" s="2"/>
      <c r="I141" s="2"/>
      <c r="J141" s="2"/>
      <c r="K141" s="2"/>
      <c r="L141" s="2"/>
      <c r="M141" s="2"/>
      <c r="N141" s="2"/>
      <c r="O141" s="2"/>
      <c r="P141" s="2"/>
      <c r="Q141" s="2"/>
      <c r="R141" s="9"/>
      <c r="S141" s="9"/>
      <c r="T141" s="9"/>
      <c r="U141" s="9"/>
      <c r="V141" s="9"/>
      <c r="W141" s="9"/>
      <c r="X141" s="9"/>
      <c r="Y141" s="9"/>
      <c r="Z141" s="9"/>
      <c r="AA141" s="9"/>
      <c r="AB141" s="9"/>
      <c r="AC141" s="9"/>
      <c r="AD141" s="9"/>
    </row>
    <row r="142" spans="1:30" ht="13.5" customHeight="1">
      <c r="A142" s="2"/>
      <c r="B142" s="2"/>
      <c r="C142" s="2"/>
      <c r="D142" s="2"/>
      <c r="E142" s="2"/>
      <c r="F142" s="2"/>
      <c r="G142" s="2"/>
      <c r="H142" s="2"/>
      <c r="I142" s="2"/>
      <c r="J142" s="2"/>
      <c r="K142" s="2"/>
      <c r="L142" s="2"/>
      <c r="M142" s="2"/>
      <c r="N142" s="2"/>
      <c r="O142" s="2"/>
      <c r="P142" s="2"/>
      <c r="Q142" s="2"/>
      <c r="R142" s="9"/>
      <c r="S142" s="9"/>
      <c r="T142" s="9"/>
      <c r="U142" s="9"/>
      <c r="V142" s="9"/>
      <c r="W142" s="9"/>
      <c r="X142" s="9"/>
      <c r="Y142" s="9"/>
      <c r="Z142" s="9"/>
      <c r="AA142" s="9"/>
      <c r="AB142" s="9"/>
      <c r="AC142" s="9"/>
      <c r="AD142" s="9"/>
    </row>
    <row r="143" spans="1:30" ht="13.5" customHeight="1">
      <c r="A143" s="2"/>
      <c r="B143" s="2"/>
      <c r="C143" s="2"/>
      <c r="D143" s="2"/>
      <c r="E143" s="2"/>
      <c r="F143" s="2"/>
      <c r="G143" s="2"/>
      <c r="H143" s="2"/>
      <c r="I143" s="2"/>
      <c r="J143" s="2"/>
      <c r="K143" s="2"/>
      <c r="L143" s="2"/>
      <c r="M143" s="2"/>
      <c r="N143" s="2"/>
      <c r="O143" s="2"/>
      <c r="P143" s="2"/>
      <c r="Q143" s="2"/>
      <c r="R143" s="9"/>
      <c r="S143" s="9"/>
      <c r="T143" s="9"/>
      <c r="U143" s="9"/>
      <c r="V143" s="9"/>
      <c r="W143" s="9"/>
      <c r="X143" s="9"/>
      <c r="Y143" s="9"/>
      <c r="Z143" s="9"/>
      <c r="AA143" s="9"/>
      <c r="AB143" s="9"/>
      <c r="AC143" s="9"/>
      <c r="AD143" s="9"/>
    </row>
    <row r="144" spans="1:30" ht="13.5" customHeight="1">
      <c r="A144" s="2"/>
      <c r="B144" s="2"/>
      <c r="C144" s="2"/>
      <c r="D144" s="2"/>
      <c r="E144" s="2"/>
      <c r="F144" s="2"/>
      <c r="G144" s="2"/>
      <c r="H144" s="2"/>
      <c r="I144" s="2"/>
      <c r="J144" s="2"/>
      <c r="K144" s="2"/>
      <c r="L144" s="2"/>
      <c r="M144" s="2"/>
      <c r="N144" s="2"/>
      <c r="O144" s="2"/>
      <c r="P144" s="2"/>
      <c r="Q144" s="2"/>
      <c r="R144" s="9"/>
      <c r="S144" s="9"/>
      <c r="T144" s="9"/>
      <c r="U144" s="9"/>
      <c r="V144" s="9"/>
      <c r="W144" s="9"/>
      <c r="X144" s="9"/>
      <c r="Y144" s="9"/>
      <c r="Z144" s="9"/>
      <c r="AA144" s="9"/>
      <c r="AB144" s="9"/>
      <c r="AC144" s="9"/>
      <c r="AD144" s="9"/>
    </row>
    <row r="145" spans="1:30" ht="13.5" customHeight="1">
      <c r="A145" s="2"/>
      <c r="B145" s="2"/>
      <c r="C145" s="2"/>
      <c r="D145" s="2"/>
      <c r="E145" s="2"/>
      <c r="F145" s="2"/>
      <c r="G145" s="2"/>
      <c r="H145" s="2"/>
      <c r="I145" s="2"/>
      <c r="J145" s="2"/>
      <c r="K145" s="2"/>
      <c r="L145" s="2"/>
      <c r="M145" s="2"/>
      <c r="N145" s="2"/>
      <c r="O145" s="2"/>
      <c r="P145" s="2"/>
      <c r="Q145" s="2"/>
      <c r="R145" s="9"/>
      <c r="S145" s="9"/>
      <c r="T145" s="9"/>
      <c r="U145" s="9"/>
      <c r="V145" s="9"/>
      <c r="W145" s="9"/>
      <c r="X145" s="9"/>
      <c r="Y145" s="9"/>
      <c r="Z145" s="9"/>
      <c r="AA145" s="9"/>
      <c r="AB145" s="9"/>
      <c r="AC145" s="9"/>
      <c r="AD145" s="9"/>
    </row>
    <row r="146" spans="1:30" ht="13.5" customHeight="1">
      <c r="A146" s="2"/>
      <c r="B146" s="2"/>
      <c r="C146" s="2"/>
      <c r="D146" s="2"/>
      <c r="E146" s="2"/>
      <c r="F146" s="2"/>
      <c r="G146" s="2"/>
      <c r="H146" s="2"/>
      <c r="I146" s="2"/>
      <c r="J146" s="2"/>
      <c r="K146" s="2"/>
      <c r="L146" s="2"/>
      <c r="M146" s="2"/>
      <c r="N146" s="2"/>
      <c r="O146" s="2"/>
      <c r="P146" s="2"/>
      <c r="Q146" s="2"/>
      <c r="R146" s="9"/>
      <c r="S146" s="9"/>
      <c r="T146" s="9"/>
      <c r="U146" s="9"/>
      <c r="V146" s="9"/>
      <c r="W146" s="9"/>
      <c r="X146" s="9"/>
      <c r="Y146" s="9"/>
      <c r="Z146" s="9"/>
      <c r="AA146" s="9"/>
      <c r="AB146" s="9"/>
      <c r="AC146" s="9"/>
      <c r="AD146" s="9"/>
    </row>
    <row r="147" spans="1:30" ht="13.5" customHeight="1">
      <c r="A147" s="2"/>
      <c r="B147" s="2"/>
      <c r="C147" s="2"/>
      <c r="D147" s="2"/>
      <c r="E147" s="2"/>
      <c r="F147" s="2"/>
      <c r="G147" s="2"/>
      <c r="H147" s="2"/>
      <c r="I147" s="2"/>
      <c r="J147" s="2"/>
      <c r="K147" s="2"/>
      <c r="L147" s="2"/>
      <c r="M147" s="2"/>
      <c r="N147" s="2"/>
      <c r="O147" s="2"/>
      <c r="P147" s="2"/>
      <c r="Q147" s="2"/>
      <c r="R147" s="9"/>
      <c r="S147" s="9"/>
      <c r="T147" s="9"/>
      <c r="U147" s="9"/>
      <c r="V147" s="9"/>
      <c r="W147" s="9"/>
      <c r="X147" s="9"/>
      <c r="Y147" s="9"/>
      <c r="Z147" s="9"/>
      <c r="AA147" s="9"/>
      <c r="AB147" s="9"/>
      <c r="AC147" s="9"/>
      <c r="AD147" s="9"/>
    </row>
    <row r="148" spans="1:30" ht="13.5" customHeight="1">
      <c r="A148" s="2"/>
      <c r="B148" s="2"/>
      <c r="C148" s="2"/>
      <c r="D148" s="2"/>
      <c r="E148" s="2"/>
      <c r="F148" s="2"/>
      <c r="G148" s="2"/>
      <c r="H148" s="2"/>
      <c r="I148" s="2"/>
      <c r="J148" s="2"/>
      <c r="K148" s="2"/>
      <c r="L148" s="2"/>
      <c r="M148" s="2"/>
      <c r="N148" s="2"/>
      <c r="O148" s="2"/>
      <c r="P148" s="2"/>
      <c r="Q148" s="2"/>
      <c r="R148" s="9"/>
      <c r="S148" s="9"/>
      <c r="T148" s="9"/>
      <c r="U148" s="9"/>
      <c r="V148" s="9"/>
      <c r="W148" s="9"/>
      <c r="X148" s="9"/>
      <c r="Y148" s="9"/>
      <c r="Z148" s="9"/>
      <c r="AA148" s="9"/>
      <c r="AB148" s="9"/>
      <c r="AC148" s="9"/>
      <c r="AD148" s="9"/>
    </row>
    <row r="149" spans="1:30" ht="13.5" customHeight="1">
      <c r="A149" s="2"/>
      <c r="B149" s="2"/>
      <c r="C149" s="2"/>
      <c r="D149" s="2"/>
      <c r="E149" s="2"/>
      <c r="F149" s="2"/>
      <c r="G149" s="2"/>
      <c r="H149" s="2"/>
      <c r="I149" s="2"/>
      <c r="J149" s="2"/>
      <c r="K149" s="2"/>
      <c r="L149" s="2"/>
      <c r="M149" s="2"/>
      <c r="N149" s="2"/>
      <c r="O149" s="2"/>
      <c r="P149" s="2"/>
      <c r="Q149" s="2"/>
      <c r="R149" s="9"/>
      <c r="S149" s="9"/>
      <c r="T149" s="9"/>
      <c r="U149" s="9"/>
      <c r="V149" s="9"/>
      <c r="W149" s="9"/>
      <c r="X149" s="9"/>
      <c r="Y149" s="9"/>
      <c r="Z149" s="9"/>
      <c r="AA149" s="9"/>
      <c r="AB149" s="9"/>
      <c r="AC149" s="9"/>
      <c r="AD149" s="9"/>
    </row>
    <row r="150" spans="1:30" ht="13.5" customHeight="1">
      <c r="A150" s="2"/>
      <c r="B150" s="2"/>
      <c r="C150" s="2"/>
      <c r="D150" s="2"/>
      <c r="E150" s="2"/>
      <c r="F150" s="2"/>
      <c r="G150" s="2"/>
      <c r="H150" s="2"/>
      <c r="I150" s="2"/>
      <c r="J150" s="2"/>
      <c r="K150" s="2"/>
      <c r="L150" s="2"/>
      <c r="M150" s="2"/>
      <c r="N150" s="2"/>
      <c r="O150" s="2"/>
      <c r="P150" s="2"/>
      <c r="Q150" s="2"/>
      <c r="R150" s="9"/>
      <c r="S150" s="9"/>
      <c r="T150" s="9"/>
      <c r="U150" s="9"/>
      <c r="V150" s="9"/>
      <c r="W150" s="9"/>
      <c r="X150" s="9"/>
      <c r="Y150" s="9"/>
      <c r="Z150" s="9"/>
      <c r="AA150" s="9"/>
      <c r="AB150" s="9"/>
      <c r="AC150" s="9"/>
      <c r="AD150" s="9"/>
    </row>
    <row r="151" spans="1:30" ht="13.5" customHeight="1">
      <c r="A151" s="2"/>
      <c r="B151" s="2"/>
      <c r="C151" s="2"/>
      <c r="D151" s="2"/>
      <c r="E151" s="2"/>
      <c r="F151" s="2"/>
      <c r="G151" s="2"/>
      <c r="H151" s="2"/>
      <c r="I151" s="2"/>
      <c r="J151" s="2"/>
      <c r="K151" s="2"/>
      <c r="L151" s="2"/>
      <c r="M151" s="2"/>
      <c r="N151" s="2"/>
      <c r="O151" s="2"/>
      <c r="P151" s="2"/>
      <c r="Q151" s="2"/>
      <c r="R151" s="9"/>
      <c r="S151" s="9"/>
      <c r="T151" s="9"/>
      <c r="U151" s="9"/>
      <c r="V151" s="9"/>
      <c r="W151" s="9"/>
      <c r="X151" s="9"/>
      <c r="Y151" s="9"/>
      <c r="Z151" s="9"/>
      <c r="AA151" s="9"/>
      <c r="AB151" s="9"/>
      <c r="AC151" s="9"/>
      <c r="AD151" s="9"/>
    </row>
    <row r="152" spans="1:30" ht="13.5" customHeight="1">
      <c r="A152" s="2"/>
      <c r="B152" s="2"/>
      <c r="C152" s="2"/>
      <c r="D152" s="2"/>
      <c r="E152" s="2"/>
      <c r="F152" s="2"/>
      <c r="G152" s="2"/>
      <c r="H152" s="2"/>
      <c r="I152" s="2"/>
      <c r="J152" s="2"/>
      <c r="K152" s="2"/>
      <c r="L152" s="2"/>
      <c r="M152" s="2"/>
      <c r="N152" s="2"/>
      <c r="O152" s="2"/>
      <c r="P152" s="2"/>
      <c r="Q152" s="2"/>
      <c r="R152" s="9"/>
      <c r="S152" s="9"/>
      <c r="T152" s="9"/>
      <c r="U152" s="9"/>
      <c r="V152" s="9"/>
      <c r="W152" s="9"/>
      <c r="X152" s="9"/>
      <c r="Y152" s="9"/>
      <c r="Z152" s="9"/>
      <c r="AA152" s="9"/>
      <c r="AB152" s="9"/>
      <c r="AC152" s="9"/>
      <c r="AD152" s="9"/>
    </row>
    <row r="153" spans="1:30" ht="13.5" customHeight="1">
      <c r="A153" s="2"/>
      <c r="B153" s="2"/>
      <c r="C153" s="2"/>
      <c r="D153" s="2"/>
      <c r="E153" s="2"/>
      <c r="F153" s="2"/>
      <c r="G153" s="2"/>
      <c r="H153" s="2"/>
      <c r="I153" s="2"/>
      <c r="J153" s="2"/>
      <c r="K153" s="2"/>
      <c r="L153" s="2"/>
      <c r="M153" s="2"/>
      <c r="N153" s="2"/>
      <c r="O153" s="2"/>
      <c r="P153" s="2"/>
      <c r="Q153" s="2"/>
      <c r="R153" s="9"/>
      <c r="S153" s="9"/>
      <c r="T153" s="9"/>
      <c r="U153" s="9"/>
      <c r="V153" s="9"/>
      <c r="W153" s="9"/>
      <c r="X153" s="9"/>
      <c r="Y153" s="9"/>
      <c r="Z153" s="9"/>
      <c r="AA153" s="9"/>
      <c r="AB153" s="9"/>
      <c r="AC153" s="9"/>
      <c r="AD153" s="9"/>
    </row>
    <row r="154" spans="1:30" ht="13.5" customHeight="1">
      <c r="A154" s="2"/>
      <c r="B154" s="2"/>
      <c r="C154" s="2"/>
      <c r="D154" s="2"/>
      <c r="E154" s="2"/>
      <c r="F154" s="2"/>
      <c r="G154" s="2"/>
      <c r="H154" s="2"/>
      <c r="I154" s="2"/>
      <c r="J154" s="2"/>
      <c r="K154" s="2"/>
      <c r="L154" s="2"/>
      <c r="M154" s="2"/>
      <c r="N154" s="2"/>
      <c r="O154" s="2"/>
      <c r="P154" s="2"/>
      <c r="Q154" s="2"/>
      <c r="R154" s="9"/>
      <c r="S154" s="9"/>
      <c r="T154" s="9"/>
      <c r="U154" s="9"/>
      <c r="V154" s="9"/>
      <c r="W154" s="9"/>
      <c r="X154" s="9"/>
      <c r="Y154" s="9"/>
      <c r="Z154" s="9"/>
      <c r="AA154" s="9"/>
      <c r="AB154" s="9"/>
      <c r="AC154" s="9"/>
      <c r="AD154" s="9"/>
    </row>
    <row r="155" spans="1:30" ht="13.5" customHeight="1">
      <c r="A155" s="2"/>
      <c r="B155" s="2"/>
      <c r="C155" s="2"/>
      <c r="D155" s="2"/>
      <c r="E155" s="2"/>
      <c r="F155" s="2"/>
      <c r="G155" s="2"/>
      <c r="H155" s="2"/>
      <c r="I155" s="2"/>
      <c r="J155" s="2"/>
      <c r="K155" s="2"/>
      <c r="L155" s="2"/>
      <c r="M155" s="2"/>
      <c r="N155" s="2"/>
      <c r="O155" s="2"/>
      <c r="P155" s="2"/>
      <c r="Q155" s="2"/>
      <c r="R155" s="9"/>
      <c r="S155" s="9"/>
      <c r="T155" s="9"/>
      <c r="U155" s="9"/>
      <c r="V155" s="9"/>
      <c r="W155" s="9"/>
      <c r="X155" s="9"/>
      <c r="Y155" s="9"/>
      <c r="Z155" s="9"/>
      <c r="AA155" s="9"/>
      <c r="AB155" s="9"/>
      <c r="AC155" s="9"/>
      <c r="AD155" s="9"/>
    </row>
    <row r="156" spans="1:30" ht="13.5" customHeight="1">
      <c r="A156" s="2"/>
      <c r="B156" s="2"/>
      <c r="C156" s="2"/>
      <c r="D156" s="2"/>
      <c r="E156" s="2"/>
      <c r="F156" s="2"/>
      <c r="G156" s="2"/>
      <c r="H156" s="2"/>
      <c r="I156" s="2"/>
      <c r="J156" s="2"/>
      <c r="K156" s="2"/>
      <c r="L156" s="2"/>
      <c r="M156" s="2"/>
      <c r="N156" s="2"/>
      <c r="O156" s="2"/>
      <c r="P156" s="2"/>
      <c r="Q156" s="2"/>
      <c r="R156" s="9"/>
      <c r="S156" s="9"/>
      <c r="T156" s="9"/>
      <c r="U156" s="9"/>
      <c r="V156" s="9"/>
      <c r="W156" s="9"/>
      <c r="X156" s="9"/>
      <c r="Y156" s="9"/>
      <c r="Z156" s="9"/>
      <c r="AA156" s="9"/>
      <c r="AB156" s="9"/>
      <c r="AC156" s="9"/>
      <c r="AD156" s="9"/>
    </row>
    <row r="157" spans="1:30" ht="13.5" customHeight="1">
      <c r="A157" s="2"/>
      <c r="B157" s="2"/>
      <c r="C157" s="2"/>
      <c r="D157" s="2"/>
      <c r="E157" s="2"/>
      <c r="F157" s="2"/>
      <c r="G157" s="2"/>
      <c r="H157" s="2"/>
      <c r="I157" s="2"/>
      <c r="J157" s="2"/>
      <c r="K157" s="2"/>
      <c r="L157" s="2"/>
      <c r="M157" s="2"/>
      <c r="N157" s="2"/>
      <c r="O157" s="2"/>
      <c r="P157" s="2"/>
      <c r="Q157" s="2"/>
      <c r="R157" s="9"/>
      <c r="S157" s="9"/>
      <c r="T157" s="9"/>
      <c r="U157" s="9"/>
      <c r="V157" s="9"/>
      <c r="W157" s="9"/>
      <c r="X157" s="9"/>
      <c r="Y157" s="9"/>
      <c r="Z157" s="9"/>
      <c r="AA157" s="9"/>
      <c r="AB157" s="9"/>
      <c r="AC157" s="9"/>
      <c r="AD157" s="9"/>
    </row>
    <row r="158" spans="1:30" ht="13.5" customHeight="1">
      <c r="A158" s="2"/>
      <c r="B158" s="2"/>
      <c r="C158" s="2"/>
      <c r="D158" s="2"/>
      <c r="E158" s="2"/>
      <c r="F158" s="2"/>
      <c r="G158" s="2"/>
      <c r="H158" s="2"/>
      <c r="I158" s="2"/>
      <c r="J158" s="2"/>
      <c r="K158" s="2"/>
      <c r="L158" s="2"/>
      <c r="M158" s="2"/>
      <c r="N158" s="2"/>
      <c r="O158" s="2"/>
      <c r="P158" s="2"/>
      <c r="Q158" s="2"/>
      <c r="R158" s="9"/>
      <c r="S158" s="9"/>
      <c r="T158" s="9"/>
      <c r="U158" s="9"/>
      <c r="V158" s="9"/>
      <c r="W158" s="9"/>
      <c r="X158" s="9"/>
      <c r="Y158" s="9"/>
      <c r="Z158" s="9"/>
      <c r="AA158" s="9"/>
      <c r="AB158" s="9"/>
      <c r="AC158" s="9"/>
      <c r="AD158" s="9"/>
    </row>
    <row r="159" spans="1:30" ht="13.5" customHeight="1">
      <c r="A159" s="2"/>
      <c r="B159" s="2"/>
      <c r="C159" s="2"/>
      <c r="D159" s="2"/>
      <c r="E159" s="2"/>
      <c r="F159" s="2"/>
      <c r="G159" s="2"/>
      <c r="H159" s="2"/>
      <c r="I159" s="2"/>
      <c r="J159" s="2"/>
      <c r="K159" s="2"/>
      <c r="L159" s="2"/>
      <c r="M159" s="2"/>
      <c r="N159" s="2"/>
      <c r="O159" s="2"/>
      <c r="P159" s="2"/>
      <c r="Q159" s="2"/>
      <c r="R159" s="9"/>
      <c r="S159" s="9"/>
      <c r="T159" s="9"/>
      <c r="U159" s="9"/>
      <c r="V159" s="9"/>
      <c r="W159" s="9"/>
      <c r="X159" s="9"/>
      <c r="Y159" s="9"/>
      <c r="Z159" s="9"/>
      <c r="AA159" s="9"/>
      <c r="AB159" s="9"/>
      <c r="AC159" s="9"/>
      <c r="AD159" s="9"/>
    </row>
    <row r="160" spans="1:30" ht="13.5" customHeight="1">
      <c r="A160" s="2"/>
      <c r="B160" s="2"/>
      <c r="C160" s="2"/>
      <c r="D160" s="2"/>
      <c r="E160" s="2"/>
      <c r="F160" s="2"/>
      <c r="G160" s="2"/>
      <c r="H160" s="2"/>
      <c r="I160" s="2"/>
      <c r="J160" s="2"/>
      <c r="K160" s="2"/>
      <c r="L160" s="2"/>
      <c r="M160" s="2"/>
      <c r="N160" s="2"/>
      <c r="O160" s="2"/>
      <c r="P160" s="2"/>
      <c r="Q160" s="2"/>
      <c r="R160" s="9"/>
      <c r="S160" s="9"/>
      <c r="T160" s="9"/>
      <c r="U160" s="9"/>
      <c r="V160" s="9"/>
      <c r="W160" s="9"/>
      <c r="X160" s="9"/>
      <c r="Y160" s="9"/>
      <c r="Z160" s="9"/>
      <c r="AA160" s="9"/>
      <c r="AB160" s="9"/>
      <c r="AC160" s="9"/>
      <c r="AD160" s="9"/>
    </row>
    <row r="161" spans="1:30" ht="13.5" customHeight="1">
      <c r="A161" s="2"/>
      <c r="B161" s="2"/>
      <c r="C161" s="2"/>
      <c r="D161" s="2"/>
      <c r="E161" s="2"/>
      <c r="F161" s="2"/>
      <c r="G161" s="2"/>
      <c r="H161" s="2"/>
      <c r="I161" s="2"/>
      <c r="J161" s="2"/>
      <c r="K161" s="2"/>
      <c r="L161" s="2"/>
      <c r="M161" s="2"/>
      <c r="N161" s="2"/>
      <c r="O161" s="2"/>
      <c r="P161" s="2"/>
      <c r="Q161" s="2"/>
      <c r="R161" s="9"/>
      <c r="S161" s="9"/>
      <c r="T161" s="9"/>
      <c r="U161" s="9"/>
      <c r="V161" s="9"/>
      <c r="W161" s="9"/>
      <c r="X161" s="9"/>
      <c r="Y161" s="9"/>
      <c r="Z161" s="9"/>
      <c r="AA161" s="9"/>
      <c r="AB161" s="9"/>
      <c r="AC161" s="9"/>
      <c r="AD161" s="9"/>
    </row>
    <row r="162" spans="1:30" ht="13.5" customHeight="1">
      <c r="A162" s="2"/>
      <c r="B162" s="2"/>
      <c r="C162" s="2"/>
      <c r="D162" s="2"/>
      <c r="E162" s="2"/>
      <c r="F162" s="2"/>
      <c r="G162" s="2"/>
      <c r="H162" s="2"/>
      <c r="I162" s="2"/>
      <c r="J162" s="2"/>
      <c r="K162" s="2"/>
      <c r="L162" s="2"/>
      <c r="M162" s="2"/>
      <c r="N162" s="2"/>
      <c r="O162" s="2"/>
      <c r="P162" s="2"/>
      <c r="Q162" s="2"/>
      <c r="R162" s="9"/>
      <c r="S162" s="9"/>
      <c r="T162" s="9"/>
      <c r="U162" s="9"/>
      <c r="V162" s="9"/>
      <c r="W162" s="9"/>
      <c r="X162" s="9"/>
      <c r="Y162" s="9"/>
      <c r="Z162" s="9"/>
      <c r="AA162" s="9"/>
      <c r="AB162" s="9"/>
      <c r="AC162" s="9"/>
      <c r="AD162" s="9"/>
    </row>
    <row r="163" spans="1:30" ht="13.5" customHeight="1">
      <c r="A163" s="2"/>
      <c r="B163" s="2"/>
      <c r="C163" s="2"/>
      <c r="D163" s="2"/>
      <c r="E163" s="2"/>
      <c r="F163" s="2"/>
      <c r="G163" s="2"/>
      <c r="H163" s="2"/>
      <c r="I163" s="2"/>
      <c r="J163" s="2"/>
      <c r="K163" s="2"/>
      <c r="L163" s="2"/>
      <c r="M163" s="2"/>
      <c r="N163" s="2"/>
      <c r="O163" s="2"/>
      <c r="P163" s="2"/>
      <c r="Q163" s="2"/>
      <c r="R163" s="9"/>
      <c r="S163" s="9"/>
      <c r="T163" s="9"/>
      <c r="U163" s="9"/>
      <c r="V163" s="9"/>
      <c r="W163" s="9"/>
      <c r="X163" s="9"/>
      <c r="Y163" s="9"/>
      <c r="Z163" s="9"/>
      <c r="AA163" s="9"/>
      <c r="AB163" s="9"/>
      <c r="AC163" s="9"/>
      <c r="AD163" s="9"/>
    </row>
    <row r="164" spans="1:30" ht="13.5" customHeight="1">
      <c r="A164" s="2"/>
      <c r="B164" s="2"/>
      <c r="C164" s="2"/>
      <c r="D164" s="2"/>
      <c r="E164" s="2"/>
      <c r="F164" s="2"/>
      <c r="G164" s="2"/>
      <c r="H164" s="2"/>
      <c r="I164" s="2"/>
      <c r="J164" s="2"/>
      <c r="K164" s="2"/>
      <c r="L164" s="2"/>
      <c r="M164" s="2"/>
      <c r="N164" s="2"/>
      <c r="O164" s="2"/>
      <c r="P164" s="2"/>
      <c r="Q164" s="2"/>
      <c r="R164" s="9"/>
      <c r="S164" s="9"/>
      <c r="T164" s="9"/>
      <c r="U164" s="9"/>
      <c r="V164" s="9"/>
      <c r="W164" s="9"/>
      <c r="X164" s="9"/>
      <c r="Y164" s="9"/>
      <c r="Z164" s="9"/>
      <c r="AA164" s="9"/>
      <c r="AB164" s="9"/>
      <c r="AC164" s="9"/>
      <c r="AD164" s="9"/>
    </row>
    <row r="165" spans="1:30" ht="13.5" customHeight="1">
      <c r="A165" s="2"/>
      <c r="B165" s="2"/>
      <c r="C165" s="2"/>
      <c r="D165" s="2"/>
      <c r="E165" s="2"/>
      <c r="F165" s="2"/>
      <c r="G165" s="2"/>
      <c r="H165" s="2"/>
      <c r="I165" s="2"/>
      <c r="J165" s="2"/>
      <c r="K165" s="2"/>
      <c r="L165" s="2"/>
      <c r="M165" s="2"/>
      <c r="N165" s="2"/>
      <c r="O165" s="2"/>
      <c r="P165" s="2"/>
      <c r="Q165" s="2"/>
      <c r="R165" s="9"/>
      <c r="S165" s="9"/>
      <c r="T165" s="9"/>
      <c r="U165" s="9"/>
      <c r="V165" s="9"/>
      <c r="W165" s="9"/>
      <c r="X165" s="9"/>
      <c r="Y165" s="9"/>
      <c r="Z165" s="9"/>
      <c r="AA165" s="9"/>
      <c r="AB165" s="9"/>
      <c r="AC165" s="9"/>
      <c r="AD165" s="9"/>
    </row>
    <row r="166" spans="1:30" ht="13.5" customHeight="1">
      <c r="A166" s="2"/>
      <c r="B166" s="2"/>
      <c r="C166" s="2"/>
      <c r="D166" s="2"/>
      <c r="E166" s="2"/>
      <c r="F166" s="2"/>
      <c r="G166" s="2"/>
      <c r="H166" s="2"/>
      <c r="I166" s="2"/>
      <c r="J166" s="2"/>
      <c r="K166" s="2"/>
      <c r="L166" s="2"/>
      <c r="M166" s="2"/>
      <c r="N166" s="2"/>
      <c r="O166" s="2"/>
      <c r="P166" s="2"/>
      <c r="Q166" s="2"/>
      <c r="R166" s="9"/>
      <c r="S166" s="9"/>
      <c r="T166" s="9"/>
      <c r="U166" s="9"/>
      <c r="V166" s="9"/>
      <c r="W166" s="9"/>
      <c r="X166" s="9"/>
      <c r="Y166" s="9"/>
      <c r="Z166" s="9"/>
      <c r="AA166" s="9"/>
      <c r="AB166" s="9"/>
      <c r="AC166" s="9"/>
      <c r="AD166" s="9"/>
    </row>
    <row r="167" spans="1:30" ht="13.5" customHeight="1">
      <c r="A167" s="2"/>
      <c r="B167" s="2"/>
      <c r="C167" s="2"/>
      <c r="D167" s="2"/>
      <c r="E167" s="2"/>
      <c r="F167" s="2"/>
      <c r="G167" s="2"/>
      <c r="H167" s="2"/>
      <c r="I167" s="2"/>
      <c r="J167" s="2"/>
      <c r="K167" s="2"/>
      <c r="L167" s="2"/>
      <c r="M167" s="2"/>
      <c r="N167" s="2"/>
      <c r="O167" s="2"/>
      <c r="P167" s="2"/>
      <c r="Q167" s="2"/>
      <c r="R167" s="9"/>
      <c r="S167" s="9"/>
      <c r="T167" s="9"/>
      <c r="U167" s="9"/>
      <c r="V167" s="9"/>
      <c r="W167" s="9"/>
      <c r="X167" s="9"/>
      <c r="Y167" s="9"/>
      <c r="Z167" s="9"/>
      <c r="AA167" s="9"/>
      <c r="AB167" s="9"/>
      <c r="AC167" s="9"/>
      <c r="AD167" s="9"/>
    </row>
    <row r="168" spans="1:30" ht="13.5" customHeight="1">
      <c r="A168" s="2"/>
      <c r="B168" s="2"/>
      <c r="C168" s="2"/>
      <c r="D168" s="2"/>
      <c r="E168" s="2"/>
      <c r="F168" s="2"/>
      <c r="G168" s="2"/>
      <c r="H168" s="2"/>
      <c r="I168" s="2"/>
      <c r="J168" s="2"/>
      <c r="K168" s="2"/>
      <c r="L168" s="2"/>
      <c r="M168" s="2"/>
      <c r="N168" s="2"/>
      <c r="O168" s="2"/>
      <c r="P168" s="2"/>
      <c r="Q168" s="2"/>
      <c r="R168" s="9"/>
      <c r="S168" s="9"/>
      <c r="T168" s="9"/>
      <c r="U168" s="9"/>
      <c r="V168" s="9"/>
      <c r="W168" s="9"/>
      <c r="X168" s="9"/>
      <c r="Y168" s="9"/>
      <c r="Z168" s="9"/>
      <c r="AA168" s="9"/>
      <c r="AB168" s="9"/>
      <c r="AC168" s="9"/>
      <c r="AD168" s="9"/>
    </row>
    <row r="169" spans="1:30" ht="13.5" customHeight="1">
      <c r="A169" s="2"/>
      <c r="B169" s="2"/>
      <c r="C169" s="2"/>
      <c r="D169" s="2"/>
      <c r="E169" s="2"/>
      <c r="F169" s="2"/>
      <c r="G169" s="2"/>
      <c r="H169" s="2"/>
      <c r="I169" s="2"/>
      <c r="J169" s="2"/>
      <c r="K169" s="2"/>
      <c r="L169" s="2"/>
      <c r="M169" s="2"/>
      <c r="N169" s="2"/>
      <c r="O169" s="2"/>
      <c r="P169" s="2"/>
      <c r="Q169" s="2"/>
      <c r="R169" s="9"/>
      <c r="S169" s="9"/>
      <c r="T169" s="9"/>
      <c r="U169" s="9"/>
      <c r="V169" s="9"/>
      <c r="W169" s="9"/>
      <c r="X169" s="9"/>
      <c r="Y169" s="9"/>
      <c r="Z169" s="9"/>
      <c r="AA169" s="9"/>
      <c r="AB169" s="9"/>
      <c r="AC169" s="9"/>
      <c r="AD169" s="9"/>
    </row>
    <row r="170" spans="1:30" ht="13.5" customHeight="1">
      <c r="A170" s="2"/>
      <c r="B170" s="2"/>
      <c r="C170" s="2"/>
      <c r="D170" s="2"/>
      <c r="E170" s="2"/>
      <c r="F170" s="2"/>
      <c r="G170" s="2"/>
      <c r="H170" s="2"/>
      <c r="I170" s="2"/>
      <c r="J170" s="2"/>
      <c r="K170" s="2"/>
      <c r="L170" s="2"/>
      <c r="M170" s="2"/>
      <c r="N170" s="2"/>
      <c r="O170" s="2"/>
      <c r="P170" s="2"/>
      <c r="Q170" s="2"/>
      <c r="R170" s="9"/>
      <c r="S170" s="9"/>
      <c r="T170" s="9"/>
      <c r="U170" s="9"/>
      <c r="V170" s="9"/>
      <c r="W170" s="9"/>
      <c r="X170" s="9"/>
      <c r="Y170" s="9"/>
      <c r="Z170" s="9"/>
      <c r="AA170" s="9"/>
      <c r="AB170" s="9"/>
      <c r="AC170" s="9"/>
      <c r="AD170" s="9"/>
    </row>
    <row r="171" spans="1:30" ht="13.5" customHeight="1">
      <c r="A171" s="2"/>
      <c r="B171" s="2"/>
      <c r="C171" s="2"/>
      <c r="D171" s="2"/>
      <c r="E171" s="2"/>
      <c r="F171" s="2"/>
      <c r="G171" s="2"/>
      <c r="H171" s="2"/>
      <c r="I171" s="2"/>
      <c r="J171" s="2"/>
      <c r="K171" s="2"/>
      <c r="L171" s="2"/>
      <c r="M171" s="2"/>
      <c r="N171" s="2"/>
      <c r="O171" s="2"/>
      <c r="P171" s="2"/>
      <c r="Q171" s="2"/>
      <c r="R171" s="9"/>
      <c r="S171" s="9"/>
      <c r="T171" s="9"/>
      <c r="U171" s="9"/>
      <c r="V171" s="9"/>
      <c r="W171" s="9"/>
      <c r="X171" s="9"/>
      <c r="Y171" s="9"/>
      <c r="Z171" s="9"/>
      <c r="AA171" s="9"/>
      <c r="AB171" s="9"/>
      <c r="AC171" s="9"/>
      <c r="AD171" s="9"/>
    </row>
    <row r="172" spans="1:30" ht="13.5" customHeight="1">
      <c r="A172" s="2"/>
      <c r="B172" s="2"/>
      <c r="C172" s="2"/>
      <c r="D172" s="2"/>
      <c r="E172" s="2"/>
      <c r="F172" s="2"/>
      <c r="G172" s="2"/>
      <c r="H172" s="2"/>
      <c r="I172" s="2"/>
      <c r="J172" s="2"/>
      <c r="K172" s="2"/>
      <c r="L172" s="2"/>
      <c r="M172" s="2"/>
      <c r="N172" s="2"/>
      <c r="O172" s="2"/>
      <c r="P172" s="2"/>
      <c r="Q172" s="2"/>
      <c r="R172" s="9"/>
      <c r="S172" s="9"/>
      <c r="T172" s="9"/>
      <c r="U172" s="9"/>
      <c r="V172" s="9"/>
      <c r="W172" s="9"/>
      <c r="X172" s="9"/>
      <c r="Y172" s="9"/>
      <c r="Z172" s="9"/>
      <c r="AA172" s="9"/>
      <c r="AB172" s="9"/>
      <c r="AC172" s="9"/>
      <c r="AD172" s="9"/>
    </row>
    <row r="173" spans="1:30" ht="13.5" customHeight="1">
      <c r="A173" s="2"/>
      <c r="B173" s="2"/>
      <c r="C173" s="2"/>
      <c r="D173" s="2"/>
      <c r="E173" s="2"/>
      <c r="F173" s="2"/>
      <c r="G173" s="2"/>
      <c r="H173" s="2"/>
      <c r="I173" s="2"/>
      <c r="J173" s="2"/>
      <c r="K173" s="2"/>
      <c r="L173" s="2"/>
      <c r="M173" s="2"/>
      <c r="N173" s="2"/>
      <c r="O173" s="2"/>
      <c r="P173" s="2"/>
      <c r="Q173" s="2"/>
      <c r="R173" s="9"/>
      <c r="S173" s="9"/>
      <c r="T173" s="9"/>
      <c r="U173" s="9"/>
      <c r="V173" s="9"/>
      <c r="W173" s="9"/>
      <c r="X173" s="9"/>
      <c r="Y173" s="9"/>
      <c r="Z173" s="9"/>
      <c r="AA173" s="9"/>
      <c r="AB173" s="9"/>
      <c r="AC173" s="9"/>
      <c r="AD173" s="9"/>
    </row>
    <row r="174" spans="1:30" ht="13.5" customHeight="1">
      <c r="A174" s="2"/>
      <c r="B174" s="2"/>
      <c r="C174" s="2"/>
      <c r="D174" s="2"/>
      <c r="E174" s="2"/>
      <c r="F174" s="2"/>
      <c r="G174" s="2"/>
      <c r="H174" s="2"/>
      <c r="I174" s="2"/>
      <c r="J174" s="2"/>
      <c r="K174" s="2"/>
      <c r="L174" s="2"/>
      <c r="M174" s="2"/>
      <c r="N174" s="2"/>
      <c r="O174" s="2"/>
      <c r="P174" s="2"/>
      <c r="Q174" s="2"/>
      <c r="R174" s="9"/>
      <c r="S174" s="9"/>
      <c r="T174" s="9"/>
      <c r="U174" s="9"/>
      <c r="V174" s="9"/>
      <c r="W174" s="9"/>
      <c r="X174" s="9"/>
      <c r="Y174" s="9"/>
      <c r="Z174" s="9"/>
      <c r="AA174" s="9"/>
      <c r="AB174" s="9"/>
      <c r="AC174" s="9"/>
      <c r="AD174" s="9"/>
    </row>
    <row r="175" spans="1:30" ht="13.5" customHeight="1">
      <c r="A175" s="2"/>
      <c r="B175" s="2"/>
      <c r="C175" s="2"/>
      <c r="D175" s="2"/>
      <c r="E175" s="2"/>
      <c r="F175" s="2"/>
      <c r="G175" s="2"/>
      <c r="H175" s="2"/>
      <c r="I175" s="2"/>
      <c r="J175" s="2"/>
      <c r="K175" s="2"/>
      <c r="L175" s="2"/>
      <c r="M175" s="2"/>
      <c r="N175" s="2"/>
      <c r="O175" s="2"/>
      <c r="P175" s="2"/>
      <c r="Q175" s="2"/>
      <c r="R175" s="9"/>
      <c r="S175" s="9"/>
      <c r="T175" s="9"/>
      <c r="U175" s="9"/>
      <c r="V175" s="9"/>
      <c r="W175" s="9"/>
      <c r="X175" s="9"/>
      <c r="Y175" s="9"/>
      <c r="Z175" s="9"/>
      <c r="AA175" s="9"/>
      <c r="AB175" s="9"/>
      <c r="AC175" s="9"/>
      <c r="AD175" s="9"/>
    </row>
    <row r="176" spans="1:30" ht="13.5" customHeight="1">
      <c r="A176" s="2"/>
      <c r="B176" s="2"/>
      <c r="C176" s="2"/>
      <c r="D176" s="2"/>
      <c r="E176" s="2"/>
      <c r="F176" s="2"/>
      <c r="G176" s="2"/>
      <c r="H176" s="2"/>
      <c r="I176" s="2"/>
      <c r="J176" s="2"/>
      <c r="K176" s="2"/>
      <c r="L176" s="2"/>
      <c r="M176" s="2"/>
      <c r="N176" s="2"/>
      <c r="O176" s="2"/>
      <c r="P176" s="2"/>
      <c r="Q176" s="2"/>
      <c r="R176" s="9"/>
      <c r="S176" s="9"/>
      <c r="T176" s="9"/>
      <c r="U176" s="9"/>
      <c r="V176" s="9"/>
      <c r="W176" s="9"/>
      <c r="X176" s="9"/>
      <c r="Y176" s="9"/>
      <c r="Z176" s="9"/>
      <c r="AA176" s="9"/>
      <c r="AB176" s="9"/>
      <c r="AC176" s="9"/>
      <c r="AD176" s="9"/>
    </row>
    <row r="177" spans="1:30" ht="13.5" customHeight="1">
      <c r="A177" s="2"/>
      <c r="B177" s="2"/>
      <c r="C177" s="2"/>
      <c r="D177" s="2"/>
      <c r="E177" s="2"/>
      <c r="F177" s="2"/>
      <c r="G177" s="2"/>
      <c r="H177" s="2"/>
      <c r="I177" s="2"/>
      <c r="J177" s="2"/>
      <c r="K177" s="2"/>
      <c r="L177" s="2"/>
      <c r="M177" s="2"/>
      <c r="N177" s="2"/>
      <c r="O177" s="2"/>
      <c r="P177" s="2"/>
      <c r="Q177" s="2"/>
      <c r="R177" s="9"/>
      <c r="S177" s="9"/>
      <c r="T177" s="9"/>
      <c r="U177" s="9"/>
      <c r="V177" s="9"/>
      <c r="W177" s="9"/>
      <c r="X177" s="9"/>
      <c r="Y177" s="9"/>
      <c r="Z177" s="9"/>
      <c r="AA177" s="9"/>
      <c r="AB177" s="9"/>
      <c r="AC177" s="9"/>
      <c r="AD177" s="9"/>
    </row>
    <row r="178" spans="1:30" ht="13.5" customHeight="1">
      <c r="A178" s="2"/>
      <c r="B178" s="2"/>
      <c r="C178" s="2"/>
      <c r="D178" s="2"/>
      <c r="E178" s="2"/>
      <c r="F178" s="2"/>
      <c r="G178" s="2"/>
      <c r="H178" s="2"/>
      <c r="I178" s="2"/>
      <c r="J178" s="2"/>
      <c r="K178" s="2"/>
      <c r="L178" s="2"/>
      <c r="M178" s="2"/>
      <c r="N178" s="2"/>
      <c r="O178" s="2"/>
      <c r="P178" s="2"/>
      <c r="Q178" s="2"/>
      <c r="R178" s="9"/>
      <c r="S178" s="9"/>
      <c r="T178" s="9"/>
      <c r="U178" s="9"/>
      <c r="V178" s="9"/>
      <c r="W178" s="9"/>
      <c r="X178" s="9"/>
      <c r="Y178" s="9"/>
      <c r="Z178" s="9"/>
      <c r="AA178" s="9"/>
      <c r="AB178" s="9"/>
      <c r="AC178" s="9"/>
      <c r="AD178" s="9"/>
    </row>
    <row r="179" spans="1:30" ht="13.5" customHeight="1">
      <c r="A179" s="2"/>
      <c r="B179" s="2"/>
      <c r="C179" s="2"/>
      <c r="D179" s="2"/>
      <c r="E179" s="2"/>
      <c r="F179" s="2"/>
      <c r="G179" s="2"/>
      <c r="H179" s="2"/>
      <c r="I179" s="2"/>
      <c r="J179" s="2"/>
      <c r="K179" s="2"/>
      <c r="L179" s="2"/>
      <c r="M179" s="2"/>
      <c r="N179" s="2"/>
      <c r="O179" s="2"/>
      <c r="P179" s="2"/>
      <c r="Q179" s="2"/>
      <c r="R179" s="9"/>
      <c r="S179" s="9"/>
      <c r="T179" s="9"/>
      <c r="U179" s="9"/>
      <c r="V179" s="9"/>
      <c r="W179" s="9"/>
      <c r="X179" s="9"/>
      <c r="Y179" s="9"/>
      <c r="Z179" s="9"/>
      <c r="AA179" s="9"/>
      <c r="AB179" s="9"/>
      <c r="AC179" s="9"/>
      <c r="AD179" s="9"/>
    </row>
    <row r="180" spans="1:30" ht="13.5" customHeight="1">
      <c r="A180" s="2"/>
      <c r="B180" s="2"/>
      <c r="C180" s="2"/>
      <c r="D180" s="2"/>
      <c r="E180" s="2"/>
      <c r="F180" s="2"/>
      <c r="G180" s="2"/>
      <c r="H180" s="2"/>
      <c r="I180" s="2"/>
      <c r="J180" s="2"/>
      <c r="K180" s="2"/>
      <c r="L180" s="2"/>
      <c r="M180" s="2"/>
      <c r="N180" s="2"/>
      <c r="O180" s="2"/>
      <c r="P180" s="2"/>
      <c r="Q180" s="2"/>
      <c r="R180" s="9"/>
      <c r="S180" s="9"/>
      <c r="T180" s="9"/>
      <c r="U180" s="9"/>
      <c r="V180" s="9"/>
      <c r="W180" s="9"/>
      <c r="X180" s="9"/>
      <c r="Y180" s="9"/>
      <c r="Z180" s="9"/>
      <c r="AA180" s="9"/>
      <c r="AB180" s="9"/>
      <c r="AC180" s="9"/>
      <c r="AD180" s="9"/>
    </row>
    <row r="181" spans="1:30" ht="13.5" customHeight="1">
      <c r="A181" s="2"/>
      <c r="B181" s="2"/>
      <c r="C181" s="2"/>
      <c r="D181" s="2"/>
      <c r="E181" s="2"/>
      <c r="F181" s="2"/>
      <c r="G181" s="2"/>
      <c r="H181" s="2"/>
      <c r="I181" s="2"/>
      <c r="J181" s="2"/>
      <c r="K181" s="2"/>
      <c r="L181" s="2"/>
      <c r="M181" s="2"/>
      <c r="N181" s="2"/>
      <c r="O181" s="2"/>
      <c r="P181" s="2"/>
      <c r="Q181" s="2"/>
      <c r="R181" s="9"/>
      <c r="S181" s="9"/>
      <c r="T181" s="9"/>
      <c r="U181" s="9"/>
      <c r="V181" s="9"/>
      <c r="W181" s="9"/>
      <c r="X181" s="9"/>
      <c r="Y181" s="9"/>
      <c r="Z181" s="9"/>
      <c r="AA181" s="9"/>
      <c r="AB181" s="9"/>
      <c r="AC181" s="9"/>
      <c r="AD181" s="9"/>
    </row>
    <row r="182" spans="1:30" ht="13.5" customHeight="1">
      <c r="A182" s="2"/>
      <c r="B182" s="2"/>
      <c r="C182" s="2"/>
      <c r="D182" s="2"/>
      <c r="E182" s="2"/>
      <c r="F182" s="2"/>
      <c r="G182" s="2"/>
      <c r="H182" s="2"/>
      <c r="I182" s="2"/>
      <c r="J182" s="2"/>
      <c r="K182" s="2"/>
      <c r="L182" s="2"/>
      <c r="M182" s="2"/>
      <c r="N182" s="2"/>
      <c r="O182" s="2"/>
      <c r="P182" s="2"/>
      <c r="Q182" s="2"/>
      <c r="R182" s="9"/>
      <c r="S182" s="9"/>
      <c r="T182" s="9"/>
      <c r="U182" s="9"/>
      <c r="V182" s="9"/>
      <c r="W182" s="9"/>
      <c r="X182" s="9"/>
      <c r="Y182" s="9"/>
      <c r="Z182" s="9"/>
      <c r="AA182" s="9"/>
      <c r="AB182" s="9"/>
      <c r="AC182" s="9"/>
      <c r="AD182" s="9"/>
    </row>
    <row r="183" spans="1:30" ht="13.5" customHeight="1">
      <c r="A183" s="2"/>
      <c r="B183" s="2"/>
      <c r="C183" s="2"/>
      <c r="D183" s="2"/>
      <c r="E183" s="2"/>
      <c r="F183" s="2"/>
      <c r="G183" s="2"/>
      <c r="H183" s="2"/>
      <c r="I183" s="2"/>
      <c r="J183" s="2"/>
      <c r="K183" s="2"/>
      <c r="L183" s="2"/>
      <c r="M183" s="2"/>
      <c r="N183" s="2"/>
      <c r="O183" s="2"/>
      <c r="P183" s="2"/>
      <c r="Q183" s="2"/>
      <c r="R183" s="9"/>
      <c r="S183" s="9"/>
      <c r="T183" s="9"/>
      <c r="U183" s="9"/>
      <c r="V183" s="9"/>
      <c r="W183" s="9"/>
      <c r="X183" s="9"/>
      <c r="Y183" s="9"/>
      <c r="Z183" s="9"/>
      <c r="AA183" s="9"/>
      <c r="AB183" s="9"/>
      <c r="AC183" s="9"/>
      <c r="AD183" s="9"/>
    </row>
    <row r="184" spans="1:30" ht="13.5" customHeight="1">
      <c r="A184" s="2"/>
      <c r="B184" s="2"/>
      <c r="C184" s="2"/>
      <c r="D184" s="2"/>
      <c r="E184" s="2"/>
      <c r="F184" s="2"/>
      <c r="G184" s="2"/>
      <c r="H184" s="2"/>
      <c r="I184" s="2"/>
      <c r="J184" s="2"/>
      <c r="K184" s="2"/>
      <c r="L184" s="2"/>
      <c r="M184" s="2"/>
      <c r="N184" s="2"/>
      <c r="O184" s="2"/>
      <c r="P184" s="2"/>
      <c r="Q184" s="2"/>
      <c r="R184" s="9"/>
      <c r="S184" s="9"/>
      <c r="T184" s="9"/>
      <c r="U184" s="9"/>
      <c r="V184" s="9"/>
      <c r="W184" s="9"/>
      <c r="X184" s="9"/>
      <c r="Y184" s="9"/>
      <c r="Z184" s="9"/>
      <c r="AA184" s="9"/>
      <c r="AB184" s="9"/>
      <c r="AC184" s="9"/>
      <c r="AD184" s="9"/>
    </row>
    <row r="185" spans="1:30" ht="13.5" customHeight="1">
      <c r="A185" s="2"/>
      <c r="B185" s="2"/>
      <c r="C185" s="2"/>
      <c r="D185" s="2"/>
      <c r="E185" s="2"/>
      <c r="F185" s="2"/>
      <c r="G185" s="2"/>
      <c r="H185" s="2"/>
      <c r="I185" s="2"/>
      <c r="J185" s="2"/>
      <c r="K185" s="2"/>
      <c r="L185" s="2"/>
      <c r="M185" s="2"/>
      <c r="N185" s="2"/>
      <c r="O185" s="2"/>
      <c r="P185" s="2"/>
      <c r="Q185" s="2"/>
      <c r="R185" s="9"/>
      <c r="S185" s="9"/>
      <c r="T185" s="9"/>
      <c r="U185" s="9"/>
      <c r="V185" s="9"/>
      <c r="W185" s="9"/>
      <c r="X185" s="9"/>
      <c r="Y185" s="9"/>
      <c r="Z185" s="9"/>
      <c r="AA185" s="9"/>
      <c r="AB185" s="9"/>
      <c r="AC185" s="9"/>
      <c r="AD185" s="9"/>
    </row>
    <row r="186" spans="1:30" ht="13.5" customHeight="1">
      <c r="A186" s="2"/>
      <c r="B186" s="2"/>
      <c r="C186" s="2"/>
      <c r="D186" s="2"/>
      <c r="E186" s="2"/>
      <c r="F186" s="2"/>
      <c r="G186" s="2"/>
      <c r="H186" s="2"/>
      <c r="I186" s="2"/>
      <c r="J186" s="2"/>
      <c r="K186" s="2"/>
      <c r="L186" s="2"/>
      <c r="M186" s="2"/>
      <c r="N186" s="2"/>
      <c r="O186" s="2"/>
      <c r="P186" s="2"/>
      <c r="Q186" s="2"/>
      <c r="R186" s="9"/>
      <c r="S186" s="9"/>
      <c r="T186" s="9"/>
      <c r="U186" s="9"/>
      <c r="V186" s="9"/>
      <c r="W186" s="9"/>
      <c r="X186" s="9"/>
      <c r="Y186" s="9"/>
      <c r="Z186" s="9"/>
      <c r="AA186" s="9"/>
      <c r="AB186" s="9"/>
      <c r="AC186" s="9"/>
      <c r="AD186" s="9"/>
    </row>
    <row r="187" spans="1:30" ht="13.5" customHeight="1">
      <c r="A187" s="2"/>
      <c r="B187" s="2"/>
      <c r="C187" s="2"/>
      <c r="D187" s="2"/>
      <c r="E187" s="2"/>
      <c r="F187" s="2"/>
      <c r="G187" s="2"/>
      <c r="H187" s="2"/>
      <c r="I187" s="2"/>
      <c r="J187" s="2"/>
      <c r="K187" s="2"/>
      <c r="L187" s="2"/>
      <c r="M187" s="2"/>
      <c r="N187" s="2"/>
      <c r="O187" s="2"/>
      <c r="P187" s="2"/>
      <c r="Q187" s="2"/>
      <c r="R187" s="9"/>
      <c r="S187" s="9"/>
      <c r="T187" s="9"/>
      <c r="U187" s="9"/>
      <c r="V187" s="9"/>
      <c r="W187" s="9"/>
      <c r="X187" s="9"/>
      <c r="Y187" s="9"/>
      <c r="Z187" s="9"/>
      <c r="AA187" s="9"/>
      <c r="AB187" s="9"/>
      <c r="AC187" s="9"/>
      <c r="AD187" s="9"/>
    </row>
    <row r="188" spans="1:30" ht="13.5" customHeight="1">
      <c r="A188" s="2"/>
      <c r="B188" s="2"/>
      <c r="C188" s="2"/>
      <c r="D188" s="2"/>
      <c r="E188" s="2"/>
      <c r="F188" s="2"/>
      <c r="G188" s="2"/>
      <c r="H188" s="2"/>
      <c r="I188" s="2"/>
      <c r="J188" s="2"/>
      <c r="K188" s="2"/>
      <c r="L188" s="2"/>
      <c r="M188" s="2"/>
      <c r="N188" s="2"/>
      <c r="O188" s="2"/>
      <c r="P188" s="2"/>
      <c r="Q188" s="2"/>
      <c r="R188" s="9"/>
      <c r="S188" s="9"/>
      <c r="T188" s="9"/>
      <c r="U188" s="9"/>
      <c r="V188" s="9"/>
      <c r="W188" s="9"/>
      <c r="X188" s="9"/>
      <c r="Y188" s="9"/>
      <c r="Z188" s="9"/>
      <c r="AA188" s="9"/>
      <c r="AB188" s="9"/>
      <c r="AC188" s="9"/>
      <c r="AD188" s="9"/>
    </row>
    <row r="189" spans="1:30" ht="13.5" customHeight="1">
      <c r="A189" s="2"/>
      <c r="B189" s="2"/>
      <c r="C189" s="2"/>
      <c r="D189" s="2"/>
      <c r="E189" s="2"/>
      <c r="F189" s="2"/>
      <c r="G189" s="2"/>
      <c r="H189" s="2"/>
      <c r="I189" s="2"/>
      <c r="J189" s="2"/>
      <c r="K189" s="2"/>
      <c r="L189" s="2"/>
      <c r="M189" s="2"/>
      <c r="N189" s="2"/>
      <c r="O189" s="2"/>
      <c r="P189" s="2"/>
      <c r="Q189" s="2"/>
      <c r="R189" s="9"/>
      <c r="S189" s="9"/>
      <c r="T189" s="9"/>
      <c r="U189" s="9"/>
      <c r="V189" s="9"/>
      <c r="W189" s="9"/>
      <c r="X189" s="9"/>
      <c r="Y189" s="9"/>
      <c r="Z189" s="9"/>
      <c r="AA189" s="9"/>
      <c r="AB189" s="9"/>
      <c r="AC189" s="9"/>
      <c r="AD189" s="9"/>
    </row>
    <row r="190" spans="1:30" ht="13.5" customHeight="1">
      <c r="A190" s="2"/>
      <c r="B190" s="2"/>
      <c r="C190" s="2"/>
      <c r="D190" s="2"/>
      <c r="E190" s="2"/>
      <c r="F190" s="2"/>
      <c r="G190" s="2"/>
      <c r="H190" s="2"/>
      <c r="I190" s="2"/>
      <c r="J190" s="2"/>
      <c r="K190" s="2"/>
      <c r="L190" s="2"/>
      <c r="M190" s="2"/>
      <c r="N190" s="2"/>
      <c r="O190" s="2"/>
      <c r="P190" s="2"/>
      <c r="Q190" s="2"/>
      <c r="R190" s="9"/>
      <c r="S190" s="9"/>
      <c r="T190" s="9"/>
      <c r="U190" s="9"/>
      <c r="V190" s="9"/>
      <c r="W190" s="9"/>
      <c r="X190" s="9"/>
      <c r="Y190" s="9"/>
      <c r="Z190" s="9"/>
      <c r="AA190" s="9"/>
      <c r="AB190" s="9"/>
      <c r="AC190" s="9"/>
      <c r="AD190" s="9"/>
    </row>
    <row r="191" spans="1:30" ht="13.5" customHeight="1">
      <c r="A191" s="2"/>
      <c r="B191" s="2"/>
      <c r="C191" s="2"/>
      <c r="D191" s="2"/>
      <c r="E191" s="2"/>
      <c r="F191" s="2"/>
      <c r="G191" s="2"/>
      <c r="H191" s="2"/>
      <c r="I191" s="2"/>
      <c r="J191" s="2"/>
      <c r="K191" s="2"/>
      <c r="L191" s="2"/>
      <c r="M191" s="2"/>
      <c r="N191" s="2"/>
      <c r="O191" s="2"/>
      <c r="P191" s="2"/>
      <c r="Q191" s="2"/>
      <c r="R191" s="9"/>
      <c r="S191" s="9"/>
      <c r="T191" s="9"/>
      <c r="U191" s="9"/>
      <c r="V191" s="9"/>
      <c r="W191" s="9"/>
      <c r="X191" s="9"/>
      <c r="Y191" s="9"/>
      <c r="Z191" s="9"/>
      <c r="AA191" s="9"/>
      <c r="AB191" s="9"/>
      <c r="AC191" s="9"/>
      <c r="AD191" s="9"/>
    </row>
    <row r="192" spans="1:30" ht="13.5" customHeight="1">
      <c r="A192" s="2"/>
      <c r="B192" s="2"/>
      <c r="C192" s="2"/>
      <c r="D192" s="2"/>
      <c r="E192" s="2"/>
      <c r="F192" s="2"/>
      <c r="G192" s="2"/>
      <c r="H192" s="2"/>
      <c r="I192" s="2"/>
      <c r="J192" s="2"/>
      <c r="K192" s="2"/>
      <c r="L192" s="2"/>
      <c r="M192" s="2"/>
      <c r="N192" s="2"/>
      <c r="O192" s="2"/>
      <c r="P192" s="2"/>
      <c r="Q192" s="2"/>
      <c r="R192" s="9"/>
      <c r="S192" s="9"/>
      <c r="T192" s="9"/>
      <c r="U192" s="9"/>
      <c r="V192" s="9"/>
      <c r="W192" s="9"/>
      <c r="X192" s="9"/>
      <c r="Y192" s="9"/>
      <c r="Z192" s="9"/>
      <c r="AA192" s="9"/>
      <c r="AB192" s="9"/>
      <c r="AC192" s="9"/>
      <c r="AD192" s="9"/>
    </row>
    <row r="193" spans="1:30" ht="13.5" customHeight="1">
      <c r="A193" s="2"/>
      <c r="B193" s="2"/>
      <c r="C193" s="2"/>
      <c r="D193" s="2"/>
      <c r="E193" s="2"/>
      <c r="F193" s="2"/>
      <c r="G193" s="2"/>
      <c r="H193" s="2"/>
      <c r="I193" s="2"/>
      <c r="J193" s="2"/>
      <c r="K193" s="2"/>
      <c r="L193" s="2"/>
      <c r="M193" s="2"/>
      <c r="N193" s="2"/>
      <c r="O193" s="2"/>
      <c r="P193" s="2"/>
      <c r="Q193" s="2"/>
      <c r="R193" s="9"/>
      <c r="S193" s="9"/>
      <c r="T193" s="9"/>
      <c r="U193" s="9"/>
      <c r="V193" s="9"/>
      <c r="W193" s="9"/>
      <c r="X193" s="9"/>
      <c r="Y193" s="9"/>
      <c r="Z193" s="9"/>
      <c r="AA193" s="9"/>
      <c r="AB193" s="9"/>
      <c r="AC193" s="9"/>
      <c r="AD193" s="9"/>
    </row>
    <row r="194" spans="1:30" ht="13.5" customHeight="1">
      <c r="A194" s="2"/>
      <c r="B194" s="2"/>
      <c r="C194" s="2"/>
      <c r="D194" s="2"/>
      <c r="E194" s="2"/>
      <c r="F194" s="2"/>
      <c r="G194" s="2"/>
      <c r="H194" s="2"/>
      <c r="I194" s="2"/>
      <c r="J194" s="2"/>
      <c r="K194" s="2"/>
      <c r="L194" s="2"/>
      <c r="M194" s="2"/>
      <c r="N194" s="2"/>
      <c r="O194" s="2"/>
      <c r="P194" s="2"/>
      <c r="Q194" s="2"/>
      <c r="R194" s="9"/>
      <c r="S194" s="9"/>
      <c r="T194" s="9"/>
      <c r="U194" s="9"/>
      <c r="V194" s="9"/>
      <c r="W194" s="9"/>
      <c r="X194" s="9"/>
      <c r="Y194" s="9"/>
      <c r="Z194" s="9"/>
      <c r="AA194" s="9"/>
      <c r="AB194" s="9"/>
      <c r="AC194" s="9"/>
      <c r="AD194" s="9"/>
    </row>
    <row r="195" spans="1:30" ht="13.5" customHeight="1">
      <c r="A195" s="2"/>
      <c r="B195" s="2"/>
      <c r="C195" s="2"/>
      <c r="D195" s="2"/>
      <c r="E195" s="2"/>
      <c r="F195" s="2"/>
      <c r="G195" s="2"/>
      <c r="H195" s="2"/>
      <c r="I195" s="2"/>
      <c r="J195" s="2"/>
      <c r="K195" s="2"/>
      <c r="L195" s="2"/>
      <c r="M195" s="2"/>
      <c r="N195" s="2"/>
      <c r="O195" s="2"/>
      <c r="P195" s="2"/>
      <c r="Q195" s="2"/>
      <c r="R195" s="9"/>
      <c r="S195" s="9"/>
      <c r="T195" s="9"/>
      <c r="U195" s="9"/>
      <c r="V195" s="9"/>
      <c r="W195" s="9"/>
      <c r="X195" s="9"/>
      <c r="Y195" s="9"/>
      <c r="Z195" s="9"/>
      <c r="AA195" s="9"/>
      <c r="AB195" s="9"/>
      <c r="AC195" s="9"/>
      <c r="AD195" s="9"/>
    </row>
    <row r="196" spans="1:30" ht="13.5" customHeight="1">
      <c r="A196" s="2"/>
      <c r="B196" s="2"/>
      <c r="C196" s="2"/>
      <c r="D196" s="2"/>
      <c r="E196" s="2"/>
      <c r="F196" s="2"/>
      <c r="G196" s="2"/>
      <c r="H196" s="2"/>
      <c r="I196" s="2"/>
      <c r="J196" s="2"/>
      <c r="K196" s="2"/>
      <c r="L196" s="2"/>
      <c r="M196" s="2"/>
      <c r="N196" s="2"/>
      <c r="O196" s="2"/>
      <c r="P196" s="2"/>
      <c r="Q196" s="2"/>
      <c r="R196" s="9"/>
      <c r="S196" s="9"/>
      <c r="T196" s="9"/>
      <c r="U196" s="9"/>
      <c r="V196" s="9"/>
      <c r="W196" s="9"/>
      <c r="X196" s="9"/>
      <c r="Y196" s="9"/>
      <c r="Z196" s="9"/>
      <c r="AA196" s="9"/>
      <c r="AB196" s="9"/>
      <c r="AC196" s="9"/>
      <c r="AD196" s="9"/>
    </row>
    <row r="197" spans="1:30" ht="13.5" customHeight="1">
      <c r="A197" s="2"/>
      <c r="B197" s="2"/>
      <c r="C197" s="2"/>
      <c r="D197" s="2"/>
      <c r="E197" s="2"/>
      <c r="F197" s="2"/>
      <c r="G197" s="2"/>
      <c r="H197" s="2"/>
      <c r="I197" s="2"/>
      <c r="J197" s="2"/>
      <c r="K197" s="2"/>
      <c r="L197" s="2"/>
      <c r="M197" s="2"/>
      <c r="N197" s="2"/>
      <c r="O197" s="2"/>
      <c r="P197" s="2"/>
      <c r="Q197" s="2"/>
      <c r="R197" s="9"/>
      <c r="S197" s="9"/>
      <c r="T197" s="9"/>
      <c r="U197" s="9"/>
      <c r="V197" s="9"/>
      <c r="W197" s="9"/>
      <c r="X197" s="9"/>
      <c r="Y197" s="9"/>
      <c r="Z197" s="9"/>
      <c r="AA197" s="9"/>
      <c r="AB197" s="9"/>
      <c r="AC197" s="9"/>
      <c r="AD197" s="9"/>
    </row>
    <row r="198" spans="1:30" ht="13.5" customHeight="1">
      <c r="A198" s="2"/>
      <c r="B198" s="2"/>
      <c r="C198" s="2"/>
      <c r="D198" s="2"/>
      <c r="E198" s="2"/>
      <c r="F198" s="2"/>
      <c r="G198" s="2"/>
      <c r="H198" s="2"/>
      <c r="I198" s="2"/>
      <c r="J198" s="2"/>
      <c r="K198" s="2"/>
      <c r="L198" s="2"/>
      <c r="M198" s="2"/>
      <c r="N198" s="2"/>
      <c r="O198" s="2"/>
      <c r="P198" s="2"/>
      <c r="Q198" s="2"/>
      <c r="R198" s="9"/>
      <c r="S198" s="9"/>
      <c r="T198" s="9"/>
      <c r="U198" s="9"/>
      <c r="V198" s="9"/>
      <c r="W198" s="9"/>
      <c r="X198" s="9"/>
      <c r="Y198" s="9"/>
      <c r="Z198" s="9"/>
      <c r="AA198" s="9"/>
      <c r="AB198" s="9"/>
      <c r="AC198" s="9"/>
      <c r="AD198" s="9"/>
    </row>
    <row r="199" spans="1:30" ht="13.5" customHeight="1">
      <c r="A199" s="2"/>
      <c r="B199" s="2"/>
      <c r="C199" s="2"/>
      <c r="D199" s="2"/>
      <c r="E199" s="2"/>
      <c r="F199" s="2"/>
      <c r="G199" s="2"/>
      <c r="H199" s="2"/>
      <c r="I199" s="2"/>
      <c r="J199" s="2"/>
      <c r="K199" s="2"/>
      <c r="L199" s="2"/>
      <c r="M199" s="2"/>
      <c r="N199" s="2"/>
      <c r="O199" s="2"/>
      <c r="P199" s="2"/>
      <c r="Q199" s="2"/>
      <c r="R199" s="9"/>
      <c r="S199" s="9"/>
      <c r="T199" s="9"/>
      <c r="U199" s="9"/>
      <c r="V199" s="9"/>
      <c r="W199" s="9"/>
      <c r="X199" s="9"/>
      <c r="Y199" s="9"/>
      <c r="Z199" s="9"/>
      <c r="AA199" s="9"/>
      <c r="AB199" s="9"/>
      <c r="AC199" s="9"/>
      <c r="AD199" s="9"/>
    </row>
    <row r="200" spans="1:30" ht="13.5" customHeight="1">
      <c r="A200" s="2"/>
      <c r="B200" s="2"/>
      <c r="C200" s="2"/>
      <c r="D200" s="2"/>
      <c r="E200" s="2"/>
      <c r="F200" s="2"/>
      <c r="G200" s="2"/>
      <c r="H200" s="2"/>
      <c r="I200" s="2"/>
      <c r="J200" s="2"/>
      <c r="K200" s="2"/>
      <c r="L200" s="2"/>
      <c r="M200" s="2"/>
      <c r="N200" s="2"/>
      <c r="O200" s="2"/>
      <c r="P200" s="2"/>
      <c r="Q200" s="2"/>
      <c r="R200" s="9"/>
      <c r="S200" s="9"/>
      <c r="T200" s="9"/>
      <c r="U200" s="9"/>
      <c r="V200" s="9"/>
      <c r="W200" s="9"/>
      <c r="X200" s="9"/>
      <c r="Y200" s="9"/>
      <c r="Z200" s="9"/>
      <c r="AA200" s="9"/>
      <c r="AB200" s="9"/>
      <c r="AC200" s="9"/>
      <c r="AD200" s="9"/>
    </row>
    <row r="201" spans="1:30" ht="13.5" customHeight="1">
      <c r="A201" s="2"/>
      <c r="B201" s="2"/>
      <c r="C201" s="2"/>
      <c r="D201" s="2"/>
      <c r="E201" s="2"/>
      <c r="F201" s="2"/>
      <c r="G201" s="2"/>
      <c r="H201" s="2"/>
      <c r="I201" s="2"/>
      <c r="J201" s="2"/>
      <c r="K201" s="2"/>
      <c r="L201" s="2"/>
      <c r="M201" s="2"/>
      <c r="N201" s="2"/>
      <c r="O201" s="2"/>
      <c r="P201" s="2"/>
      <c r="Q201" s="2"/>
      <c r="R201" s="9"/>
      <c r="S201" s="9"/>
      <c r="T201" s="9"/>
      <c r="U201" s="9"/>
      <c r="V201" s="9"/>
      <c r="W201" s="9"/>
      <c r="X201" s="9"/>
      <c r="Y201" s="9"/>
      <c r="Z201" s="9"/>
      <c r="AA201" s="9"/>
      <c r="AB201" s="9"/>
      <c r="AC201" s="9"/>
      <c r="AD201" s="9"/>
    </row>
    <row r="202" spans="1:30" ht="13.5" customHeight="1">
      <c r="A202" s="2"/>
      <c r="B202" s="2"/>
      <c r="C202" s="2"/>
      <c r="D202" s="2"/>
      <c r="E202" s="2"/>
      <c r="F202" s="2"/>
      <c r="G202" s="2"/>
      <c r="H202" s="2"/>
      <c r="I202" s="2"/>
      <c r="J202" s="2"/>
      <c r="K202" s="2"/>
      <c r="L202" s="2"/>
      <c r="M202" s="2"/>
      <c r="N202" s="2"/>
      <c r="O202" s="2"/>
      <c r="P202" s="2"/>
      <c r="Q202" s="2"/>
      <c r="R202" s="9"/>
      <c r="S202" s="9"/>
      <c r="T202" s="9"/>
      <c r="U202" s="9"/>
      <c r="V202" s="9"/>
      <c r="W202" s="9"/>
      <c r="X202" s="9"/>
      <c r="Y202" s="9"/>
      <c r="Z202" s="9"/>
      <c r="AA202" s="9"/>
      <c r="AB202" s="9"/>
      <c r="AC202" s="9"/>
      <c r="AD202" s="9"/>
    </row>
    <row r="203" spans="1:30" ht="13.5" customHeight="1">
      <c r="A203" s="2"/>
      <c r="B203" s="2"/>
      <c r="C203" s="2"/>
      <c r="D203" s="2"/>
      <c r="E203" s="2"/>
      <c r="F203" s="2"/>
      <c r="G203" s="2"/>
      <c r="H203" s="2"/>
      <c r="I203" s="2"/>
      <c r="J203" s="2"/>
      <c r="K203" s="2"/>
      <c r="L203" s="2"/>
      <c r="M203" s="2"/>
      <c r="N203" s="2"/>
      <c r="O203" s="2"/>
      <c r="P203" s="2"/>
      <c r="Q203" s="2"/>
      <c r="R203" s="9"/>
      <c r="S203" s="9"/>
      <c r="T203" s="9"/>
      <c r="U203" s="9"/>
      <c r="V203" s="9"/>
      <c r="W203" s="9"/>
      <c r="X203" s="9"/>
      <c r="Y203" s="9"/>
      <c r="Z203" s="9"/>
      <c r="AA203" s="9"/>
      <c r="AB203" s="9"/>
      <c r="AC203" s="9"/>
      <c r="AD203" s="9"/>
    </row>
    <row r="204" spans="1:30" ht="13.5" customHeight="1">
      <c r="A204" s="2"/>
      <c r="B204" s="2"/>
      <c r="C204" s="2"/>
      <c r="D204" s="2"/>
      <c r="E204" s="2"/>
      <c r="F204" s="2"/>
      <c r="G204" s="2"/>
      <c r="H204" s="2"/>
      <c r="I204" s="2"/>
      <c r="J204" s="2"/>
      <c r="K204" s="2"/>
      <c r="L204" s="2"/>
      <c r="M204" s="2"/>
      <c r="N204" s="2"/>
      <c r="O204" s="2"/>
      <c r="P204" s="2"/>
      <c r="Q204" s="2"/>
      <c r="R204" s="9"/>
      <c r="S204" s="9"/>
      <c r="T204" s="9"/>
      <c r="U204" s="9"/>
      <c r="V204" s="9"/>
      <c r="W204" s="9"/>
      <c r="X204" s="9"/>
      <c r="Y204" s="9"/>
      <c r="Z204" s="9"/>
      <c r="AA204" s="9"/>
      <c r="AB204" s="9"/>
      <c r="AC204" s="9"/>
      <c r="AD204" s="9"/>
    </row>
    <row r="205" spans="1:30" ht="13.5" customHeight="1">
      <c r="A205" s="2"/>
      <c r="B205" s="2"/>
      <c r="C205" s="2"/>
      <c r="D205" s="2"/>
      <c r="E205" s="2"/>
      <c r="F205" s="2"/>
      <c r="G205" s="2"/>
      <c r="H205" s="2"/>
      <c r="I205" s="2"/>
      <c r="J205" s="2"/>
      <c r="K205" s="2"/>
      <c r="L205" s="2"/>
      <c r="M205" s="2"/>
      <c r="N205" s="2"/>
      <c r="O205" s="2"/>
      <c r="P205" s="2"/>
      <c r="Q205" s="2"/>
      <c r="R205" s="9"/>
      <c r="S205" s="9"/>
      <c r="T205" s="9"/>
      <c r="U205" s="9"/>
      <c r="V205" s="9"/>
      <c r="W205" s="9"/>
      <c r="X205" s="9"/>
      <c r="Y205" s="9"/>
      <c r="Z205" s="9"/>
      <c r="AA205" s="9"/>
      <c r="AB205" s="9"/>
      <c r="AC205" s="9"/>
      <c r="AD205" s="9"/>
    </row>
    <row r="206" spans="1:30" ht="13.5" customHeight="1">
      <c r="A206" s="2"/>
      <c r="B206" s="2"/>
      <c r="C206" s="2"/>
      <c r="D206" s="2"/>
      <c r="E206" s="2"/>
      <c r="F206" s="2"/>
      <c r="G206" s="2"/>
      <c r="H206" s="2"/>
      <c r="I206" s="2"/>
      <c r="J206" s="2"/>
      <c r="K206" s="2"/>
      <c r="L206" s="2"/>
      <c r="M206" s="2"/>
      <c r="N206" s="2"/>
      <c r="O206" s="2"/>
      <c r="P206" s="2"/>
      <c r="Q206" s="2"/>
      <c r="R206" s="9"/>
      <c r="S206" s="9"/>
      <c r="T206" s="9"/>
      <c r="U206" s="9"/>
      <c r="V206" s="9"/>
      <c r="W206" s="9"/>
      <c r="X206" s="9"/>
      <c r="Y206" s="9"/>
      <c r="Z206" s="9"/>
      <c r="AA206" s="9"/>
      <c r="AB206" s="9"/>
      <c r="AC206" s="9"/>
      <c r="AD206" s="9"/>
    </row>
    <row r="207" spans="1:30" ht="13.5" customHeight="1">
      <c r="A207" s="2"/>
      <c r="B207" s="2"/>
      <c r="C207" s="2"/>
      <c r="D207" s="2"/>
      <c r="E207" s="2"/>
      <c r="F207" s="2"/>
      <c r="G207" s="2"/>
      <c r="H207" s="2"/>
      <c r="I207" s="2"/>
      <c r="J207" s="2"/>
      <c r="K207" s="2"/>
      <c r="L207" s="2"/>
      <c r="M207" s="2"/>
      <c r="N207" s="2"/>
      <c r="O207" s="2"/>
      <c r="P207" s="2"/>
      <c r="Q207" s="2"/>
      <c r="R207" s="9"/>
      <c r="S207" s="9"/>
      <c r="T207" s="9"/>
      <c r="U207" s="9"/>
      <c r="V207" s="9"/>
      <c r="W207" s="9"/>
      <c r="X207" s="9"/>
      <c r="Y207" s="9"/>
      <c r="Z207" s="9"/>
      <c r="AA207" s="9"/>
      <c r="AB207" s="9"/>
      <c r="AC207" s="9"/>
      <c r="AD207" s="9"/>
    </row>
    <row r="208" spans="1:30" ht="13.5" customHeight="1">
      <c r="A208" s="2"/>
      <c r="B208" s="2"/>
      <c r="C208" s="2"/>
      <c r="D208" s="2"/>
      <c r="E208" s="2"/>
      <c r="F208" s="2"/>
      <c r="G208" s="2"/>
      <c r="H208" s="2"/>
      <c r="I208" s="2"/>
      <c r="J208" s="2"/>
      <c r="K208" s="2"/>
      <c r="L208" s="2"/>
      <c r="M208" s="2"/>
      <c r="N208" s="2"/>
      <c r="O208" s="2"/>
      <c r="P208" s="2"/>
      <c r="Q208" s="2"/>
      <c r="R208" s="9"/>
      <c r="S208" s="9"/>
      <c r="T208" s="9"/>
      <c r="U208" s="9"/>
      <c r="V208" s="9"/>
      <c r="W208" s="9"/>
      <c r="X208" s="9"/>
      <c r="Y208" s="9"/>
      <c r="Z208" s="9"/>
      <c r="AA208" s="9"/>
      <c r="AB208" s="9"/>
      <c r="AC208" s="9"/>
      <c r="AD208" s="9"/>
    </row>
    <row r="209" spans="1:30" ht="13.5" customHeight="1">
      <c r="A209" s="2"/>
      <c r="B209" s="2"/>
      <c r="C209" s="2"/>
      <c r="D209" s="2"/>
      <c r="E209" s="2"/>
      <c r="F209" s="2"/>
      <c r="G209" s="2"/>
      <c r="H209" s="2"/>
      <c r="I209" s="2"/>
      <c r="J209" s="2"/>
      <c r="K209" s="2"/>
      <c r="L209" s="2"/>
      <c r="M209" s="2"/>
      <c r="N209" s="2"/>
      <c r="O209" s="2"/>
      <c r="P209" s="2"/>
      <c r="Q209" s="2"/>
      <c r="R209" s="9"/>
      <c r="S209" s="9"/>
      <c r="T209" s="9"/>
      <c r="U209" s="9"/>
      <c r="V209" s="9"/>
      <c r="W209" s="9"/>
      <c r="X209" s="9"/>
      <c r="Y209" s="9"/>
      <c r="Z209" s="9"/>
      <c r="AA209" s="9"/>
      <c r="AB209" s="9"/>
      <c r="AC209" s="9"/>
      <c r="AD209" s="9"/>
    </row>
    <row r="210" spans="1:30" ht="13.5" customHeight="1">
      <c r="A210" s="2"/>
      <c r="B210" s="2"/>
      <c r="C210" s="2"/>
      <c r="D210" s="2"/>
      <c r="E210" s="2"/>
      <c r="F210" s="2"/>
      <c r="G210" s="2"/>
      <c r="H210" s="2"/>
      <c r="I210" s="2"/>
      <c r="J210" s="2"/>
      <c r="K210" s="2"/>
      <c r="L210" s="2"/>
      <c r="M210" s="2"/>
      <c r="N210" s="2"/>
      <c r="O210" s="2"/>
      <c r="P210" s="2"/>
      <c r="Q210" s="2"/>
      <c r="R210" s="9"/>
      <c r="S210" s="9"/>
      <c r="T210" s="9"/>
      <c r="U210" s="9"/>
      <c r="V210" s="9"/>
      <c r="W210" s="9"/>
      <c r="X210" s="9"/>
      <c r="Y210" s="9"/>
      <c r="Z210" s="9"/>
      <c r="AA210" s="9"/>
      <c r="AB210" s="9"/>
      <c r="AC210" s="9"/>
      <c r="AD210" s="9"/>
    </row>
    <row r="211" spans="1:30" ht="13.5" customHeight="1">
      <c r="A211" s="2"/>
      <c r="B211" s="2"/>
      <c r="C211" s="2"/>
      <c r="D211" s="2"/>
      <c r="E211" s="2"/>
      <c r="F211" s="2"/>
      <c r="G211" s="2"/>
      <c r="H211" s="2"/>
      <c r="I211" s="2"/>
      <c r="J211" s="2"/>
      <c r="K211" s="2"/>
      <c r="L211" s="2"/>
      <c r="M211" s="2"/>
      <c r="N211" s="2"/>
      <c r="O211" s="2"/>
      <c r="P211" s="2"/>
      <c r="Q211" s="2"/>
      <c r="R211" s="9"/>
      <c r="S211" s="9"/>
      <c r="T211" s="9"/>
      <c r="U211" s="9"/>
      <c r="V211" s="9"/>
      <c r="W211" s="9"/>
      <c r="X211" s="9"/>
      <c r="Y211" s="9"/>
      <c r="Z211" s="9"/>
      <c r="AA211" s="9"/>
      <c r="AB211" s="9"/>
      <c r="AC211" s="9"/>
      <c r="AD211" s="9"/>
    </row>
    <row r="212" spans="1:30" ht="13.5" customHeight="1">
      <c r="A212" s="2"/>
      <c r="B212" s="2"/>
      <c r="C212" s="2"/>
      <c r="D212" s="2"/>
      <c r="E212" s="2"/>
      <c r="F212" s="2"/>
      <c r="G212" s="2"/>
      <c r="H212" s="2"/>
      <c r="I212" s="2"/>
      <c r="J212" s="2"/>
      <c r="K212" s="2"/>
      <c r="L212" s="2"/>
      <c r="M212" s="2"/>
      <c r="N212" s="2"/>
      <c r="O212" s="2"/>
      <c r="P212" s="2"/>
      <c r="Q212" s="2"/>
      <c r="R212" s="9"/>
      <c r="S212" s="9"/>
      <c r="T212" s="9"/>
      <c r="U212" s="9"/>
      <c r="V212" s="9"/>
      <c r="W212" s="9"/>
      <c r="X212" s="9"/>
      <c r="Y212" s="9"/>
      <c r="Z212" s="9"/>
      <c r="AA212" s="9"/>
      <c r="AB212" s="9"/>
      <c r="AC212" s="9"/>
      <c r="AD212" s="9"/>
    </row>
    <row r="213" spans="1:30" ht="13.5" customHeight="1">
      <c r="A213" s="2"/>
      <c r="B213" s="2"/>
      <c r="C213" s="2"/>
      <c r="D213" s="2"/>
      <c r="E213" s="2"/>
      <c r="F213" s="2"/>
      <c r="G213" s="2"/>
      <c r="H213" s="2"/>
      <c r="I213" s="2"/>
      <c r="J213" s="2"/>
      <c r="K213" s="2"/>
      <c r="L213" s="2"/>
      <c r="M213" s="2"/>
      <c r="N213" s="2"/>
      <c r="O213" s="2"/>
      <c r="P213" s="2"/>
      <c r="Q213" s="2"/>
      <c r="R213" s="9"/>
      <c r="S213" s="9"/>
      <c r="T213" s="9"/>
      <c r="U213" s="9"/>
      <c r="V213" s="9"/>
      <c r="W213" s="9"/>
      <c r="X213" s="9"/>
      <c r="Y213" s="9"/>
      <c r="Z213" s="9"/>
      <c r="AA213" s="9"/>
      <c r="AB213" s="9"/>
      <c r="AC213" s="9"/>
      <c r="AD213" s="9"/>
    </row>
    <row r="214" spans="1:30" ht="13.5" customHeight="1">
      <c r="A214" s="2"/>
      <c r="B214" s="2"/>
      <c r="C214" s="2"/>
      <c r="D214" s="2"/>
      <c r="E214" s="2"/>
      <c r="F214" s="2"/>
      <c r="G214" s="2"/>
      <c r="H214" s="2"/>
      <c r="I214" s="2"/>
      <c r="J214" s="2"/>
      <c r="K214" s="2"/>
      <c r="L214" s="2"/>
      <c r="M214" s="2"/>
      <c r="N214" s="2"/>
      <c r="O214" s="2"/>
      <c r="P214" s="2"/>
      <c r="Q214" s="2"/>
      <c r="R214" s="9"/>
      <c r="S214" s="9"/>
      <c r="T214" s="9"/>
      <c r="U214" s="9"/>
      <c r="V214" s="9"/>
      <c r="W214" s="9"/>
      <c r="X214" s="9"/>
      <c r="Y214" s="9"/>
      <c r="Z214" s="9"/>
      <c r="AA214" s="9"/>
      <c r="AB214" s="9"/>
      <c r="AC214" s="9"/>
      <c r="AD214" s="9"/>
    </row>
    <row r="215" spans="1:30" ht="13.5" customHeight="1">
      <c r="A215" s="2"/>
      <c r="B215" s="2"/>
      <c r="C215" s="2"/>
      <c r="D215" s="2"/>
      <c r="E215" s="2"/>
      <c r="F215" s="2"/>
      <c r="G215" s="2"/>
      <c r="H215" s="2"/>
      <c r="I215" s="2"/>
      <c r="J215" s="2"/>
      <c r="K215" s="2"/>
      <c r="L215" s="2"/>
      <c r="M215" s="2"/>
      <c r="N215" s="2"/>
      <c r="O215" s="2"/>
      <c r="P215" s="2"/>
      <c r="Q215" s="2"/>
      <c r="R215" s="9"/>
      <c r="S215" s="9"/>
      <c r="T215" s="9"/>
      <c r="U215" s="9"/>
      <c r="V215" s="9"/>
      <c r="W215" s="9"/>
      <c r="X215" s="9"/>
      <c r="Y215" s="9"/>
      <c r="Z215" s="9"/>
      <c r="AA215" s="9"/>
      <c r="AB215" s="9"/>
      <c r="AC215" s="9"/>
      <c r="AD215" s="9"/>
    </row>
    <row r="216" spans="1:30" ht="13.5" customHeight="1">
      <c r="A216" s="2"/>
      <c r="B216" s="2"/>
      <c r="C216" s="2"/>
      <c r="D216" s="2"/>
      <c r="E216" s="2"/>
      <c r="F216" s="2"/>
      <c r="G216" s="2"/>
      <c r="H216" s="2"/>
      <c r="I216" s="2"/>
      <c r="J216" s="2"/>
      <c r="K216" s="2"/>
      <c r="L216" s="2"/>
      <c r="M216" s="2"/>
      <c r="N216" s="2"/>
      <c r="O216" s="2"/>
      <c r="P216" s="2"/>
      <c r="Q216" s="2"/>
      <c r="R216" s="9"/>
      <c r="S216" s="9"/>
      <c r="T216" s="9"/>
      <c r="U216" s="9"/>
      <c r="V216" s="9"/>
      <c r="W216" s="9"/>
      <c r="X216" s="9"/>
      <c r="Y216" s="9"/>
      <c r="Z216" s="9"/>
      <c r="AA216" s="9"/>
      <c r="AB216" s="9"/>
      <c r="AC216" s="9"/>
      <c r="AD216" s="9"/>
    </row>
    <row r="217" spans="1:30" ht="13.5" customHeight="1">
      <c r="A217" s="2"/>
      <c r="B217" s="2"/>
      <c r="C217" s="2"/>
      <c r="D217" s="2"/>
      <c r="E217" s="2"/>
      <c r="F217" s="2"/>
      <c r="G217" s="2"/>
      <c r="H217" s="2"/>
      <c r="I217" s="2"/>
      <c r="J217" s="2"/>
      <c r="K217" s="2"/>
      <c r="L217" s="2"/>
      <c r="M217" s="2"/>
      <c r="N217" s="2"/>
      <c r="O217" s="2"/>
      <c r="P217" s="2"/>
      <c r="Q217" s="2"/>
      <c r="R217" s="9"/>
      <c r="S217" s="9"/>
      <c r="T217" s="9"/>
      <c r="U217" s="9"/>
      <c r="V217" s="9"/>
      <c r="W217" s="9"/>
      <c r="X217" s="9"/>
      <c r="Y217" s="9"/>
      <c r="Z217" s="9"/>
      <c r="AA217" s="9"/>
      <c r="AB217" s="9"/>
      <c r="AC217" s="9"/>
      <c r="AD217" s="9"/>
    </row>
    <row r="218" spans="1:30" ht="13.5" customHeight="1">
      <c r="A218" s="2"/>
      <c r="B218" s="2"/>
      <c r="C218" s="2"/>
      <c r="D218" s="2"/>
      <c r="E218" s="2"/>
      <c r="F218" s="2"/>
      <c r="G218" s="2"/>
      <c r="H218" s="2"/>
      <c r="I218" s="2"/>
      <c r="J218" s="2"/>
      <c r="K218" s="2"/>
      <c r="L218" s="2"/>
      <c r="M218" s="2"/>
      <c r="N218" s="2"/>
      <c r="O218" s="2"/>
      <c r="P218" s="2"/>
      <c r="Q218" s="2"/>
      <c r="R218" s="9"/>
      <c r="S218" s="9"/>
      <c r="T218" s="9"/>
      <c r="U218" s="9"/>
      <c r="V218" s="9"/>
      <c r="W218" s="9"/>
      <c r="X218" s="9"/>
      <c r="Y218" s="9"/>
      <c r="Z218" s="9"/>
      <c r="AA218" s="9"/>
      <c r="AB218" s="9"/>
      <c r="AC218" s="9"/>
      <c r="AD218" s="9"/>
    </row>
    <row r="219" spans="1:30" ht="13.5" customHeight="1">
      <c r="A219" s="2"/>
      <c r="B219" s="2"/>
      <c r="C219" s="2"/>
      <c r="D219" s="2"/>
      <c r="E219" s="2"/>
      <c r="F219" s="2"/>
      <c r="G219" s="2"/>
      <c r="H219" s="2"/>
      <c r="I219" s="2"/>
      <c r="J219" s="2"/>
      <c r="K219" s="2"/>
      <c r="L219" s="2"/>
      <c r="M219" s="2"/>
      <c r="N219" s="2"/>
      <c r="O219" s="2"/>
      <c r="P219" s="2"/>
      <c r="Q219" s="2"/>
      <c r="R219" s="9"/>
      <c r="S219" s="9"/>
      <c r="T219" s="9"/>
      <c r="U219" s="9"/>
      <c r="V219" s="9"/>
      <c r="W219" s="9"/>
      <c r="X219" s="9"/>
      <c r="Y219" s="9"/>
      <c r="Z219" s="9"/>
      <c r="AA219" s="9"/>
      <c r="AB219" s="9"/>
      <c r="AC219" s="9"/>
      <c r="AD219" s="9"/>
    </row>
    <row r="220" spans="1:30" ht="13.5" customHeight="1">
      <c r="A220" s="2"/>
      <c r="B220" s="2"/>
      <c r="C220" s="2"/>
      <c r="D220" s="2"/>
      <c r="E220" s="2"/>
      <c r="F220" s="2"/>
      <c r="G220" s="2"/>
      <c r="H220" s="2"/>
      <c r="I220" s="2"/>
      <c r="J220" s="2"/>
      <c r="K220" s="2"/>
      <c r="L220" s="2"/>
      <c r="M220" s="2"/>
      <c r="N220" s="2"/>
      <c r="O220" s="2"/>
      <c r="P220" s="2"/>
      <c r="Q220" s="2"/>
      <c r="R220" s="9"/>
      <c r="S220" s="9"/>
      <c r="T220" s="9"/>
      <c r="U220" s="9"/>
      <c r="V220" s="9"/>
      <c r="W220" s="9"/>
      <c r="X220" s="9"/>
      <c r="Y220" s="9"/>
      <c r="Z220" s="9"/>
      <c r="AA220" s="9"/>
      <c r="AB220" s="9"/>
      <c r="AC220" s="9"/>
      <c r="AD220" s="9"/>
    </row>
    <row r="221" spans="1:30" ht="13.5" customHeight="1">
      <c r="A221" s="2"/>
      <c r="B221" s="2"/>
      <c r="C221" s="2"/>
      <c r="D221" s="2"/>
      <c r="E221" s="2"/>
      <c r="F221" s="2"/>
      <c r="G221" s="2"/>
      <c r="H221" s="2"/>
      <c r="I221" s="2"/>
      <c r="J221" s="2"/>
      <c r="K221" s="2"/>
      <c r="L221" s="2"/>
      <c r="M221" s="2"/>
      <c r="N221" s="2"/>
      <c r="O221" s="2"/>
      <c r="P221" s="2"/>
      <c r="Q221" s="2"/>
      <c r="R221" s="9"/>
      <c r="S221" s="9"/>
      <c r="T221" s="9"/>
      <c r="U221" s="9"/>
      <c r="V221" s="9"/>
      <c r="W221" s="9"/>
      <c r="X221" s="9"/>
      <c r="Y221" s="9"/>
      <c r="Z221" s="9"/>
      <c r="AA221" s="9"/>
      <c r="AB221" s="9"/>
      <c r="AC221" s="9"/>
      <c r="AD221" s="9"/>
    </row>
    <row r="222" spans="1:30" ht="13.5" customHeight="1">
      <c r="A222" s="2"/>
      <c r="B222" s="2"/>
      <c r="C222" s="2"/>
      <c r="D222" s="2"/>
      <c r="E222" s="2"/>
      <c r="F222" s="2"/>
      <c r="G222" s="2"/>
      <c r="H222" s="2"/>
      <c r="I222" s="2"/>
      <c r="J222" s="2"/>
      <c r="K222" s="2"/>
      <c r="L222" s="2"/>
      <c r="M222" s="2"/>
      <c r="N222" s="2"/>
      <c r="O222" s="2"/>
      <c r="P222" s="2"/>
      <c r="Q222" s="2"/>
      <c r="R222" s="9"/>
      <c r="S222" s="9"/>
      <c r="T222" s="9"/>
      <c r="U222" s="9"/>
      <c r="V222" s="9"/>
      <c r="W222" s="9"/>
      <c r="X222" s="9"/>
      <c r="Y222" s="9"/>
      <c r="Z222" s="9"/>
      <c r="AA222" s="9"/>
      <c r="AB222" s="9"/>
      <c r="AC222" s="9"/>
      <c r="AD222" s="9"/>
    </row>
    <row r="223" spans="1:30" ht="13.5" customHeight="1">
      <c r="A223" s="2"/>
      <c r="B223" s="2"/>
      <c r="C223" s="2"/>
      <c r="D223" s="2"/>
      <c r="E223" s="2"/>
      <c r="F223" s="2"/>
      <c r="G223" s="2"/>
      <c r="H223" s="2"/>
      <c r="I223" s="2"/>
      <c r="J223" s="2"/>
      <c r="K223" s="2"/>
      <c r="L223" s="2"/>
      <c r="M223" s="2"/>
      <c r="N223" s="2"/>
      <c r="O223" s="2"/>
      <c r="P223" s="2"/>
      <c r="Q223" s="2"/>
      <c r="R223" s="9"/>
      <c r="S223" s="9"/>
      <c r="T223" s="9"/>
      <c r="U223" s="9"/>
      <c r="V223" s="9"/>
      <c r="W223" s="9"/>
      <c r="X223" s="9"/>
      <c r="Y223" s="9"/>
      <c r="Z223" s="9"/>
      <c r="AA223" s="9"/>
      <c r="AB223" s="9"/>
      <c r="AC223" s="9"/>
      <c r="AD223" s="9"/>
    </row>
    <row r="224" spans="1:30" ht="13.5" customHeight="1">
      <c r="A224" s="2"/>
      <c r="B224" s="2"/>
      <c r="C224" s="2"/>
      <c r="D224" s="2"/>
      <c r="E224" s="2"/>
      <c r="F224" s="2"/>
      <c r="G224" s="2"/>
      <c r="H224" s="2"/>
      <c r="I224" s="2"/>
      <c r="J224" s="2"/>
      <c r="K224" s="2"/>
      <c r="L224" s="2"/>
      <c r="M224" s="2"/>
      <c r="N224" s="2"/>
      <c r="O224" s="2"/>
      <c r="P224" s="2"/>
      <c r="Q224" s="2"/>
      <c r="R224" s="9"/>
      <c r="S224" s="9"/>
      <c r="T224" s="9"/>
      <c r="U224" s="9"/>
      <c r="V224" s="9"/>
      <c r="W224" s="9"/>
      <c r="X224" s="9"/>
      <c r="Y224" s="9"/>
      <c r="Z224" s="9"/>
      <c r="AA224" s="9"/>
      <c r="AB224" s="9"/>
      <c r="AC224" s="9"/>
      <c r="AD224" s="9"/>
    </row>
    <row r="225" spans="1:30" ht="13.5" customHeight="1">
      <c r="A225" s="2"/>
      <c r="B225" s="2"/>
      <c r="C225" s="2"/>
      <c r="D225" s="2"/>
      <c r="E225" s="2"/>
      <c r="F225" s="2"/>
      <c r="G225" s="2"/>
      <c r="H225" s="2"/>
      <c r="I225" s="2"/>
      <c r="J225" s="2"/>
      <c r="K225" s="2"/>
      <c r="L225" s="2"/>
      <c r="M225" s="2"/>
      <c r="N225" s="2"/>
      <c r="O225" s="2"/>
      <c r="P225" s="2"/>
      <c r="Q225" s="2"/>
      <c r="R225" s="9"/>
      <c r="S225" s="9"/>
      <c r="T225" s="9"/>
      <c r="U225" s="9"/>
      <c r="V225" s="9"/>
      <c r="W225" s="9"/>
      <c r="X225" s="9"/>
      <c r="Y225" s="9"/>
      <c r="Z225" s="9"/>
      <c r="AA225" s="9"/>
      <c r="AB225" s="9"/>
      <c r="AC225" s="9"/>
      <c r="AD225" s="9"/>
    </row>
    <row r="226" spans="1:30" ht="13.5" customHeight="1">
      <c r="A226" s="2"/>
      <c r="B226" s="2"/>
      <c r="C226" s="2"/>
      <c r="D226" s="2"/>
      <c r="E226" s="2"/>
      <c r="F226" s="2"/>
      <c r="G226" s="2"/>
      <c r="H226" s="2"/>
      <c r="I226" s="2"/>
      <c r="J226" s="2"/>
      <c r="K226" s="2"/>
      <c r="L226" s="2"/>
      <c r="M226" s="2"/>
      <c r="N226" s="2"/>
      <c r="O226" s="2"/>
      <c r="P226" s="2"/>
      <c r="Q226" s="2"/>
      <c r="R226" s="9"/>
      <c r="S226" s="9"/>
      <c r="T226" s="9"/>
      <c r="U226" s="9"/>
      <c r="V226" s="9"/>
      <c r="W226" s="9"/>
      <c r="X226" s="9"/>
      <c r="Y226" s="9"/>
      <c r="Z226" s="9"/>
      <c r="AA226" s="9"/>
      <c r="AB226" s="9"/>
      <c r="AC226" s="9"/>
      <c r="AD226" s="9"/>
    </row>
    <row r="227" spans="1:30" ht="13.5" customHeight="1">
      <c r="A227" s="2"/>
      <c r="B227" s="2"/>
      <c r="C227" s="2"/>
      <c r="D227" s="2"/>
      <c r="E227" s="2"/>
      <c r="F227" s="2"/>
      <c r="G227" s="2"/>
      <c r="H227" s="2"/>
      <c r="I227" s="2"/>
      <c r="J227" s="2"/>
      <c r="K227" s="2"/>
      <c r="L227" s="2"/>
      <c r="M227" s="2"/>
      <c r="N227" s="2"/>
      <c r="O227" s="2"/>
      <c r="P227" s="2"/>
      <c r="Q227" s="2"/>
      <c r="R227" s="9"/>
      <c r="S227" s="9"/>
      <c r="T227" s="9"/>
      <c r="U227" s="9"/>
      <c r="V227" s="9"/>
      <c r="W227" s="9"/>
      <c r="X227" s="9"/>
      <c r="Y227" s="9"/>
      <c r="Z227" s="9"/>
      <c r="AA227" s="9"/>
      <c r="AB227" s="9"/>
      <c r="AC227" s="9"/>
      <c r="AD227" s="9"/>
    </row>
    <row r="228" spans="1:30" ht="13.5" customHeight="1">
      <c r="A228" s="2"/>
      <c r="B228" s="2"/>
      <c r="C228" s="2"/>
      <c r="D228" s="2"/>
      <c r="E228" s="2"/>
      <c r="F228" s="2"/>
      <c r="G228" s="2"/>
      <c r="H228" s="2"/>
      <c r="I228" s="2"/>
      <c r="J228" s="2"/>
      <c r="K228" s="2"/>
      <c r="L228" s="2"/>
      <c r="M228" s="2"/>
      <c r="N228" s="2"/>
      <c r="O228" s="2"/>
      <c r="P228" s="2"/>
      <c r="Q228" s="2"/>
      <c r="R228" s="9"/>
      <c r="S228" s="9"/>
      <c r="T228" s="9"/>
      <c r="U228" s="9"/>
      <c r="V228" s="9"/>
      <c r="W228" s="9"/>
      <c r="X228" s="9"/>
      <c r="Y228" s="9"/>
      <c r="Z228" s="9"/>
      <c r="AA228" s="9"/>
      <c r="AB228" s="9"/>
      <c r="AC228" s="9"/>
      <c r="AD228" s="9"/>
    </row>
    <row r="229" spans="1:30" ht="13.5" customHeight="1">
      <c r="A229" s="2"/>
      <c r="B229" s="2"/>
      <c r="C229" s="2"/>
      <c r="D229" s="2"/>
      <c r="E229" s="2"/>
      <c r="F229" s="2"/>
      <c r="G229" s="2"/>
      <c r="H229" s="2"/>
      <c r="I229" s="2"/>
      <c r="J229" s="2"/>
      <c r="K229" s="2"/>
      <c r="L229" s="2"/>
      <c r="M229" s="2"/>
      <c r="N229" s="2"/>
      <c r="O229" s="2"/>
      <c r="P229" s="2"/>
      <c r="Q229" s="2"/>
      <c r="R229" s="9"/>
      <c r="S229" s="9"/>
      <c r="T229" s="9"/>
      <c r="U229" s="9"/>
      <c r="V229" s="9"/>
      <c r="W229" s="9"/>
      <c r="X229" s="9"/>
      <c r="Y229" s="9"/>
      <c r="Z229" s="9"/>
      <c r="AA229" s="9"/>
      <c r="AB229" s="9"/>
      <c r="AC229" s="9"/>
      <c r="AD229" s="9"/>
    </row>
    <row r="230" spans="1:30" ht="13.5" customHeight="1">
      <c r="A230" s="2"/>
      <c r="B230" s="2"/>
      <c r="C230" s="2"/>
      <c r="D230" s="2"/>
      <c r="E230" s="2"/>
      <c r="F230" s="2"/>
      <c r="G230" s="2"/>
      <c r="H230" s="2"/>
      <c r="I230" s="2"/>
      <c r="J230" s="2"/>
      <c r="K230" s="2"/>
      <c r="L230" s="2"/>
      <c r="M230" s="2"/>
      <c r="N230" s="2"/>
      <c r="O230" s="2"/>
      <c r="P230" s="2"/>
      <c r="Q230" s="2"/>
      <c r="R230" s="9"/>
      <c r="S230" s="9"/>
      <c r="T230" s="9"/>
      <c r="U230" s="9"/>
      <c r="V230" s="9"/>
      <c r="W230" s="9"/>
      <c r="X230" s="9"/>
      <c r="Y230" s="9"/>
      <c r="Z230" s="9"/>
      <c r="AA230" s="9"/>
      <c r="AB230" s="9"/>
      <c r="AC230" s="9"/>
      <c r="AD230" s="9"/>
    </row>
    <row r="231" spans="1:30" ht="13.5" customHeight="1">
      <c r="A231" s="2"/>
      <c r="B231" s="2"/>
      <c r="C231" s="2"/>
      <c r="D231" s="2"/>
      <c r="E231" s="2"/>
      <c r="F231" s="2"/>
      <c r="G231" s="2"/>
      <c r="H231" s="2"/>
      <c r="I231" s="2"/>
      <c r="J231" s="2"/>
      <c r="K231" s="2"/>
      <c r="L231" s="2"/>
      <c r="M231" s="2"/>
      <c r="N231" s="2"/>
      <c r="O231" s="2"/>
      <c r="P231" s="2"/>
      <c r="Q231" s="2"/>
      <c r="R231" s="9"/>
      <c r="S231" s="9"/>
      <c r="T231" s="9"/>
      <c r="U231" s="9"/>
      <c r="V231" s="9"/>
      <c r="W231" s="9"/>
      <c r="X231" s="9"/>
      <c r="Y231" s="9"/>
      <c r="Z231" s="9"/>
      <c r="AA231" s="9"/>
      <c r="AB231" s="9"/>
      <c r="AC231" s="9"/>
      <c r="AD231" s="9"/>
    </row>
    <row r="232" spans="1:30" ht="13.5" customHeight="1">
      <c r="A232" s="2"/>
      <c r="B232" s="2"/>
      <c r="C232" s="2"/>
      <c r="D232" s="2"/>
      <c r="E232" s="2"/>
      <c r="F232" s="2"/>
      <c r="G232" s="2"/>
      <c r="H232" s="2"/>
      <c r="I232" s="2"/>
      <c r="J232" s="2"/>
      <c r="K232" s="2"/>
      <c r="L232" s="2"/>
      <c r="M232" s="2"/>
      <c r="N232" s="2"/>
      <c r="O232" s="2"/>
      <c r="P232" s="2"/>
      <c r="Q232" s="2"/>
      <c r="R232" s="9"/>
      <c r="S232" s="9"/>
      <c r="T232" s="9"/>
      <c r="U232" s="9"/>
      <c r="V232" s="9"/>
      <c r="W232" s="9"/>
      <c r="X232" s="9"/>
      <c r="Y232" s="9"/>
      <c r="Z232" s="9"/>
      <c r="AA232" s="9"/>
      <c r="AB232" s="9"/>
      <c r="AC232" s="9"/>
      <c r="AD232" s="9"/>
    </row>
    <row r="233" spans="1:30" ht="13.5" customHeight="1">
      <c r="A233" s="2"/>
      <c r="B233" s="2"/>
      <c r="C233" s="2"/>
      <c r="D233" s="2"/>
      <c r="E233" s="2"/>
      <c r="F233" s="2"/>
      <c r="G233" s="2"/>
      <c r="H233" s="2"/>
      <c r="I233" s="2"/>
      <c r="J233" s="2"/>
      <c r="K233" s="2"/>
      <c r="L233" s="2"/>
      <c r="M233" s="2"/>
      <c r="N233" s="2"/>
      <c r="O233" s="2"/>
      <c r="P233" s="2"/>
      <c r="Q233" s="2"/>
      <c r="R233" s="9"/>
      <c r="S233" s="9"/>
      <c r="T233" s="9"/>
      <c r="U233" s="9"/>
      <c r="V233" s="9"/>
      <c r="W233" s="9"/>
      <c r="X233" s="9"/>
      <c r="Y233" s="9"/>
      <c r="Z233" s="9"/>
      <c r="AA233" s="9"/>
      <c r="AB233" s="9"/>
      <c r="AC233" s="9"/>
      <c r="AD233" s="9"/>
    </row>
    <row r="234" spans="1:30" ht="13.5" customHeight="1">
      <c r="A234" s="2"/>
      <c r="B234" s="2"/>
      <c r="C234" s="2"/>
      <c r="D234" s="2"/>
      <c r="E234" s="2"/>
      <c r="F234" s="2"/>
      <c r="G234" s="2"/>
      <c r="H234" s="2"/>
      <c r="I234" s="2"/>
      <c r="J234" s="2"/>
      <c r="K234" s="2"/>
      <c r="L234" s="2"/>
      <c r="M234" s="2"/>
      <c r="N234" s="2"/>
      <c r="O234" s="2"/>
      <c r="P234" s="2"/>
      <c r="Q234" s="2"/>
      <c r="R234" s="9"/>
      <c r="S234" s="9"/>
      <c r="T234" s="9"/>
      <c r="U234" s="9"/>
      <c r="V234" s="9"/>
      <c r="W234" s="9"/>
      <c r="X234" s="9"/>
      <c r="Y234" s="9"/>
      <c r="Z234" s="9"/>
      <c r="AA234" s="9"/>
      <c r="AB234" s="9"/>
      <c r="AC234" s="9"/>
      <c r="AD234" s="9"/>
    </row>
    <row r="235" spans="1:30" ht="13.5" customHeight="1">
      <c r="A235" s="2"/>
      <c r="B235" s="2"/>
      <c r="C235" s="2"/>
      <c r="D235" s="2"/>
      <c r="E235" s="2"/>
      <c r="F235" s="2"/>
      <c r="G235" s="2"/>
      <c r="H235" s="2"/>
      <c r="I235" s="2"/>
      <c r="J235" s="2"/>
      <c r="K235" s="2"/>
      <c r="L235" s="2"/>
      <c r="M235" s="2"/>
      <c r="N235" s="2"/>
      <c r="O235" s="2"/>
      <c r="P235" s="2"/>
      <c r="Q235" s="2"/>
      <c r="R235" s="9"/>
      <c r="S235" s="9"/>
      <c r="T235" s="9"/>
      <c r="U235" s="9"/>
      <c r="V235" s="9"/>
      <c r="W235" s="9"/>
      <c r="X235" s="9"/>
      <c r="Y235" s="9"/>
      <c r="Z235" s="9"/>
      <c r="AA235" s="9"/>
      <c r="AB235" s="9"/>
      <c r="AC235" s="9"/>
      <c r="AD235" s="9"/>
    </row>
    <row r="236" spans="1:30" ht="13.5" customHeight="1">
      <c r="A236" s="2"/>
      <c r="B236" s="2"/>
      <c r="C236" s="2"/>
      <c r="D236" s="2"/>
      <c r="E236" s="2"/>
      <c r="F236" s="2"/>
      <c r="G236" s="2"/>
      <c r="H236" s="2"/>
      <c r="I236" s="2"/>
      <c r="J236" s="2"/>
      <c r="K236" s="2"/>
      <c r="L236" s="2"/>
      <c r="M236" s="2"/>
      <c r="N236" s="2"/>
      <c r="O236" s="2"/>
      <c r="P236" s="2"/>
      <c r="Q236" s="2"/>
      <c r="R236" s="9"/>
      <c r="S236" s="9"/>
      <c r="T236" s="9"/>
      <c r="U236" s="9"/>
      <c r="V236" s="9"/>
      <c r="W236" s="9"/>
      <c r="X236" s="9"/>
      <c r="Y236" s="9"/>
      <c r="Z236" s="9"/>
      <c r="AA236" s="9"/>
      <c r="AB236" s="9"/>
      <c r="AC236" s="9"/>
      <c r="AD236" s="9"/>
    </row>
    <row r="237" spans="1:30" ht="13.5" customHeight="1">
      <c r="A237" s="2"/>
      <c r="B237" s="2"/>
      <c r="C237" s="2"/>
      <c r="D237" s="2"/>
      <c r="E237" s="2"/>
      <c r="F237" s="2"/>
      <c r="G237" s="2"/>
      <c r="H237" s="2"/>
      <c r="I237" s="2"/>
      <c r="J237" s="2"/>
      <c r="K237" s="2"/>
      <c r="L237" s="2"/>
      <c r="M237" s="2"/>
      <c r="N237" s="2"/>
      <c r="O237" s="2"/>
      <c r="P237" s="2"/>
      <c r="Q237" s="2"/>
      <c r="R237" s="9"/>
      <c r="S237" s="9"/>
      <c r="T237" s="9"/>
      <c r="U237" s="9"/>
      <c r="V237" s="9"/>
      <c r="W237" s="9"/>
      <c r="X237" s="9"/>
      <c r="Y237" s="9"/>
      <c r="Z237" s="9"/>
      <c r="AA237" s="9"/>
      <c r="AB237" s="9"/>
      <c r="AC237" s="9"/>
      <c r="AD237" s="9"/>
    </row>
    <row r="238" spans="1:30" ht="13.5" customHeight="1">
      <c r="A238" s="2"/>
      <c r="B238" s="2"/>
      <c r="C238" s="2"/>
      <c r="D238" s="2"/>
      <c r="E238" s="2"/>
      <c r="F238" s="2"/>
      <c r="G238" s="2"/>
      <c r="H238" s="2"/>
      <c r="I238" s="2"/>
      <c r="J238" s="2"/>
      <c r="K238" s="2"/>
      <c r="L238" s="2"/>
      <c r="M238" s="2"/>
      <c r="N238" s="2"/>
      <c r="O238" s="2"/>
      <c r="P238" s="2"/>
      <c r="Q238" s="2"/>
      <c r="R238" s="9"/>
      <c r="S238" s="9"/>
      <c r="T238" s="9"/>
      <c r="U238" s="9"/>
      <c r="V238" s="9"/>
      <c r="W238" s="9"/>
      <c r="X238" s="9"/>
      <c r="Y238" s="9"/>
      <c r="Z238" s="9"/>
      <c r="AA238" s="9"/>
      <c r="AB238" s="9"/>
      <c r="AC238" s="9"/>
      <c r="AD238" s="9"/>
    </row>
    <row r="239" spans="1:30" ht="13.5" customHeight="1">
      <c r="A239" s="2"/>
      <c r="B239" s="2"/>
      <c r="C239" s="2"/>
      <c r="D239" s="2"/>
      <c r="E239" s="2"/>
      <c r="F239" s="2"/>
      <c r="G239" s="2"/>
      <c r="H239" s="2"/>
      <c r="I239" s="2"/>
      <c r="J239" s="2"/>
      <c r="K239" s="2"/>
      <c r="L239" s="2"/>
      <c r="M239" s="2"/>
      <c r="N239" s="2"/>
      <c r="O239" s="2"/>
      <c r="P239" s="2"/>
      <c r="Q239" s="2"/>
      <c r="R239" s="9"/>
      <c r="S239" s="9"/>
      <c r="T239" s="9"/>
      <c r="U239" s="9"/>
      <c r="V239" s="9"/>
      <c r="W239" s="9"/>
      <c r="X239" s="9"/>
      <c r="Y239" s="9"/>
      <c r="Z239" s="9"/>
      <c r="AA239" s="9"/>
      <c r="AB239" s="9"/>
      <c r="AC239" s="9"/>
      <c r="AD239" s="9"/>
    </row>
    <row r="240" spans="1:30" ht="13.5" customHeight="1">
      <c r="A240" s="2"/>
      <c r="B240" s="2"/>
      <c r="C240" s="2"/>
      <c r="D240" s="2"/>
      <c r="E240" s="2"/>
      <c r="F240" s="2"/>
      <c r="G240" s="2"/>
      <c r="H240" s="2"/>
      <c r="I240" s="2"/>
      <c r="J240" s="2"/>
      <c r="K240" s="2"/>
      <c r="L240" s="2"/>
      <c r="M240" s="2"/>
      <c r="N240" s="2"/>
      <c r="O240" s="2"/>
      <c r="P240" s="2"/>
      <c r="Q240" s="2"/>
      <c r="R240" s="9"/>
      <c r="S240" s="9"/>
      <c r="T240" s="9"/>
      <c r="U240" s="9"/>
      <c r="V240" s="9"/>
      <c r="W240" s="9"/>
      <c r="X240" s="9"/>
      <c r="Y240" s="9"/>
      <c r="Z240" s="9"/>
      <c r="AA240" s="9"/>
      <c r="AB240" s="9"/>
      <c r="AC240" s="9"/>
      <c r="AD240" s="9"/>
    </row>
    <row r="241" spans="1:30" ht="13.5" customHeight="1">
      <c r="A241" s="2"/>
      <c r="B241" s="2"/>
      <c r="C241" s="2"/>
      <c r="D241" s="2"/>
      <c r="E241" s="2"/>
      <c r="F241" s="2"/>
      <c r="G241" s="2"/>
      <c r="H241" s="2"/>
      <c r="I241" s="2"/>
      <c r="J241" s="2"/>
      <c r="K241" s="2"/>
      <c r="L241" s="2"/>
      <c r="M241" s="2"/>
      <c r="N241" s="2"/>
      <c r="O241" s="2"/>
      <c r="P241" s="2"/>
      <c r="Q241" s="2"/>
      <c r="R241" s="9"/>
      <c r="S241" s="9"/>
      <c r="T241" s="9"/>
      <c r="U241" s="9"/>
      <c r="V241" s="9"/>
      <c r="W241" s="9"/>
      <c r="X241" s="9"/>
      <c r="Y241" s="9"/>
      <c r="Z241" s="9"/>
      <c r="AA241" s="9"/>
      <c r="AB241" s="9"/>
      <c r="AC241" s="9"/>
      <c r="AD241" s="9"/>
    </row>
    <row r="242" spans="1:30" ht="13.5" customHeight="1">
      <c r="A242" s="2"/>
      <c r="B242" s="2"/>
      <c r="C242" s="2"/>
      <c r="D242" s="2"/>
      <c r="E242" s="2"/>
      <c r="F242" s="2"/>
      <c r="G242" s="2"/>
      <c r="H242" s="2"/>
      <c r="I242" s="2"/>
      <c r="J242" s="2"/>
      <c r="K242" s="2"/>
      <c r="L242" s="2"/>
      <c r="M242" s="2"/>
      <c r="N242" s="2"/>
      <c r="O242" s="2"/>
      <c r="P242" s="2"/>
      <c r="Q242" s="2"/>
      <c r="R242" s="9"/>
      <c r="S242" s="9"/>
      <c r="T242" s="9"/>
      <c r="U242" s="9"/>
      <c r="V242" s="9"/>
      <c r="W242" s="9"/>
      <c r="X242" s="9"/>
      <c r="Y242" s="9"/>
      <c r="Z242" s="9"/>
      <c r="AA242" s="9"/>
      <c r="AB242" s="9"/>
      <c r="AC242" s="9"/>
      <c r="AD242" s="9"/>
    </row>
    <row r="243" spans="1:30" ht="13.5" customHeight="1">
      <c r="A243" s="2"/>
      <c r="B243" s="2"/>
      <c r="C243" s="2"/>
      <c r="D243" s="2"/>
      <c r="E243" s="2"/>
      <c r="F243" s="2"/>
      <c r="G243" s="2"/>
      <c r="H243" s="2"/>
      <c r="I243" s="2"/>
      <c r="J243" s="2"/>
      <c r="K243" s="2"/>
      <c r="L243" s="2"/>
      <c r="M243" s="2"/>
      <c r="N243" s="2"/>
      <c r="O243" s="2"/>
      <c r="P243" s="2"/>
      <c r="Q243" s="2"/>
      <c r="R243" s="9"/>
      <c r="S243" s="9"/>
      <c r="T243" s="9"/>
      <c r="U243" s="9"/>
      <c r="V243" s="9"/>
      <c r="W243" s="9"/>
      <c r="X243" s="9"/>
      <c r="Y243" s="9"/>
      <c r="Z243" s="9"/>
      <c r="AA243" s="9"/>
      <c r="AB243" s="9"/>
      <c r="AC243" s="9"/>
      <c r="AD243" s="9"/>
    </row>
    <row r="244" spans="1:30" ht="13.5" customHeight="1">
      <c r="A244" s="2"/>
      <c r="B244" s="2"/>
      <c r="C244" s="2"/>
      <c r="D244" s="2"/>
      <c r="E244" s="2"/>
      <c r="F244" s="2"/>
      <c r="G244" s="2"/>
      <c r="H244" s="2"/>
      <c r="I244" s="2"/>
      <c r="J244" s="2"/>
      <c r="K244" s="2"/>
      <c r="L244" s="2"/>
      <c r="M244" s="2"/>
      <c r="N244" s="2"/>
      <c r="O244" s="2"/>
      <c r="P244" s="2"/>
      <c r="Q244" s="2"/>
      <c r="R244" s="9"/>
      <c r="S244" s="9"/>
      <c r="T244" s="9"/>
      <c r="U244" s="9"/>
      <c r="V244" s="9"/>
      <c r="W244" s="9"/>
      <c r="X244" s="9"/>
      <c r="Y244" s="9"/>
      <c r="Z244" s="9"/>
      <c r="AA244" s="9"/>
      <c r="AB244" s="9"/>
      <c r="AC244" s="9"/>
      <c r="AD244" s="9"/>
    </row>
    <row r="245" spans="1:30" ht="13.5" customHeight="1">
      <c r="A245" s="2"/>
      <c r="B245" s="2"/>
      <c r="C245" s="2"/>
      <c r="D245" s="2"/>
      <c r="E245" s="2"/>
      <c r="F245" s="2"/>
      <c r="G245" s="2"/>
      <c r="H245" s="2"/>
      <c r="I245" s="2"/>
      <c r="J245" s="2"/>
      <c r="K245" s="2"/>
      <c r="L245" s="2"/>
      <c r="M245" s="2"/>
      <c r="N245" s="2"/>
      <c r="O245" s="2"/>
      <c r="P245" s="2"/>
      <c r="Q245" s="2"/>
      <c r="R245" s="9"/>
      <c r="S245" s="9"/>
      <c r="T245" s="9"/>
      <c r="U245" s="9"/>
      <c r="V245" s="9"/>
      <c r="W245" s="9"/>
      <c r="X245" s="9"/>
      <c r="Y245" s="9"/>
      <c r="Z245" s="9"/>
      <c r="AA245" s="9"/>
      <c r="AB245" s="9"/>
      <c r="AC245" s="9"/>
      <c r="AD245" s="9"/>
    </row>
    <row r="246" spans="1:30" ht="13.5" customHeight="1">
      <c r="A246" s="2"/>
      <c r="B246" s="2"/>
      <c r="C246" s="2"/>
      <c r="D246" s="2"/>
      <c r="E246" s="2"/>
      <c r="F246" s="2"/>
      <c r="G246" s="2"/>
      <c r="H246" s="2"/>
      <c r="I246" s="2"/>
      <c r="J246" s="2"/>
      <c r="K246" s="2"/>
      <c r="L246" s="2"/>
      <c r="M246" s="2"/>
      <c r="N246" s="2"/>
      <c r="O246" s="2"/>
      <c r="P246" s="2"/>
      <c r="Q246" s="2"/>
      <c r="R246" s="9"/>
      <c r="S246" s="9"/>
      <c r="T246" s="9"/>
      <c r="U246" s="9"/>
      <c r="V246" s="9"/>
      <c r="W246" s="9"/>
      <c r="X246" s="9"/>
      <c r="Y246" s="9"/>
      <c r="Z246" s="9"/>
      <c r="AA246" s="9"/>
      <c r="AB246" s="9"/>
      <c r="AC246" s="9"/>
      <c r="AD246" s="9"/>
    </row>
    <row r="247" spans="1:30" ht="13.5" customHeight="1">
      <c r="A247" s="2"/>
      <c r="B247" s="2"/>
      <c r="C247" s="2"/>
      <c r="D247" s="2"/>
      <c r="E247" s="2"/>
      <c r="F247" s="2"/>
      <c r="G247" s="2"/>
      <c r="H247" s="2"/>
      <c r="I247" s="2"/>
      <c r="J247" s="2"/>
      <c r="K247" s="2"/>
      <c r="L247" s="2"/>
      <c r="M247" s="2"/>
      <c r="N247" s="2"/>
      <c r="O247" s="2"/>
      <c r="P247" s="2"/>
      <c r="Q247" s="2"/>
      <c r="R247" s="9"/>
      <c r="S247" s="9"/>
      <c r="T247" s="9"/>
      <c r="U247" s="9"/>
      <c r="V247" s="9"/>
      <c r="W247" s="9"/>
      <c r="X247" s="9"/>
      <c r="Y247" s="9"/>
      <c r="Z247" s="9"/>
      <c r="AA247" s="9"/>
      <c r="AB247" s="9"/>
      <c r="AC247" s="9"/>
      <c r="AD247" s="9"/>
    </row>
    <row r="248" spans="1:30" ht="13.5" customHeight="1">
      <c r="A248" s="2"/>
      <c r="B248" s="2"/>
      <c r="C248" s="2"/>
      <c r="D248" s="2"/>
      <c r="E248" s="2"/>
      <c r="F248" s="2"/>
      <c r="G248" s="2"/>
      <c r="H248" s="2"/>
      <c r="I248" s="2"/>
      <c r="J248" s="2"/>
      <c r="K248" s="2"/>
      <c r="L248" s="2"/>
      <c r="M248" s="2"/>
      <c r="N248" s="2"/>
      <c r="O248" s="2"/>
      <c r="P248" s="2"/>
      <c r="Q248" s="2"/>
      <c r="R248" s="9"/>
      <c r="S248" s="9"/>
      <c r="T248" s="9"/>
      <c r="U248" s="9"/>
      <c r="V248" s="9"/>
      <c r="W248" s="9"/>
      <c r="X248" s="9"/>
      <c r="Y248" s="9"/>
      <c r="Z248" s="9"/>
      <c r="AA248" s="9"/>
      <c r="AB248" s="9"/>
      <c r="AC248" s="9"/>
      <c r="AD248" s="9"/>
    </row>
    <row r="249" spans="1:30" ht="13.5" customHeight="1">
      <c r="A249" s="2"/>
      <c r="B249" s="2"/>
      <c r="C249" s="2"/>
      <c r="D249" s="2"/>
      <c r="E249" s="2"/>
      <c r="F249" s="2"/>
      <c r="G249" s="2"/>
      <c r="H249" s="2"/>
      <c r="I249" s="2"/>
      <c r="J249" s="2"/>
      <c r="K249" s="2"/>
      <c r="L249" s="2"/>
      <c r="M249" s="2"/>
      <c r="N249" s="2"/>
      <c r="O249" s="2"/>
      <c r="P249" s="2"/>
      <c r="Q249" s="2"/>
      <c r="R249" s="9"/>
      <c r="S249" s="9"/>
      <c r="T249" s="9"/>
      <c r="U249" s="9"/>
      <c r="V249" s="9"/>
      <c r="W249" s="9"/>
      <c r="X249" s="9"/>
      <c r="Y249" s="9"/>
      <c r="Z249" s="9"/>
      <c r="AA249" s="9"/>
      <c r="AB249" s="9"/>
      <c r="AC249" s="9"/>
      <c r="AD249" s="9"/>
    </row>
    <row r="250" spans="1:30" ht="13.5" customHeight="1">
      <c r="A250" s="2"/>
      <c r="B250" s="2"/>
      <c r="C250" s="2"/>
      <c r="D250" s="2"/>
      <c r="E250" s="2"/>
      <c r="F250" s="2"/>
      <c r="G250" s="2"/>
      <c r="H250" s="2"/>
      <c r="I250" s="2"/>
      <c r="J250" s="2"/>
      <c r="K250" s="2"/>
      <c r="L250" s="2"/>
      <c r="M250" s="2"/>
      <c r="N250" s="2"/>
      <c r="O250" s="2"/>
      <c r="P250" s="2"/>
      <c r="Q250" s="2"/>
      <c r="R250" s="9"/>
      <c r="S250" s="9"/>
      <c r="T250" s="9"/>
      <c r="U250" s="9"/>
      <c r="V250" s="9"/>
      <c r="W250" s="9"/>
      <c r="X250" s="9"/>
      <c r="Y250" s="9"/>
      <c r="Z250" s="9"/>
      <c r="AA250" s="9"/>
      <c r="AB250" s="9"/>
      <c r="AC250" s="9"/>
      <c r="AD250" s="9"/>
    </row>
    <row r="251" spans="1:30" ht="13.5" customHeight="1">
      <c r="A251" s="2"/>
      <c r="B251" s="2"/>
      <c r="C251" s="2"/>
      <c r="D251" s="2"/>
      <c r="E251" s="2"/>
      <c r="F251" s="2"/>
      <c r="G251" s="2"/>
      <c r="H251" s="2"/>
      <c r="I251" s="2"/>
      <c r="J251" s="2"/>
      <c r="K251" s="2"/>
      <c r="L251" s="2"/>
      <c r="M251" s="2"/>
      <c r="N251" s="2"/>
      <c r="O251" s="2"/>
      <c r="P251" s="2"/>
      <c r="Q251" s="2"/>
      <c r="R251" s="9"/>
      <c r="S251" s="9"/>
      <c r="T251" s="9"/>
      <c r="U251" s="9"/>
      <c r="V251" s="9"/>
      <c r="W251" s="9"/>
      <c r="X251" s="9"/>
      <c r="Y251" s="9"/>
      <c r="Z251" s="9"/>
      <c r="AA251" s="9"/>
      <c r="AB251" s="9"/>
      <c r="AC251" s="9"/>
      <c r="AD251" s="9"/>
    </row>
    <row r="252" spans="1:30" ht="13.5" customHeight="1">
      <c r="A252" s="2"/>
      <c r="B252" s="2"/>
      <c r="C252" s="2"/>
      <c r="D252" s="2"/>
      <c r="E252" s="2"/>
      <c r="F252" s="2"/>
      <c r="G252" s="2"/>
      <c r="H252" s="2"/>
      <c r="I252" s="2"/>
      <c r="J252" s="2"/>
      <c r="K252" s="2"/>
      <c r="L252" s="2"/>
      <c r="M252" s="2"/>
      <c r="N252" s="2"/>
      <c r="O252" s="2"/>
      <c r="P252" s="2"/>
      <c r="Q252" s="2"/>
      <c r="R252" s="9"/>
      <c r="S252" s="9"/>
      <c r="T252" s="9"/>
      <c r="U252" s="9"/>
      <c r="V252" s="9"/>
      <c r="W252" s="9"/>
      <c r="X252" s="9"/>
      <c r="Y252" s="9"/>
      <c r="Z252" s="9"/>
      <c r="AA252" s="9"/>
      <c r="AB252" s="9"/>
      <c r="AC252" s="9"/>
      <c r="AD252" s="9"/>
    </row>
    <row r="253" spans="1:30" ht="13.5" customHeight="1">
      <c r="A253" s="2"/>
      <c r="B253" s="2"/>
      <c r="C253" s="2"/>
      <c r="D253" s="2"/>
      <c r="E253" s="2"/>
      <c r="F253" s="2"/>
      <c r="G253" s="2"/>
      <c r="H253" s="2"/>
      <c r="I253" s="2"/>
      <c r="J253" s="2"/>
      <c r="K253" s="2"/>
      <c r="L253" s="2"/>
      <c r="M253" s="2"/>
      <c r="N253" s="2"/>
      <c r="O253" s="2"/>
      <c r="P253" s="2"/>
      <c r="Q253" s="2"/>
      <c r="R253" s="9"/>
      <c r="S253" s="9"/>
      <c r="T253" s="9"/>
      <c r="U253" s="9"/>
      <c r="V253" s="9"/>
      <c r="W253" s="9"/>
      <c r="X253" s="9"/>
      <c r="Y253" s="9"/>
      <c r="Z253" s="9"/>
      <c r="AA253" s="9"/>
      <c r="AB253" s="9"/>
      <c r="AC253" s="9"/>
      <c r="AD253" s="9"/>
    </row>
    <row r="254" spans="1:30" ht="13.5" customHeight="1">
      <c r="A254" s="2"/>
      <c r="B254" s="2"/>
      <c r="C254" s="2"/>
      <c r="D254" s="2"/>
      <c r="E254" s="2"/>
      <c r="F254" s="2"/>
      <c r="G254" s="2"/>
      <c r="H254" s="2"/>
      <c r="I254" s="2"/>
      <c r="J254" s="2"/>
      <c r="K254" s="2"/>
      <c r="L254" s="2"/>
      <c r="M254" s="2"/>
      <c r="N254" s="2"/>
      <c r="O254" s="2"/>
      <c r="P254" s="2"/>
      <c r="Q254" s="2"/>
      <c r="R254" s="9"/>
      <c r="S254" s="9"/>
      <c r="T254" s="9"/>
      <c r="U254" s="9"/>
      <c r="V254" s="9"/>
      <c r="W254" s="9"/>
      <c r="X254" s="9"/>
      <c r="Y254" s="9"/>
      <c r="Z254" s="9"/>
      <c r="AA254" s="9"/>
      <c r="AB254" s="9"/>
      <c r="AC254" s="9"/>
      <c r="AD254" s="9"/>
    </row>
    <row r="255" spans="1:30" ht="13.5" customHeight="1">
      <c r="A255" s="2"/>
      <c r="B255" s="2"/>
      <c r="C255" s="2"/>
      <c r="D255" s="2"/>
      <c r="E255" s="2"/>
      <c r="F255" s="2"/>
      <c r="G255" s="2"/>
      <c r="H255" s="2"/>
      <c r="I255" s="2"/>
      <c r="J255" s="2"/>
      <c r="K255" s="2"/>
      <c r="L255" s="2"/>
      <c r="M255" s="2"/>
      <c r="N255" s="2"/>
      <c r="O255" s="2"/>
      <c r="P255" s="2"/>
      <c r="Q255" s="2"/>
      <c r="R255" s="9"/>
      <c r="S255" s="9"/>
      <c r="T255" s="9"/>
      <c r="U255" s="9"/>
      <c r="V255" s="9"/>
      <c r="W255" s="9"/>
      <c r="X255" s="9"/>
      <c r="Y255" s="9"/>
      <c r="Z255" s="9"/>
      <c r="AA255" s="9"/>
      <c r="AB255" s="9"/>
      <c r="AC255" s="9"/>
      <c r="AD255" s="9"/>
    </row>
    <row r="256" spans="1:30" ht="13.5" customHeight="1">
      <c r="A256" s="2"/>
      <c r="B256" s="2"/>
      <c r="C256" s="2"/>
      <c r="D256" s="2"/>
      <c r="E256" s="2"/>
      <c r="F256" s="2"/>
      <c r="G256" s="2"/>
      <c r="H256" s="2"/>
      <c r="I256" s="2"/>
      <c r="J256" s="2"/>
      <c r="K256" s="2"/>
      <c r="L256" s="2"/>
      <c r="M256" s="2"/>
      <c r="N256" s="2"/>
      <c r="O256" s="2"/>
      <c r="P256" s="2"/>
      <c r="Q256" s="2"/>
      <c r="R256" s="9"/>
      <c r="S256" s="9"/>
      <c r="T256" s="9"/>
      <c r="U256" s="9"/>
      <c r="V256" s="9"/>
      <c r="W256" s="9"/>
      <c r="X256" s="9"/>
      <c r="Y256" s="9"/>
      <c r="Z256" s="9"/>
      <c r="AA256" s="9"/>
      <c r="AB256" s="9"/>
      <c r="AC256" s="9"/>
      <c r="AD256" s="9"/>
    </row>
    <row r="257" spans="1:30" ht="13.5" customHeight="1">
      <c r="A257" s="2"/>
      <c r="B257" s="2"/>
      <c r="C257" s="2"/>
      <c r="D257" s="2"/>
      <c r="E257" s="2"/>
      <c r="F257" s="2"/>
      <c r="G257" s="2"/>
      <c r="H257" s="2"/>
      <c r="I257" s="2"/>
      <c r="J257" s="2"/>
      <c r="K257" s="2"/>
      <c r="L257" s="2"/>
      <c r="M257" s="2"/>
      <c r="N257" s="2"/>
      <c r="O257" s="2"/>
      <c r="P257" s="2"/>
      <c r="Q257" s="2"/>
      <c r="R257" s="9"/>
      <c r="S257" s="9"/>
      <c r="T257" s="9"/>
      <c r="U257" s="9"/>
      <c r="V257" s="9"/>
      <c r="W257" s="9"/>
      <c r="X257" s="9"/>
      <c r="Y257" s="9"/>
      <c r="Z257" s="9"/>
      <c r="AA257" s="9"/>
      <c r="AB257" s="9"/>
      <c r="AC257" s="9"/>
      <c r="AD257" s="9"/>
    </row>
    <row r="258" spans="1:30" ht="13.5" customHeight="1">
      <c r="A258" s="2"/>
      <c r="B258" s="2"/>
      <c r="C258" s="2"/>
      <c r="D258" s="2"/>
      <c r="E258" s="2"/>
      <c r="F258" s="2"/>
      <c r="G258" s="2"/>
      <c r="H258" s="2"/>
      <c r="I258" s="2"/>
      <c r="J258" s="2"/>
      <c r="K258" s="2"/>
      <c r="L258" s="2"/>
      <c r="M258" s="2"/>
      <c r="N258" s="2"/>
      <c r="O258" s="2"/>
      <c r="P258" s="2"/>
      <c r="Q258" s="2"/>
      <c r="R258" s="9"/>
      <c r="S258" s="9"/>
      <c r="T258" s="9"/>
      <c r="U258" s="9"/>
      <c r="V258" s="9"/>
      <c r="W258" s="9"/>
      <c r="X258" s="9"/>
      <c r="Y258" s="9"/>
      <c r="Z258" s="9"/>
      <c r="AA258" s="9"/>
      <c r="AB258" s="9"/>
      <c r="AC258" s="9"/>
      <c r="AD258" s="9"/>
    </row>
    <row r="259" spans="1:30" ht="13.5" customHeight="1">
      <c r="A259" s="2"/>
      <c r="B259" s="2"/>
      <c r="C259" s="2"/>
      <c r="D259" s="2"/>
      <c r="E259" s="2"/>
      <c r="F259" s="2"/>
      <c r="G259" s="2"/>
      <c r="H259" s="2"/>
      <c r="I259" s="2"/>
      <c r="J259" s="2"/>
      <c r="K259" s="2"/>
      <c r="L259" s="2"/>
      <c r="M259" s="2"/>
      <c r="N259" s="2"/>
      <c r="O259" s="2"/>
      <c r="P259" s="2"/>
      <c r="Q259" s="2"/>
      <c r="R259" s="9"/>
      <c r="S259" s="9"/>
      <c r="T259" s="9"/>
      <c r="U259" s="9"/>
      <c r="V259" s="9"/>
      <c r="W259" s="9"/>
      <c r="X259" s="9"/>
      <c r="Y259" s="9"/>
      <c r="Z259" s="9"/>
      <c r="AA259" s="9"/>
      <c r="AB259" s="9"/>
      <c r="AC259" s="9"/>
      <c r="AD259" s="9"/>
    </row>
    <row r="260" spans="1:30" ht="13.5" customHeight="1">
      <c r="A260" s="2"/>
      <c r="B260" s="2"/>
      <c r="C260" s="2"/>
      <c r="D260" s="2"/>
      <c r="E260" s="2"/>
      <c r="F260" s="2"/>
      <c r="G260" s="2"/>
      <c r="H260" s="2"/>
      <c r="I260" s="2"/>
      <c r="J260" s="2"/>
      <c r="K260" s="2"/>
      <c r="L260" s="2"/>
      <c r="M260" s="2"/>
      <c r="N260" s="2"/>
      <c r="O260" s="2"/>
      <c r="P260" s="2"/>
      <c r="Q260" s="2"/>
      <c r="R260" s="9"/>
      <c r="S260" s="9"/>
      <c r="T260" s="9"/>
      <c r="U260" s="9"/>
      <c r="V260" s="9"/>
      <c r="W260" s="9"/>
      <c r="X260" s="9"/>
      <c r="Y260" s="9"/>
      <c r="Z260" s="9"/>
      <c r="AA260" s="9"/>
      <c r="AB260" s="9"/>
      <c r="AC260" s="9"/>
      <c r="AD260" s="9"/>
    </row>
    <row r="261" spans="1:30" ht="13.5" customHeight="1">
      <c r="A261" s="2"/>
      <c r="B261" s="2"/>
      <c r="C261" s="2"/>
      <c r="D261" s="2"/>
      <c r="E261" s="2"/>
      <c r="F261" s="2"/>
      <c r="G261" s="2"/>
      <c r="H261" s="2"/>
      <c r="I261" s="2"/>
      <c r="J261" s="2"/>
      <c r="K261" s="2"/>
      <c r="L261" s="2"/>
      <c r="M261" s="2"/>
      <c r="N261" s="2"/>
      <c r="O261" s="2"/>
      <c r="P261" s="2"/>
      <c r="Q261" s="2"/>
      <c r="R261" s="9"/>
      <c r="S261" s="9"/>
      <c r="T261" s="9"/>
      <c r="U261" s="9"/>
      <c r="V261" s="9"/>
      <c r="W261" s="9"/>
      <c r="X261" s="9"/>
      <c r="Y261" s="9"/>
      <c r="Z261" s="9"/>
      <c r="AA261" s="9"/>
      <c r="AB261" s="9"/>
      <c r="AC261" s="9"/>
      <c r="AD261" s="9"/>
    </row>
    <row r="262" spans="1:30" ht="13.5" customHeight="1">
      <c r="A262" s="2"/>
      <c r="B262" s="2"/>
      <c r="C262" s="2"/>
      <c r="D262" s="2"/>
      <c r="E262" s="2"/>
      <c r="F262" s="2"/>
      <c r="G262" s="2"/>
      <c r="H262" s="2"/>
      <c r="I262" s="2"/>
      <c r="J262" s="2"/>
      <c r="K262" s="2"/>
      <c r="L262" s="2"/>
      <c r="M262" s="2"/>
      <c r="N262" s="2"/>
      <c r="O262" s="2"/>
      <c r="P262" s="2"/>
      <c r="Q262" s="2"/>
      <c r="R262" s="9"/>
      <c r="S262" s="9"/>
      <c r="T262" s="9"/>
      <c r="U262" s="9"/>
      <c r="V262" s="9"/>
      <c r="W262" s="9"/>
      <c r="X262" s="9"/>
      <c r="Y262" s="9"/>
      <c r="Z262" s="9"/>
      <c r="AA262" s="9"/>
      <c r="AB262" s="9"/>
      <c r="AC262" s="9"/>
      <c r="AD262" s="9"/>
    </row>
    <row r="263" spans="1:30" ht="13.5" customHeight="1">
      <c r="A263" s="2"/>
      <c r="B263" s="2"/>
      <c r="C263" s="2"/>
      <c r="D263" s="2"/>
      <c r="E263" s="2"/>
      <c r="F263" s="2"/>
      <c r="G263" s="2"/>
      <c r="H263" s="2"/>
      <c r="I263" s="2"/>
      <c r="J263" s="2"/>
      <c r="K263" s="2"/>
      <c r="L263" s="2"/>
      <c r="M263" s="2"/>
      <c r="N263" s="2"/>
      <c r="O263" s="2"/>
      <c r="P263" s="2"/>
      <c r="Q263" s="2"/>
      <c r="R263" s="9"/>
      <c r="S263" s="9"/>
      <c r="T263" s="9"/>
      <c r="U263" s="9"/>
      <c r="V263" s="9"/>
      <c r="W263" s="9"/>
      <c r="X263" s="9"/>
      <c r="Y263" s="9"/>
      <c r="Z263" s="9"/>
      <c r="AA263" s="9"/>
      <c r="AB263" s="9"/>
      <c r="AC263" s="9"/>
      <c r="AD263" s="9"/>
    </row>
    <row r="264" spans="1:30" ht="13.5" customHeight="1">
      <c r="A264" s="2"/>
      <c r="B264" s="2"/>
      <c r="C264" s="2"/>
      <c r="D264" s="2"/>
      <c r="E264" s="2"/>
      <c r="F264" s="2"/>
      <c r="G264" s="2"/>
      <c r="H264" s="2"/>
      <c r="I264" s="2"/>
      <c r="J264" s="2"/>
      <c r="K264" s="2"/>
      <c r="L264" s="2"/>
      <c r="M264" s="2"/>
      <c r="N264" s="2"/>
      <c r="O264" s="2"/>
      <c r="P264" s="2"/>
      <c r="Q264" s="2"/>
      <c r="R264" s="9"/>
      <c r="S264" s="9"/>
      <c r="T264" s="9"/>
      <c r="U264" s="9"/>
      <c r="V264" s="9"/>
      <c r="W264" s="9"/>
      <c r="X264" s="9"/>
      <c r="Y264" s="9"/>
      <c r="Z264" s="9"/>
      <c r="AA264" s="9"/>
      <c r="AB264" s="9"/>
      <c r="AC264" s="9"/>
      <c r="AD264" s="9"/>
    </row>
    <row r="265" spans="1:30" ht="13.5" customHeight="1">
      <c r="A265" s="2"/>
      <c r="B265" s="2"/>
      <c r="C265" s="2"/>
      <c r="D265" s="2"/>
      <c r="E265" s="2"/>
      <c r="F265" s="2"/>
      <c r="G265" s="2"/>
      <c r="H265" s="2"/>
      <c r="I265" s="2"/>
      <c r="J265" s="2"/>
      <c r="K265" s="2"/>
      <c r="L265" s="2"/>
      <c r="M265" s="2"/>
      <c r="N265" s="2"/>
      <c r="O265" s="2"/>
      <c r="P265" s="2"/>
      <c r="Q265" s="2"/>
      <c r="R265" s="9"/>
      <c r="S265" s="9"/>
      <c r="T265" s="9"/>
      <c r="U265" s="9"/>
      <c r="V265" s="9"/>
      <c r="W265" s="9"/>
      <c r="X265" s="9"/>
      <c r="Y265" s="9"/>
      <c r="Z265" s="9"/>
      <c r="AA265" s="9"/>
      <c r="AB265" s="9"/>
      <c r="AC265" s="9"/>
      <c r="AD265" s="9"/>
    </row>
    <row r="266" spans="1:30" ht="13.5" customHeight="1">
      <c r="A266" s="2"/>
      <c r="B266" s="2"/>
      <c r="C266" s="2"/>
      <c r="D266" s="2"/>
      <c r="E266" s="2"/>
      <c r="F266" s="2"/>
      <c r="G266" s="2"/>
      <c r="H266" s="2"/>
      <c r="I266" s="2"/>
      <c r="J266" s="2"/>
      <c r="K266" s="2"/>
      <c r="L266" s="2"/>
      <c r="M266" s="2"/>
      <c r="N266" s="2"/>
      <c r="O266" s="2"/>
      <c r="P266" s="2"/>
      <c r="Q266" s="2"/>
      <c r="R266" s="9"/>
      <c r="S266" s="9"/>
      <c r="T266" s="9"/>
      <c r="U266" s="9"/>
      <c r="V266" s="9"/>
      <c r="W266" s="9"/>
      <c r="X266" s="9"/>
      <c r="Y266" s="9"/>
      <c r="Z266" s="9"/>
      <c r="AA266" s="9"/>
      <c r="AB266" s="9"/>
      <c r="AC266" s="9"/>
      <c r="AD266" s="9"/>
    </row>
    <row r="267" spans="1:30" ht="13.5" customHeight="1">
      <c r="A267" s="2"/>
      <c r="B267" s="2"/>
      <c r="C267" s="2"/>
      <c r="D267" s="2"/>
      <c r="E267" s="2"/>
      <c r="F267" s="2"/>
      <c r="G267" s="2"/>
      <c r="H267" s="2"/>
      <c r="I267" s="2"/>
      <c r="J267" s="2"/>
      <c r="K267" s="2"/>
      <c r="L267" s="2"/>
      <c r="M267" s="2"/>
      <c r="N267" s="2"/>
      <c r="O267" s="2"/>
      <c r="P267" s="2"/>
      <c r="Q267" s="2"/>
      <c r="R267" s="9"/>
      <c r="S267" s="9"/>
      <c r="T267" s="9"/>
      <c r="U267" s="9"/>
      <c r="V267" s="9"/>
      <c r="W267" s="9"/>
      <c r="X267" s="9"/>
      <c r="Y267" s="9"/>
      <c r="Z267" s="9"/>
      <c r="AA267" s="9"/>
      <c r="AB267" s="9"/>
      <c r="AC267" s="9"/>
      <c r="AD267" s="9"/>
    </row>
    <row r="268" spans="1:30" ht="13.5" customHeight="1">
      <c r="A268" s="2"/>
      <c r="B268" s="2"/>
      <c r="C268" s="2"/>
      <c r="D268" s="2"/>
      <c r="E268" s="2"/>
      <c r="F268" s="2"/>
      <c r="G268" s="2"/>
      <c r="H268" s="2"/>
      <c r="I268" s="2"/>
      <c r="J268" s="2"/>
      <c r="K268" s="2"/>
      <c r="L268" s="2"/>
      <c r="M268" s="2"/>
      <c r="N268" s="2"/>
      <c r="O268" s="2"/>
      <c r="P268" s="2"/>
      <c r="Q268" s="2"/>
      <c r="R268" s="9"/>
      <c r="S268" s="9"/>
      <c r="T268" s="9"/>
      <c r="U268" s="9"/>
      <c r="V268" s="9"/>
      <c r="W268" s="9"/>
      <c r="X268" s="9"/>
      <c r="Y268" s="9"/>
      <c r="Z268" s="9"/>
      <c r="AA268" s="9"/>
      <c r="AB268" s="9"/>
      <c r="AC268" s="9"/>
      <c r="AD268" s="9"/>
    </row>
    <row r="269" spans="1:30" ht="13.5" customHeight="1">
      <c r="A269" s="2"/>
      <c r="B269" s="2"/>
      <c r="C269" s="2"/>
      <c r="D269" s="2"/>
      <c r="E269" s="2"/>
      <c r="F269" s="2"/>
      <c r="G269" s="2"/>
      <c r="H269" s="2"/>
      <c r="I269" s="2"/>
      <c r="J269" s="2"/>
      <c r="K269" s="2"/>
      <c r="L269" s="2"/>
      <c r="M269" s="2"/>
      <c r="N269" s="2"/>
      <c r="O269" s="2"/>
      <c r="P269" s="2"/>
      <c r="Q269" s="2"/>
      <c r="R269" s="9"/>
      <c r="S269" s="9"/>
      <c r="T269" s="9"/>
      <c r="U269" s="9"/>
      <c r="V269" s="9"/>
      <c r="W269" s="9"/>
      <c r="X269" s="9"/>
      <c r="Y269" s="9"/>
      <c r="Z269" s="9"/>
      <c r="AA269" s="9"/>
      <c r="AB269" s="9"/>
      <c r="AC269" s="9"/>
      <c r="AD269" s="9"/>
    </row>
    <row r="270" spans="1:30" ht="13.5" customHeight="1">
      <c r="A270" s="2"/>
      <c r="B270" s="2"/>
      <c r="C270" s="2"/>
      <c r="D270" s="2"/>
      <c r="E270" s="2"/>
      <c r="F270" s="2"/>
      <c r="G270" s="2"/>
      <c r="H270" s="2"/>
      <c r="I270" s="2"/>
      <c r="J270" s="2"/>
      <c r="K270" s="2"/>
      <c r="L270" s="2"/>
      <c r="M270" s="2"/>
      <c r="N270" s="2"/>
      <c r="O270" s="2"/>
      <c r="P270" s="2"/>
      <c r="Q270" s="2"/>
      <c r="R270" s="9"/>
      <c r="S270" s="9"/>
      <c r="T270" s="9"/>
      <c r="U270" s="9"/>
      <c r="V270" s="9"/>
      <c r="W270" s="9"/>
      <c r="X270" s="9"/>
      <c r="Y270" s="9"/>
      <c r="Z270" s="9"/>
      <c r="AA270" s="9"/>
      <c r="AB270" s="9"/>
      <c r="AC270" s="9"/>
      <c r="AD270" s="9"/>
    </row>
    <row r="271" spans="1:30" ht="13.5" customHeight="1">
      <c r="A271" s="2"/>
      <c r="B271" s="2"/>
      <c r="C271" s="2"/>
      <c r="D271" s="2"/>
      <c r="E271" s="2"/>
      <c r="F271" s="2"/>
      <c r="G271" s="2"/>
      <c r="H271" s="2"/>
      <c r="I271" s="2"/>
      <c r="J271" s="2"/>
      <c r="K271" s="2"/>
      <c r="L271" s="2"/>
      <c r="M271" s="2"/>
      <c r="N271" s="2"/>
      <c r="O271" s="2"/>
      <c r="P271" s="2"/>
      <c r="Q271" s="2"/>
      <c r="R271" s="9"/>
      <c r="S271" s="9"/>
      <c r="T271" s="9"/>
      <c r="U271" s="9"/>
      <c r="V271" s="9"/>
      <c r="W271" s="9"/>
      <c r="X271" s="9"/>
      <c r="Y271" s="9"/>
      <c r="Z271" s="9"/>
      <c r="AA271" s="9"/>
      <c r="AB271" s="9"/>
      <c r="AC271" s="9"/>
      <c r="AD271" s="9"/>
    </row>
    <row r="272" spans="1:30" ht="13.5" customHeight="1">
      <c r="A272" s="2"/>
      <c r="B272" s="2"/>
      <c r="C272" s="2"/>
      <c r="D272" s="2"/>
      <c r="E272" s="2"/>
      <c r="F272" s="2"/>
      <c r="G272" s="2"/>
      <c r="H272" s="2"/>
      <c r="I272" s="2"/>
      <c r="J272" s="2"/>
      <c r="K272" s="2"/>
      <c r="L272" s="2"/>
      <c r="M272" s="2"/>
      <c r="N272" s="2"/>
      <c r="O272" s="2"/>
      <c r="P272" s="2"/>
      <c r="Q272" s="2"/>
      <c r="R272" s="9"/>
      <c r="S272" s="9"/>
      <c r="T272" s="9"/>
      <c r="U272" s="9"/>
      <c r="V272" s="9"/>
      <c r="W272" s="9"/>
      <c r="X272" s="9"/>
      <c r="Y272" s="9"/>
      <c r="Z272" s="9"/>
      <c r="AA272" s="9"/>
      <c r="AB272" s="9"/>
      <c r="AC272" s="9"/>
      <c r="AD272" s="9"/>
    </row>
    <row r="273" spans="1:30" ht="13.5" customHeight="1">
      <c r="A273" s="2"/>
      <c r="B273" s="2"/>
      <c r="C273" s="2"/>
      <c r="D273" s="2"/>
      <c r="E273" s="2"/>
      <c r="F273" s="2"/>
      <c r="G273" s="2"/>
      <c r="H273" s="2"/>
      <c r="I273" s="2"/>
      <c r="J273" s="2"/>
      <c r="K273" s="2"/>
      <c r="L273" s="2"/>
      <c r="M273" s="2"/>
      <c r="N273" s="2"/>
      <c r="O273" s="2"/>
      <c r="P273" s="2"/>
      <c r="Q273" s="2"/>
      <c r="R273" s="9"/>
      <c r="S273" s="9"/>
      <c r="T273" s="9"/>
      <c r="U273" s="9"/>
      <c r="V273" s="9"/>
      <c r="W273" s="9"/>
      <c r="X273" s="9"/>
      <c r="Y273" s="9"/>
      <c r="Z273" s="9"/>
      <c r="AA273" s="9"/>
      <c r="AB273" s="9"/>
      <c r="AC273" s="9"/>
      <c r="AD273" s="9"/>
    </row>
    <row r="274" spans="1:30" ht="13.5" customHeight="1">
      <c r="A274" s="2"/>
      <c r="B274" s="2"/>
      <c r="C274" s="2"/>
      <c r="D274" s="2"/>
      <c r="E274" s="2"/>
      <c r="F274" s="2"/>
      <c r="G274" s="2"/>
      <c r="H274" s="2"/>
      <c r="I274" s="2"/>
      <c r="J274" s="2"/>
      <c r="K274" s="2"/>
      <c r="L274" s="2"/>
      <c r="M274" s="2"/>
      <c r="N274" s="2"/>
      <c r="O274" s="2"/>
      <c r="P274" s="2"/>
      <c r="Q274" s="2"/>
      <c r="R274" s="9"/>
      <c r="S274" s="9"/>
      <c r="T274" s="9"/>
      <c r="U274" s="9"/>
      <c r="V274" s="9"/>
      <c r="W274" s="9"/>
      <c r="X274" s="9"/>
      <c r="Y274" s="9"/>
      <c r="Z274" s="9"/>
      <c r="AA274" s="9"/>
      <c r="AB274" s="9"/>
      <c r="AC274" s="9"/>
      <c r="AD274" s="9"/>
    </row>
    <row r="275" spans="1:30" ht="13.5" customHeight="1">
      <c r="A275" s="2"/>
      <c r="B275" s="2"/>
      <c r="C275" s="2"/>
      <c r="D275" s="2"/>
      <c r="E275" s="2"/>
      <c r="F275" s="2"/>
      <c r="G275" s="2"/>
      <c r="H275" s="2"/>
      <c r="I275" s="2"/>
      <c r="J275" s="2"/>
      <c r="K275" s="2"/>
      <c r="L275" s="2"/>
      <c r="M275" s="2"/>
      <c r="N275" s="2"/>
      <c r="O275" s="2"/>
      <c r="P275" s="2"/>
      <c r="Q275" s="2"/>
      <c r="R275" s="9"/>
      <c r="S275" s="9"/>
      <c r="T275" s="9"/>
      <c r="U275" s="9"/>
      <c r="V275" s="9"/>
      <c r="W275" s="9"/>
      <c r="X275" s="9"/>
      <c r="Y275" s="9"/>
      <c r="Z275" s="9"/>
      <c r="AA275" s="9"/>
      <c r="AB275" s="9"/>
      <c r="AC275" s="9"/>
      <c r="AD275" s="9"/>
    </row>
    <row r="276" spans="1:30" ht="13.5" customHeight="1">
      <c r="A276" s="2"/>
      <c r="B276" s="2"/>
      <c r="C276" s="2"/>
      <c r="D276" s="2"/>
      <c r="E276" s="2"/>
      <c r="F276" s="2"/>
      <c r="G276" s="2"/>
      <c r="H276" s="2"/>
      <c r="I276" s="2"/>
      <c r="J276" s="2"/>
      <c r="K276" s="2"/>
      <c r="L276" s="2"/>
      <c r="M276" s="2"/>
      <c r="N276" s="2"/>
      <c r="O276" s="2"/>
      <c r="P276" s="2"/>
      <c r="Q276" s="2"/>
      <c r="R276" s="9"/>
      <c r="S276" s="9"/>
      <c r="T276" s="9"/>
      <c r="U276" s="9"/>
      <c r="V276" s="9"/>
      <c r="W276" s="9"/>
      <c r="X276" s="9"/>
      <c r="Y276" s="9"/>
      <c r="Z276" s="9"/>
      <c r="AA276" s="9"/>
      <c r="AB276" s="9"/>
      <c r="AC276" s="9"/>
      <c r="AD276" s="9"/>
    </row>
    <row r="277" spans="1:30" ht="13.5" customHeight="1">
      <c r="A277" s="2"/>
      <c r="B277" s="2"/>
      <c r="C277" s="2"/>
      <c r="D277" s="2"/>
      <c r="E277" s="2"/>
      <c r="F277" s="2"/>
      <c r="G277" s="2"/>
      <c r="H277" s="2"/>
      <c r="I277" s="2"/>
      <c r="J277" s="2"/>
      <c r="K277" s="2"/>
      <c r="L277" s="2"/>
      <c r="M277" s="2"/>
      <c r="N277" s="2"/>
      <c r="O277" s="2"/>
      <c r="P277" s="2"/>
      <c r="Q277" s="2"/>
      <c r="R277" s="9"/>
      <c r="S277" s="9"/>
      <c r="T277" s="9"/>
      <c r="U277" s="9"/>
      <c r="V277" s="9"/>
      <c r="W277" s="9"/>
      <c r="X277" s="9"/>
      <c r="Y277" s="9"/>
      <c r="Z277" s="9"/>
      <c r="AA277" s="9"/>
      <c r="AB277" s="9"/>
      <c r="AC277" s="9"/>
      <c r="AD277" s="9"/>
    </row>
    <row r="278" spans="1:30" ht="13.5" customHeight="1">
      <c r="A278" s="2"/>
      <c r="B278" s="2"/>
      <c r="C278" s="2"/>
      <c r="D278" s="2"/>
      <c r="E278" s="2"/>
      <c r="F278" s="2"/>
      <c r="G278" s="2"/>
      <c r="H278" s="2"/>
      <c r="I278" s="2"/>
      <c r="J278" s="2"/>
      <c r="K278" s="2"/>
      <c r="L278" s="2"/>
      <c r="M278" s="2"/>
      <c r="N278" s="2"/>
      <c r="O278" s="2"/>
      <c r="P278" s="2"/>
      <c r="Q278" s="2"/>
      <c r="R278" s="9"/>
      <c r="S278" s="9"/>
      <c r="T278" s="9"/>
      <c r="U278" s="9"/>
      <c r="V278" s="9"/>
      <c r="W278" s="9"/>
      <c r="X278" s="9"/>
      <c r="Y278" s="9"/>
      <c r="Z278" s="9"/>
      <c r="AA278" s="9"/>
      <c r="AB278" s="9"/>
      <c r="AC278" s="9"/>
      <c r="AD278" s="9"/>
    </row>
    <row r="279" spans="1:30" ht="13.5" customHeight="1">
      <c r="A279" s="2"/>
      <c r="B279" s="2"/>
      <c r="C279" s="2"/>
      <c r="D279" s="2"/>
      <c r="E279" s="2"/>
      <c r="F279" s="2"/>
      <c r="G279" s="2"/>
      <c r="H279" s="2"/>
      <c r="I279" s="2"/>
      <c r="J279" s="2"/>
      <c r="K279" s="2"/>
      <c r="L279" s="2"/>
      <c r="M279" s="2"/>
      <c r="N279" s="2"/>
      <c r="O279" s="2"/>
      <c r="P279" s="2"/>
      <c r="Q279" s="2"/>
      <c r="R279" s="9"/>
      <c r="S279" s="9"/>
      <c r="T279" s="9"/>
      <c r="U279" s="9"/>
      <c r="V279" s="9"/>
      <c r="W279" s="9"/>
      <c r="X279" s="9"/>
      <c r="Y279" s="9"/>
      <c r="Z279" s="9"/>
      <c r="AA279" s="9"/>
      <c r="AB279" s="9"/>
      <c r="AC279" s="9"/>
      <c r="AD279" s="9"/>
    </row>
    <row r="280" spans="1:30" ht="13.5" customHeight="1">
      <c r="A280" s="2"/>
      <c r="B280" s="2"/>
      <c r="C280" s="2"/>
      <c r="D280" s="2"/>
      <c r="E280" s="2"/>
      <c r="F280" s="2"/>
      <c r="G280" s="2"/>
      <c r="H280" s="2"/>
      <c r="I280" s="2"/>
      <c r="J280" s="2"/>
      <c r="K280" s="2"/>
      <c r="L280" s="2"/>
      <c r="M280" s="2"/>
      <c r="N280" s="2"/>
      <c r="O280" s="2"/>
      <c r="P280" s="2"/>
      <c r="Q280" s="2"/>
      <c r="R280" s="9"/>
      <c r="S280" s="9"/>
      <c r="T280" s="9"/>
      <c r="U280" s="9"/>
      <c r="V280" s="9"/>
      <c r="W280" s="9"/>
      <c r="X280" s="9"/>
      <c r="Y280" s="9"/>
      <c r="Z280" s="9"/>
      <c r="AA280" s="9"/>
      <c r="AB280" s="9"/>
      <c r="AC280" s="9"/>
      <c r="AD280" s="9"/>
    </row>
    <row r="281" spans="1:30" ht="13.5" customHeight="1">
      <c r="A281" s="2"/>
      <c r="B281" s="2"/>
      <c r="C281" s="2"/>
      <c r="D281" s="2"/>
      <c r="E281" s="2"/>
      <c r="F281" s="2"/>
      <c r="G281" s="2"/>
      <c r="H281" s="2"/>
      <c r="I281" s="2"/>
      <c r="J281" s="2"/>
      <c r="K281" s="2"/>
      <c r="L281" s="2"/>
      <c r="M281" s="2"/>
      <c r="N281" s="2"/>
      <c r="O281" s="2"/>
      <c r="P281" s="2"/>
      <c r="Q281" s="2"/>
      <c r="R281" s="9"/>
      <c r="S281" s="9"/>
      <c r="T281" s="9"/>
      <c r="U281" s="9"/>
      <c r="V281" s="9"/>
      <c r="W281" s="9"/>
      <c r="X281" s="9"/>
      <c r="Y281" s="9"/>
      <c r="Z281" s="9"/>
      <c r="AA281" s="9"/>
      <c r="AB281" s="9"/>
      <c r="AC281" s="9"/>
      <c r="AD281" s="9"/>
    </row>
    <row r="282" spans="1:30" ht="13.5" customHeight="1">
      <c r="A282" s="2"/>
      <c r="B282" s="2"/>
      <c r="C282" s="2"/>
      <c r="D282" s="2"/>
      <c r="E282" s="2"/>
      <c r="F282" s="2"/>
      <c r="G282" s="2"/>
      <c r="H282" s="2"/>
      <c r="I282" s="2"/>
      <c r="J282" s="2"/>
      <c r="K282" s="2"/>
      <c r="L282" s="2"/>
      <c r="M282" s="2"/>
      <c r="N282" s="2"/>
      <c r="O282" s="2"/>
      <c r="P282" s="2"/>
      <c r="Q282" s="2"/>
      <c r="R282" s="9"/>
      <c r="S282" s="9"/>
      <c r="T282" s="9"/>
      <c r="U282" s="9"/>
      <c r="V282" s="9"/>
      <c r="W282" s="9"/>
      <c r="X282" s="9"/>
      <c r="Y282" s="9"/>
      <c r="Z282" s="9"/>
      <c r="AA282" s="9"/>
      <c r="AB282" s="9"/>
      <c r="AC282" s="9"/>
      <c r="AD282" s="9"/>
    </row>
    <row r="283" spans="1:30" ht="13.5" customHeight="1">
      <c r="A283" s="2"/>
      <c r="B283" s="2"/>
      <c r="C283" s="2"/>
      <c r="D283" s="2"/>
      <c r="E283" s="2"/>
      <c r="F283" s="2"/>
      <c r="G283" s="2"/>
      <c r="H283" s="2"/>
      <c r="I283" s="2"/>
      <c r="J283" s="2"/>
      <c r="K283" s="2"/>
      <c r="L283" s="2"/>
      <c r="M283" s="2"/>
      <c r="N283" s="2"/>
      <c r="O283" s="2"/>
      <c r="P283" s="2"/>
      <c r="Q283" s="2"/>
      <c r="R283" s="9"/>
      <c r="S283" s="9"/>
      <c r="T283" s="9"/>
      <c r="U283" s="9"/>
      <c r="V283" s="9"/>
      <c r="W283" s="9"/>
      <c r="X283" s="9"/>
      <c r="Y283" s="9"/>
      <c r="Z283" s="9"/>
      <c r="AA283" s="9"/>
      <c r="AB283" s="9"/>
      <c r="AC283" s="9"/>
      <c r="AD283" s="9"/>
    </row>
    <row r="284" spans="1:30" ht="13.5" customHeight="1">
      <c r="A284" s="2"/>
      <c r="B284" s="2"/>
      <c r="C284" s="2"/>
      <c r="D284" s="2"/>
      <c r="E284" s="2"/>
      <c r="F284" s="2"/>
      <c r="G284" s="2"/>
      <c r="H284" s="2"/>
      <c r="I284" s="2"/>
      <c r="J284" s="2"/>
      <c r="K284" s="2"/>
      <c r="L284" s="2"/>
      <c r="M284" s="2"/>
      <c r="N284" s="2"/>
      <c r="O284" s="2"/>
      <c r="P284" s="2"/>
      <c r="Q284" s="2"/>
      <c r="R284" s="9"/>
      <c r="S284" s="9"/>
      <c r="T284" s="9"/>
      <c r="U284" s="9"/>
      <c r="V284" s="9"/>
      <c r="W284" s="9"/>
      <c r="X284" s="9"/>
      <c r="Y284" s="9"/>
      <c r="Z284" s="9"/>
      <c r="AA284" s="9"/>
      <c r="AB284" s="9"/>
      <c r="AC284" s="9"/>
      <c r="AD284" s="9"/>
    </row>
    <row r="285" spans="1:30" ht="13.5" customHeight="1">
      <c r="A285" s="2"/>
      <c r="B285" s="2"/>
      <c r="C285" s="2"/>
      <c r="D285" s="2"/>
      <c r="E285" s="2"/>
      <c r="F285" s="2"/>
      <c r="G285" s="2"/>
      <c r="H285" s="2"/>
      <c r="I285" s="2"/>
      <c r="J285" s="2"/>
      <c r="K285" s="2"/>
      <c r="L285" s="2"/>
      <c r="M285" s="2"/>
      <c r="N285" s="2"/>
      <c r="O285" s="2"/>
      <c r="P285" s="2"/>
      <c r="Q285" s="2"/>
      <c r="R285" s="9"/>
      <c r="S285" s="9"/>
      <c r="T285" s="9"/>
      <c r="U285" s="9"/>
      <c r="V285" s="9"/>
      <c r="W285" s="9"/>
      <c r="X285" s="9"/>
      <c r="Y285" s="9"/>
      <c r="Z285" s="9"/>
      <c r="AA285" s="9"/>
      <c r="AB285" s="9"/>
      <c r="AC285" s="9"/>
      <c r="AD285" s="9"/>
    </row>
    <row r="286" spans="1:30" ht="13.5" customHeight="1">
      <c r="A286" s="2"/>
      <c r="B286" s="2"/>
      <c r="C286" s="2"/>
      <c r="D286" s="2"/>
      <c r="E286" s="2"/>
      <c r="F286" s="2"/>
      <c r="G286" s="2"/>
      <c r="H286" s="2"/>
      <c r="I286" s="2"/>
      <c r="J286" s="2"/>
      <c r="K286" s="2"/>
      <c r="L286" s="2"/>
      <c r="M286" s="2"/>
      <c r="N286" s="2"/>
      <c r="O286" s="2"/>
      <c r="P286" s="2"/>
      <c r="Q286" s="2"/>
      <c r="R286" s="9"/>
      <c r="S286" s="9"/>
      <c r="T286" s="9"/>
      <c r="U286" s="9"/>
      <c r="V286" s="9"/>
      <c r="W286" s="9"/>
      <c r="X286" s="9"/>
      <c r="Y286" s="9"/>
      <c r="Z286" s="9"/>
      <c r="AA286" s="9"/>
      <c r="AB286" s="9"/>
      <c r="AC286" s="9"/>
      <c r="AD286" s="9"/>
    </row>
    <row r="287" spans="1:30" ht="13.5" customHeight="1">
      <c r="A287" s="2"/>
      <c r="B287" s="2"/>
      <c r="C287" s="2"/>
      <c r="D287" s="2"/>
      <c r="E287" s="2"/>
      <c r="F287" s="2"/>
      <c r="G287" s="2"/>
      <c r="H287" s="2"/>
      <c r="I287" s="2"/>
      <c r="J287" s="2"/>
      <c r="K287" s="2"/>
      <c r="L287" s="2"/>
      <c r="M287" s="2"/>
      <c r="N287" s="2"/>
      <c r="O287" s="2"/>
      <c r="P287" s="2"/>
      <c r="Q287" s="2"/>
      <c r="R287" s="9"/>
      <c r="S287" s="9"/>
      <c r="T287" s="9"/>
      <c r="U287" s="9"/>
      <c r="V287" s="9"/>
      <c r="W287" s="9"/>
      <c r="X287" s="9"/>
      <c r="Y287" s="9"/>
      <c r="Z287" s="9"/>
      <c r="AA287" s="9"/>
      <c r="AB287" s="9"/>
      <c r="AC287" s="9"/>
      <c r="AD287" s="9"/>
    </row>
    <row r="288" spans="1:30" ht="13.5" customHeight="1">
      <c r="A288" s="2"/>
      <c r="B288" s="2"/>
      <c r="C288" s="2"/>
      <c r="D288" s="2"/>
      <c r="E288" s="2"/>
      <c r="F288" s="2"/>
      <c r="G288" s="2"/>
      <c r="H288" s="2"/>
      <c r="I288" s="2"/>
      <c r="J288" s="2"/>
      <c r="K288" s="2"/>
      <c r="L288" s="2"/>
      <c r="M288" s="2"/>
      <c r="N288" s="2"/>
      <c r="O288" s="2"/>
      <c r="P288" s="2"/>
      <c r="Q288" s="2"/>
      <c r="R288" s="9"/>
      <c r="S288" s="9"/>
      <c r="T288" s="9"/>
      <c r="U288" s="9"/>
      <c r="V288" s="9"/>
      <c r="W288" s="9"/>
      <c r="X288" s="9"/>
      <c r="Y288" s="9"/>
      <c r="Z288" s="9"/>
      <c r="AA288" s="9"/>
      <c r="AB288" s="9"/>
      <c r="AC288" s="9"/>
      <c r="AD288" s="9"/>
    </row>
    <row r="289" spans="1:30" ht="13.5" customHeight="1">
      <c r="A289" s="2"/>
      <c r="B289" s="2"/>
      <c r="C289" s="2"/>
      <c r="D289" s="2"/>
      <c r="E289" s="2"/>
      <c r="F289" s="2"/>
      <c r="G289" s="2"/>
      <c r="H289" s="2"/>
      <c r="I289" s="2"/>
      <c r="J289" s="2"/>
      <c r="K289" s="2"/>
      <c r="L289" s="2"/>
      <c r="M289" s="2"/>
      <c r="N289" s="2"/>
      <c r="O289" s="2"/>
      <c r="P289" s="2"/>
      <c r="Q289" s="2"/>
      <c r="R289" s="9"/>
      <c r="S289" s="9"/>
      <c r="T289" s="9"/>
      <c r="U289" s="9"/>
      <c r="V289" s="9"/>
      <c r="W289" s="9"/>
      <c r="X289" s="9"/>
      <c r="Y289" s="9"/>
      <c r="Z289" s="9"/>
      <c r="AA289" s="9"/>
      <c r="AB289" s="9"/>
      <c r="AC289" s="9"/>
      <c r="AD289" s="9"/>
    </row>
    <row r="290" spans="1:30" ht="13.5" customHeight="1">
      <c r="A290" s="2"/>
      <c r="B290" s="2"/>
      <c r="C290" s="2"/>
      <c r="D290" s="2"/>
      <c r="E290" s="2"/>
      <c r="F290" s="2"/>
      <c r="G290" s="2"/>
      <c r="H290" s="2"/>
      <c r="I290" s="2"/>
      <c r="J290" s="2"/>
      <c r="K290" s="2"/>
      <c r="L290" s="2"/>
      <c r="M290" s="2"/>
      <c r="N290" s="2"/>
      <c r="O290" s="2"/>
      <c r="P290" s="2"/>
      <c r="Q290" s="2"/>
      <c r="R290" s="9"/>
      <c r="S290" s="9"/>
      <c r="T290" s="9"/>
      <c r="U290" s="9"/>
      <c r="V290" s="9"/>
      <c r="W290" s="9"/>
      <c r="X290" s="9"/>
      <c r="Y290" s="9"/>
      <c r="Z290" s="9"/>
      <c r="AA290" s="9"/>
      <c r="AB290" s="9"/>
      <c r="AC290" s="9"/>
      <c r="AD290" s="9"/>
    </row>
    <row r="291" spans="1:30" ht="13.5" customHeight="1">
      <c r="A291" s="2"/>
      <c r="B291" s="2"/>
      <c r="C291" s="2"/>
      <c r="D291" s="2"/>
      <c r="E291" s="2"/>
      <c r="F291" s="2"/>
      <c r="G291" s="2"/>
      <c r="H291" s="2"/>
      <c r="I291" s="2"/>
      <c r="J291" s="2"/>
      <c r="K291" s="2"/>
      <c r="L291" s="2"/>
      <c r="M291" s="2"/>
      <c r="N291" s="2"/>
      <c r="O291" s="2"/>
      <c r="P291" s="2"/>
      <c r="Q291" s="2"/>
      <c r="R291" s="9"/>
      <c r="S291" s="9"/>
      <c r="T291" s="9"/>
      <c r="U291" s="9"/>
      <c r="V291" s="9"/>
      <c r="W291" s="9"/>
      <c r="X291" s="9"/>
      <c r="Y291" s="9"/>
      <c r="Z291" s="9"/>
      <c r="AA291" s="9"/>
      <c r="AB291" s="9"/>
      <c r="AC291" s="9"/>
      <c r="AD291" s="9"/>
    </row>
    <row r="292" spans="1:30" ht="13.5" customHeight="1">
      <c r="A292" s="2"/>
      <c r="B292" s="2"/>
      <c r="C292" s="2"/>
      <c r="D292" s="2"/>
      <c r="E292" s="2"/>
      <c r="F292" s="2"/>
      <c r="G292" s="2"/>
      <c r="H292" s="2"/>
      <c r="I292" s="2"/>
      <c r="J292" s="2"/>
      <c r="K292" s="2"/>
      <c r="L292" s="2"/>
      <c r="M292" s="2"/>
      <c r="N292" s="2"/>
      <c r="O292" s="2"/>
      <c r="P292" s="2"/>
      <c r="Q292" s="2"/>
      <c r="R292" s="9"/>
      <c r="S292" s="9"/>
      <c r="T292" s="9"/>
      <c r="U292" s="9"/>
      <c r="V292" s="9"/>
      <c r="W292" s="9"/>
      <c r="X292" s="9"/>
      <c r="Y292" s="9"/>
      <c r="Z292" s="9"/>
      <c r="AA292" s="9"/>
      <c r="AB292" s="9"/>
      <c r="AC292" s="9"/>
      <c r="AD292" s="9"/>
    </row>
    <row r="293" spans="1:30" ht="13.5" customHeight="1">
      <c r="A293" s="2"/>
      <c r="B293" s="2"/>
      <c r="C293" s="2"/>
      <c r="D293" s="2"/>
      <c r="E293" s="2"/>
      <c r="F293" s="2"/>
      <c r="G293" s="2"/>
      <c r="H293" s="2"/>
      <c r="I293" s="2"/>
      <c r="J293" s="2"/>
      <c r="K293" s="2"/>
      <c r="L293" s="2"/>
      <c r="M293" s="2"/>
      <c r="N293" s="2"/>
      <c r="O293" s="2"/>
      <c r="P293" s="2"/>
      <c r="Q293" s="2"/>
      <c r="R293" s="9"/>
      <c r="S293" s="9"/>
      <c r="T293" s="9"/>
      <c r="U293" s="9"/>
      <c r="V293" s="9"/>
      <c r="W293" s="9"/>
      <c r="X293" s="9"/>
      <c r="Y293" s="9"/>
      <c r="Z293" s="9"/>
      <c r="AA293" s="9"/>
      <c r="AB293" s="9"/>
      <c r="AC293" s="9"/>
      <c r="AD293" s="9"/>
    </row>
    <row r="294" spans="1:30" ht="13.5" customHeight="1">
      <c r="A294" s="2"/>
      <c r="B294" s="2"/>
      <c r="C294" s="2"/>
      <c r="D294" s="2"/>
      <c r="E294" s="2"/>
      <c r="F294" s="2"/>
      <c r="G294" s="2"/>
      <c r="H294" s="2"/>
      <c r="I294" s="2"/>
      <c r="J294" s="2"/>
      <c r="K294" s="2"/>
      <c r="L294" s="2"/>
      <c r="M294" s="2"/>
      <c r="N294" s="2"/>
      <c r="O294" s="2"/>
      <c r="P294" s="2"/>
      <c r="Q294" s="2"/>
      <c r="R294" s="9"/>
      <c r="S294" s="9"/>
      <c r="T294" s="9"/>
      <c r="U294" s="9"/>
      <c r="V294" s="9"/>
      <c r="W294" s="9"/>
      <c r="X294" s="9"/>
      <c r="Y294" s="9"/>
      <c r="Z294" s="9"/>
      <c r="AA294" s="9"/>
      <c r="AB294" s="9"/>
      <c r="AC294" s="9"/>
      <c r="AD294" s="9"/>
    </row>
    <row r="295" spans="1:30" ht="13.5" customHeight="1">
      <c r="A295" s="2"/>
      <c r="B295" s="2"/>
      <c r="C295" s="2"/>
      <c r="D295" s="2"/>
      <c r="E295" s="2"/>
      <c r="F295" s="2"/>
      <c r="G295" s="2"/>
      <c r="H295" s="2"/>
      <c r="I295" s="2"/>
      <c r="J295" s="2"/>
      <c r="K295" s="2"/>
      <c r="L295" s="2"/>
      <c r="M295" s="2"/>
      <c r="N295" s="2"/>
      <c r="O295" s="2"/>
      <c r="P295" s="2"/>
      <c r="Q295" s="2"/>
      <c r="R295" s="9"/>
      <c r="S295" s="9"/>
      <c r="T295" s="9"/>
      <c r="U295" s="9"/>
      <c r="V295" s="9"/>
      <c r="W295" s="9"/>
      <c r="X295" s="9"/>
      <c r="Y295" s="9"/>
      <c r="Z295" s="9"/>
      <c r="AA295" s="9"/>
      <c r="AB295" s="9"/>
      <c r="AC295" s="9"/>
      <c r="AD295" s="9"/>
    </row>
    <row r="296" spans="1:30" ht="13.5" customHeight="1">
      <c r="A296" s="2"/>
      <c r="B296" s="2"/>
      <c r="C296" s="2"/>
      <c r="D296" s="2"/>
      <c r="E296" s="2"/>
      <c r="F296" s="2"/>
      <c r="G296" s="2"/>
      <c r="H296" s="2"/>
      <c r="I296" s="2"/>
      <c r="J296" s="2"/>
      <c r="K296" s="2"/>
      <c r="L296" s="2"/>
      <c r="M296" s="2"/>
      <c r="N296" s="2"/>
      <c r="O296" s="2"/>
      <c r="P296" s="2"/>
      <c r="Q296" s="2"/>
      <c r="R296" s="9"/>
      <c r="S296" s="9"/>
      <c r="T296" s="9"/>
      <c r="U296" s="9"/>
      <c r="V296" s="9"/>
      <c r="W296" s="9"/>
      <c r="X296" s="9"/>
      <c r="Y296" s="9"/>
      <c r="Z296" s="9"/>
      <c r="AA296" s="9"/>
      <c r="AB296" s="9"/>
      <c r="AC296" s="9"/>
      <c r="AD296" s="9"/>
    </row>
    <row r="297" spans="1:30" ht="13.5" customHeight="1">
      <c r="A297" s="2"/>
      <c r="B297" s="2"/>
      <c r="C297" s="2"/>
      <c r="D297" s="2"/>
      <c r="E297" s="2"/>
      <c r="F297" s="2"/>
      <c r="G297" s="2"/>
      <c r="H297" s="2"/>
      <c r="I297" s="2"/>
      <c r="J297" s="2"/>
      <c r="K297" s="2"/>
      <c r="L297" s="2"/>
      <c r="M297" s="2"/>
      <c r="N297" s="2"/>
      <c r="O297" s="2"/>
      <c r="P297" s="2"/>
      <c r="Q297" s="2"/>
      <c r="R297" s="9"/>
      <c r="S297" s="9"/>
      <c r="T297" s="9"/>
      <c r="U297" s="9"/>
      <c r="V297" s="9"/>
      <c r="W297" s="9"/>
      <c r="X297" s="9"/>
      <c r="Y297" s="9"/>
      <c r="Z297" s="9"/>
      <c r="AA297" s="9"/>
      <c r="AB297" s="9"/>
      <c r="AC297" s="9"/>
      <c r="AD297" s="9"/>
    </row>
    <row r="298" spans="1:30" ht="13.5" customHeight="1">
      <c r="A298" s="2"/>
      <c r="B298" s="2"/>
      <c r="C298" s="2"/>
      <c r="D298" s="2"/>
      <c r="E298" s="2"/>
      <c r="F298" s="2"/>
      <c r="G298" s="2"/>
      <c r="H298" s="2"/>
      <c r="I298" s="2"/>
      <c r="J298" s="2"/>
      <c r="K298" s="2"/>
      <c r="L298" s="2"/>
      <c r="M298" s="2"/>
      <c r="N298" s="2"/>
      <c r="O298" s="2"/>
      <c r="P298" s="2"/>
      <c r="Q298" s="2"/>
      <c r="R298" s="9"/>
      <c r="S298" s="9"/>
      <c r="T298" s="9"/>
      <c r="U298" s="9"/>
      <c r="V298" s="9"/>
      <c r="W298" s="9"/>
      <c r="X298" s="9"/>
      <c r="Y298" s="9"/>
      <c r="Z298" s="9"/>
      <c r="AA298" s="9"/>
      <c r="AB298" s="9"/>
      <c r="AC298" s="9"/>
      <c r="AD298" s="9"/>
    </row>
    <row r="299" spans="1:30" ht="13.5" customHeight="1">
      <c r="A299" s="2"/>
      <c r="B299" s="2"/>
      <c r="C299" s="2"/>
      <c r="D299" s="2"/>
      <c r="E299" s="2"/>
      <c r="F299" s="2"/>
      <c r="G299" s="2"/>
      <c r="H299" s="2"/>
      <c r="I299" s="2"/>
      <c r="J299" s="2"/>
      <c r="K299" s="2"/>
      <c r="L299" s="2"/>
      <c r="M299" s="2"/>
      <c r="N299" s="2"/>
      <c r="O299" s="2"/>
      <c r="P299" s="2"/>
      <c r="Q299" s="2"/>
      <c r="R299" s="9"/>
      <c r="S299" s="9"/>
      <c r="T299" s="9"/>
      <c r="U299" s="9"/>
      <c r="V299" s="9"/>
      <c r="W299" s="9"/>
      <c r="X299" s="9"/>
      <c r="Y299" s="9"/>
      <c r="Z299" s="9"/>
      <c r="AA299" s="9"/>
      <c r="AB299" s="9"/>
      <c r="AC299" s="9"/>
      <c r="AD299" s="9"/>
    </row>
    <row r="300" spans="1:30" ht="13.5" customHeight="1">
      <c r="A300" s="2"/>
      <c r="B300" s="2"/>
      <c r="C300" s="2"/>
      <c r="D300" s="2"/>
      <c r="E300" s="2"/>
      <c r="F300" s="2"/>
      <c r="G300" s="2"/>
      <c r="H300" s="2"/>
      <c r="I300" s="2"/>
      <c r="J300" s="2"/>
      <c r="K300" s="2"/>
      <c r="L300" s="2"/>
      <c r="M300" s="2"/>
      <c r="N300" s="2"/>
      <c r="O300" s="2"/>
      <c r="P300" s="2"/>
      <c r="Q300" s="2"/>
      <c r="R300" s="9"/>
      <c r="S300" s="9"/>
      <c r="T300" s="9"/>
      <c r="U300" s="9"/>
      <c r="V300" s="9"/>
      <c r="W300" s="9"/>
      <c r="X300" s="9"/>
      <c r="Y300" s="9"/>
      <c r="Z300" s="9"/>
      <c r="AA300" s="9"/>
      <c r="AB300" s="9"/>
      <c r="AC300" s="9"/>
      <c r="AD300" s="9"/>
    </row>
    <row r="301" spans="1:30" ht="13.5" customHeight="1">
      <c r="A301" s="2"/>
      <c r="B301" s="2"/>
      <c r="C301" s="2"/>
      <c r="D301" s="2"/>
      <c r="E301" s="2"/>
      <c r="F301" s="2"/>
      <c r="G301" s="2"/>
      <c r="H301" s="2"/>
      <c r="I301" s="2"/>
      <c r="J301" s="2"/>
      <c r="K301" s="2"/>
      <c r="L301" s="2"/>
      <c r="M301" s="2"/>
      <c r="N301" s="2"/>
      <c r="O301" s="2"/>
      <c r="P301" s="2"/>
      <c r="Q301" s="2"/>
      <c r="R301" s="9"/>
      <c r="S301" s="9"/>
      <c r="T301" s="9"/>
      <c r="U301" s="9"/>
      <c r="V301" s="9"/>
      <c r="W301" s="9"/>
      <c r="X301" s="9"/>
      <c r="Y301" s="9"/>
      <c r="Z301" s="9"/>
      <c r="AA301" s="9"/>
      <c r="AB301" s="9"/>
      <c r="AC301" s="9"/>
      <c r="AD301" s="9"/>
    </row>
    <row r="302" spans="1:30" ht="13.5" customHeight="1">
      <c r="A302" s="2"/>
      <c r="B302" s="2"/>
      <c r="C302" s="2"/>
      <c r="D302" s="2"/>
      <c r="E302" s="2"/>
      <c r="F302" s="2"/>
      <c r="G302" s="2"/>
      <c r="H302" s="2"/>
      <c r="I302" s="2"/>
      <c r="J302" s="2"/>
      <c r="K302" s="2"/>
      <c r="L302" s="2"/>
      <c r="M302" s="2"/>
      <c r="N302" s="2"/>
      <c r="O302" s="2"/>
      <c r="P302" s="2"/>
      <c r="Q302" s="2"/>
      <c r="R302" s="9"/>
      <c r="S302" s="9"/>
      <c r="T302" s="9"/>
      <c r="U302" s="9"/>
      <c r="V302" s="9"/>
      <c r="W302" s="9"/>
      <c r="X302" s="9"/>
      <c r="Y302" s="9"/>
      <c r="Z302" s="9"/>
      <c r="AA302" s="9"/>
      <c r="AB302" s="9"/>
      <c r="AC302" s="9"/>
      <c r="AD302" s="9"/>
    </row>
    <row r="303" spans="1:30" ht="13.5" customHeight="1">
      <c r="A303" s="2"/>
      <c r="B303" s="2"/>
      <c r="C303" s="2"/>
      <c r="D303" s="2"/>
      <c r="E303" s="2"/>
      <c r="F303" s="2"/>
      <c r="G303" s="2"/>
      <c r="H303" s="2"/>
      <c r="I303" s="2"/>
      <c r="J303" s="2"/>
      <c r="K303" s="2"/>
      <c r="L303" s="2"/>
      <c r="M303" s="2"/>
      <c r="N303" s="2"/>
      <c r="O303" s="2"/>
      <c r="P303" s="2"/>
      <c r="Q303" s="2"/>
      <c r="R303" s="9"/>
      <c r="S303" s="9"/>
      <c r="T303" s="9"/>
      <c r="U303" s="9"/>
      <c r="V303" s="9"/>
      <c r="W303" s="9"/>
      <c r="X303" s="9"/>
      <c r="Y303" s="9"/>
      <c r="Z303" s="9"/>
      <c r="AA303" s="9"/>
      <c r="AB303" s="9"/>
      <c r="AC303" s="9"/>
      <c r="AD303" s="9"/>
    </row>
    <row r="304" spans="1:30" ht="13.5" customHeight="1">
      <c r="A304" s="2"/>
      <c r="B304" s="2"/>
      <c r="C304" s="2"/>
      <c r="D304" s="2"/>
      <c r="E304" s="2"/>
      <c r="F304" s="2"/>
      <c r="G304" s="2"/>
      <c r="H304" s="2"/>
      <c r="I304" s="2"/>
      <c r="J304" s="2"/>
      <c r="K304" s="2"/>
      <c r="L304" s="2"/>
      <c r="M304" s="2"/>
      <c r="N304" s="2"/>
      <c r="O304" s="2"/>
      <c r="P304" s="2"/>
      <c r="Q304" s="2"/>
      <c r="R304" s="9"/>
      <c r="S304" s="9"/>
      <c r="T304" s="9"/>
      <c r="U304" s="9"/>
      <c r="V304" s="9"/>
      <c r="W304" s="9"/>
      <c r="X304" s="9"/>
      <c r="Y304" s="9"/>
      <c r="Z304" s="9"/>
      <c r="AA304" s="9"/>
      <c r="AB304" s="9"/>
      <c r="AC304" s="9"/>
      <c r="AD304" s="9"/>
    </row>
    <row r="305" spans="1:30" ht="13.5" customHeight="1">
      <c r="A305" s="2"/>
      <c r="B305" s="2"/>
      <c r="C305" s="2"/>
      <c r="D305" s="2"/>
      <c r="E305" s="2"/>
      <c r="F305" s="2"/>
      <c r="G305" s="2"/>
      <c r="H305" s="2"/>
      <c r="I305" s="2"/>
      <c r="J305" s="2"/>
      <c r="K305" s="2"/>
      <c r="L305" s="2"/>
      <c r="M305" s="2"/>
      <c r="N305" s="2"/>
      <c r="O305" s="2"/>
      <c r="P305" s="2"/>
      <c r="Q305" s="2"/>
      <c r="R305" s="9"/>
      <c r="S305" s="9"/>
      <c r="T305" s="9"/>
      <c r="U305" s="9"/>
      <c r="V305" s="9"/>
      <c r="W305" s="9"/>
      <c r="X305" s="9"/>
      <c r="Y305" s="9"/>
      <c r="Z305" s="9"/>
      <c r="AA305" s="9"/>
      <c r="AB305" s="9"/>
      <c r="AC305" s="9"/>
      <c r="AD305" s="9"/>
    </row>
    <row r="306" spans="1:30" ht="13.5" customHeight="1">
      <c r="A306" s="2"/>
      <c r="B306" s="2"/>
      <c r="C306" s="2"/>
      <c r="D306" s="2"/>
      <c r="E306" s="2"/>
      <c r="F306" s="2"/>
      <c r="G306" s="2"/>
      <c r="H306" s="2"/>
      <c r="I306" s="2"/>
      <c r="J306" s="2"/>
      <c r="K306" s="2"/>
      <c r="L306" s="2"/>
      <c r="M306" s="2"/>
      <c r="N306" s="2"/>
      <c r="O306" s="2"/>
      <c r="P306" s="2"/>
      <c r="Q306" s="2"/>
      <c r="R306" s="9"/>
      <c r="S306" s="9"/>
      <c r="T306" s="9"/>
      <c r="U306" s="9"/>
      <c r="V306" s="9"/>
      <c r="W306" s="9"/>
      <c r="X306" s="9"/>
      <c r="Y306" s="9"/>
      <c r="Z306" s="9"/>
      <c r="AA306" s="9"/>
      <c r="AB306" s="9"/>
      <c r="AC306" s="9"/>
      <c r="AD306" s="9"/>
    </row>
    <row r="307" spans="1:30" ht="13.5" customHeight="1">
      <c r="A307" s="2"/>
      <c r="B307" s="2"/>
      <c r="C307" s="2"/>
      <c r="D307" s="2"/>
      <c r="E307" s="2"/>
      <c r="F307" s="2"/>
      <c r="G307" s="2"/>
      <c r="H307" s="2"/>
      <c r="I307" s="2"/>
      <c r="J307" s="2"/>
      <c r="K307" s="2"/>
      <c r="L307" s="2"/>
      <c r="M307" s="2"/>
      <c r="N307" s="2"/>
      <c r="O307" s="2"/>
      <c r="P307" s="2"/>
      <c r="Q307" s="2"/>
      <c r="R307" s="9"/>
      <c r="S307" s="9"/>
      <c r="T307" s="9"/>
      <c r="U307" s="9"/>
      <c r="V307" s="9"/>
      <c r="W307" s="9"/>
      <c r="X307" s="9"/>
      <c r="Y307" s="9"/>
      <c r="Z307" s="9"/>
      <c r="AA307" s="9"/>
      <c r="AB307" s="9"/>
      <c r="AC307" s="9"/>
      <c r="AD307" s="9"/>
    </row>
    <row r="308" spans="1:30" ht="13.5" customHeight="1">
      <c r="A308" s="2"/>
      <c r="B308" s="2"/>
      <c r="C308" s="2"/>
      <c r="D308" s="2"/>
      <c r="E308" s="2"/>
      <c r="F308" s="2"/>
      <c r="G308" s="2"/>
      <c r="H308" s="2"/>
      <c r="I308" s="2"/>
      <c r="J308" s="2"/>
      <c r="K308" s="2"/>
      <c r="L308" s="2"/>
      <c r="M308" s="2"/>
      <c r="N308" s="2"/>
      <c r="O308" s="2"/>
      <c r="P308" s="2"/>
      <c r="Q308" s="2"/>
      <c r="R308" s="9"/>
      <c r="S308" s="9"/>
      <c r="T308" s="9"/>
      <c r="U308" s="9"/>
      <c r="V308" s="9"/>
      <c r="W308" s="9"/>
      <c r="X308" s="9"/>
      <c r="Y308" s="9"/>
      <c r="Z308" s="9"/>
      <c r="AA308" s="9"/>
      <c r="AB308" s="9"/>
      <c r="AC308" s="9"/>
      <c r="AD308" s="9"/>
    </row>
    <row r="309" spans="1:30" ht="13.5" customHeight="1">
      <c r="A309" s="2"/>
      <c r="B309" s="2"/>
      <c r="C309" s="2"/>
      <c r="D309" s="2"/>
      <c r="E309" s="2"/>
      <c r="F309" s="2"/>
      <c r="G309" s="2"/>
      <c r="H309" s="2"/>
      <c r="I309" s="2"/>
      <c r="J309" s="2"/>
      <c r="K309" s="2"/>
      <c r="L309" s="2"/>
      <c r="M309" s="2"/>
      <c r="N309" s="2"/>
      <c r="O309" s="2"/>
      <c r="P309" s="2"/>
      <c r="Q309" s="2"/>
      <c r="R309" s="9"/>
      <c r="S309" s="9"/>
      <c r="T309" s="9"/>
      <c r="U309" s="9"/>
      <c r="V309" s="9"/>
      <c r="W309" s="9"/>
      <c r="X309" s="9"/>
      <c r="Y309" s="9"/>
      <c r="Z309" s="9"/>
      <c r="AA309" s="9"/>
      <c r="AB309" s="9"/>
      <c r="AC309" s="9"/>
      <c r="AD309" s="9"/>
    </row>
    <row r="310" spans="1:30" ht="13.5" customHeight="1">
      <c r="A310" s="2"/>
      <c r="B310" s="2"/>
      <c r="C310" s="2"/>
      <c r="D310" s="2"/>
      <c r="E310" s="2"/>
      <c r="F310" s="2"/>
      <c r="G310" s="2"/>
      <c r="H310" s="2"/>
      <c r="I310" s="2"/>
      <c r="J310" s="2"/>
      <c r="K310" s="2"/>
      <c r="L310" s="2"/>
      <c r="M310" s="2"/>
      <c r="N310" s="2"/>
      <c r="O310" s="2"/>
      <c r="P310" s="2"/>
      <c r="Q310" s="2"/>
      <c r="R310" s="9"/>
      <c r="S310" s="9"/>
      <c r="T310" s="9"/>
      <c r="U310" s="9"/>
      <c r="V310" s="9"/>
      <c r="W310" s="9"/>
      <c r="X310" s="9"/>
      <c r="Y310" s="9"/>
      <c r="Z310" s="9"/>
      <c r="AA310" s="9"/>
      <c r="AB310" s="9"/>
      <c r="AC310" s="9"/>
      <c r="AD310" s="9"/>
    </row>
    <row r="311" spans="1:30" ht="13.5" customHeight="1">
      <c r="A311" s="2"/>
      <c r="B311" s="2"/>
      <c r="C311" s="2"/>
      <c r="D311" s="2"/>
      <c r="E311" s="2"/>
      <c r="F311" s="2"/>
      <c r="G311" s="2"/>
      <c r="H311" s="2"/>
      <c r="I311" s="2"/>
      <c r="J311" s="2"/>
      <c r="K311" s="2"/>
      <c r="L311" s="2"/>
      <c r="M311" s="2"/>
      <c r="N311" s="2"/>
      <c r="O311" s="2"/>
      <c r="P311" s="2"/>
      <c r="Q311" s="2"/>
      <c r="R311" s="9"/>
      <c r="S311" s="9"/>
      <c r="T311" s="9"/>
      <c r="U311" s="9"/>
      <c r="V311" s="9"/>
      <c r="W311" s="9"/>
      <c r="X311" s="9"/>
      <c r="Y311" s="9"/>
      <c r="Z311" s="9"/>
      <c r="AA311" s="9"/>
      <c r="AB311" s="9"/>
      <c r="AC311" s="9"/>
      <c r="AD311" s="9"/>
    </row>
    <row r="312" spans="1:30" ht="13.5" customHeight="1">
      <c r="A312" s="2"/>
      <c r="B312" s="2"/>
      <c r="C312" s="2"/>
      <c r="D312" s="2"/>
      <c r="E312" s="2"/>
      <c r="F312" s="2"/>
      <c r="G312" s="2"/>
      <c r="H312" s="2"/>
      <c r="I312" s="2"/>
      <c r="J312" s="2"/>
      <c r="K312" s="2"/>
      <c r="L312" s="2"/>
      <c r="M312" s="2"/>
      <c r="N312" s="2"/>
      <c r="O312" s="2"/>
      <c r="P312" s="2"/>
      <c r="Q312" s="2"/>
      <c r="R312" s="9"/>
      <c r="S312" s="9"/>
      <c r="T312" s="9"/>
      <c r="U312" s="9"/>
      <c r="V312" s="9"/>
      <c r="W312" s="9"/>
      <c r="X312" s="9"/>
      <c r="Y312" s="9"/>
      <c r="Z312" s="9"/>
      <c r="AA312" s="9"/>
      <c r="AB312" s="9"/>
      <c r="AC312" s="9"/>
      <c r="AD312" s="9"/>
    </row>
    <row r="313" spans="1:30" ht="13.5" customHeight="1">
      <c r="A313" s="2"/>
      <c r="B313" s="2"/>
      <c r="C313" s="2"/>
      <c r="D313" s="2"/>
      <c r="E313" s="2"/>
      <c r="F313" s="2"/>
      <c r="G313" s="2"/>
      <c r="H313" s="2"/>
      <c r="I313" s="2"/>
      <c r="J313" s="2"/>
      <c r="K313" s="2"/>
      <c r="L313" s="2"/>
      <c r="M313" s="2"/>
      <c r="N313" s="2"/>
      <c r="O313" s="2"/>
      <c r="P313" s="2"/>
      <c r="Q313" s="2"/>
      <c r="R313" s="9"/>
      <c r="S313" s="9"/>
      <c r="T313" s="9"/>
      <c r="U313" s="9"/>
      <c r="V313" s="9"/>
      <c r="W313" s="9"/>
      <c r="X313" s="9"/>
      <c r="Y313" s="9"/>
      <c r="Z313" s="9"/>
      <c r="AA313" s="9"/>
      <c r="AB313" s="9"/>
      <c r="AC313" s="9"/>
      <c r="AD313" s="9"/>
    </row>
    <row r="314" spans="1:30" ht="13.5" customHeight="1">
      <c r="A314" s="2"/>
      <c r="B314" s="2"/>
      <c r="C314" s="2"/>
      <c r="D314" s="2"/>
      <c r="E314" s="2"/>
      <c r="F314" s="2"/>
      <c r="G314" s="2"/>
      <c r="H314" s="2"/>
      <c r="I314" s="2"/>
      <c r="J314" s="2"/>
      <c r="K314" s="2"/>
      <c r="L314" s="2"/>
      <c r="M314" s="2"/>
      <c r="N314" s="2"/>
      <c r="O314" s="2"/>
      <c r="P314" s="2"/>
      <c r="Q314" s="2"/>
      <c r="R314" s="9"/>
      <c r="S314" s="9"/>
      <c r="T314" s="9"/>
      <c r="U314" s="9"/>
      <c r="V314" s="9"/>
      <c r="W314" s="9"/>
      <c r="X314" s="9"/>
      <c r="Y314" s="9"/>
      <c r="Z314" s="9"/>
      <c r="AA314" s="9"/>
      <c r="AB314" s="9"/>
      <c r="AC314" s="9"/>
      <c r="AD314" s="9"/>
    </row>
    <row r="315" spans="1:30" ht="13.5" customHeight="1">
      <c r="A315" s="2"/>
      <c r="B315" s="2"/>
      <c r="C315" s="2"/>
      <c r="D315" s="2"/>
      <c r="E315" s="2"/>
      <c r="F315" s="2"/>
      <c r="G315" s="2"/>
      <c r="H315" s="2"/>
      <c r="I315" s="2"/>
      <c r="J315" s="2"/>
      <c r="K315" s="2"/>
      <c r="L315" s="2"/>
      <c r="M315" s="2"/>
      <c r="N315" s="2"/>
      <c r="O315" s="2"/>
      <c r="P315" s="2"/>
      <c r="Q315" s="2"/>
      <c r="R315" s="9"/>
      <c r="S315" s="9"/>
      <c r="T315" s="9"/>
      <c r="U315" s="9"/>
      <c r="V315" s="9"/>
      <c r="W315" s="9"/>
      <c r="X315" s="9"/>
      <c r="Y315" s="9"/>
      <c r="Z315" s="9"/>
      <c r="AA315" s="9"/>
      <c r="AB315" s="9"/>
      <c r="AC315" s="9"/>
      <c r="AD315" s="9"/>
    </row>
    <row r="316" spans="1:30" ht="13.5" customHeight="1">
      <c r="A316" s="2"/>
      <c r="B316" s="2"/>
      <c r="C316" s="2"/>
      <c r="D316" s="2"/>
      <c r="E316" s="2"/>
      <c r="F316" s="2"/>
      <c r="G316" s="2"/>
      <c r="H316" s="2"/>
      <c r="I316" s="2"/>
      <c r="J316" s="2"/>
      <c r="K316" s="2"/>
      <c r="L316" s="2"/>
      <c r="M316" s="2"/>
      <c r="N316" s="2"/>
      <c r="O316" s="2"/>
      <c r="P316" s="2"/>
      <c r="Q316" s="2"/>
      <c r="R316" s="9"/>
      <c r="S316" s="9"/>
      <c r="T316" s="9"/>
      <c r="U316" s="9"/>
      <c r="V316" s="9"/>
      <c r="W316" s="9"/>
      <c r="X316" s="9"/>
      <c r="Y316" s="9"/>
      <c r="Z316" s="9"/>
      <c r="AA316" s="9"/>
      <c r="AB316" s="9"/>
      <c r="AC316" s="9"/>
      <c r="AD316" s="9"/>
    </row>
    <row r="317" spans="1:30" ht="13.5" customHeight="1">
      <c r="A317" s="2"/>
      <c r="B317" s="2"/>
      <c r="C317" s="2"/>
      <c r="D317" s="2"/>
      <c r="E317" s="2"/>
      <c r="F317" s="2"/>
      <c r="G317" s="2"/>
      <c r="H317" s="2"/>
      <c r="I317" s="2"/>
      <c r="J317" s="2"/>
      <c r="K317" s="2"/>
      <c r="L317" s="2"/>
      <c r="M317" s="2"/>
      <c r="N317" s="2"/>
      <c r="O317" s="2"/>
      <c r="P317" s="2"/>
      <c r="Q317" s="2"/>
      <c r="R317" s="9"/>
      <c r="S317" s="9"/>
      <c r="T317" s="9"/>
      <c r="U317" s="9"/>
      <c r="V317" s="9"/>
      <c r="W317" s="9"/>
      <c r="X317" s="9"/>
      <c r="Y317" s="9"/>
      <c r="Z317" s="9"/>
      <c r="AA317" s="9"/>
      <c r="AB317" s="9"/>
      <c r="AC317" s="9"/>
      <c r="AD317" s="9"/>
    </row>
    <row r="318" spans="1:30" ht="13.5" customHeight="1">
      <c r="A318" s="2"/>
      <c r="B318" s="2"/>
      <c r="C318" s="2"/>
      <c r="D318" s="2"/>
      <c r="E318" s="2"/>
      <c r="F318" s="2"/>
      <c r="G318" s="2"/>
      <c r="H318" s="2"/>
      <c r="I318" s="2"/>
      <c r="J318" s="2"/>
      <c r="K318" s="2"/>
      <c r="L318" s="2"/>
      <c r="M318" s="2"/>
      <c r="N318" s="2"/>
      <c r="O318" s="2"/>
      <c r="P318" s="2"/>
      <c r="Q318" s="2"/>
      <c r="R318" s="9"/>
      <c r="S318" s="9"/>
      <c r="T318" s="9"/>
      <c r="U318" s="9"/>
      <c r="V318" s="9"/>
      <c r="W318" s="9"/>
      <c r="X318" s="9"/>
      <c r="Y318" s="9"/>
      <c r="Z318" s="9"/>
      <c r="AA318" s="9"/>
      <c r="AB318" s="9"/>
      <c r="AC318" s="9"/>
      <c r="AD318" s="9"/>
    </row>
    <row r="319" spans="1:30" ht="13.5" customHeight="1">
      <c r="A319" s="2"/>
      <c r="B319" s="2"/>
      <c r="C319" s="2"/>
      <c r="D319" s="2"/>
      <c r="E319" s="2"/>
      <c r="F319" s="2"/>
      <c r="G319" s="2"/>
      <c r="H319" s="2"/>
      <c r="I319" s="2"/>
      <c r="J319" s="2"/>
      <c r="K319" s="2"/>
      <c r="L319" s="2"/>
      <c r="M319" s="2"/>
      <c r="N319" s="2"/>
      <c r="O319" s="2"/>
      <c r="P319" s="2"/>
      <c r="Q319" s="2"/>
      <c r="R319" s="9"/>
      <c r="S319" s="9"/>
      <c r="T319" s="9"/>
      <c r="U319" s="9"/>
      <c r="V319" s="9"/>
      <c r="W319" s="9"/>
      <c r="X319" s="9"/>
      <c r="Y319" s="9"/>
      <c r="Z319" s="9"/>
      <c r="AA319" s="9"/>
      <c r="AB319" s="9"/>
      <c r="AC319" s="9"/>
      <c r="AD319" s="9"/>
    </row>
    <row r="320" spans="1:30" ht="13.5" customHeight="1">
      <c r="A320" s="2"/>
      <c r="B320" s="2"/>
      <c r="C320" s="2"/>
      <c r="D320" s="2"/>
      <c r="E320" s="2"/>
      <c r="F320" s="2"/>
      <c r="G320" s="2"/>
      <c r="H320" s="2"/>
      <c r="I320" s="2"/>
      <c r="J320" s="2"/>
      <c r="K320" s="2"/>
      <c r="L320" s="2"/>
      <c r="M320" s="2"/>
      <c r="N320" s="2"/>
      <c r="O320" s="2"/>
      <c r="P320" s="2"/>
      <c r="Q320" s="2"/>
      <c r="R320" s="9"/>
      <c r="S320" s="9"/>
      <c r="T320" s="9"/>
      <c r="U320" s="9"/>
      <c r="V320" s="9"/>
      <c r="W320" s="9"/>
      <c r="X320" s="9"/>
      <c r="Y320" s="9"/>
      <c r="Z320" s="9"/>
      <c r="AA320" s="9"/>
      <c r="AB320" s="9"/>
      <c r="AC320" s="9"/>
      <c r="AD320" s="9"/>
    </row>
    <row r="321" spans="1:30" ht="13.5" customHeight="1">
      <c r="A321" s="2"/>
      <c r="B321" s="2"/>
      <c r="C321" s="2"/>
      <c r="D321" s="2"/>
      <c r="E321" s="2"/>
      <c r="F321" s="2"/>
      <c r="G321" s="2"/>
      <c r="H321" s="2"/>
      <c r="I321" s="2"/>
      <c r="J321" s="2"/>
      <c r="K321" s="2"/>
      <c r="L321" s="2"/>
      <c r="M321" s="2"/>
      <c r="N321" s="2"/>
      <c r="O321" s="2"/>
      <c r="P321" s="2"/>
      <c r="Q321" s="2"/>
      <c r="R321" s="9"/>
      <c r="S321" s="9"/>
      <c r="T321" s="9"/>
      <c r="U321" s="9"/>
      <c r="V321" s="9"/>
      <c r="W321" s="9"/>
      <c r="X321" s="9"/>
      <c r="Y321" s="9"/>
      <c r="Z321" s="9"/>
      <c r="AA321" s="9"/>
      <c r="AB321" s="9"/>
      <c r="AC321" s="9"/>
      <c r="AD321" s="9"/>
    </row>
    <row r="322" spans="1:30" ht="13.5" customHeight="1">
      <c r="A322" s="2"/>
      <c r="B322" s="2"/>
      <c r="C322" s="2"/>
      <c r="D322" s="2"/>
      <c r="E322" s="2"/>
      <c r="F322" s="2"/>
      <c r="G322" s="2"/>
      <c r="H322" s="2"/>
      <c r="I322" s="2"/>
      <c r="J322" s="2"/>
      <c r="K322" s="2"/>
      <c r="L322" s="2"/>
      <c r="M322" s="2"/>
      <c r="N322" s="2"/>
      <c r="O322" s="2"/>
      <c r="P322" s="2"/>
      <c r="Q322" s="2"/>
      <c r="R322" s="9"/>
      <c r="S322" s="9"/>
      <c r="T322" s="9"/>
      <c r="U322" s="9"/>
      <c r="V322" s="9"/>
      <c r="W322" s="9"/>
      <c r="X322" s="9"/>
      <c r="Y322" s="9"/>
      <c r="Z322" s="9"/>
      <c r="AA322" s="9"/>
      <c r="AB322" s="9"/>
      <c r="AC322" s="9"/>
      <c r="AD322" s="9"/>
    </row>
    <row r="323" spans="1:30" ht="13.5" customHeight="1">
      <c r="A323" s="2"/>
      <c r="B323" s="2"/>
      <c r="C323" s="2"/>
      <c r="D323" s="2"/>
      <c r="E323" s="2"/>
      <c r="F323" s="2"/>
      <c r="G323" s="2"/>
      <c r="H323" s="2"/>
      <c r="I323" s="2"/>
      <c r="J323" s="2"/>
      <c r="K323" s="2"/>
      <c r="L323" s="2"/>
      <c r="M323" s="2"/>
      <c r="N323" s="2"/>
      <c r="O323" s="2"/>
      <c r="P323" s="2"/>
      <c r="Q323" s="2"/>
      <c r="R323" s="9"/>
      <c r="S323" s="9"/>
      <c r="T323" s="9"/>
      <c r="U323" s="9"/>
      <c r="V323" s="9"/>
      <c r="W323" s="9"/>
      <c r="X323" s="9"/>
      <c r="Y323" s="9"/>
      <c r="Z323" s="9"/>
      <c r="AA323" s="9"/>
      <c r="AB323" s="9"/>
      <c r="AC323" s="9"/>
      <c r="AD323" s="9"/>
    </row>
    <row r="324" spans="1:30" ht="13.5" customHeight="1">
      <c r="A324" s="2"/>
      <c r="B324" s="2"/>
      <c r="C324" s="2"/>
      <c r="D324" s="2"/>
      <c r="E324" s="2"/>
      <c r="F324" s="2"/>
      <c r="G324" s="2"/>
      <c r="H324" s="2"/>
      <c r="I324" s="2"/>
      <c r="J324" s="2"/>
      <c r="K324" s="2"/>
      <c r="L324" s="2"/>
      <c r="M324" s="2"/>
      <c r="N324" s="2"/>
      <c r="O324" s="2"/>
      <c r="P324" s="2"/>
      <c r="Q324" s="2"/>
      <c r="R324" s="9"/>
      <c r="S324" s="9"/>
      <c r="T324" s="9"/>
      <c r="U324" s="9"/>
      <c r="V324" s="9"/>
      <c r="W324" s="9"/>
      <c r="X324" s="9"/>
      <c r="Y324" s="9"/>
      <c r="Z324" s="9"/>
      <c r="AA324" s="9"/>
      <c r="AB324" s="9"/>
      <c r="AC324" s="9"/>
      <c r="AD324" s="9"/>
    </row>
    <row r="325" spans="1:30" ht="13.5" customHeight="1">
      <c r="A325" s="2"/>
      <c r="B325" s="2"/>
      <c r="C325" s="2"/>
      <c r="D325" s="2"/>
      <c r="E325" s="2"/>
      <c r="F325" s="2"/>
      <c r="G325" s="2"/>
      <c r="H325" s="2"/>
      <c r="I325" s="2"/>
      <c r="J325" s="2"/>
      <c r="K325" s="2"/>
      <c r="L325" s="2"/>
      <c r="M325" s="2"/>
      <c r="N325" s="2"/>
      <c r="O325" s="2"/>
      <c r="P325" s="2"/>
      <c r="Q325" s="2"/>
      <c r="R325" s="9"/>
      <c r="S325" s="9"/>
      <c r="T325" s="9"/>
      <c r="U325" s="9"/>
      <c r="V325" s="9"/>
      <c r="W325" s="9"/>
      <c r="X325" s="9"/>
      <c r="Y325" s="9"/>
      <c r="Z325" s="9"/>
      <c r="AA325" s="9"/>
      <c r="AB325" s="9"/>
      <c r="AC325" s="9"/>
      <c r="AD325" s="9"/>
    </row>
    <row r="326" spans="1:30" ht="13.5" customHeight="1">
      <c r="A326" s="2"/>
      <c r="B326" s="2"/>
      <c r="C326" s="2"/>
      <c r="D326" s="2"/>
      <c r="E326" s="2"/>
      <c r="F326" s="2"/>
      <c r="G326" s="2"/>
      <c r="H326" s="2"/>
      <c r="I326" s="2"/>
      <c r="J326" s="2"/>
      <c r="K326" s="2"/>
      <c r="L326" s="2"/>
      <c r="M326" s="2"/>
      <c r="N326" s="2"/>
      <c r="O326" s="2"/>
      <c r="P326" s="2"/>
      <c r="Q326" s="2"/>
      <c r="R326" s="9"/>
      <c r="S326" s="9"/>
      <c r="T326" s="9"/>
      <c r="U326" s="9"/>
      <c r="V326" s="9"/>
      <c r="W326" s="9"/>
      <c r="X326" s="9"/>
      <c r="Y326" s="9"/>
      <c r="Z326" s="9"/>
      <c r="AA326" s="9"/>
      <c r="AB326" s="9"/>
      <c r="AC326" s="9"/>
      <c r="AD326" s="9"/>
    </row>
    <row r="327" spans="1:30" ht="13.5" customHeight="1">
      <c r="A327" s="2"/>
      <c r="B327" s="2"/>
      <c r="C327" s="2"/>
      <c r="D327" s="2"/>
      <c r="E327" s="2"/>
      <c r="F327" s="2"/>
      <c r="G327" s="2"/>
      <c r="H327" s="2"/>
      <c r="I327" s="2"/>
      <c r="J327" s="2"/>
      <c r="K327" s="2"/>
      <c r="L327" s="2"/>
      <c r="M327" s="2"/>
      <c r="N327" s="2"/>
      <c r="O327" s="2"/>
      <c r="P327" s="2"/>
      <c r="Q327" s="2"/>
      <c r="R327" s="9"/>
      <c r="S327" s="9"/>
      <c r="T327" s="9"/>
      <c r="U327" s="9"/>
      <c r="V327" s="9"/>
      <c r="W327" s="9"/>
      <c r="X327" s="9"/>
      <c r="Y327" s="9"/>
      <c r="Z327" s="9"/>
      <c r="AA327" s="9"/>
      <c r="AB327" s="9"/>
      <c r="AC327" s="9"/>
      <c r="AD327" s="9"/>
    </row>
    <row r="328" spans="1:30" ht="13.5" customHeight="1">
      <c r="A328" s="2"/>
      <c r="B328" s="2"/>
      <c r="C328" s="2"/>
      <c r="D328" s="2"/>
      <c r="E328" s="2"/>
      <c r="F328" s="2"/>
      <c r="G328" s="2"/>
      <c r="H328" s="2"/>
      <c r="I328" s="2"/>
      <c r="J328" s="2"/>
      <c r="K328" s="2"/>
      <c r="L328" s="2"/>
      <c r="M328" s="2"/>
      <c r="N328" s="2"/>
      <c r="O328" s="2"/>
      <c r="P328" s="2"/>
      <c r="Q328" s="2"/>
      <c r="R328" s="9"/>
      <c r="S328" s="9"/>
      <c r="T328" s="9"/>
      <c r="U328" s="9"/>
      <c r="V328" s="9"/>
      <c r="W328" s="9"/>
      <c r="X328" s="9"/>
      <c r="Y328" s="9"/>
      <c r="Z328" s="9"/>
      <c r="AA328" s="9"/>
      <c r="AB328" s="9"/>
      <c r="AC328" s="9"/>
      <c r="AD328" s="9"/>
    </row>
    <row r="329" spans="1:30" ht="13.5" customHeight="1">
      <c r="A329" s="2"/>
      <c r="B329" s="2"/>
      <c r="C329" s="2"/>
      <c r="D329" s="2"/>
      <c r="E329" s="2"/>
      <c r="F329" s="2"/>
      <c r="G329" s="2"/>
      <c r="H329" s="2"/>
      <c r="I329" s="2"/>
      <c r="J329" s="2"/>
      <c r="K329" s="2"/>
      <c r="L329" s="2"/>
      <c r="M329" s="2"/>
      <c r="N329" s="2"/>
      <c r="O329" s="2"/>
      <c r="P329" s="2"/>
      <c r="Q329" s="2"/>
      <c r="R329" s="9"/>
      <c r="S329" s="9"/>
      <c r="T329" s="9"/>
      <c r="U329" s="9"/>
      <c r="V329" s="9"/>
      <c r="W329" s="9"/>
      <c r="X329" s="9"/>
      <c r="Y329" s="9"/>
      <c r="Z329" s="9"/>
      <c r="AA329" s="9"/>
      <c r="AB329" s="9"/>
      <c r="AC329" s="9"/>
      <c r="AD329" s="9"/>
    </row>
    <row r="330" spans="1:30" ht="13.5" customHeight="1">
      <c r="A330" s="2"/>
      <c r="B330" s="2"/>
      <c r="C330" s="2"/>
      <c r="D330" s="2"/>
      <c r="E330" s="2"/>
      <c r="F330" s="2"/>
      <c r="G330" s="2"/>
      <c r="H330" s="2"/>
      <c r="I330" s="2"/>
      <c r="J330" s="2"/>
      <c r="K330" s="2"/>
      <c r="L330" s="2"/>
      <c r="M330" s="2"/>
      <c r="N330" s="2"/>
      <c r="O330" s="2"/>
      <c r="P330" s="2"/>
      <c r="Q330" s="2"/>
      <c r="R330" s="9"/>
      <c r="S330" s="9"/>
      <c r="T330" s="9"/>
      <c r="U330" s="9"/>
      <c r="V330" s="9"/>
      <c r="W330" s="9"/>
      <c r="X330" s="9"/>
      <c r="Y330" s="9"/>
      <c r="Z330" s="9"/>
      <c r="AA330" s="9"/>
      <c r="AB330" s="9"/>
      <c r="AC330" s="9"/>
      <c r="AD330" s="9"/>
    </row>
    <row r="331" spans="1:30" ht="13.5" customHeight="1">
      <c r="A331" s="2"/>
      <c r="B331" s="2"/>
      <c r="C331" s="2"/>
      <c r="D331" s="2"/>
      <c r="E331" s="2"/>
      <c r="F331" s="2"/>
      <c r="G331" s="2"/>
      <c r="H331" s="2"/>
      <c r="I331" s="2"/>
      <c r="J331" s="2"/>
      <c r="K331" s="2"/>
      <c r="L331" s="2"/>
      <c r="M331" s="2"/>
      <c r="N331" s="2"/>
      <c r="O331" s="2"/>
      <c r="P331" s="2"/>
      <c r="Q331" s="2"/>
      <c r="R331" s="9"/>
      <c r="S331" s="9"/>
      <c r="T331" s="9"/>
      <c r="U331" s="9"/>
      <c r="V331" s="9"/>
      <c r="W331" s="9"/>
      <c r="X331" s="9"/>
      <c r="Y331" s="9"/>
      <c r="Z331" s="9"/>
      <c r="AA331" s="9"/>
      <c r="AB331" s="9"/>
      <c r="AC331" s="9"/>
      <c r="AD331" s="9"/>
    </row>
    <row r="332" spans="1:30" ht="13.5" customHeight="1">
      <c r="A332" s="2"/>
      <c r="B332" s="2"/>
      <c r="C332" s="2"/>
      <c r="D332" s="2"/>
      <c r="E332" s="2"/>
      <c r="F332" s="2"/>
      <c r="G332" s="2"/>
      <c r="H332" s="2"/>
      <c r="I332" s="2"/>
      <c r="J332" s="2"/>
      <c r="K332" s="2"/>
      <c r="L332" s="2"/>
      <c r="M332" s="2"/>
      <c r="N332" s="2"/>
      <c r="O332" s="2"/>
      <c r="P332" s="2"/>
      <c r="Q332" s="2"/>
      <c r="R332" s="9"/>
      <c r="S332" s="9"/>
      <c r="T332" s="9"/>
      <c r="U332" s="9"/>
      <c r="V332" s="9"/>
      <c r="W332" s="9"/>
      <c r="X332" s="9"/>
      <c r="Y332" s="9"/>
      <c r="Z332" s="9"/>
      <c r="AA332" s="9"/>
      <c r="AB332" s="9"/>
      <c r="AC332" s="9"/>
      <c r="AD332" s="9"/>
    </row>
    <row r="333" spans="1:30" ht="13.5" customHeight="1">
      <c r="A333" s="2"/>
      <c r="B333" s="2"/>
      <c r="C333" s="2"/>
      <c r="D333" s="2"/>
      <c r="E333" s="2"/>
      <c r="F333" s="2"/>
      <c r="G333" s="2"/>
      <c r="H333" s="2"/>
      <c r="I333" s="2"/>
      <c r="J333" s="2"/>
      <c r="K333" s="2"/>
      <c r="L333" s="2"/>
      <c r="M333" s="2"/>
      <c r="N333" s="2"/>
      <c r="O333" s="2"/>
      <c r="P333" s="2"/>
      <c r="Q333" s="2"/>
      <c r="R333" s="9"/>
      <c r="S333" s="9"/>
      <c r="T333" s="9"/>
      <c r="U333" s="9"/>
      <c r="V333" s="9"/>
      <c r="W333" s="9"/>
      <c r="X333" s="9"/>
      <c r="Y333" s="9"/>
      <c r="Z333" s="9"/>
      <c r="AA333" s="9"/>
      <c r="AB333" s="9"/>
      <c r="AC333" s="9"/>
      <c r="AD333" s="9"/>
    </row>
    <row r="334" spans="1:30" ht="13.5" customHeight="1">
      <c r="A334" s="2"/>
      <c r="B334" s="2"/>
      <c r="C334" s="2"/>
      <c r="D334" s="2"/>
      <c r="E334" s="2"/>
      <c r="F334" s="2"/>
      <c r="G334" s="2"/>
      <c r="H334" s="2"/>
      <c r="I334" s="2"/>
      <c r="J334" s="2"/>
      <c r="K334" s="2"/>
      <c r="L334" s="2"/>
      <c r="M334" s="2"/>
      <c r="N334" s="2"/>
      <c r="O334" s="2"/>
      <c r="P334" s="2"/>
      <c r="Q334" s="2"/>
      <c r="R334" s="9"/>
      <c r="S334" s="9"/>
      <c r="T334" s="9"/>
      <c r="U334" s="9"/>
      <c r="V334" s="9"/>
      <c r="W334" s="9"/>
      <c r="X334" s="9"/>
      <c r="Y334" s="9"/>
      <c r="Z334" s="9"/>
      <c r="AA334" s="9"/>
      <c r="AB334" s="9"/>
      <c r="AC334" s="9"/>
      <c r="AD334" s="9"/>
    </row>
    <row r="335" spans="1:30" ht="13.5" customHeight="1">
      <c r="A335" s="2"/>
      <c r="B335" s="2"/>
      <c r="C335" s="2"/>
      <c r="D335" s="2"/>
      <c r="E335" s="2"/>
      <c r="F335" s="2"/>
      <c r="G335" s="2"/>
      <c r="H335" s="2"/>
      <c r="I335" s="2"/>
      <c r="J335" s="2"/>
      <c r="K335" s="2"/>
      <c r="L335" s="2"/>
      <c r="M335" s="2"/>
      <c r="N335" s="2"/>
      <c r="O335" s="2"/>
      <c r="P335" s="2"/>
      <c r="Q335" s="2"/>
      <c r="R335" s="9"/>
      <c r="S335" s="9"/>
      <c r="T335" s="9"/>
      <c r="U335" s="9"/>
      <c r="V335" s="9"/>
      <c r="W335" s="9"/>
      <c r="X335" s="9"/>
      <c r="Y335" s="9"/>
      <c r="Z335" s="9"/>
      <c r="AA335" s="9"/>
      <c r="AB335" s="9"/>
      <c r="AC335" s="9"/>
      <c r="AD335" s="9"/>
    </row>
    <row r="336" spans="1:30" ht="13.5" customHeight="1">
      <c r="A336" s="2"/>
      <c r="B336" s="2"/>
      <c r="C336" s="2"/>
      <c r="D336" s="2"/>
      <c r="E336" s="2"/>
      <c r="F336" s="2"/>
      <c r="G336" s="2"/>
      <c r="H336" s="2"/>
      <c r="I336" s="2"/>
      <c r="J336" s="2"/>
      <c r="K336" s="2"/>
      <c r="L336" s="2"/>
      <c r="M336" s="2"/>
      <c r="N336" s="2"/>
      <c r="O336" s="2"/>
      <c r="P336" s="2"/>
      <c r="Q336" s="2"/>
      <c r="R336" s="9"/>
      <c r="S336" s="9"/>
      <c r="T336" s="9"/>
      <c r="U336" s="9"/>
      <c r="V336" s="9"/>
      <c r="W336" s="9"/>
      <c r="X336" s="9"/>
      <c r="Y336" s="9"/>
      <c r="Z336" s="9"/>
      <c r="AA336" s="9"/>
      <c r="AB336" s="9"/>
      <c r="AC336" s="9"/>
      <c r="AD336" s="9"/>
    </row>
    <row r="337" spans="1:30" ht="13.5" customHeight="1">
      <c r="A337" s="2"/>
      <c r="B337" s="2"/>
      <c r="C337" s="2"/>
      <c r="D337" s="2"/>
      <c r="E337" s="2"/>
      <c r="F337" s="2"/>
      <c r="G337" s="2"/>
      <c r="H337" s="2"/>
      <c r="I337" s="2"/>
      <c r="J337" s="2"/>
      <c r="K337" s="2"/>
      <c r="L337" s="2"/>
      <c r="M337" s="2"/>
      <c r="N337" s="2"/>
      <c r="O337" s="2"/>
      <c r="P337" s="2"/>
      <c r="Q337" s="2"/>
      <c r="R337" s="9"/>
      <c r="S337" s="9"/>
      <c r="T337" s="9"/>
      <c r="U337" s="9"/>
      <c r="V337" s="9"/>
      <c r="W337" s="9"/>
      <c r="X337" s="9"/>
      <c r="Y337" s="9"/>
      <c r="Z337" s="9"/>
      <c r="AA337" s="9"/>
      <c r="AB337" s="9"/>
      <c r="AC337" s="9"/>
      <c r="AD337" s="9"/>
    </row>
    <row r="338" spans="1:30" ht="13.5" customHeight="1">
      <c r="A338" s="2"/>
      <c r="B338" s="2"/>
      <c r="C338" s="2"/>
      <c r="D338" s="2"/>
      <c r="E338" s="2"/>
      <c r="F338" s="2"/>
      <c r="G338" s="2"/>
      <c r="H338" s="2"/>
      <c r="I338" s="2"/>
      <c r="J338" s="2"/>
      <c r="K338" s="2"/>
      <c r="L338" s="2"/>
      <c r="M338" s="2"/>
      <c r="N338" s="2"/>
      <c r="O338" s="2"/>
      <c r="P338" s="2"/>
      <c r="Q338" s="2"/>
      <c r="R338" s="9"/>
      <c r="S338" s="9"/>
      <c r="T338" s="9"/>
      <c r="U338" s="9"/>
      <c r="V338" s="9"/>
      <c r="W338" s="9"/>
      <c r="X338" s="9"/>
      <c r="Y338" s="9"/>
      <c r="Z338" s="9"/>
      <c r="AA338" s="9"/>
      <c r="AB338" s="9"/>
      <c r="AC338" s="9"/>
      <c r="AD338" s="9"/>
    </row>
    <row r="339" spans="1:30" ht="13.5" customHeight="1">
      <c r="A339" s="2"/>
      <c r="B339" s="2"/>
      <c r="C339" s="2"/>
      <c r="D339" s="2"/>
      <c r="E339" s="2"/>
      <c r="F339" s="2"/>
      <c r="G339" s="2"/>
      <c r="H339" s="2"/>
      <c r="I339" s="2"/>
      <c r="J339" s="2"/>
      <c r="K339" s="2"/>
      <c r="L339" s="2"/>
      <c r="M339" s="2"/>
      <c r="N339" s="2"/>
      <c r="O339" s="2"/>
      <c r="P339" s="2"/>
      <c r="Q339" s="2"/>
      <c r="R339" s="9"/>
      <c r="S339" s="9"/>
      <c r="T339" s="9"/>
      <c r="U339" s="9"/>
      <c r="V339" s="9"/>
      <c r="W339" s="9"/>
      <c r="X339" s="9"/>
      <c r="Y339" s="9"/>
      <c r="Z339" s="9"/>
      <c r="AA339" s="9"/>
      <c r="AB339" s="9"/>
      <c r="AC339" s="9"/>
      <c r="AD339" s="9"/>
    </row>
    <row r="340" spans="1:30" ht="13.5" customHeight="1">
      <c r="A340" s="2"/>
      <c r="B340" s="2"/>
      <c r="C340" s="2"/>
      <c r="D340" s="2"/>
      <c r="E340" s="2"/>
      <c r="F340" s="2"/>
      <c r="G340" s="2"/>
      <c r="H340" s="2"/>
      <c r="I340" s="2"/>
      <c r="J340" s="2"/>
      <c r="K340" s="2"/>
      <c r="L340" s="2"/>
      <c r="M340" s="2"/>
      <c r="N340" s="2"/>
      <c r="O340" s="2"/>
      <c r="P340" s="2"/>
      <c r="Q340" s="2"/>
      <c r="R340" s="9"/>
      <c r="S340" s="9"/>
      <c r="T340" s="9"/>
      <c r="U340" s="9"/>
      <c r="V340" s="9"/>
      <c r="W340" s="9"/>
      <c r="X340" s="9"/>
      <c r="Y340" s="9"/>
      <c r="Z340" s="9"/>
      <c r="AA340" s="9"/>
      <c r="AB340" s="9"/>
      <c r="AC340" s="9"/>
      <c r="AD340" s="9"/>
    </row>
    <row r="341" spans="1:30" ht="13.5" customHeight="1">
      <c r="A341" s="2"/>
      <c r="B341" s="2"/>
      <c r="C341" s="2"/>
      <c r="D341" s="2"/>
      <c r="E341" s="2"/>
      <c r="F341" s="2"/>
      <c r="G341" s="2"/>
      <c r="H341" s="2"/>
      <c r="I341" s="2"/>
      <c r="J341" s="2"/>
      <c r="K341" s="2"/>
      <c r="L341" s="2"/>
      <c r="M341" s="2"/>
      <c r="N341" s="2"/>
      <c r="O341" s="2"/>
      <c r="P341" s="2"/>
      <c r="Q341" s="2"/>
      <c r="R341" s="9"/>
      <c r="S341" s="9"/>
      <c r="T341" s="9"/>
      <c r="U341" s="9"/>
      <c r="V341" s="9"/>
      <c r="W341" s="9"/>
      <c r="X341" s="9"/>
      <c r="Y341" s="9"/>
      <c r="Z341" s="9"/>
      <c r="AA341" s="9"/>
      <c r="AB341" s="9"/>
      <c r="AC341" s="9"/>
      <c r="AD341" s="9"/>
    </row>
    <row r="342" spans="1:30" ht="13.5" customHeight="1">
      <c r="A342" s="2"/>
      <c r="B342" s="2"/>
      <c r="C342" s="2"/>
      <c r="D342" s="2"/>
      <c r="E342" s="2"/>
      <c r="F342" s="2"/>
      <c r="G342" s="2"/>
      <c r="H342" s="2"/>
      <c r="I342" s="2"/>
      <c r="J342" s="2"/>
      <c r="K342" s="2"/>
      <c r="L342" s="2"/>
      <c r="M342" s="2"/>
      <c r="N342" s="2"/>
      <c r="O342" s="2"/>
      <c r="P342" s="2"/>
      <c r="Q342" s="2"/>
      <c r="R342" s="9"/>
      <c r="S342" s="9"/>
      <c r="T342" s="9"/>
      <c r="U342" s="9"/>
      <c r="V342" s="9"/>
      <c r="W342" s="9"/>
      <c r="X342" s="9"/>
      <c r="Y342" s="9"/>
      <c r="Z342" s="9"/>
      <c r="AA342" s="9"/>
      <c r="AB342" s="9"/>
      <c r="AC342" s="9"/>
      <c r="AD342" s="9"/>
    </row>
    <row r="343" spans="1:30" ht="13.5" customHeight="1">
      <c r="A343" s="2"/>
      <c r="B343" s="2"/>
      <c r="C343" s="2"/>
      <c r="D343" s="2"/>
      <c r="E343" s="2"/>
      <c r="F343" s="2"/>
      <c r="G343" s="2"/>
      <c r="H343" s="2"/>
      <c r="I343" s="2"/>
      <c r="J343" s="2"/>
      <c r="K343" s="2"/>
      <c r="L343" s="2"/>
      <c r="M343" s="2"/>
      <c r="N343" s="2"/>
      <c r="O343" s="2"/>
      <c r="P343" s="2"/>
      <c r="Q343" s="2"/>
      <c r="R343" s="9"/>
      <c r="S343" s="9"/>
      <c r="T343" s="9"/>
      <c r="U343" s="9"/>
      <c r="V343" s="9"/>
      <c r="W343" s="9"/>
      <c r="X343" s="9"/>
      <c r="Y343" s="9"/>
      <c r="Z343" s="9"/>
      <c r="AA343" s="9"/>
      <c r="AB343" s="9"/>
      <c r="AC343" s="9"/>
      <c r="AD343" s="9"/>
    </row>
    <row r="344" spans="1:30" ht="13.5" customHeight="1">
      <c r="A344" s="2"/>
      <c r="B344" s="2"/>
      <c r="C344" s="2"/>
      <c r="D344" s="2"/>
      <c r="E344" s="2"/>
      <c r="F344" s="2"/>
      <c r="G344" s="2"/>
      <c r="H344" s="2"/>
      <c r="I344" s="2"/>
      <c r="J344" s="2"/>
      <c r="K344" s="2"/>
      <c r="L344" s="2"/>
      <c r="M344" s="2"/>
      <c r="N344" s="2"/>
      <c r="O344" s="2"/>
      <c r="P344" s="2"/>
      <c r="Q344" s="2"/>
      <c r="R344" s="9"/>
      <c r="S344" s="9"/>
      <c r="T344" s="9"/>
      <c r="U344" s="9"/>
      <c r="V344" s="9"/>
      <c r="W344" s="9"/>
      <c r="X344" s="9"/>
      <c r="Y344" s="9"/>
      <c r="Z344" s="9"/>
      <c r="AA344" s="9"/>
      <c r="AB344" s="9"/>
      <c r="AC344" s="9"/>
      <c r="AD344" s="9"/>
    </row>
    <row r="345" spans="1:30" ht="13.5" customHeight="1">
      <c r="A345" s="2"/>
      <c r="B345" s="2"/>
      <c r="C345" s="2"/>
      <c r="D345" s="2"/>
      <c r="E345" s="2"/>
      <c r="F345" s="2"/>
      <c r="G345" s="2"/>
      <c r="H345" s="2"/>
      <c r="I345" s="2"/>
      <c r="J345" s="2"/>
      <c r="K345" s="2"/>
      <c r="L345" s="2"/>
      <c r="M345" s="2"/>
      <c r="N345" s="2"/>
      <c r="O345" s="2"/>
      <c r="P345" s="2"/>
      <c r="Q345" s="2"/>
      <c r="R345" s="9"/>
      <c r="S345" s="9"/>
      <c r="T345" s="9"/>
      <c r="U345" s="9"/>
      <c r="V345" s="9"/>
      <c r="W345" s="9"/>
      <c r="X345" s="9"/>
      <c r="Y345" s="9"/>
      <c r="Z345" s="9"/>
      <c r="AA345" s="9"/>
      <c r="AB345" s="9"/>
      <c r="AC345" s="9"/>
      <c r="AD345" s="9"/>
    </row>
    <row r="346" spans="1:30" ht="13.5" customHeight="1">
      <c r="A346" s="2"/>
      <c r="B346" s="2"/>
      <c r="C346" s="2"/>
      <c r="D346" s="2"/>
      <c r="E346" s="2"/>
      <c r="F346" s="2"/>
      <c r="G346" s="2"/>
      <c r="H346" s="2"/>
      <c r="I346" s="2"/>
      <c r="J346" s="2"/>
      <c r="K346" s="2"/>
      <c r="L346" s="2"/>
      <c r="M346" s="2"/>
      <c r="N346" s="2"/>
      <c r="O346" s="2"/>
      <c r="P346" s="2"/>
      <c r="Q346" s="2"/>
      <c r="R346" s="9"/>
      <c r="S346" s="9"/>
      <c r="T346" s="9"/>
      <c r="U346" s="9"/>
      <c r="V346" s="9"/>
      <c r="W346" s="9"/>
      <c r="X346" s="9"/>
      <c r="Y346" s="9"/>
      <c r="Z346" s="9"/>
      <c r="AA346" s="9"/>
      <c r="AB346" s="9"/>
      <c r="AC346" s="9"/>
      <c r="AD346" s="9"/>
    </row>
    <row r="347" spans="1:30" ht="13.5" customHeight="1">
      <c r="A347" s="2"/>
      <c r="B347" s="2"/>
      <c r="C347" s="2"/>
      <c r="D347" s="2"/>
      <c r="E347" s="2"/>
      <c r="F347" s="2"/>
      <c r="G347" s="2"/>
      <c r="H347" s="2"/>
      <c r="I347" s="2"/>
      <c r="J347" s="2"/>
      <c r="K347" s="2"/>
      <c r="L347" s="2"/>
      <c r="M347" s="2"/>
      <c r="N347" s="2"/>
      <c r="O347" s="2"/>
      <c r="P347" s="2"/>
      <c r="Q347" s="2"/>
      <c r="R347" s="9"/>
      <c r="S347" s="9"/>
      <c r="T347" s="9"/>
      <c r="U347" s="9"/>
      <c r="V347" s="9"/>
      <c r="W347" s="9"/>
      <c r="X347" s="9"/>
      <c r="Y347" s="9"/>
      <c r="Z347" s="9"/>
      <c r="AA347" s="9"/>
      <c r="AB347" s="9"/>
      <c r="AC347" s="9"/>
      <c r="AD347" s="9"/>
    </row>
    <row r="348" spans="1:30" ht="13.5" customHeight="1">
      <c r="A348" s="2"/>
      <c r="B348" s="2"/>
      <c r="C348" s="2"/>
      <c r="D348" s="2"/>
      <c r="E348" s="2"/>
      <c r="F348" s="2"/>
      <c r="G348" s="2"/>
      <c r="H348" s="2"/>
      <c r="I348" s="2"/>
      <c r="J348" s="2"/>
      <c r="K348" s="2"/>
      <c r="L348" s="2"/>
      <c r="M348" s="2"/>
      <c r="N348" s="2"/>
      <c r="O348" s="2"/>
      <c r="P348" s="2"/>
      <c r="Q348" s="2"/>
      <c r="R348" s="9"/>
      <c r="S348" s="9"/>
      <c r="T348" s="9"/>
      <c r="U348" s="9"/>
      <c r="V348" s="9"/>
      <c r="W348" s="9"/>
      <c r="X348" s="9"/>
      <c r="Y348" s="9"/>
      <c r="Z348" s="9"/>
      <c r="AA348" s="9"/>
      <c r="AB348" s="9"/>
      <c r="AC348" s="9"/>
      <c r="AD348" s="9"/>
    </row>
    <row r="349" spans="1:30" ht="13.5" customHeight="1">
      <c r="A349" s="2"/>
      <c r="B349" s="2"/>
      <c r="C349" s="2"/>
      <c r="D349" s="2"/>
      <c r="E349" s="2"/>
      <c r="F349" s="2"/>
      <c r="G349" s="2"/>
      <c r="H349" s="2"/>
      <c r="I349" s="2"/>
      <c r="J349" s="2"/>
      <c r="K349" s="2"/>
      <c r="L349" s="2"/>
      <c r="M349" s="2"/>
      <c r="N349" s="2"/>
      <c r="O349" s="2"/>
      <c r="P349" s="2"/>
      <c r="Q349" s="2"/>
      <c r="R349" s="9"/>
      <c r="S349" s="9"/>
      <c r="T349" s="9"/>
      <c r="U349" s="9"/>
      <c r="V349" s="9"/>
      <c r="W349" s="9"/>
      <c r="X349" s="9"/>
      <c r="Y349" s="9"/>
      <c r="Z349" s="9"/>
      <c r="AA349" s="9"/>
      <c r="AB349" s="9"/>
      <c r="AC349" s="9"/>
      <c r="AD349" s="9"/>
    </row>
    <row r="350" spans="1:30" ht="13.5" customHeight="1">
      <c r="A350" s="2"/>
      <c r="B350" s="2"/>
      <c r="C350" s="2"/>
      <c r="D350" s="2"/>
      <c r="E350" s="2"/>
      <c r="F350" s="2"/>
      <c r="G350" s="2"/>
      <c r="H350" s="2"/>
      <c r="I350" s="2"/>
      <c r="J350" s="2"/>
      <c r="K350" s="2"/>
      <c r="L350" s="2"/>
      <c r="M350" s="2"/>
      <c r="N350" s="2"/>
      <c r="O350" s="2"/>
      <c r="P350" s="2"/>
      <c r="Q350" s="2"/>
      <c r="R350" s="9"/>
      <c r="S350" s="9"/>
      <c r="T350" s="9"/>
      <c r="U350" s="9"/>
      <c r="V350" s="9"/>
      <c r="W350" s="9"/>
      <c r="X350" s="9"/>
      <c r="Y350" s="9"/>
      <c r="Z350" s="9"/>
      <c r="AA350" s="9"/>
      <c r="AB350" s="9"/>
      <c r="AC350" s="9"/>
      <c r="AD350" s="9"/>
    </row>
    <row r="351" spans="1:30" ht="13.5" customHeight="1">
      <c r="A351" s="2"/>
      <c r="B351" s="2"/>
      <c r="C351" s="2"/>
      <c r="D351" s="2"/>
      <c r="E351" s="2"/>
      <c r="F351" s="2"/>
      <c r="G351" s="2"/>
      <c r="H351" s="2"/>
      <c r="I351" s="2"/>
      <c r="J351" s="2"/>
      <c r="K351" s="2"/>
      <c r="L351" s="2"/>
      <c r="M351" s="2"/>
      <c r="N351" s="2"/>
      <c r="O351" s="2"/>
      <c r="P351" s="2"/>
      <c r="Q351" s="2"/>
      <c r="R351" s="9"/>
      <c r="S351" s="9"/>
      <c r="T351" s="9"/>
      <c r="U351" s="9"/>
      <c r="V351" s="9"/>
      <c r="W351" s="9"/>
      <c r="X351" s="9"/>
      <c r="Y351" s="9"/>
      <c r="Z351" s="9"/>
      <c r="AA351" s="9"/>
      <c r="AB351" s="9"/>
      <c r="AC351" s="9"/>
      <c r="AD351" s="9"/>
    </row>
    <row r="352" spans="1:30" ht="13.5" customHeight="1">
      <c r="A352" s="2"/>
      <c r="B352" s="2"/>
      <c r="C352" s="2"/>
      <c r="D352" s="2"/>
      <c r="E352" s="2"/>
      <c r="F352" s="2"/>
      <c r="G352" s="2"/>
      <c r="H352" s="2"/>
      <c r="I352" s="2"/>
      <c r="J352" s="2"/>
      <c r="K352" s="2"/>
      <c r="L352" s="2"/>
      <c r="M352" s="2"/>
      <c r="N352" s="2"/>
      <c r="O352" s="2"/>
      <c r="P352" s="2"/>
      <c r="Q352" s="2"/>
      <c r="R352" s="9"/>
      <c r="S352" s="9"/>
      <c r="T352" s="9"/>
      <c r="U352" s="9"/>
      <c r="V352" s="9"/>
      <c r="W352" s="9"/>
      <c r="X352" s="9"/>
      <c r="Y352" s="9"/>
      <c r="Z352" s="9"/>
      <c r="AA352" s="9"/>
      <c r="AB352" s="9"/>
      <c r="AC352" s="9"/>
      <c r="AD352" s="9"/>
    </row>
    <row r="353" spans="1:30" ht="13.5" customHeight="1">
      <c r="A353" s="2"/>
      <c r="B353" s="2"/>
      <c r="C353" s="2"/>
      <c r="D353" s="2"/>
      <c r="E353" s="2"/>
      <c r="F353" s="2"/>
      <c r="G353" s="2"/>
      <c r="H353" s="2"/>
      <c r="I353" s="2"/>
      <c r="J353" s="2"/>
      <c r="K353" s="2"/>
      <c r="L353" s="2"/>
      <c r="M353" s="2"/>
      <c r="N353" s="2"/>
      <c r="O353" s="2"/>
      <c r="P353" s="2"/>
      <c r="Q353" s="2"/>
      <c r="R353" s="9"/>
      <c r="S353" s="9"/>
      <c r="T353" s="9"/>
      <c r="U353" s="9"/>
      <c r="V353" s="9"/>
      <c r="W353" s="9"/>
      <c r="X353" s="9"/>
      <c r="Y353" s="9"/>
      <c r="Z353" s="9"/>
      <c r="AA353" s="9"/>
      <c r="AB353" s="9"/>
      <c r="AC353" s="9"/>
      <c r="AD353" s="9"/>
    </row>
    <row r="354" spans="1:30" ht="13.5" customHeight="1">
      <c r="A354" s="2"/>
      <c r="B354" s="2"/>
      <c r="C354" s="2"/>
      <c r="D354" s="2"/>
      <c r="E354" s="2"/>
      <c r="F354" s="2"/>
      <c r="G354" s="2"/>
      <c r="H354" s="2"/>
      <c r="I354" s="2"/>
      <c r="J354" s="2"/>
      <c r="K354" s="2"/>
      <c r="L354" s="2"/>
      <c r="M354" s="2"/>
      <c r="N354" s="2"/>
      <c r="O354" s="2"/>
      <c r="P354" s="2"/>
      <c r="Q354" s="2"/>
      <c r="R354" s="9"/>
      <c r="S354" s="9"/>
      <c r="T354" s="9"/>
      <c r="U354" s="9"/>
      <c r="V354" s="9"/>
      <c r="W354" s="9"/>
      <c r="X354" s="9"/>
      <c r="Y354" s="9"/>
      <c r="Z354" s="9"/>
      <c r="AA354" s="9"/>
      <c r="AB354" s="9"/>
      <c r="AC354" s="9"/>
      <c r="AD354" s="9"/>
    </row>
    <row r="355" spans="1:30" ht="13.5" customHeight="1">
      <c r="A355" s="2"/>
      <c r="B355" s="2"/>
      <c r="C355" s="2"/>
      <c r="D355" s="2"/>
      <c r="E355" s="2"/>
      <c r="F355" s="2"/>
      <c r="G355" s="2"/>
      <c r="H355" s="2"/>
      <c r="I355" s="2"/>
      <c r="J355" s="2"/>
      <c r="K355" s="2"/>
      <c r="L355" s="2"/>
      <c r="M355" s="2"/>
      <c r="N355" s="2"/>
      <c r="O355" s="2"/>
      <c r="P355" s="2"/>
      <c r="Q355" s="2"/>
      <c r="R355" s="9"/>
      <c r="S355" s="9"/>
      <c r="T355" s="9"/>
      <c r="U355" s="9"/>
      <c r="V355" s="9"/>
      <c r="W355" s="9"/>
      <c r="X355" s="9"/>
      <c r="Y355" s="9"/>
      <c r="Z355" s="9"/>
      <c r="AA355" s="9"/>
      <c r="AB355" s="9"/>
      <c r="AC355" s="9"/>
      <c r="AD355" s="9"/>
    </row>
    <row r="356" spans="1:30" ht="13.5" customHeight="1">
      <c r="A356" s="2"/>
      <c r="B356" s="2"/>
      <c r="C356" s="2"/>
      <c r="D356" s="2"/>
      <c r="E356" s="2"/>
      <c r="F356" s="2"/>
      <c r="G356" s="2"/>
      <c r="H356" s="2"/>
      <c r="I356" s="2"/>
      <c r="J356" s="2"/>
      <c r="K356" s="2"/>
      <c r="L356" s="2"/>
      <c r="M356" s="2"/>
      <c r="N356" s="2"/>
      <c r="O356" s="2"/>
      <c r="P356" s="2"/>
      <c r="Q356" s="2"/>
      <c r="R356" s="9"/>
      <c r="S356" s="9"/>
      <c r="T356" s="9"/>
      <c r="U356" s="9"/>
      <c r="V356" s="9"/>
      <c r="W356" s="9"/>
      <c r="X356" s="9"/>
      <c r="Y356" s="9"/>
      <c r="Z356" s="9"/>
      <c r="AA356" s="9"/>
      <c r="AB356" s="9"/>
      <c r="AC356" s="9"/>
      <c r="AD356" s="9"/>
    </row>
    <row r="357" spans="1:30" ht="13.5" customHeight="1">
      <c r="A357" s="2"/>
      <c r="B357" s="2"/>
      <c r="C357" s="2"/>
      <c r="D357" s="2"/>
      <c r="E357" s="2"/>
      <c r="F357" s="2"/>
      <c r="G357" s="2"/>
      <c r="H357" s="2"/>
      <c r="I357" s="2"/>
      <c r="J357" s="2"/>
      <c r="K357" s="2"/>
      <c r="L357" s="2"/>
      <c r="M357" s="2"/>
      <c r="N357" s="2"/>
      <c r="O357" s="2"/>
      <c r="P357" s="2"/>
      <c r="Q357" s="2"/>
      <c r="R357" s="9"/>
      <c r="S357" s="9"/>
      <c r="T357" s="9"/>
      <c r="U357" s="9"/>
      <c r="V357" s="9"/>
      <c r="W357" s="9"/>
      <c r="X357" s="9"/>
      <c r="Y357" s="9"/>
      <c r="Z357" s="9"/>
      <c r="AA357" s="9"/>
      <c r="AB357" s="9"/>
      <c r="AC357" s="9"/>
      <c r="AD357" s="9"/>
    </row>
    <row r="358" spans="1:30" ht="13.5" customHeight="1">
      <c r="A358" s="2"/>
      <c r="B358" s="2"/>
      <c r="C358" s="2"/>
      <c r="D358" s="2"/>
      <c r="E358" s="2"/>
      <c r="F358" s="2"/>
      <c r="G358" s="2"/>
      <c r="H358" s="2"/>
      <c r="I358" s="2"/>
      <c r="J358" s="2"/>
      <c r="K358" s="2"/>
      <c r="L358" s="2"/>
      <c r="M358" s="2"/>
      <c r="N358" s="2"/>
      <c r="O358" s="2"/>
      <c r="P358" s="2"/>
      <c r="Q358" s="2"/>
      <c r="R358" s="9"/>
      <c r="S358" s="9"/>
      <c r="T358" s="9"/>
      <c r="U358" s="9"/>
      <c r="V358" s="9"/>
      <c r="W358" s="9"/>
      <c r="X358" s="9"/>
      <c r="Y358" s="9"/>
      <c r="Z358" s="9"/>
      <c r="AA358" s="9"/>
      <c r="AB358" s="9"/>
      <c r="AC358" s="9"/>
      <c r="AD358" s="9"/>
    </row>
    <row r="359" spans="1:30" ht="13.5" customHeight="1">
      <c r="A359" s="2"/>
      <c r="B359" s="2"/>
      <c r="C359" s="2"/>
      <c r="D359" s="2"/>
      <c r="E359" s="2"/>
      <c r="F359" s="2"/>
      <c r="G359" s="2"/>
      <c r="H359" s="2"/>
      <c r="I359" s="2"/>
      <c r="J359" s="2"/>
      <c r="K359" s="2"/>
      <c r="L359" s="2"/>
      <c r="M359" s="2"/>
      <c r="N359" s="2"/>
      <c r="O359" s="2"/>
      <c r="P359" s="2"/>
      <c r="Q359" s="2"/>
      <c r="R359" s="9"/>
      <c r="S359" s="9"/>
      <c r="T359" s="9"/>
      <c r="U359" s="9"/>
      <c r="V359" s="9"/>
      <c r="W359" s="9"/>
      <c r="X359" s="9"/>
      <c r="Y359" s="9"/>
      <c r="Z359" s="9"/>
      <c r="AA359" s="9"/>
      <c r="AB359" s="9"/>
      <c r="AC359" s="9"/>
      <c r="AD359" s="9"/>
    </row>
    <row r="360" spans="1:30" ht="13.5" customHeight="1">
      <c r="A360" s="2"/>
      <c r="B360" s="2"/>
      <c r="C360" s="2"/>
      <c r="D360" s="2"/>
      <c r="E360" s="2"/>
      <c r="F360" s="2"/>
      <c r="G360" s="2"/>
      <c r="H360" s="2"/>
      <c r="I360" s="2"/>
      <c r="J360" s="2"/>
      <c r="K360" s="2"/>
      <c r="L360" s="2"/>
      <c r="M360" s="2"/>
      <c r="N360" s="2"/>
      <c r="O360" s="2"/>
      <c r="P360" s="2"/>
      <c r="Q360" s="2"/>
      <c r="R360" s="9"/>
      <c r="S360" s="9"/>
      <c r="T360" s="9"/>
      <c r="U360" s="9"/>
      <c r="V360" s="9"/>
      <c r="W360" s="9"/>
      <c r="X360" s="9"/>
      <c r="Y360" s="9"/>
      <c r="Z360" s="9"/>
      <c r="AA360" s="9"/>
      <c r="AB360" s="9"/>
      <c r="AC360" s="9"/>
      <c r="AD360" s="9"/>
    </row>
    <row r="361" spans="1:30" ht="13.5" customHeight="1">
      <c r="A361" s="2"/>
      <c r="B361" s="2"/>
      <c r="C361" s="2"/>
      <c r="D361" s="2"/>
      <c r="E361" s="2"/>
      <c r="F361" s="2"/>
      <c r="G361" s="2"/>
      <c r="H361" s="2"/>
      <c r="I361" s="2"/>
      <c r="J361" s="2"/>
      <c r="K361" s="2"/>
      <c r="L361" s="2"/>
      <c r="M361" s="2"/>
      <c r="N361" s="2"/>
      <c r="O361" s="2"/>
      <c r="P361" s="2"/>
      <c r="Q361" s="2"/>
      <c r="R361" s="9"/>
      <c r="S361" s="9"/>
      <c r="T361" s="9"/>
      <c r="U361" s="9"/>
      <c r="V361" s="9"/>
      <c r="W361" s="9"/>
      <c r="X361" s="9"/>
      <c r="Y361" s="9"/>
      <c r="Z361" s="9"/>
      <c r="AA361" s="9"/>
      <c r="AB361" s="9"/>
      <c r="AC361" s="9"/>
      <c r="AD361" s="9"/>
    </row>
    <row r="362" spans="1:30" ht="13.5" customHeight="1">
      <c r="A362" s="2"/>
      <c r="B362" s="2"/>
      <c r="C362" s="2"/>
      <c r="D362" s="2"/>
      <c r="E362" s="2"/>
      <c r="F362" s="2"/>
      <c r="G362" s="2"/>
      <c r="H362" s="2"/>
      <c r="I362" s="2"/>
      <c r="J362" s="2"/>
      <c r="K362" s="2"/>
      <c r="L362" s="2"/>
      <c r="M362" s="2"/>
      <c r="N362" s="2"/>
      <c r="O362" s="2"/>
      <c r="P362" s="2"/>
      <c r="Q362" s="2"/>
      <c r="R362" s="9"/>
      <c r="S362" s="9"/>
      <c r="T362" s="9"/>
      <c r="U362" s="9"/>
      <c r="V362" s="9"/>
      <c r="W362" s="9"/>
      <c r="X362" s="9"/>
      <c r="Y362" s="9"/>
      <c r="Z362" s="9"/>
      <c r="AA362" s="9"/>
      <c r="AB362" s="9"/>
      <c r="AC362" s="9"/>
      <c r="AD362" s="9"/>
    </row>
    <row r="363" spans="1:30" ht="13.5" customHeight="1">
      <c r="A363" s="2"/>
      <c r="B363" s="2"/>
      <c r="C363" s="2"/>
      <c r="D363" s="2"/>
      <c r="E363" s="2"/>
      <c r="F363" s="2"/>
      <c r="G363" s="2"/>
      <c r="H363" s="2"/>
      <c r="I363" s="2"/>
      <c r="J363" s="2"/>
      <c r="K363" s="2"/>
      <c r="L363" s="2"/>
      <c r="M363" s="2"/>
      <c r="N363" s="2"/>
      <c r="O363" s="2"/>
      <c r="P363" s="2"/>
      <c r="Q363" s="2"/>
      <c r="R363" s="9"/>
      <c r="S363" s="9"/>
      <c r="T363" s="9"/>
      <c r="U363" s="9"/>
      <c r="V363" s="9"/>
      <c r="W363" s="9"/>
      <c r="X363" s="9"/>
      <c r="Y363" s="9"/>
      <c r="Z363" s="9"/>
      <c r="AA363" s="9"/>
      <c r="AB363" s="9"/>
      <c r="AC363" s="9"/>
      <c r="AD363" s="9"/>
    </row>
    <row r="364" spans="1:30" ht="13.5" customHeight="1">
      <c r="A364" s="2"/>
      <c r="B364" s="2"/>
      <c r="C364" s="2"/>
      <c r="D364" s="2"/>
      <c r="E364" s="2"/>
      <c r="F364" s="2"/>
      <c r="G364" s="2"/>
      <c r="H364" s="2"/>
      <c r="I364" s="2"/>
      <c r="J364" s="2"/>
      <c r="K364" s="2"/>
      <c r="L364" s="2"/>
      <c r="M364" s="2"/>
      <c r="N364" s="2"/>
      <c r="O364" s="2"/>
      <c r="P364" s="2"/>
      <c r="Q364" s="2"/>
      <c r="R364" s="9"/>
      <c r="S364" s="9"/>
      <c r="T364" s="9"/>
      <c r="U364" s="9"/>
      <c r="V364" s="9"/>
      <c r="W364" s="9"/>
      <c r="X364" s="9"/>
      <c r="Y364" s="9"/>
      <c r="Z364" s="9"/>
      <c r="AA364" s="9"/>
      <c r="AB364" s="9"/>
      <c r="AC364" s="9"/>
      <c r="AD364" s="9"/>
    </row>
    <row r="365" spans="1:30" ht="13.5" customHeight="1">
      <c r="A365" s="2"/>
      <c r="B365" s="2"/>
      <c r="C365" s="2"/>
      <c r="D365" s="2"/>
      <c r="E365" s="2"/>
      <c r="F365" s="2"/>
      <c r="G365" s="2"/>
      <c r="H365" s="2"/>
      <c r="I365" s="2"/>
      <c r="J365" s="2"/>
      <c r="K365" s="2"/>
      <c r="L365" s="2"/>
      <c r="M365" s="2"/>
      <c r="N365" s="2"/>
      <c r="O365" s="2"/>
      <c r="P365" s="2"/>
      <c r="Q365" s="2"/>
      <c r="R365" s="9"/>
      <c r="S365" s="9"/>
      <c r="T365" s="9"/>
      <c r="U365" s="9"/>
      <c r="V365" s="9"/>
      <c r="W365" s="9"/>
      <c r="X365" s="9"/>
      <c r="Y365" s="9"/>
      <c r="Z365" s="9"/>
      <c r="AA365" s="9"/>
      <c r="AB365" s="9"/>
      <c r="AC365" s="9"/>
      <c r="AD365" s="9"/>
    </row>
    <row r="366" spans="1:30" ht="13.5" customHeight="1">
      <c r="A366" s="2"/>
      <c r="B366" s="2"/>
      <c r="C366" s="2"/>
      <c r="D366" s="2"/>
      <c r="E366" s="2"/>
      <c r="F366" s="2"/>
      <c r="G366" s="2"/>
      <c r="H366" s="2"/>
      <c r="I366" s="2"/>
      <c r="J366" s="2"/>
      <c r="K366" s="2"/>
      <c r="L366" s="2"/>
      <c r="M366" s="2"/>
      <c r="N366" s="2"/>
      <c r="O366" s="2"/>
      <c r="P366" s="2"/>
      <c r="Q366" s="2"/>
      <c r="R366" s="9"/>
      <c r="S366" s="9"/>
      <c r="T366" s="9"/>
      <c r="U366" s="9"/>
      <c r="V366" s="9"/>
      <c r="W366" s="9"/>
      <c r="X366" s="9"/>
      <c r="Y366" s="9"/>
      <c r="Z366" s="9"/>
      <c r="AA366" s="9"/>
      <c r="AB366" s="9"/>
      <c r="AC366" s="9"/>
      <c r="AD366" s="9"/>
    </row>
    <row r="367" spans="1:30" ht="13.5" customHeight="1">
      <c r="A367" s="2"/>
      <c r="B367" s="2"/>
      <c r="C367" s="2"/>
      <c r="D367" s="2"/>
      <c r="E367" s="2"/>
      <c r="F367" s="2"/>
      <c r="G367" s="2"/>
      <c r="H367" s="2"/>
      <c r="I367" s="2"/>
      <c r="J367" s="2"/>
      <c r="K367" s="2"/>
      <c r="L367" s="2"/>
      <c r="M367" s="2"/>
      <c r="N367" s="2"/>
      <c r="O367" s="2"/>
      <c r="P367" s="2"/>
      <c r="Q367" s="2"/>
      <c r="R367" s="9"/>
      <c r="S367" s="9"/>
      <c r="T367" s="9"/>
      <c r="U367" s="9"/>
      <c r="V367" s="9"/>
      <c r="W367" s="9"/>
      <c r="X367" s="9"/>
      <c r="Y367" s="9"/>
      <c r="Z367" s="9"/>
      <c r="AA367" s="9"/>
      <c r="AB367" s="9"/>
      <c r="AC367" s="9"/>
      <c r="AD367" s="9"/>
    </row>
    <row r="368" spans="1:30" ht="13.5" customHeight="1">
      <c r="A368" s="2"/>
      <c r="B368" s="2"/>
      <c r="C368" s="2"/>
      <c r="D368" s="2"/>
      <c r="E368" s="2"/>
      <c r="F368" s="2"/>
      <c r="G368" s="2"/>
      <c r="H368" s="2"/>
      <c r="I368" s="2"/>
      <c r="J368" s="2"/>
      <c r="K368" s="2"/>
      <c r="L368" s="2"/>
      <c r="M368" s="2"/>
      <c r="N368" s="2"/>
      <c r="O368" s="2"/>
      <c r="P368" s="2"/>
      <c r="Q368" s="2"/>
      <c r="R368" s="9"/>
      <c r="S368" s="9"/>
      <c r="T368" s="9"/>
      <c r="U368" s="9"/>
      <c r="V368" s="9"/>
      <c r="W368" s="9"/>
      <c r="X368" s="9"/>
      <c r="Y368" s="9"/>
      <c r="Z368" s="9"/>
      <c r="AA368" s="9"/>
      <c r="AB368" s="9"/>
      <c r="AC368" s="9"/>
      <c r="AD368" s="9"/>
    </row>
    <row r="369" spans="1:30" ht="13.5" customHeight="1">
      <c r="A369" s="2"/>
      <c r="B369" s="2"/>
      <c r="C369" s="2"/>
      <c r="D369" s="2"/>
      <c r="E369" s="2"/>
      <c r="F369" s="2"/>
      <c r="G369" s="2"/>
      <c r="H369" s="2"/>
      <c r="I369" s="2"/>
      <c r="J369" s="2"/>
      <c r="K369" s="2"/>
      <c r="L369" s="2"/>
      <c r="M369" s="2"/>
      <c r="N369" s="2"/>
      <c r="O369" s="2"/>
      <c r="P369" s="2"/>
      <c r="Q369" s="2"/>
      <c r="R369" s="9"/>
      <c r="S369" s="9"/>
      <c r="T369" s="9"/>
      <c r="U369" s="9"/>
      <c r="V369" s="9"/>
      <c r="W369" s="9"/>
      <c r="X369" s="9"/>
      <c r="Y369" s="9"/>
      <c r="Z369" s="9"/>
      <c r="AA369" s="9"/>
      <c r="AB369" s="9"/>
      <c r="AC369" s="9"/>
      <c r="AD369" s="9"/>
    </row>
    <row r="370" spans="1:30" ht="13.5" customHeight="1">
      <c r="A370" s="2"/>
      <c r="B370" s="2"/>
      <c r="C370" s="2"/>
      <c r="D370" s="2"/>
      <c r="E370" s="2"/>
      <c r="F370" s="2"/>
      <c r="G370" s="2"/>
      <c r="H370" s="2"/>
      <c r="I370" s="2"/>
      <c r="J370" s="2"/>
      <c r="K370" s="2"/>
      <c r="L370" s="2"/>
      <c r="M370" s="2"/>
      <c r="N370" s="2"/>
      <c r="O370" s="2"/>
      <c r="P370" s="2"/>
      <c r="Q370" s="2"/>
      <c r="R370" s="9"/>
      <c r="S370" s="9"/>
      <c r="T370" s="9"/>
      <c r="U370" s="9"/>
      <c r="V370" s="9"/>
      <c r="W370" s="9"/>
      <c r="X370" s="9"/>
      <c r="Y370" s="9"/>
      <c r="Z370" s="9"/>
      <c r="AA370" s="9"/>
      <c r="AB370" s="9"/>
      <c r="AC370" s="9"/>
      <c r="AD370" s="9"/>
    </row>
    <row r="371" spans="1:30" ht="13.5" customHeight="1">
      <c r="A371" s="2"/>
      <c r="B371" s="2"/>
      <c r="C371" s="2"/>
      <c r="D371" s="2"/>
      <c r="E371" s="2"/>
      <c r="F371" s="2"/>
      <c r="G371" s="2"/>
      <c r="H371" s="2"/>
      <c r="I371" s="2"/>
      <c r="J371" s="2"/>
      <c r="K371" s="2"/>
      <c r="L371" s="2"/>
      <c r="M371" s="2"/>
      <c r="N371" s="2"/>
      <c r="O371" s="2"/>
      <c r="P371" s="2"/>
      <c r="Q371" s="2"/>
      <c r="R371" s="9"/>
      <c r="S371" s="9"/>
      <c r="T371" s="9"/>
      <c r="U371" s="9"/>
      <c r="V371" s="9"/>
      <c r="W371" s="9"/>
      <c r="X371" s="9"/>
      <c r="Y371" s="9"/>
      <c r="Z371" s="9"/>
      <c r="AA371" s="9"/>
      <c r="AB371" s="9"/>
      <c r="AC371" s="9"/>
      <c r="AD371" s="9"/>
    </row>
    <row r="372" spans="1:30" ht="13.5" customHeight="1">
      <c r="A372" s="2"/>
      <c r="B372" s="2"/>
      <c r="C372" s="2"/>
      <c r="D372" s="2"/>
      <c r="E372" s="2"/>
      <c r="F372" s="2"/>
      <c r="G372" s="2"/>
      <c r="H372" s="2"/>
      <c r="I372" s="2"/>
      <c r="J372" s="2"/>
      <c r="K372" s="2"/>
      <c r="L372" s="2"/>
      <c r="M372" s="2"/>
      <c r="N372" s="2"/>
      <c r="O372" s="2"/>
      <c r="P372" s="2"/>
      <c r="Q372" s="2"/>
      <c r="R372" s="9"/>
      <c r="S372" s="9"/>
      <c r="T372" s="9"/>
      <c r="U372" s="9"/>
      <c r="V372" s="9"/>
      <c r="W372" s="9"/>
      <c r="X372" s="9"/>
      <c r="Y372" s="9"/>
      <c r="Z372" s="9"/>
      <c r="AA372" s="9"/>
      <c r="AB372" s="9"/>
      <c r="AC372" s="9"/>
      <c r="AD372" s="9"/>
    </row>
    <row r="373" spans="1:30" ht="13.5" customHeight="1">
      <c r="A373" s="2"/>
      <c r="B373" s="2"/>
      <c r="C373" s="2"/>
      <c r="D373" s="2"/>
      <c r="E373" s="2"/>
      <c r="F373" s="2"/>
      <c r="G373" s="2"/>
      <c r="H373" s="2"/>
      <c r="I373" s="2"/>
      <c r="J373" s="2"/>
      <c r="K373" s="2"/>
      <c r="L373" s="2"/>
      <c r="M373" s="2"/>
      <c r="N373" s="2"/>
      <c r="O373" s="2"/>
      <c r="P373" s="2"/>
      <c r="Q373" s="2"/>
      <c r="R373" s="9"/>
      <c r="S373" s="9"/>
      <c r="T373" s="9"/>
      <c r="U373" s="9"/>
      <c r="V373" s="9"/>
      <c r="W373" s="9"/>
      <c r="X373" s="9"/>
      <c r="Y373" s="9"/>
      <c r="Z373" s="9"/>
      <c r="AA373" s="9"/>
      <c r="AB373" s="9"/>
      <c r="AC373" s="9"/>
      <c r="AD373" s="9"/>
    </row>
    <row r="374" spans="1:30" ht="13.5" customHeight="1">
      <c r="A374" s="2"/>
      <c r="B374" s="2"/>
      <c r="C374" s="2"/>
      <c r="D374" s="2"/>
      <c r="E374" s="2"/>
      <c r="F374" s="2"/>
      <c r="G374" s="2"/>
      <c r="H374" s="2"/>
      <c r="I374" s="2"/>
      <c r="J374" s="2"/>
      <c r="K374" s="2"/>
      <c r="L374" s="2"/>
      <c r="M374" s="2"/>
      <c r="N374" s="2"/>
      <c r="O374" s="2"/>
      <c r="P374" s="2"/>
      <c r="Q374" s="2"/>
      <c r="R374" s="9"/>
      <c r="S374" s="9"/>
      <c r="T374" s="9"/>
      <c r="U374" s="9"/>
      <c r="V374" s="9"/>
      <c r="W374" s="9"/>
      <c r="X374" s="9"/>
      <c r="Y374" s="9"/>
      <c r="Z374" s="9"/>
      <c r="AA374" s="9"/>
      <c r="AB374" s="9"/>
      <c r="AC374" s="9"/>
      <c r="AD374" s="9"/>
    </row>
    <row r="375" spans="1:30" ht="13.5" customHeight="1">
      <c r="A375" s="2"/>
      <c r="B375" s="2"/>
      <c r="C375" s="2"/>
      <c r="D375" s="2"/>
      <c r="E375" s="2"/>
      <c r="F375" s="2"/>
      <c r="G375" s="2"/>
      <c r="H375" s="2"/>
      <c r="I375" s="2"/>
      <c r="J375" s="2"/>
      <c r="K375" s="2"/>
      <c r="L375" s="2"/>
      <c r="M375" s="2"/>
      <c r="N375" s="2"/>
      <c r="O375" s="2"/>
      <c r="P375" s="2"/>
      <c r="Q375" s="2"/>
      <c r="R375" s="9"/>
      <c r="S375" s="9"/>
      <c r="T375" s="9"/>
      <c r="U375" s="9"/>
      <c r="V375" s="9"/>
      <c r="W375" s="9"/>
      <c r="X375" s="9"/>
      <c r="Y375" s="9"/>
      <c r="Z375" s="9"/>
      <c r="AA375" s="9"/>
      <c r="AB375" s="9"/>
      <c r="AC375" s="9"/>
      <c r="AD375" s="9"/>
    </row>
    <row r="376" spans="1:30" ht="13.5" customHeight="1">
      <c r="A376" s="2"/>
      <c r="B376" s="2"/>
      <c r="C376" s="2"/>
      <c r="D376" s="2"/>
      <c r="E376" s="2"/>
      <c r="F376" s="2"/>
      <c r="G376" s="2"/>
      <c r="H376" s="2"/>
      <c r="I376" s="2"/>
      <c r="J376" s="2"/>
      <c r="K376" s="2"/>
      <c r="L376" s="2"/>
      <c r="M376" s="2"/>
      <c r="N376" s="2"/>
      <c r="O376" s="2"/>
      <c r="P376" s="2"/>
      <c r="Q376" s="2"/>
      <c r="R376" s="9"/>
      <c r="S376" s="9"/>
      <c r="T376" s="9"/>
      <c r="U376" s="9"/>
      <c r="V376" s="9"/>
      <c r="W376" s="9"/>
      <c r="X376" s="9"/>
      <c r="Y376" s="9"/>
      <c r="Z376" s="9"/>
      <c r="AA376" s="9"/>
      <c r="AB376" s="9"/>
      <c r="AC376" s="9"/>
      <c r="AD376" s="9"/>
    </row>
    <row r="377" spans="1:30" ht="13.5" customHeight="1">
      <c r="A377" s="2"/>
      <c r="B377" s="2"/>
      <c r="C377" s="2"/>
      <c r="D377" s="2"/>
      <c r="E377" s="2"/>
      <c r="F377" s="2"/>
      <c r="G377" s="2"/>
      <c r="H377" s="2"/>
      <c r="I377" s="2"/>
      <c r="J377" s="2"/>
      <c r="K377" s="2"/>
      <c r="L377" s="2"/>
      <c r="M377" s="2"/>
      <c r="N377" s="2"/>
      <c r="O377" s="2"/>
      <c r="P377" s="2"/>
      <c r="Q377" s="2"/>
      <c r="R377" s="9"/>
      <c r="S377" s="9"/>
      <c r="T377" s="9"/>
      <c r="U377" s="9"/>
      <c r="V377" s="9"/>
      <c r="W377" s="9"/>
      <c r="X377" s="9"/>
      <c r="Y377" s="9"/>
      <c r="Z377" s="9"/>
      <c r="AA377" s="9"/>
      <c r="AB377" s="9"/>
      <c r="AC377" s="9"/>
      <c r="AD377" s="9"/>
    </row>
    <row r="378" spans="1:30" ht="13.5" customHeight="1">
      <c r="A378" s="2"/>
      <c r="B378" s="2"/>
      <c r="C378" s="2"/>
      <c r="D378" s="2"/>
      <c r="E378" s="2"/>
      <c r="F378" s="2"/>
      <c r="G378" s="2"/>
      <c r="H378" s="2"/>
      <c r="I378" s="2"/>
      <c r="J378" s="2"/>
      <c r="K378" s="2"/>
      <c r="L378" s="2"/>
      <c r="M378" s="2"/>
      <c r="N378" s="2"/>
      <c r="O378" s="2"/>
      <c r="P378" s="2"/>
      <c r="Q378" s="2"/>
      <c r="R378" s="9"/>
      <c r="S378" s="9"/>
      <c r="T378" s="9"/>
      <c r="U378" s="9"/>
      <c r="V378" s="9"/>
      <c r="W378" s="9"/>
      <c r="X378" s="9"/>
      <c r="Y378" s="9"/>
      <c r="Z378" s="9"/>
      <c r="AA378" s="9"/>
      <c r="AB378" s="9"/>
      <c r="AC378" s="9"/>
      <c r="AD378" s="9"/>
    </row>
    <row r="379" spans="1:30" ht="13.5" customHeight="1">
      <c r="A379" s="2"/>
      <c r="B379" s="2"/>
      <c r="C379" s="2"/>
      <c r="D379" s="2"/>
      <c r="E379" s="2"/>
      <c r="F379" s="2"/>
      <c r="G379" s="2"/>
      <c r="H379" s="2"/>
      <c r="I379" s="2"/>
      <c r="J379" s="2"/>
      <c r="K379" s="2"/>
      <c r="L379" s="2"/>
      <c r="M379" s="2"/>
      <c r="N379" s="2"/>
      <c r="O379" s="2"/>
      <c r="P379" s="2"/>
      <c r="Q379" s="2"/>
      <c r="R379" s="9"/>
      <c r="S379" s="9"/>
      <c r="T379" s="9"/>
      <c r="U379" s="9"/>
      <c r="V379" s="9"/>
      <c r="W379" s="9"/>
      <c r="X379" s="9"/>
      <c r="Y379" s="9"/>
      <c r="Z379" s="9"/>
      <c r="AA379" s="9"/>
      <c r="AB379" s="9"/>
      <c r="AC379" s="9"/>
      <c r="AD379" s="9"/>
    </row>
    <row r="380" spans="1:30" ht="13.5" customHeight="1">
      <c r="A380" s="2"/>
      <c r="B380" s="2"/>
      <c r="C380" s="2"/>
      <c r="D380" s="2"/>
      <c r="E380" s="2"/>
      <c r="F380" s="2"/>
      <c r="G380" s="2"/>
      <c r="H380" s="2"/>
      <c r="I380" s="2"/>
      <c r="J380" s="2"/>
      <c r="K380" s="2"/>
      <c r="L380" s="2"/>
      <c r="M380" s="2"/>
      <c r="N380" s="2"/>
      <c r="O380" s="2"/>
      <c r="P380" s="2"/>
      <c r="Q380" s="2"/>
      <c r="R380" s="9"/>
      <c r="S380" s="9"/>
      <c r="T380" s="9"/>
      <c r="U380" s="9"/>
      <c r="V380" s="9"/>
      <c r="W380" s="9"/>
      <c r="X380" s="9"/>
      <c r="Y380" s="9"/>
      <c r="Z380" s="9"/>
      <c r="AA380" s="9"/>
      <c r="AB380" s="9"/>
      <c r="AC380" s="9"/>
      <c r="AD380" s="9"/>
    </row>
    <row r="381" spans="1:30" ht="13.5" customHeight="1">
      <c r="A381" s="2"/>
      <c r="B381" s="2"/>
      <c r="C381" s="2"/>
      <c r="D381" s="2"/>
      <c r="E381" s="2"/>
      <c r="F381" s="2"/>
      <c r="G381" s="2"/>
      <c r="H381" s="2"/>
      <c r="I381" s="2"/>
      <c r="J381" s="2"/>
      <c r="K381" s="2"/>
      <c r="L381" s="2"/>
      <c r="M381" s="2"/>
      <c r="N381" s="2"/>
      <c r="O381" s="2"/>
      <c r="P381" s="2"/>
      <c r="Q381" s="2"/>
      <c r="R381" s="9"/>
      <c r="S381" s="9"/>
      <c r="T381" s="9"/>
      <c r="U381" s="9"/>
      <c r="V381" s="9"/>
      <c r="W381" s="9"/>
      <c r="X381" s="9"/>
      <c r="Y381" s="9"/>
      <c r="Z381" s="9"/>
      <c r="AA381" s="9"/>
      <c r="AB381" s="9"/>
      <c r="AC381" s="9"/>
      <c r="AD381" s="9"/>
    </row>
    <row r="382" spans="1:30" ht="13.5" customHeight="1">
      <c r="A382" s="2"/>
      <c r="B382" s="2"/>
      <c r="C382" s="2"/>
      <c r="D382" s="2"/>
      <c r="E382" s="2"/>
      <c r="F382" s="2"/>
      <c r="G382" s="2"/>
      <c r="H382" s="2"/>
      <c r="I382" s="2"/>
      <c r="J382" s="2"/>
      <c r="K382" s="2"/>
      <c r="L382" s="2"/>
      <c r="M382" s="2"/>
      <c r="N382" s="2"/>
      <c r="O382" s="2"/>
      <c r="P382" s="2"/>
      <c r="Q382" s="2"/>
      <c r="R382" s="9"/>
      <c r="S382" s="9"/>
      <c r="T382" s="9"/>
      <c r="U382" s="9"/>
      <c r="V382" s="9"/>
      <c r="W382" s="9"/>
      <c r="X382" s="9"/>
      <c r="Y382" s="9"/>
      <c r="Z382" s="9"/>
      <c r="AA382" s="9"/>
      <c r="AB382" s="9"/>
      <c r="AC382" s="9"/>
      <c r="AD382" s="9"/>
    </row>
    <row r="383" spans="1:30" ht="13.5" customHeight="1">
      <c r="A383" s="2"/>
      <c r="B383" s="2"/>
      <c r="C383" s="2"/>
      <c r="D383" s="2"/>
      <c r="E383" s="2"/>
      <c r="F383" s="2"/>
      <c r="G383" s="2"/>
      <c r="H383" s="2"/>
      <c r="I383" s="2"/>
      <c r="J383" s="2"/>
      <c r="K383" s="2"/>
      <c r="L383" s="2"/>
      <c r="M383" s="2"/>
      <c r="N383" s="2"/>
      <c r="O383" s="2"/>
      <c r="P383" s="2"/>
      <c r="Q383" s="2"/>
      <c r="R383" s="9"/>
      <c r="S383" s="9"/>
      <c r="T383" s="9"/>
      <c r="U383" s="9"/>
      <c r="V383" s="9"/>
      <c r="W383" s="9"/>
      <c r="X383" s="9"/>
      <c r="Y383" s="9"/>
      <c r="Z383" s="9"/>
      <c r="AA383" s="9"/>
      <c r="AB383" s="9"/>
      <c r="AC383" s="9"/>
      <c r="AD383" s="9"/>
    </row>
    <row r="384" spans="1:30" ht="13.5" customHeight="1">
      <c r="A384" s="2"/>
      <c r="B384" s="2"/>
      <c r="C384" s="2"/>
      <c r="D384" s="2"/>
      <c r="E384" s="2"/>
      <c r="F384" s="2"/>
      <c r="G384" s="2"/>
      <c r="H384" s="2"/>
      <c r="I384" s="2"/>
      <c r="J384" s="2"/>
      <c r="K384" s="2"/>
      <c r="L384" s="2"/>
      <c r="M384" s="2"/>
      <c r="N384" s="2"/>
      <c r="O384" s="2"/>
      <c r="P384" s="2"/>
      <c r="Q384" s="2"/>
      <c r="R384" s="9"/>
      <c r="S384" s="9"/>
      <c r="T384" s="9"/>
      <c r="U384" s="9"/>
      <c r="V384" s="9"/>
      <c r="W384" s="9"/>
      <c r="X384" s="9"/>
      <c r="Y384" s="9"/>
      <c r="Z384" s="9"/>
      <c r="AA384" s="9"/>
      <c r="AB384" s="9"/>
      <c r="AC384" s="9"/>
      <c r="AD384" s="9"/>
    </row>
    <row r="385" spans="1:30" ht="13.5" customHeight="1">
      <c r="A385" s="2"/>
      <c r="B385" s="2"/>
      <c r="C385" s="2"/>
      <c r="D385" s="2"/>
      <c r="E385" s="2"/>
      <c r="F385" s="2"/>
      <c r="G385" s="2"/>
      <c r="H385" s="2"/>
      <c r="I385" s="2"/>
      <c r="J385" s="2"/>
      <c r="K385" s="2"/>
      <c r="L385" s="2"/>
      <c r="M385" s="2"/>
      <c r="N385" s="2"/>
      <c r="O385" s="2"/>
      <c r="P385" s="2"/>
      <c r="Q385" s="2"/>
      <c r="R385" s="9"/>
      <c r="S385" s="9"/>
      <c r="T385" s="9"/>
      <c r="U385" s="9"/>
      <c r="V385" s="9"/>
      <c r="W385" s="9"/>
      <c r="X385" s="9"/>
      <c r="Y385" s="9"/>
      <c r="Z385" s="9"/>
      <c r="AA385" s="9"/>
      <c r="AB385" s="9"/>
      <c r="AC385" s="9"/>
      <c r="AD385" s="9"/>
    </row>
    <row r="386" spans="1:30" ht="13.5" customHeight="1">
      <c r="A386" s="2"/>
      <c r="B386" s="2"/>
      <c r="C386" s="2"/>
      <c r="D386" s="2"/>
      <c r="E386" s="2"/>
      <c r="F386" s="2"/>
      <c r="G386" s="2"/>
      <c r="H386" s="2"/>
      <c r="I386" s="2"/>
      <c r="J386" s="2"/>
      <c r="K386" s="2"/>
      <c r="L386" s="2"/>
      <c r="M386" s="2"/>
      <c r="N386" s="2"/>
      <c r="O386" s="2"/>
      <c r="P386" s="2"/>
      <c r="Q386" s="2"/>
      <c r="R386" s="9"/>
      <c r="S386" s="9"/>
      <c r="T386" s="9"/>
      <c r="U386" s="9"/>
      <c r="V386" s="9"/>
      <c r="W386" s="9"/>
      <c r="X386" s="9"/>
      <c r="Y386" s="9"/>
      <c r="Z386" s="9"/>
      <c r="AA386" s="9"/>
      <c r="AB386" s="9"/>
      <c r="AC386" s="9"/>
      <c r="AD386" s="9"/>
    </row>
    <row r="387" spans="1:30" ht="13.5" customHeight="1">
      <c r="A387" s="2"/>
      <c r="B387" s="2"/>
      <c r="C387" s="2"/>
      <c r="D387" s="2"/>
      <c r="E387" s="2"/>
      <c r="F387" s="2"/>
      <c r="G387" s="2"/>
      <c r="H387" s="2"/>
      <c r="I387" s="2"/>
      <c r="J387" s="2"/>
      <c r="K387" s="2"/>
      <c r="L387" s="2"/>
      <c r="M387" s="2"/>
      <c r="N387" s="2"/>
      <c r="O387" s="2"/>
      <c r="P387" s="2"/>
      <c r="Q387" s="2"/>
      <c r="R387" s="9"/>
      <c r="S387" s="9"/>
      <c r="T387" s="9"/>
      <c r="U387" s="9"/>
      <c r="V387" s="9"/>
      <c r="W387" s="9"/>
      <c r="X387" s="9"/>
      <c r="Y387" s="9"/>
      <c r="Z387" s="9"/>
      <c r="AA387" s="9"/>
      <c r="AB387" s="9"/>
      <c r="AC387" s="9"/>
      <c r="AD387" s="9"/>
    </row>
    <row r="388" spans="1:30" ht="13.5" customHeight="1">
      <c r="A388" s="2"/>
      <c r="B388" s="2"/>
      <c r="C388" s="2"/>
      <c r="D388" s="2"/>
      <c r="E388" s="2"/>
      <c r="F388" s="2"/>
      <c r="G388" s="2"/>
      <c r="H388" s="2"/>
      <c r="I388" s="2"/>
      <c r="J388" s="2"/>
      <c r="K388" s="2"/>
      <c r="L388" s="2"/>
      <c r="M388" s="2"/>
      <c r="N388" s="2"/>
      <c r="O388" s="2"/>
      <c r="P388" s="2"/>
      <c r="Q388" s="2"/>
      <c r="R388" s="9"/>
      <c r="S388" s="9"/>
      <c r="T388" s="9"/>
      <c r="U388" s="9"/>
      <c r="V388" s="9"/>
      <c r="W388" s="9"/>
      <c r="X388" s="9"/>
      <c r="Y388" s="9"/>
      <c r="Z388" s="9"/>
      <c r="AA388" s="9"/>
      <c r="AB388" s="9"/>
      <c r="AC388" s="9"/>
      <c r="AD388" s="9"/>
    </row>
    <row r="389" spans="1:30" ht="13.5" customHeight="1">
      <c r="A389" s="2"/>
      <c r="B389" s="2"/>
      <c r="C389" s="2"/>
      <c r="D389" s="2"/>
      <c r="E389" s="2"/>
      <c r="F389" s="2"/>
      <c r="G389" s="2"/>
      <c r="H389" s="2"/>
      <c r="I389" s="2"/>
      <c r="J389" s="2"/>
      <c r="K389" s="2"/>
      <c r="L389" s="2"/>
      <c r="M389" s="2"/>
      <c r="N389" s="2"/>
      <c r="O389" s="2"/>
      <c r="P389" s="2"/>
      <c r="Q389" s="2"/>
      <c r="R389" s="9"/>
      <c r="S389" s="9"/>
      <c r="T389" s="9"/>
      <c r="U389" s="9"/>
      <c r="V389" s="9"/>
      <c r="W389" s="9"/>
      <c r="X389" s="9"/>
      <c r="Y389" s="9"/>
      <c r="Z389" s="9"/>
      <c r="AA389" s="9"/>
      <c r="AB389" s="9"/>
      <c r="AC389" s="9"/>
      <c r="AD389" s="9"/>
    </row>
    <row r="390" spans="1:30" ht="13.5" customHeight="1">
      <c r="A390" s="2"/>
      <c r="B390" s="2"/>
      <c r="C390" s="2"/>
      <c r="D390" s="2"/>
      <c r="E390" s="2"/>
      <c r="F390" s="2"/>
      <c r="G390" s="2"/>
      <c r="H390" s="2"/>
      <c r="I390" s="2"/>
      <c r="J390" s="2"/>
      <c r="K390" s="2"/>
      <c r="L390" s="2"/>
      <c r="M390" s="2"/>
      <c r="N390" s="2"/>
      <c r="O390" s="2"/>
      <c r="P390" s="2"/>
      <c r="Q390" s="2"/>
      <c r="R390" s="9"/>
      <c r="S390" s="9"/>
      <c r="T390" s="9"/>
      <c r="U390" s="9"/>
      <c r="V390" s="9"/>
      <c r="W390" s="9"/>
      <c r="X390" s="9"/>
      <c r="Y390" s="9"/>
      <c r="Z390" s="9"/>
      <c r="AA390" s="9"/>
      <c r="AB390" s="9"/>
      <c r="AC390" s="9"/>
      <c r="AD390" s="9"/>
    </row>
    <row r="391" spans="1:30" ht="13.5" customHeight="1">
      <c r="A391" s="2"/>
      <c r="B391" s="2"/>
      <c r="C391" s="2"/>
      <c r="D391" s="2"/>
      <c r="E391" s="2"/>
      <c r="F391" s="2"/>
      <c r="G391" s="2"/>
      <c r="H391" s="2"/>
      <c r="I391" s="2"/>
      <c r="J391" s="2"/>
      <c r="K391" s="2"/>
      <c r="L391" s="2"/>
      <c r="M391" s="2"/>
      <c r="N391" s="2"/>
      <c r="O391" s="2"/>
      <c r="P391" s="2"/>
      <c r="Q391" s="2"/>
      <c r="R391" s="9"/>
      <c r="S391" s="9"/>
      <c r="T391" s="9"/>
      <c r="U391" s="9"/>
      <c r="V391" s="9"/>
      <c r="W391" s="9"/>
      <c r="X391" s="9"/>
      <c r="Y391" s="9"/>
      <c r="Z391" s="9"/>
      <c r="AA391" s="9"/>
      <c r="AB391" s="9"/>
      <c r="AC391" s="9"/>
      <c r="AD391" s="9"/>
    </row>
    <row r="392" spans="1:30" ht="13.5" customHeight="1">
      <c r="A392" s="2"/>
      <c r="B392" s="2"/>
      <c r="C392" s="2"/>
      <c r="D392" s="2"/>
      <c r="E392" s="2"/>
      <c r="F392" s="2"/>
      <c r="G392" s="2"/>
      <c r="H392" s="2"/>
      <c r="I392" s="2"/>
      <c r="J392" s="2"/>
      <c r="K392" s="2"/>
      <c r="L392" s="2"/>
      <c r="M392" s="2"/>
      <c r="N392" s="2"/>
      <c r="O392" s="2"/>
      <c r="P392" s="2"/>
      <c r="Q392" s="2"/>
      <c r="R392" s="9"/>
      <c r="S392" s="9"/>
      <c r="T392" s="9"/>
      <c r="U392" s="9"/>
      <c r="V392" s="9"/>
      <c r="W392" s="9"/>
      <c r="X392" s="9"/>
      <c r="Y392" s="9"/>
      <c r="Z392" s="9"/>
      <c r="AA392" s="9"/>
      <c r="AB392" s="9"/>
      <c r="AC392" s="9"/>
      <c r="AD392" s="9"/>
    </row>
    <row r="393" spans="1:30" ht="13.5" customHeight="1">
      <c r="A393" s="2"/>
      <c r="B393" s="2"/>
      <c r="C393" s="2"/>
      <c r="D393" s="2"/>
      <c r="E393" s="2"/>
      <c r="F393" s="2"/>
      <c r="G393" s="2"/>
      <c r="H393" s="2"/>
      <c r="I393" s="2"/>
      <c r="J393" s="2"/>
      <c r="K393" s="2"/>
      <c r="L393" s="2"/>
      <c r="M393" s="2"/>
      <c r="N393" s="2"/>
      <c r="O393" s="2"/>
      <c r="P393" s="2"/>
      <c r="Q393" s="2"/>
      <c r="R393" s="9"/>
      <c r="S393" s="9"/>
      <c r="T393" s="9"/>
      <c r="U393" s="9"/>
      <c r="V393" s="9"/>
      <c r="W393" s="9"/>
      <c r="X393" s="9"/>
      <c r="Y393" s="9"/>
      <c r="Z393" s="9"/>
      <c r="AA393" s="9"/>
      <c r="AB393" s="9"/>
      <c r="AC393" s="9"/>
      <c r="AD393" s="9"/>
    </row>
    <row r="394" spans="1:30" ht="13.5" customHeight="1">
      <c r="A394" s="2"/>
      <c r="B394" s="2"/>
      <c r="C394" s="2"/>
      <c r="D394" s="2"/>
      <c r="E394" s="2"/>
      <c r="F394" s="2"/>
      <c r="G394" s="2"/>
      <c r="H394" s="2"/>
      <c r="I394" s="2"/>
      <c r="J394" s="2"/>
      <c r="K394" s="2"/>
      <c r="L394" s="2"/>
      <c r="M394" s="2"/>
      <c r="N394" s="2"/>
      <c r="O394" s="2"/>
      <c r="P394" s="2"/>
      <c r="Q394" s="2"/>
      <c r="R394" s="9"/>
      <c r="S394" s="9"/>
      <c r="T394" s="9"/>
      <c r="U394" s="9"/>
      <c r="V394" s="9"/>
      <c r="W394" s="9"/>
      <c r="X394" s="9"/>
      <c r="Y394" s="9"/>
      <c r="Z394" s="9"/>
      <c r="AA394" s="9"/>
      <c r="AB394" s="9"/>
      <c r="AC394" s="9"/>
      <c r="AD394" s="9"/>
    </row>
    <row r="395" spans="1:30" ht="13.5" customHeight="1">
      <c r="A395" s="2"/>
      <c r="B395" s="2"/>
      <c r="C395" s="2"/>
      <c r="D395" s="2"/>
      <c r="E395" s="2"/>
      <c r="F395" s="2"/>
      <c r="G395" s="2"/>
      <c r="H395" s="2"/>
      <c r="I395" s="2"/>
      <c r="J395" s="2"/>
      <c r="K395" s="2"/>
      <c r="L395" s="2"/>
      <c r="M395" s="2"/>
      <c r="N395" s="2"/>
      <c r="O395" s="2"/>
      <c r="P395" s="2"/>
      <c r="Q395" s="2"/>
      <c r="R395" s="9"/>
      <c r="S395" s="9"/>
      <c r="T395" s="9"/>
      <c r="U395" s="9"/>
      <c r="V395" s="9"/>
      <c r="W395" s="9"/>
      <c r="X395" s="9"/>
      <c r="Y395" s="9"/>
      <c r="Z395" s="9"/>
      <c r="AA395" s="9"/>
      <c r="AB395" s="9"/>
      <c r="AC395" s="9"/>
      <c r="AD395" s="9"/>
    </row>
    <row r="396" spans="1:30" ht="13.5" customHeight="1">
      <c r="A396" s="2"/>
      <c r="B396" s="2"/>
      <c r="C396" s="2"/>
      <c r="D396" s="2"/>
      <c r="E396" s="2"/>
      <c r="F396" s="2"/>
      <c r="G396" s="2"/>
      <c r="H396" s="2"/>
      <c r="I396" s="2"/>
      <c r="J396" s="2"/>
      <c r="K396" s="2"/>
      <c r="L396" s="2"/>
      <c r="M396" s="2"/>
      <c r="N396" s="2"/>
      <c r="O396" s="2"/>
      <c r="P396" s="2"/>
      <c r="Q396" s="2"/>
      <c r="R396" s="9"/>
      <c r="S396" s="9"/>
      <c r="T396" s="9"/>
      <c r="U396" s="9"/>
      <c r="V396" s="9"/>
      <c r="W396" s="9"/>
      <c r="X396" s="9"/>
      <c r="Y396" s="9"/>
      <c r="Z396" s="9"/>
      <c r="AA396" s="9"/>
      <c r="AB396" s="9"/>
      <c r="AC396" s="9"/>
      <c r="AD396" s="9"/>
    </row>
    <row r="397" spans="1:30" ht="13.5" customHeight="1">
      <c r="A397" s="2"/>
      <c r="B397" s="2"/>
      <c r="C397" s="2"/>
      <c r="D397" s="2"/>
      <c r="E397" s="2"/>
      <c r="F397" s="2"/>
      <c r="G397" s="2"/>
      <c r="H397" s="2"/>
      <c r="I397" s="2"/>
      <c r="J397" s="2"/>
      <c r="K397" s="2"/>
      <c r="L397" s="2"/>
      <c r="M397" s="2"/>
      <c r="N397" s="2"/>
      <c r="O397" s="2"/>
      <c r="P397" s="2"/>
      <c r="Q397" s="2"/>
      <c r="R397" s="9"/>
      <c r="S397" s="9"/>
      <c r="T397" s="9"/>
      <c r="U397" s="9"/>
      <c r="V397" s="9"/>
      <c r="W397" s="9"/>
      <c r="X397" s="9"/>
      <c r="Y397" s="9"/>
      <c r="Z397" s="9"/>
      <c r="AA397" s="9"/>
      <c r="AB397" s="9"/>
      <c r="AC397" s="9"/>
      <c r="AD397" s="9"/>
    </row>
    <row r="398" spans="1:30" ht="13.5" customHeight="1">
      <c r="A398" s="2"/>
      <c r="B398" s="2"/>
      <c r="C398" s="2"/>
      <c r="D398" s="2"/>
      <c r="E398" s="2"/>
      <c r="F398" s="2"/>
      <c r="G398" s="2"/>
      <c r="H398" s="2"/>
      <c r="I398" s="2"/>
      <c r="J398" s="2"/>
      <c r="K398" s="2"/>
      <c r="L398" s="2"/>
      <c r="M398" s="2"/>
      <c r="N398" s="2"/>
      <c r="O398" s="2"/>
      <c r="P398" s="2"/>
      <c r="Q398" s="2"/>
      <c r="R398" s="9"/>
      <c r="S398" s="9"/>
      <c r="T398" s="9"/>
      <c r="U398" s="9"/>
      <c r="V398" s="9"/>
      <c r="W398" s="9"/>
      <c r="X398" s="9"/>
      <c r="Y398" s="9"/>
      <c r="Z398" s="9"/>
      <c r="AA398" s="9"/>
      <c r="AB398" s="9"/>
      <c r="AC398" s="9"/>
      <c r="AD398" s="9"/>
    </row>
    <row r="399" spans="1:30" ht="13.5" customHeight="1">
      <c r="A399" s="2"/>
      <c r="B399" s="2"/>
      <c r="C399" s="2"/>
      <c r="D399" s="2"/>
      <c r="E399" s="2"/>
      <c r="F399" s="2"/>
      <c r="G399" s="2"/>
      <c r="H399" s="2"/>
      <c r="I399" s="2"/>
      <c r="J399" s="2"/>
      <c r="K399" s="2"/>
      <c r="L399" s="2"/>
      <c r="M399" s="2"/>
      <c r="N399" s="2"/>
      <c r="O399" s="2"/>
      <c r="P399" s="2"/>
      <c r="Q399" s="2"/>
      <c r="R399" s="9"/>
      <c r="S399" s="9"/>
      <c r="T399" s="9"/>
      <c r="U399" s="9"/>
      <c r="V399" s="9"/>
      <c r="W399" s="9"/>
      <c r="X399" s="9"/>
      <c r="Y399" s="9"/>
      <c r="Z399" s="9"/>
      <c r="AA399" s="9"/>
      <c r="AB399" s="9"/>
      <c r="AC399" s="9"/>
      <c r="AD399" s="9"/>
    </row>
    <row r="400" spans="1:30" ht="13.5" customHeight="1">
      <c r="A400" s="2"/>
      <c r="B400" s="2"/>
      <c r="C400" s="2"/>
      <c r="D400" s="2"/>
      <c r="E400" s="2"/>
      <c r="F400" s="2"/>
      <c r="G400" s="2"/>
      <c r="H400" s="2"/>
      <c r="I400" s="2"/>
      <c r="J400" s="2"/>
      <c r="K400" s="2"/>
      <c r="L400" s="2"/>
      <c r="M400" s="2"/>
      <c r="N400" s="2"/>
      <c r="O400" s="2"/>
      <c r="P400" s="2"/>
      <c r="Q400" s="2"/>
      <c r="R400" s="9"/>
      <c r="S400" s="9"/>
      <c r="T400" s="9"/>
      <c r="U400" s="9"/>
      <c r="V400" s="9"/>
      <c r="W400" s="9"/>
      <c r="X400" s="9"/>
      <c r="Y400" s="9"/>
      <c r="Z400" s="9"/>
      <c r="AA400" s="9"/>
      <c r="AB400" s="9"/>
      <c r="AC400" s="9"/>
      <c r="AD400" s="9"/>
    </row>
    <row r="401" spans="1:30" ht="13.5" customHeight="1">
      <c r="A401" s="2"/>
      <c r="B401" s="2"/>
      <c r="C401" s="2"/>
      <c r="D401" s="2"/>
      <c r="E401" s="2"/>
      <c r="F401" s="2"/>
      <c r="G401" s="2"/>
      <c r="H401" s="2"/>
      <c r="I401" s="2"/>
      <c r="J401" s="2"/>
      <c r="K401" s="2"/>
      <c r="L401" s="2"/>
      <c r="M401" s="2"/>
      <c r="N401" s="2"/>
      <c r="O401" s="2"/>
      <c r="P401" s="2"/>
      <c r="Q401" s="2"/>
      <c r="R401" s="9"/>
      <c r="S401" s="9"/>
      <c r="T401" s="9"/>
      <c r="U401" s="9"/>
      <c r="V401" s="9"/>
      <c r="W401" s="9"/>
      <c r="X401" s="9"/>
      <c r="Y401" s="9"/>
      <c r="Z401" s="9"/>
      <c r="AA401" s="9"/>
      <c r="AB401" s="9"/>
      <c r="AC401" s="9"/>
      <c r="AD401" s="9"/>
    </row>
    <row r="402" spans="1:30" ht="13.5" customHeight="1">
      <c r="A402" s="2"/>
      <c r="B402" s="2"/>
      <c r="C402" s="2"/>
      <c r="D402" s="2"/>
      <c r="E402" s="2"/>
      <c r="F402" s="2"/>
      <c r="G402" s="2"/>
      <c r="H402" s="2"/>
      <c r="I402" s="2"/>
      <c r="J402" s="2"/>
      <c r="K402" s="2"/>
      <c r="L402" s="2"/>
      <c r="M402" s="2"/>
      <c r="N402" s="2"/>
      <c r="O402" s="2"/>
      <c r="P402" s="2"/>
      <c r="Q402" s="2"/>
      <c r="R402" s="9"/>
      <c r="S402" s="9"/>
      <c r="T402" s="9"/>
      <c r="U402" s="9"/>
      <c r="V402" s="9"/>
      <c r="W402" s="9"/>
      <c r="X402" s="9"/>
      <c r="Y402" s="9"/>
      <c r="Z402" s="9"/>
      <c r="AA402" s="9"/>
      <c r="AB402" s="9"/>
      <c r="AC402" s="9"/>
      <c r="AD402" s="9"/>
    </row>
    <row r="403" spans="1:30" ht="13.5" customHeight="1">
      <c r="A403" s="2"/>
      <c r="B403" s="2"/>
      <c r="C403" s="2"/>
      <c r="D403" s="2"/>
      <c r="E403" s="2"/>
      <c r="F403" s="2"/>
      <c r="G403" s="2"/>
      <c r="H403" s="2"/>
      <c r="I403" s="2"/>
      <c r="J403" s="2"/>
      <c r="K403" s="2"/>
      <c r="L403" s="2"/>
      <c r="M403" s="2"/>
      <c r="N403" s="2"/>
      <c r="O403" s="2"/>
      <c r="P403" s="2"/>
      <c r="Q403" s="2"/>
      <c r="R403" s="9"/>
      <c r="S403" s="9"/>
      <c r="T403" s="9"/>
      <c r="U403" s="9"/>
      <c r="V403" s="9"/>
      <c r="W403" s="9"/>
      <c r="X403" s="9"/>
      <c r="Y403" s="9"/>
      <c r="Z403" s="9"/>
      <c r="AA403" s="9"/>
      <c r="AB403" s="9"/>
      <c r="AC403" s="9"/>
      <c r="AD403" s="9"/>
    </row>
    <row r="404" spans="1:30" ht="13.5" customHeight="1">
      <c r="A404" s="2"/>
      <c r="B404" s="2"/>
      <c r="C404" s="2"/>
      <c r="D404" s="2"/>
      <c r="E404" s="2"/>
      <c r="F404" s="2"/>
      <c r="G404" s="2"/>
      <c r="H404" s="2"/>
      <c r="I404" s="2"/>
      <c r="J404" s="2"/>
      <c r="K404" s="2"/>
      <c r="L404" s="2"/>
      <c r="M404" s="2"/>
      <c r="N404" s="2"/>
      <c r="O404" s="2"/>
      <c r="P404" s="2"/>
      <c r="Q404" s="2"/>
      <c r="R404" s="9"/>
      <c r="S404" s="9"/>
      <c r="T404" s="9"/>
      <c r="U404" s="9"/>
      <c r="V404" s="9"/>
      <c r="W404" s="9"/>
      <c r="X404" s="9"/>
      <c r="Y404" s="9"/>
      <c r="Z404" s="9"/>
      <c r="AA404" s="9"/>
      <c r="AB404" s="9"/>
      <c r="AC404" s="9"/>
      <c r="AD404" s="9"/>
    </row>
    <row r="405" spans="1:30" ht="13.5" customHeight="1">
      <c r="A405" s="2"/>
      <c r="B405" s="2"/>
      <c r="C405" s="2"/>
      <c r="D405" s="2"/>
      <c r="E405" s="2"/>
      <c r="F405" s="2"/>
      <c r="G405" s="2"/>
      <c r="H405" s="2"/>
      <c r="I405" s="2"/>
      <c r="J405" s="2"/>
      <c r="K405" s="2"/>
      <c r="L405" s="2"/>
      <c r="M405" s="2"/>
      <c r="N405" s="2"/>
      <c r="O405" s="2"/>
      <c r="P405" s="2"/>
      <c r="Q405" s="2"/>
      <c r="R405" s="9"/>
      <c r="S405" s="9"/>
      <c r="T405" s="9"/>
      <c r="U405" s="9"/>
      <c r="V405" s="9"/>
      <c r="W405" s="9"/>
      <c r="X405" s="9"/>
      <c r="Y405" s="9"/>
      <c r="Z405" s="9"/>
      <c r="AA405" s="9"/>
      <c r="AB405" s="9"/>
      <c r="AC405" s="9"/>
      <c r="AD405" s="9"/>
    </row>
    <row r="406" spans="1:30" ht="13.5" customHeight="1">
      <c r="A406" s="2"/>
      <c r="B406" s="2"/>
      <c r="C406" s="2"/>
      <c r="D406" s="2"/>
      <c r="E406" s="2"/>
      <c r="F406" s="2"/>
      <c r="G406" s="2"/>
      <c r="H406" s="2"/>
      <c r="I406" s="2"/>
      <c r="J406" s="2"/>
      <c r="K406" s="2"/>
      <c r="L406" s="2"/>
      <c r="M406" s="2"/>
      <c r="N406" s="2"/>
      <c r="O406" s="2"/>
      <c r="P406" s="2"/>
      <c r="Q406" s="2"/>
      <c r="R406" s="9"/>
      <c r="S406" s="9"/>
      <c r="T406" s="9"/>
      <c r="U406" s="9"/>
      <c r="V406" s="9"/>
      <c r="W406" s="9"/>
      <c r="X406" s="9"/>
      <c r="Y406" s="9"/>
      <c r="Z406" s="9"/>
      <c r="AA406" s="9"/>
      <c r="AB406" s="9"/>
      <c r="AC406" s="9"/>
      <c r="AD406" s="9"/>
    </row>
    <row r="407" spans="1:30" ht="13.5" customHeight="1">
      <c r="A407" s="2"/>
      <c r="B407" s="2"/>
      <c r="C407" s="2"/>
      <c r="D407" s="2"/>
      <c r="E407" s="2"/>
      <c r="F407" s="2"/>
      <c r="G407" s="2"/>
      <c r="H407" s="2"/>
      <c r="I407" s="2"/>
      <c r="J407" s="2"/>
      <c r="K407" s="2"/>
      <c r="L407" s="2"/>
      <c r="M407" s="2"/>
      <c r="N407" s="2"/>
      <c r="O407" s="2"/>
      <c r="P407" s="2"/>
      <c r="Q407" s="2"/>
      <c r="R407" s="9"/>
      <c r="S407" s="9"/>
      <c r="T407" s="9"/>
      <c r="U407" s="9"/>
      <c r="V407" s="9"/>
      <c r="W407" s="9"/>
      <c r="X407" s="9"/>
      <c r="Y407" s="9"/>
      <c r="Z407" s="9"/>
      <c r="AA407" s="9"/>
      <c r="AB407" s="9"/>
      <c r="AC407" s="9"/>
      <c r="AD407" s="9"/>
    </row>
    <row r="408" spans="1:30" ht="13.5" customHeight="1">
      <c r="A408" s="2"/>
      <c r="B408" s="2"/>
      <c r="C408" s="2"/>
      <c r="D408" s="2"/>
      <c r="E408" s="2"/>
      <c r="F408" s="2"/>
      <c r="G408" s="2"/>
      <c r="H408" s="2"/>
      <c r="I408" s="2"/>
      <c r="J408" s="2"/>
      <c r="K408" s="2"/>
      <c r="L408" s="2"/>
      <c r="M408" s="2"/>
      <c r="N408" s="2"/>
      <c r="O408" s="2"/>
      <c r="P408" s="2"/>
      <c r="Q408" s="2"/>
      <c r="R408" s="9"/>
      <c r="S408" s="9"/>
      <c r="T408" s="9"/>
      <c r="U408" s="9"/>
      <c r="V408" s="9"/>
      <c r="W408" s="9"/>
      <c r="X408" s="9"/>
      <c r="Y408" s="9"/>
      <c r="Z408" s="9"/>
      <c r="AA408" s="9"/>
      <c r="AB408" s="9"/>
      <c r="AC408" s="9"/>
      <c r="AD408" s="9"/>
    </row>
    <row r="409" spans="1:30" ht="13.5" customHeight="1">
      <c r="A409" s="2"/>
      <c r="B409" s="2"/>
      <c r="C409" s="2"/>
      <c r="D409" s="2"/>
      <c r="E409" s="2"/>
      <c r="F409" s="2"/>
      <c r="G409" s="2"/>
      <c r="H409" s="2"/>
      <c r="I409" s="2"/>
      <c r="J409" s="2"/>
      <c r="K409" s="2"/>
      <c r="L409" s="2"/>
      <c r="M409" s="2"/>
      <c r="N409" s="2"/>
      <c r="O409" s="2"/>
      <c r="P409" s="2"/>
      <c r="Q409" s="2"/>
      <c r="R409" s="9"/>
      <c r="S409" s="9"/>
      <c r="T409" s="9"/>
      <c r="U409" s="9"/>
      <c r="V409" s="9"/>
      <c r="W409" s="9"/>
      <c r="X409" s="9"/>
      <c r="Y409" s="9"/>
      <c r="Z409" s="9"/>
      <c r="AA409" s="9"/>
      <c r="AB409" s="9"/>
      <c r="AC409" s="9"/>
      <c r="AD409" s="9"/>
    </row>
    <row r="410" spans="1:30" ht="13.5" customHeight="1">
      <c r="A410" s="2"/>
      <c r="B410" s="2"/>
      <c r="C410" s="2"/>
      <c r="D410" s="2"/>
      <c r="E410" s="2"/>
      <c r="F410" s="2"/>
      <c r="G410" s="2"/>
      <c r="H410" s="2"/>
      <c r="I410" s="2"/>
      <c r="J410" s="2"/>
      <c r="K410" s="2"/>
      <c r="L410" s="2"/>
      <c r="M410" s="2"/>
      <c r="N410" s="2"/>
      <c r="O410" s="2"/>
      <c r="P410" s="2"/>
      <c r="Q410" s="2"/>
      <c r="R410" s="9"/>
      <c r="S410" s="9"/>
      <c r="T410" s="9"/>
      <c r="U410" s="9"/>
      <c r="V410" s="9"/>
      <c r="W410" s="9"/>
      <c r="X410" s="9"/>
      <c r="Y410" s="9"/>
      <c r="Z410" s="9"/>
      <c r="AA410" s="9"/>
      <c r="AB410" s="9"/>
      <c r="AC410" s="9"/>
      <c r="AD410" s="9"/>
    </row>
    <row r="411" spans="1:30" ht="13.5" customHeight="1">
      <c r="A411" s="2"/>
      <c r="B411" s="2"/>
      <c r="C411" s="2"/>
      <c r="D411" s="2"/>
      <c r="E411" s="2"/>
      <c r="F411" s="2"/>
      <c r="G411" s="2"/>
      <c r="H411" s="2"/>
      <c r="I411" s="2"/>
      <c r="J411" s="2"/>
      <c r="K411" s="2"/>
      <c r="L411" s="2"/>
      <c r="M411" s="2"/>
      <c r="N411" s="2"/>
      <c r="O411" s="2"/>
      <c r="P411" s="2"/>
      <c r="Q411" s="2"/>
      <c r="R411" s="9"/>
      <c r="S411" s="9"/>
      <c r="T411" s="9"/>
      <c r="U411" s="9"/>
      <c r="V411" s="9"/>
      <c r="W411" s="9"/>
      <c r="X411" s="9"/>
      <c r="Y411" s="9"/>
      <c r="Z411" s="9"/>
      <c r="AA411" s="9"/>
      <c r="AB411" s="9"/>
      <c r="AC411" s="9"/>
      <c r="AD411" s="9"/>
    </row>
    <row r="412" spans="1:30" ht="13.5" customHeight="1">
      <c r="A412" s="2"/>
      <c r="B412" s="2"/>
      <c r="C412" s="2"/>
      <c r="D412" s="2"/>
      <c r="E412" s="2"/>
      <c r="F412" s="2"/>
      <c r="G412" s="2"/>
      <c r="H412" s="2"/>
      <c r="I412" s="2"/>
      <c r="J412" s="2"/>
      <c r="K412" s="2"/>
      <c r="L412" s="2"/>
      <c r="M412" s="2"/>
      <c r="N412" s="2"/>
      <c r="O412" s="2"/>
      <c r="P412" s="2"/>
      <c r="Q412" s="2"/>
      <c r="R412" s="9"/>
      <c r="S412" s="9"/>
      <c r="T412" s="9"/>
      <c r="U412" s="9"/>
      <c r="V412" s="9"/>
      <c r="W412" s="9"/>
      <c r="X412" s="9"/>
      <c r="Y412" s="9"/>
      <c r="Z412" s="9"/>
      <c r="AA412" s="9"/>
      <c r="AB412" s="9"/>
      <c r="AC412" s="9"/>
      <c r="AD412" s="9"/>
    </row>
    <row r="413" spans="1:30" ht="13.5" customHeight="1">
      <c r="A413" s="2"/>
      <c r="B413" s="2"/>
      <c r="C413" s="2"/>
      <c r="D413" s="2"/>
      <c r="E413" s="2"/>
      <c r="F413" s="2"/>
      <c r="G413" s="2"/>
      <c r="H413" s="2"/>
      <c r="I413" s="2"/>
      <c r="J413" s="2"/>
      <c r="K413" s="2"/>
      <c r="L413" s="2"/>
      <c r="M413" s="2"/>
      <c r="N413" s="2"/>
      <c r="O413" s="2"/>
      <c r="P413" s="2"/>
      <c r="Q413" s="2"/>
      <c r="R413" s="9"/>
      <c r="S413" s="9"/>
      <c r="T413" s="9"/>
      <c r="U413" s="9"/>
      <c r="V413" s="9"/>
      <c r="W413" s="9"/>
      <c r="X413" s="9"/>
      <c r="Y413" s="9"/>
      <c r="Z413" s="9"/>
      <c r="AA413" s="9"/>
      <c r="AB413" s="9"/>
      <c r="AC413" s="9"/>
      <c r="AD413" s="9"/>
    </row>
    <row r="414" spans="1:30" ht="13.5" customHeight="1">
      <c r="A414" s="2"/>
      <c r="B414" s="2"/>
      <c r="C414" s="2"/>
      <c r="D414" s="2"/>
      <c r="E414" s="2"/>
      <c r="F414" s="2"/>
      <c r="G414" s="2"/>
      <c r="H414" s="2"/>
      <c r="I414" s="2"/>
      <c r="J414" s="2"/>
      <c r="K414" s="2"/>
      <c r="L414" s="2"/>
      <c r="M414" s="2"/>
      <c r="N414" s="2"/>
      <c r="O414" s="2"/>
      <c r="P414" s="2"/>
      <c r="Q414" s="2"/>
      <c r="R414" s="9"/>
      <c r="S414" s="9"/>
      <c r="T414" s="9"/>
      <c r="U414" s="9"/>
      <c r="V414" s="9"/>
      <c r="W414" s="9"/>
      <c r="X414" s="9"/>
      <c r="Y414" s="9"/>
      <c r="Z414" s="9"/>
      <c r="AA414" s="9"/>
      <c r="AB414" s="9"/>
      <c r="AC414" s="9"/>
      <c r="AD414" s="9"/>
    </row>
    <row r="415" spans="1:30" ht="13.5" customHeight="1">
      <c r="A415" s="2"/>
      <c r="B415" s="2"/>
      <c r="C415" s="2"/>
      <c r="D415" s="2"/>
      <c r="E415" s="2"/>
      <c r="F415" s="2"/>
      <c r="G415" s="2"/>
      <c r="H415" s="2"/>
      <c r="I415" s="2"/>
      <c r="J415" s="2"/>
      <c r="K415" s="2"/>
      <c r="L415" s="2"/>
      <c r="M415" s="2"/>
      <c r="N415" s="2"/>
      <c r="O415" s="2"/>
      <c r="P415" s="2"/>
      <c r="Q415" s="2"/>
      <c r="R415" s="9"/>
      <c r="S415" s="9"/>
      <c r="T415" s="9"/>
      <c r="U415" s="9"/>
      <c r="V415" s="9"/>
      <c r="W415" s="9"/>
      <c r="X415" s="9"/>
      <c r="Y415" s="9"/>
      <c r="Z415" s="9"/>
      <c r="AA415" s="9"/>
      <c r="AB415" s="9"/>
      <c r="AC415" s="9"/>
      <c r="AD415" s="9"/>
    </row>
    <row r="416" spans="1:30" ht="13.5" customHeight="1">
      <c r="A416" s="2"/>
      <c r="B416" s="2"/>
      <c r="C416" s="2"/>
      <c r="D416" s="2"/>
      <c r="E416" s="2"/>
      <c r="F416" s="2"/>
      <c r="G416" s="2"/>
      <c r="H416" s="2"/>
      <c r="I416" s="2"/>
      <c r="J416" s="2"/>
      <c r="K416" s="2"/>
      <c r="L416" s="2"/>
      <c r="M416" s="2"/>
      <c r="N416" s="2"/>
      <c r="O416" s="2"/>
      <c r="P416" s="2"/>
      <c r="Q416" s="2"/>
      <c r="R416" s="9"/>
      <c r="S416" s="9"/>
      <c r="T416" s="9"/>
      <c r="U416" s="9"/>
      <c r="V416" s="9"/>
      <c r="W416" s="9"/>
      <c r="X416" s="9"/>
      <c r="Y416" s="9"/>
      <c r="Z416" s="9"/>
      <c r="AA416" s="9"/>
      <c r="AB416" s="9"/>
      <c r="AC416" s="9"/>
      <c r="AD416" s="9"/>
    </row>
    <row r="417" spans="1:30" ht="13.5" customHeight="1">
      <c r="A417" s="2"/>
      <c r="B417" s="2"/>
      <c r="C417" s="2"/>
      <c r="D417" s="2"/>
      <c r="E417" s="2"/>
      <c r="F417" s="2"/>
      <c r="G417" s="2"/>
      <c r="H417" s="2"/>
      <c r="I417" s="2"/>
      <c r="J417" s="2"/>
      <c r="K417" s="2"/>
      <c r="L417" s="2"/>
      <c r="M417" s="2"/>
      <c r="N417" s="2"/>
      <c r="O417" s="2"/>
      <c r="P417" s="2"/>
      <c r="Q417" s="2"/>
      <c r="R417" s="9"/>
      <c r="S417" s="9"/>
      <c r="T417" s="9"/>
      <c r="U417" s="9"/>
      <c r="V417" s="9"/>
      <c r="W417" s="9"/>
      <c r="X417" s="9"/>
      <c r="Y417" s="9"/>
      <c r="Z417" s="9"/>
      <c r="AA417" s="9"/>
      <c r="AB417" s="9"/>
      <c r="AC417" s="9"/>
      <c r="AD417" s="9"/>
    </row>
    <row r="418" spans="1:30" ht="13.5" customHeight="1">
      <c r="A418" s="2"/>
      <c r="B418" s="2"/>
      <c r="C418" s="2"/>
      <c r="D418" s="2"/>
      <c r="E418" s="2"/>
      <c r="F418" s="2"/>
      <c r="G418" s="2"/>
      <c r="H418" s="2"/>
      <c r="I418" s="2"/>
      <c r="J418" s="2"/>
      <c r="K418" s="2"/>
      <c r="L418" s="2"/>
      <c r="M418" s="2"/>
      <c r="N418" s="2"/>
      <c r="O418" s="2"/>
      <c r="P418" s="2"/>
      <c r="Q418" s="2"/>
      <c r="R418" s="9"/>
      <c r="S418" s="9"/>
      <c r="T418" s="9"/>
      <c r="U418" s="9"/>
      <c r="V418" s="9"/>
      <c r="W418" s="9"/>
      <c r="X418" s="9"/>
      <c r="Y418" s="9"/>
      <c r="Z418" s="9"/>
      <c r="AA418" s="9"/>
      <c r="AB418" s="9"/>
      <c r="AC418" s="9"/>
      <c r="AD418" s="9"/>
    </row>
    <row r="419" spans="1:30" ht="13.5" customHeight="1">
      <c r="A419" s="2"/>
      <c r="B419" s="2"/>
      <c r="C419" s="2"/>
      <c r="D419" s="2"/>
      <c r="E419" s="2"/>
      <c r="F419" s="2"/>
      <c r="G419" s="2"/>
      <c r="H419" s="2"/>
      <c r="I419" s="2"/>
      <c r="J419" s="2"/>
      <c r="K419" s="2"/>
      <c r="L419" s="2"/>
      <c r="M419" s="2"/>
      <c r="N419" s="2"/>
      <c r="O419" s="2"/>
      <c r="P419" s="2"/>
      <c r="Q419" s="2"/>
      <c r="R419" s="9"/>
      <c r="S419" s="9"/>
      <c r="T419" s="9"/>
      <c r="U419" s="9"/>
      <c r="V419" s="9"/>
      <c r="W419" s="9"/>
      <c r="X419" s="9"/>
      <c r="Y419" s="9"/>
      <c r="Z419" s="9"/>
      <c r="AA419" s="9"/>
      <c r="AB419" s="9"/>
      <c r="AC419" s="9"/>
      <c r="AD419" s="9"/>
    </row>
    <row r="420" spans="1:30" ht="13.5" customHeight="1">
      <c r="A420" s="2"/>
      <c r="B420" s="2"/>
      <c r="C420" s="2"/>
      <c r="D420" s="2"/>
      <c r="E420" s="2"/>
      <c r="F420" s="2"/>
      <c r="G420" s="2"/>
      <c r="H420" s="2"/>
      <c r="I420" s="2"/>
      <c r="J420" s="2"/>
      <c r="K420" s="2"/>
      <c r="L420" s="2"/>
      <c r="M420" s="2"/>
      <c r="N420" s="2"/>
      <c r="O420" s="2"/>
      <c r="P420" s="2"/>
      <c r="Q420" s="2"/>
      <c r="R420" s="9"/>
      <c r="S420" s="9"/>
      <c r="T420" s="9"/>
      <c r="U420" s="9"/>
      <c r="V420" s="9"/>
      <c r="W420" s="9"/>
      <c r="X420" s="9"/>
      <c r="Y420" s="9"/>
      <c r="Z420" s="9"/>
      <c r="AA420" s="9"/>
      <c r="AB420" s="9"/>
      <c r="AC420" s="9"/>
      <c r="AD420" s="9"/>
    </row>
    <row r="421" spans="1:30" ht="13.5" customHeight="1">
      <c r="A421" s="2"/>
      <c r="B421" s="2"/>
      <c r="C421" s="2"/>
      <c r="D421" s="2"/>
      <c r="E421" s="2"/>
      <c r="F421" s="2"/>
      <c r="G421" s="2"/>
      <c r="H421" s="2"/>
      <c r="I421" s="2"/>
      <c r="J421" s="2"/>
      <c r="K421" s="2"/>
      <c r="L421" s="2"/>
      <c r="M421" s="2"/>
      <c r="N421" s="2"/>
      <c r="O421" s="2"/>
      <c r="P421" s="2"/>
      <c r="Q421" s="2"/>
      <c r="R421" s="9"/>
      <c r="S421" s="9"/>
      <c r="T421" s="9"/>
      <c r="U421" s="9"/>
      <c r="V421" s="9"/>
      <c r="W421" s="9"/>
      <c r="X421" s="9"/>
      <c r="Y421" s="9"/>
      <c r="Z421" s="9"/>
      <c r="AA421" s="9"/>
      <c r="AB421" s="9"/>
      <c r="AC421" s="9"/>
      <c r="AD421" s="9"/>
    </row>
    <row r="422" spans="1:30" ht="13.5" customHeight="1">
      <c r="A422" s="2"/>
      <c r="B422" s="2"/>
      <c r="C422" s="2"/>
      <c r="D422" s="2"/>
      <c r="E422" s="2"/>
      <c r="F422" s="2"/>
      <c r="G422" s="2"/>
      <c r="H422" s="2"/>
      <c r="I422" s="2"/>
      <c r="J422" s="2"/>
      <c r="K422" s="2"/>
      <c r="L422" s="2"/>
      <c r="M422" s="2"/>
      <c r="N422" s="2"/>
      <c r="O422" s="2"/>
      <c r="P422" s="2"/>
      <c r="Q422" s="2"/>
      <c r="R422" s="9"/>
      <c r="S422" s="9"/>
      <c r="T422" s="9"/>
      <c r="U422" s="9"/>
      <c r="V422" s="9"/>
      <c r="W422" s="9"/>
      <c r="X422" s="9"/>
      <c r="Y422" s="9"/>
      <c r="Z422" s="9"/>
      <c r="AA422" s="9"/>
      <c r="AB422" s="9"/>
      <c r="AC422" s="9"/>
      <c r="AD422" s="9"/>
    </row>
    <row r="423" spans="1:30" ht="13.5" customHeight="1">
      <c r="A423" s="2"/>
      <c r="B423" s="2"/>
      <c r="C423" s="2"/>
      <c r="D423" s="2"/>
      <c r="E423" s="2"/>
      <c r="F423" s="2"/>
      <c r="G423" s="2"/>
      <c r="H423" s="2"/>
      <c r="I423" s="2"/>
      <c r="J423" s="2"/>
      <c r="K423" s="2"/>
      <c r="L423" s="2"/>
      <c r="M423" s="2"/>
      <c r="N423" s="2"/>
      <c r="O423" s="2"/>
      <c r="P423" s="2"/>
      <c r="Q423" s="2"/>
      <c r="R423" s="9"/>
      <c r="S423" s="9"/>
      <c r="T423" s="9"/>
      <c r="U423" s="9"/>
      <c r="V423" s="9"/>
      <c r="W423" s="9"/>
      <c r="X423" s="9"/>
      <c r="Y423" s="9"/>
      <c r="Z423" s="9"/>
      <c r="AA423" s="9"/>
      <c r="AB423" s="9"/>
      <c r="AC423" s="9"/>
      <c r="AD423" s="9"/>
    </row>
    <row r="424" spans="1:30" ht="13.5" customHeight="1">
      <c r="A424" s="2"/>
      <c r="B424" s="2"/>
      <c r="C424" s="2"/>
      <c r="D424" s="2"/>
      <c r="E424" s="2"/>
      <c r="F424" s="2"/>
      <c r="G424" s="2"/>
      <c r="H424" s="2"/>
      <c r="I424" s="2"/>
      <c r="J424" s="2"/>
      <c r="K424" s="2"/>
      <c r="L424" s="2"/>
      <c r="M424" s="2"/>
      <c r="N424" s="2"/>
      <c r="O424" s="2"/>
      <c r="P424" s="2"/>
      <c r="Q424" s="2"/>
      <c r="R424" s="9"/>
      <c r="S424" s="9"/>
      <c r="T424" s="9"/>
      <c r="U424" s="9"/>
      <c r="V424" s="9"/>
      <c r="W424" s="9"/>
      <c r="X424" s="9"/>
      <c r="Y424" s="9"/>
      <c r="Z424" s="9"/>
      <c r="AA424" s="9"/>
      <c r="AB424" s="9"/>
      <c r="AC424" s="9"/>
      <c r="AD424" s="9"/>
    </row>
    <row r="425" spans="1:30" ht="13.5" customHeight="1">
      <c r="A425" s="2"/>
      <c r="B425" s="2"/>
      <c r="C425" s="2"/>
      <c r="D425" s="2"/>
      <c r="E425" s="2"/>
      <c r="F425" s="2"/>
      <c r="G425" s="2"/>
      <c r="H425" s="2"/>
      <c r="I425" s="2"/>
      <c r="J425" s="2"/>
      <c r="K425" s="2"/>
      <c r="L425" s="2"/>
      <c r="M425" s="2"/>
      <c r="N425" s="2"/>
      <c r="O425" s="2"/>
      <c r="P425" s="2"/>
      <c r="Q425" s="2"/>
      <c r="R425" s="9"/>
      <c r="S425" s="9"/>
      <c r="T425" s="9"/>
      <c r="U425" s="9"/>
      <c r="V425" s="9"/>
      <c r="W425" s="9"/>
      <c r="X425" s="9"/>
      <c r="Y425" s="9"/>
      <c r="Z425" s="9"/>
      <c r="AA425" s="9"/>
      <c r="AB425" s="9"/>
      <c r="AC425" s="9"/>
      <c r="AD425" s="9"/>
    </row>
    <row r="426" spans="1:30" ht="13.5" customHeight="1">
      <c r="A426" s="2"/>
      <c r="B426" s="2"/>
      <c r="C426" s="2"/>
      <c r="D426" s="2"/>
      <c r="E426" s="2"/>
      <c r="F426" s="2"/>
      <c r="G426" s="2"/>
      <c r="H426" s="2"/>
      <c r="I426" s="2"/>
      <c r="J426" s="2"/>
      <c r="K426" s="2"/>
      <c r="L426" s="2"/>
      <c r="M426" s="2"/>
      <c r="N426" s="2"/>
      <c r="O426" s="2"/>
      <c r="P426" s="2"/>
      <c r="Q426" s="2"/>
      <c r="R426" s="9"/>
      <c r="S426" s="9"/>
      <c r="T426" s="9"/>
      <c r="U426" s="9"/>
      <c r="V426" s="9"/>
      <c r="W426" s="9"/>
      <c r="X426" s="9"/>
      <c r="Y426" s="9"/>
      <c r="Z426" s="9"/>
      <c r="AA426" s="9"/>
      <c r="AB426" s="9"/>
      <c r="AC426" s="9"/>
      <c r="AD426" s="9"/>
    </row>
    <row r="427" spans="1:30" ht="13.5" customHeight="1">
      <c r="A427" s="2"/>
      <c r="B427" s="2"/>
      <c r="C427" s="2"/>
      <c r="D427" s="2"/>
      <c r="E427" s="2"/>
      <c r="F427" s="2"/>
      <c r="G427" s="2"/>
      <c r="H427" s="2"/>
      <c r="I427" s="2"/>
      <c r="J427" s="2"/>
      <c r="K427" s="2"/>
      <c r="L427" s="2"/>
      <c r="M427" s="2"/>
      <c r="N427" s="2"/>
      <c r="O427" s="2"/>
      <c r="P427" s="2"/>
      <c r="Q427" s="2"/>
      <c r="R427" s="9"/>
      <c r="S427" s="9"/>
      <c r="T427" s="9"/>
      <c r="U427" s="9"/>
      <c r="V427" s="9"/>
      <c r="W427" s="9"/>
      <c r="X427" s="9"/>
      <c r="Y427" s="9"/>
      <c r="Z427" s="9"/>
      <c r="AA427" s="9"/>
      <c r="AB427" s="9"/>
      <c r="AC427" s="9"/>
      <c r="AD427" s="9"/>
    </row>
    <row r="428" spans="1:30" ht="13.5" customHeight="1">
      <c r="A428" s="2"/>
      <c r="B428" s="2"/>
      <c r="C428" s="2"/>
      <c r="D428" s="2"/>
      <c r="E428" s="2"/>
      <c r="F428" s="2"/>
      <c r="G428" s="2"/>
      <c r="H428" s="2"/>
      <c r="I428" s="2"/>
      <c r="J428" s="2"/>
      <c r="K428" s="2"/>
      <c r="L428" s="2"/>
      <c r="M428" s="2"/>
      <c r="N428" s="2"/>
      <c r="O428" s="2"/>
      <c r="P428" s="2"/>
      <c r="Q428" s="2"/>
      <c r="R428" s="9"/>
      <c r="S428" s="9"/>
      <c r="T428" s="9"/>
      <c r="U428" s="9"/>
      <c r="V428" s="9"/>
      <c r="W428" s="9"/>
      <c r="X428" s="9"/>
      <c r="Y428" s="9"/>
      <c r="Z428" s="9"/>
      <c r="AA428" s="9"/>
      <c r="AB428" s="9"/>
      <c r="AC428" s="9"/>
      <c r="AD428" s="9"/>
    </row>
    <row r="429" spans="1:30" ht="13.5" customHeight="1">
      <c r="A429" s="2"/>
      <c r="B429" s="2"/>
      <c r="C429" s="2"/>
      <c r="D429" s="2"/>
      <c r="E429" s="2"/>
      <c r="F429" s="2"/>
      <c r="G429" s="2"/>
      <c r="H429" s="2"/>
      <c r="I429" s="2"/>
      <c r="J429" s="2"/>
      <c r="K429" s="2"/>
      <c r="L429" s="2"/>
      <c r="M429" s="2"/>
      <c r="N429" s="2"/>
      <c r="O429" s="2"/>
      <c r="P429" s="2"/>
      <c r="Q429" s="2"/>
      <c r="R429" s="9"/>
      <c r="S429" s="9"/>
      <c r="T429" s="9"/>
      <c r="U429" s="9"/>
      <c r="V429" s="9"/>
      <c r="W429" s="9"/>
      <c r="X429" s="9"/>
      <c r="Y429" s="9"/>
      <c r="Z429" s="9"/>
      <c r="AA429" s="9"/>
      <c r="AB429" s="9"/>
      <c r="AC429" s="9"/>
      <c r="AD429" s="9"/>
    </row>
    <row r="430" spans="1:30" ht="13.5" customHeight="1">
      <c r="A430" s="2"/>
      <c r="B430" s="2"/>
      <c r="C430" s="2"/>
      <c r="D430" s="2"/>
      <c r="E430" s="2"/>
      <c r="F430" s="2"/>
      <c r="G430" s="2"/>
      <c r="H430" s="2"/>
      <c r="I430" s="2"/>
      <c r="J430" s="2"/>
      <c r="K430" s="2"/>
      <c r="L430" s="2"/>
      <c r="M430" s="2"/>
      <c r="N430" s="2"/>
      <c r="O430" s="2"/>
      <c r="P430" s="2"/>
      <c r="Q430" s="2"/>
      <c r="R430" s="9"/>
      <c r="S430" s="9"/>
      <c r="T430" s="9"/>
      <c r="U430" s="9"/>
      <c r="V430" s="9"/>
      <c r="W430" s="9"/>
      <c r="X430" s="9"/>
      <c r="Y430" s="9"/>
      <c r="Z430" s="9"/>
      <c r="AA430" s="9"/>
      <c r="AB430" s="9"/>
      <c r="AC430" s="9"/>
      <c r="AD430" s="9"/>
    </row>
    <row r="431" spans="1:30" ht="13.5" customHeight="1">
      <c r="A431" s="2"/>
      <c r="B431" s="2"/>
      <c r="C431" s="2"/>
      <c r="D431" s="2"/>
      <c r="E431" s="2"/>
      <c r="F431" s="2"/>
      <c r="G431" s="2"/>
      <c r="H431" s="2"/>
      <c r="I431" s="2"/>
      <c r="J431" s="2"/>
      <c r="K431" s="2"/>
      <c r="L431" s="2"/>
      <c r="M431" s="2"/>
      <c r="N431" s="2"/>
      <c r="O431" s="2"/>
      <c r="P431" s="2"/>
      <c r="Q431" s="2"/>
      <c r="R431" s="9"/>
      <c r="S431" s="9"/>
      <c r="T431" s="9"/>
      <c r="U431" s="9"/>
      <c r="V431" s="9"/>
      <c r="W431" s="9"/>
      <c r="X431" s="9"/>
      <c r="Y431" s="9"/>
      <c r="Z431" s="9"/>
      <c r="AA431" s="9"/>
      <c r="AB431" s="9"/>
      <c r="AC431" s="9"/>
      <c r="AD431" s="9"/>
    </row>
    <row r="432" spans="1:30" ht="13.5" customHeight="1">
      <c r="A432" s="2"/>
      <c r="B432" s="2"/>
      <c r="C432" s="2"/>
      <c r="D432" s="2"/>
      <c r="E432" s="2"/>
      <c r="F432" s="2"/>
      <c r="G432" s="2"/>
      <c r="H432" s="2"/>
      <c r="I432" s="2"/>
      <c r="J432" s="2"/>
      <c r="K432" s="2"/>
      <c r="L432" s="2"/>
      <c r="M432" s="2"/>
      <c r="N432" s="2"/>
      <c r="O432" s="2"/>
      <c r="P432" s="2"/>
      <c r="Q432" s="2"/>
      <c r="R432" s="9"/>
      <c r="S432" s="9"/>
      <c r="T432" s="9"/>
      <c r="U432" s="9"/>
      <c r="V432" s="9"/>
      <c r="W432" s="9"/>
      <c r="X432" s="9"/>
      <c r="Y432" s="9"/>
      <c r="Z432" s="9"/>
      <c r="AA432" s="9"/>
      <c r="AB432" s="9"/>
      <c r="AC432" s="9"/>
      <c r="AD432" s="9"/>
    </row>
    <row r="433" spans="1:30" ht="13.5" customHeight="1">
      <c r="A433" s="2"/>
      <c r="B433" s="2"/>
      <c r="C433" s="2"/>
      <c r="D433" s="2"/>
      <c r="E433" s="2"/>
      <c r="F433" s="2"/>
      <c r="G433" s="2"/>
      <c r="H433" s="2"/>
      <c r="I433" s="2"/>
      <c r="J433" s="2"/>
      <c r="K433" s="2"/>
      <c r="L433" s="2"/>
      <c r="M433" s="2"/>
      <c r="N433" s="2"/>
      <c r="O433" s="2"/>
      <c r="P433" s="2"/>
      <c r="Q433" s="2"/>
      <c r="R433" s="9"/>
      <c r="S433" s="9"/>
      <c r="T433" s="9"/>
      <c r="U433" s="9"/>
      <c r="V433" s="9"/>
      <c r="W433" s="9"/>
      <c r="X433" s="9"/>
      <c r="Y433" s="9"/>
      <c r="Z433" s="9"/>
      <c r="AA433" s="9"/>
      <c r="AB433" s="9"/>
      <c r="AC433" s="9"/>
      <c r="AD433" s="9"/>
    </row>
    <row r="434" spans="1:30" ht="13.5" customHeight="1">
      <c r="A434" s="2"/>
      <c r="B434" s="2"/>
      <c r="C434" s="2"/>
      <c r="D434" s="2"/>
      <c r="E434" s="2"/>
      <c r="F434" s="2"/>
      <c r="G434" s="2"/>
      <c r="H434" s="2"/>
      <c r="I434" s="2"/>
      <c r="J434" s="2"/>
      <c r="K434" s="2"/>
      <c r="L434" s="2"/>
      <c r="M434" s="2"/>
      <c r="N434" s="2"/>
      <c r="O434" s="2"/>
      <c r="P434" s="2"/>
      <c r="Q434" s="2"/>
      <c r="R434" s="9"/>
      <c r="S434" s="9"/>
      <c r="T434" s="9"/>
      <c r="U434" s="9"/>
      <c r="V434" s="9"/>
      <c r="W434" s="9"/>
      <c r="X434" s="9"/>
      <c r="Y434" s="9"/>
      <c r="Z434" s="9"/>
      <c r="AA434" s="9"/>
      <c r="AB434" s="9"/>
      <c r="AC434" s="9"/>
      <c r="AD434" s="9"/>
    </row>
    <row r="435" spans="1:30" ht="13.5" customHeight="1">
      <c r="A435" s="2"/>
      <c r="B435" s="2"/>
      <c r="C435" s="2"/>
      <c r="D435" s="2"/>
      <c r="E435" s="2"/>
      <c r="F435" s="2"/>
      <c r="G435" s="2"/>
      <c r="H435" s="2"/>
      <c r="I435" s="2"/>
      <c r="J435" s="2"/>
      <c r="K435" s="2"/>
      <c r="L435" s="2"/>
      <c r="M435" s="2"/>
      <c r="N435" s="2"/>
      <c r="O435" s="2"/>
      <c r="P435" s="2"/>
      <c r="Q435" s="2"/>
      <c r="R435" s="9"/>
      <c r="S435" s="9"/>
      <c r="T435" s="9"/>
      <c r="U435" s="9"/>
      <c r="V435" s="9"/>
      <c r="W435" s="9"/>
      <c r="X435" s="9"/>
      <c r="Y435" s="9"/>
      <c r="Z435" s="9"/>
      <c r="AA435" s="9"/>
      <c r="AB435" s="9"/>
      <c r="AC435" s="9"/>
      <c r="AD435" s="9"/>
    </row>
    <row r="436" spans="1:30" ht="13.5" customHeight="1">
      <c r="A436" s="2"/>
      <c r="B436" s="2"/>
      <c r="C436" s="2"/>
      <c r="D436" s="2"/>
      <c r="E436" s="2"/>
      <c r="F436" s="2"/>
      <c r="G436" s="2"/>
      <c r="H436" s="2"/>
      <c r="I436" s="2"/>
      <c r="J436" s="2"/>
      <c r="K436" s="2"/>
      <c r="L436" s="2"/>
      <c r="M436" s="2"/>
      <c r="N436" s="2"/>
      <c r="O436" s="2"/>
      <c r="P436" s="2"/>
      <c r="Q436" s="2"/>
      <c r="R436" s="9"/>
      <c r="S436" s="9"/>
      <c r="T436" s="9"/>
      <c r="U436" s="9"/>
      <c r="V436" s="9"/>
      <c r="W436" s="9"/>
      <c r="X436" s="9"/>
      <c r="Y436" s="9"/>
      <c r="Z436" s="9"/>
      <c r="AA436" s="9"/>
      <c r="AB436" s="9"/>
      <c r="AC436" s="9"/>
      <c r="AD436" s="9"/>
    </row>
    <row r="437" spans="1:30" ht="13.5" customHeight="1">
      <c r="A437" s="2"/>
      <c r="B437" s="2"/>
      <c r="C437" s="2"/>
      <c r="D437" s="2"/>
      <c r="E437" s="2"/>
      <c r="F437" s="2"/>
      <c r="G437" s="2"/>
      <c r="H437" s="2"/>
      <c r="I437" s="2"/>
      <c r="J437" s="2"/>
      <c r="K437" s="2"/>
      <c r="L437" s="2"/>
      <c r="M437" s="2"/>
      <c r="N437" s="2"/>
      <c r="O437" s="2"/>
      <c r="P437" s="2"/>
      <c r="Q437" s="2"/>
      <c r="R437" s="9"/>
      <c r="S437" s="9"/>
      <c r="T437" s="9"/>
      <c r="U437" s="9"/>
      <c r="V437" s="9"/>
      <c r="W437" s="9"/>
      <c r="X437" s="9"/>
      <c r="Y437" s="9"/>
      <c r="Z437" s="9"/>
      <c r="AA437" s="9"/>
      <c r="AB437" s="9"/>
      <c r="AC437" s="9"/>
      <c r="AD437" s="9"/>
    </row>
    <row r="438" spans="1:30" ht="13.5" customHeight="1">
      <c r="A438" s="2"/>
      <c r="B438" s="2"/>
      <c r="C438" s="2"/>
      <c r="D438" s="2"/>
      <c r="E438" s="2"/>
      <c r="F438" s="2"/>
      <c r="G438" s="2"/>
      <c r="H438" s="2"/>
      <c r="I438" s="2"/>
      <c r="J438" s="2"/>
      <c r="K438" s="2"/>
      <c r="L438" s="2"/>
      <c r="M438" s="2"/>
      <c r="N438" s="2"/>
      <c r="O438" s="2"/>
      <c r="P438" s="2"/>
      <c r="Q438" s="2"/>
      <c r="R438" s="9"/>
      <c r="S438" s="9"/>
      <c r="T438" s="9"/>
      <c r="U438" s="9"/>
      <c r="V438" s="9"/>
      <c r="W438" s="9"/>
      <c r="X438" s="9"/>
      <c r="Y438" s="9"/>
      <c r="Z438" s="9"/>
      <c r="AA438" s="9"/>
      <c r="AB438" s="9"/>
      <c r="AC438" s="9"/>
      <c r="AD438" s="9"/>
    </row>
    <row r="439" spans="1:30" ht="13.5" customHeight="1">
      <c r="A439" s="2"/>
      <c r="B439" s="2"/>
      <c r="C439" s="2"/>
      <c r="D439" s="2"/>
      <c r="E439" s="2"/>
      <c r="F439" s="2"/>
      <c r="G439" s="2"/>
      <c r="H439" s="2"/>
      <c r="I439" s="2"/>
      <c r="J439" s="2"/>
      <c r="K439" s="2"/>
      <c r="L439" s="2"/>
      <c r="M439" s="2"/>
      <c r="N439" s="2"/>
      <c r="O439" s="2"/>
      <c r="P439" s="2"/>
      <c r="Q439" s="2"/>
      <c r="R439" s="9"/>
      <c r="S439" s="9"/>
      <c r="T439" s="9"/>
      <c r="U439" s="9"/>
      <c r="V439" s="9"/>
      <c r="W439" s="9"/>
      <c r="X439" s="9"/>
      <c r="Y439" s="9"/>
      <c r="Z439" s="9"/>
      <c r="AA439" s="9"/>
      <c r="AB439" s="9"/>
      <c r="AC439" s="9"/>
      <c r="AD439" s="9"/>
    </row>
    <row r="440" spans="1:30" ht="13.5" customHeight="1">
      <c r="A440" s="2"/>
      <c r="B440" s="2"/>
      <c r="C440" s="2"/>
      <c r="D440" s="2"/>
      <c r="E440" s="2"/>
      <c r="F440" s="2"/>
      <c r="G440" s="2"/>
      <c r="H440" s="2"/>
      <c r="I440" s="2"/>
      <c r="J440" s="2"/>
      <c r="K440" s="2"/>
      <c r="L440" s="2"/>
      <c r="M440" s="2"/>
      <c r="N440" s="2"/>
      <c r="O440" s="2"/>
      <c r="P440" s="2"/>
      <c r="Q440" s="2"/>
      <c r="R440" s="9"/>
      <c r="S440" s="9"/>
      <c r="T440" s="9"/>
      <c r="U440" s="9"/>
      <c r="V440" s="9"/>
      <c r="W440" s="9"/>
      <c r="X440" s="9"/>
      <c r="Y440" s="9"/>
      <c r="Z440" s="9"/>
      <c r="AA440" s="9"/>
      <c r="AB440" s="9"/>
      <c r="AC440" s="9"/>
      <c r="AD440" s="9"/>
    </row>
    <row r="441" spans="1:30" ht="13.5" customHeight="1">
      <c r="A441" s="2"/>
      <c r="B441" s="2"/>
      <c r="C441" s="2"/>
      <c r="D441" s="2"/>
      <c r="E441" s="2"/>
      <c r="F441" s="2"/>
      <c r="G441" s="2"/>
      <c r="H441" s="2"/>
      <c r="I441" s="2"/>
      <c r="J441" s="2"/>
      <c r="K441" s="2"/>
      <c r="L441" s="2"/>
      <c r="M441" s="2"/>
      <c r="N441" s="2"/>
      <c r="O441" s="2"/>
      <c r="P441" s="2"/>
      <c r="Q441" s="2"/>
      <c r="R441" s="9"/>
      <c r="S441" s="9"/>
      <c r="T441" s="9"/>
      <c r="U441" s="9"/>
      <c r="V441" s="9"/>
      <c r="W441" s="9"/>
      <c r="X441" s="9"/>
      <c r="Y441" s="9"/>
      <c r="Z441" s="9"/>
      <c r="AA441" s="9"/>
      <c r="AB441" s="9"/>
      <c r="AC441" s="9"/>
      <c r="AD441" s="9"/>
    </row>
    <row r="442" spans="1:30" ht="13.5" customHeight="1">
      <c r="A442" s="2"/>
      <c r="B442" s="2"/>
      <c r="C442" s="2"/>
      <c r="D442" s="2"/>
      <c r="E442" s="2"/>
      <c r="F442" s="2"/>
      <c r="G442" s="2"/>
      <c r="H442" s="2"/>
      <c r="I442" s="2"/>
      <c r="J442" s="2"/>
      <c r="K442" s="2"/>
      <c r="L442" s="2"/>
      <c r="M442" s="2"/>
      <c r="N442" s="2"/>
      <c r="O442" s="2"/>
      <c r="P442" s="2"/>
      <c r="Q442" s="2"/>
      <c r="R442" s="9"/>
      <c r="S442" s="9"/>
      <c r="T442" s="9"/>
      <c r="U442" s="9"/>
      <c r="V442" s="9"/>
      <c r="W442" s="9"/>
      <c r="X442" s="9"/>
      <c r="Y442" s="9"/>
      <c r="Z442" s="9"/>
      <c r="AA442" s="9"/>
      <c r="AB442" s="9"/>
      <c r="AC442" s="9"/>
      <c r="AD442" s="9"/>
    </row>
    <row r="443" spans="1:30" ht="13.5" customHeight="1">
      <c r="A443" s="2"/>
      <c r="B443" s="2"/>
      <c r="C443" s="2"/>
      <c r="D443" s="2"/>
      <c r="E443" s="2"/>
      <c r="F443" s="2"/>
      <c r="G443" s="2"/>
      <c r="H443" s="2"/>
      <c r="I443" s="2"/>
      <c r="J443" s="2"/>
      <c r="K443" s="2"/>
      <c r="L443" s="2"/>
      <c r="M443" s="2"/>
      <c r="N443" s="2"/>
      <c r="O443" s="2"/>
      <c r="P443" s="2"/>
      <c r="Q443" s="2"/>
      <c r="R443" s="9"/>
      <c r="S443" s="9"/>
      <c r="T443" s="9"/>
      <c r="U443" s="9"/>
      <c r="V443" s="9"/>
      <c r="W443" s="9"/>
      <c r="X443" s="9"/>
      <c r="Y443" s="9"/>
      <c r="Z443" s="9"/>
      <c r="AA443" s="9"/>
      <c r="AB443" s="9"/>
      <c r="AC443" s="9"/>
      <c r="AD443" s="9"/>
    </row>
    <row r="444" spans="1:30" ht="13.5" customHeight="1">
      <c r="A444" s="2"/>
      <c r="B444" s="2"/>
      <c r="C444" s="2"/>
      <c r="D444" s="2"/>
      <c r="E444" s="2"/>
      <c r="F444" s="2"/>
      <c r="G444" s="2"/>
      <c r="H444" s="2"/>
      <c r="I444" s="2"/>
      <c r="J444" s="2"/>
      <c r="K444" s="2"/>
      <c r="L444" s="2"/>
      <c r="M444" s="2"/>
      <c r="N444" s="2"/>
      <c r="O444" s="2"/>
      <c r="P444" s="2"/>
      <c r="Q444" s="2"/>
      <c r="R444" s="9"/>
      <c r="S444" s="9"/>
      <c r="T444" s="9"/>
      <c r="U444" s="9"/>
      <c r="V444" s="9"/>
      <c r="W444" s="9"/>
      <c r="X444" s="9"/>
      <c r="Y444" s="9"/>
      <c r="Z444" s="9"/>
      <c r="AA444" s="9"/>
      <c r="AB444" s="9"/>
      <c r="AC444" s="9"/>
      <c r="AD444" s="9"/>
    </row>
    <row r="445" spans="1:30" ht="13.5" customHeight="1">
      <c r="A445" s="2"/>
      <c r="B445" s="2"/>
      <c r="C445" s="2"/>
      <c r="D445" s="2"/>
      <c r="E445" s="2"/>
      <c r="F445" s="2"/>
      <c r="G445" s="2"/>
      <c r="H445" s="2"/>
      <c r="I445" s="2"/>
      <c r="J445" s="2"/>
      <c r="K445" s="2"/>
      <c r="L445" s="2"/>
      <c r="M445" s="2"/>
      <c r="N445" s="2"/>
      <c r="O445" s="2"/>
      <c r="P445" s="2"/>
      <c r="Q445" s="2"/>
      <c r="R445" s="9"/>
      <c r="S445" s="9"/>
      <c r="T445" s="9"/>
      <c r="U445" s="9"/>
      <c r="V445" s="9"/>
      <c r="W445" s="9"/>
      <c r="X445" s="9"/>
      <c r="Y445" s="9"/>
      <c r="Z445" s="9"/>
      <c r="AA445" s="9"/>
      <c r="AB445" s="9"/>
      <c r="AC445" s="9"/>
      <c r="AD445" s="9"/>
    </row>
    <row r="446" spans="1:30" ht="13.5" customHeight="1">
      <c r="A446" s="2"/>
      <c r="B446" s="2"/>
      <c r="C446" s="2"/>
      <c r="D446" s="2"/>
      <c r="E446" s="2"/>
      <c r="F446" s="2"/>
      <c r="G446" s="2"/>
      <c r="H446" s="2"/>
      <c r="I446" s="2"/>
      <c r="J446" s="2"/>
      <c r="K446" s="2"/>
      <c r="L446" s="2"/>
      <c r="M446" s="2"/>
      <c r="N446" s="2"/>
      <c r="O446" s="2"/>
      <c r="P446" s="2"/>
      <c r="Q446" s="2"/>
      <c r="R446" s="9"/>
      <c r="S446" s="9"/>
      <c r="T446" s="9"/>
      <c r="U446" s="9"/>
      <c r="V446" s="9"/>
      <c r="W446" s="9"/>
      <c r="X446" s="9"/>
      <c r="Y446" s="9"/>
      <c r="Z446" s="9"/>
      <c r="AA446" s="9"/>
      <c r="AB446" s="9"/>
      <c r="AC446" s="9"/>
      <c r="AD446" s="9"/>
    </row>
    <row r="447" spans="1:30" ht="13.5" customHeight="1">
      <c r="A447" s="2"/>
      <c r="B447" s="2"/>
      <c r="C447" s="2"/>
      <c r="D447" s="2"/>
      <c r="E447" s="2"/>
      <c r="F447" s="2"/>
      <c r="G447" s="2"/>
      <c r="H447" s="2"/>
      <c r="I447" s="2"/>
      <c r="J447" s="2"/>
      <c r="K447" s="2"/>
      <c r="L447" s="2"/>
      <c r="M447" s="2"/>
      <c r="N447" s="2"/>
      <c r="O447" s="2"/>
      <c r="P447" s="2"/>
      <c r="Q447" s="2"/>
      <c r="R447" s="9"/>
      <c r="S447" s="9"/>
      <c r="T447" s="9"/>
      <c r="U447" s="9"/>
      <c r="V447" s="9"/>
      <c r="W447" s="9"/>
      <c r="X447" s="9"/>
      <c r="Y447" s="9"/>
      <c r="Z447" s="9"/>
      <c r="AA447" s="9"/>
      <c r="AB447" s="9"/>
      <c r="AC447" s="9"/>
      <c r="AD447" s="9"/>
    </row>
    <row r="448" spans="1:30" ht="13.5" customHeight="1">
      <c r="A448" s="2"/>
      <c r="B448" s="2"/>
      <c r="C448" s="2"/>
      <c r="D448" s="2"/>
      <c r="E448" s="2"/>
      <c r="F448" s="2"/>
      <c r="G448" s="2"/>
      <c r="H448" s="2"/>
      <c r="I448" s="2"/>
      <c r="J448" s="2"/>
      <c r="K448" s="2"/>
      <c r="L448" s="2"/>
      <c r="M448" s="2"/>
      <c r="N448" s="2"/>
      <c r="O448" s="2"/>
      <c r="P448" s="2"/>
      <c r="Q448" s="2"/>
      <c r="R448" s="9"/>
      <c r="S448" s="9"/>
      <c r="T448" s="9"/>
      <c r="U448" s="9"/>
      <c r="V448" s="9"/>
      <c r="W448" s="9"/>
      <c r="X448" s="9"/>
      <c r="Y448" s="9"/>
      <c r="Z448" s="9"/>
      <c r="AA448" s="9"/>
      <c r="AB448" s="9"/>
      <c r="AC448" s="9"/>
      <c r="AD448" s="9"/>
    </row>
    <row r="449" spans="1:30" ht="13.5" customHeight="1">
      <c r="A449" s="2"/>
      <c r="B449" s="2"/>
      <c r="C449" s="2"/>
      <c r="D449" s="2"/>
      <c r="E449" s="2"/>
      <c r="F449" s="2"/>
      <c r="G449" s="2"/>
      <c r="H449" s="2"/>
      <c r="I449" s="2"/>
      <c r="J449" s="2"/>
      <c r="K449" s="2"/>
      <c r="L449" s="2"/>
      <c r="M449" s="2"/>
      <c r="N449" s="2"/>
      <c r="O449" s="2"/>
      <c r="P449" s="2"/>
      <c r="Q449" s="2"/>
      <c r="R449" s="9"/>
      <c r="S449" s="9"/>
      <c r="T449" s="9"/>
      <c r="U449" s="9"/>
      <c r="V449" s="9"/>
      <c r="W449" s="9"/>
      <c r="X449" s="9"/>
      <c r="Y449" s="9"/>
      <c r="Z449" s="9"/>
      <c r="AA449" s="9"/>
      <c r="AB449" s="9"/>
      <c r="AC449" s="9"/>
      <c r="AD449" s="9"/>
    </row>
    <row r="450" spans="1:30" ht="13.5" customHeight="1">
      <c r="A450" s="2"/>
      <c r="B450" s="2"/>
      <c r="C450" s="2"/>
      <c r="D450" s="2"/>
      <c r="E450" s="2"/>
      <c r="F450" s="2"/>
      <c r="G450" s="2"/>
      <c r="H450" s="2"/>
      <c r="I450" s="2"/>
      <c r="J450" s="2"/>
      <c r="K450" s="2"/>
      <c r="L450" s="2"/>
      <c r="M450" s="2"/>
      <c r="N450" s="2"/>
      <c r="O450" s="2"/>
      <c r="P450" s="2"/>
      <c r="Q450" s="2"/>
      <c r="R450" s="9"/>
      <c r="S450" s="9"/>
      <c r="T450" s="9"/>
      <c r="U450" s="9"/>
      <c r="V450" s="9"/>
      <c r="W450" s="9"/>
      <c r="X450" s="9"/>
      <c r="Y450" s="9"/>
      <c r="Z450" s="9"/>
      <c r="AA450" s="9"/>
      <c r="AB450" s="9"/>
      <c r="AC450" s="9"/>
      <c r="AD450" s="9"/>
    </row>
    <row r="451" spans="1:30" ht="13.5" customHeight="1">
      <c r="A451" s="2"/>
      <c r="B451" s="2"/>
      <c r="C451" s="2"/>
      <c r="D451" s="2"/>
      <c r="E451" s="2"/>
      <c r="F451" s="2"/>
      <c r="G451" s="2"/>
      <c r="H451" s="2"/>
      <c r="I451" s="2"/>
      <c r="J451" s="2"/>
      <c r="K451" s="2"/>
      <c r="L451" s="2"/>
      <c r="M451" s="2"/>
      <c r="N451" s="2"/>
      <c r="O451" s="2"/>
      <c r="P451" s="2"/>
      <c r="Q451" s="2"/>
      <c r="R451" s="9"/>
      <c r="S451" s="9"/>
      <c r="T451" s="9"/>
      <c r="U451" s="9"/>
      <c r="V451" s="9"/>
      <c r="W451" s="9"/>
      <c r="X451" s="9"/>
      <c r="Y451" s="9"/>
      <c r="Z451" s="9"/>
      <c r="AA451" s="9"/>
      <c r="AB451" s="9"/>
      <c r="AC451" s="9"/>
      <c r="AD451" s="9"/>
    </row>
    <row r="452" spans="1:30" ht="13.5" customHeight="1">
      <c r="A452" s="2"/>
      <c r="B452" s="2"/>
      <c r="C452" s="2"/>
      <c r="D452" s="2"/>
      <c r="E452" s="2"/>
      <c r="F452" s="2"/>
      <c r="G452" s="2"/>
      <c r="H452" s="2"/>
      <c r="I452" s="2"/>
      <c r="J452" s="2"/>
      <c r="K452" s="2"/>
      <c r="L452" s="2"/>
      <c r="M452" s="2"/>
      <c r="N452" s="2"/>
      <c r="O452" s="2"/>
      <c r="P452" s="2"/>
      <c r="Q452" s="2"/>
      <c r="R452" s="9"/>
      <c r="S452" s="9"/>
      <c r="T452" s="9"/>
      <c r="U452" s="9"/>
      <c r="V452" s="9"/>
      <c r="W452" s="9"/>
      <c r="X452" s="9"/>
      <c r="Y452" s="9"/>
      <c r="Z452" s="9"/>
      <c r="AA452" s="9"/>
      <c r="AB452" s="9"/>
      <c r="AC452" s="9"/>
      <c r="AD452" s="9"/>
    </row>
    <row r="453" spans="1:30" ht="13.5" customHeight="1">
      <c r="A453" s="2"/>
      <c r="B453" s="2"/>
      <c r="C453" s="2"/>
      <c r="D453" s="2"/>
      <c r="E453" s="2"/>
      <c r="F453" s="2"/>
      <c r="G453" s="2"/>
      <c r="H453" s="2"/>
      <c r="I453" s="2"/>
      <c r="J453" s="2"/>
      <c r="K453" s="2"/>
      <c r="L453" s="2"/>
      <c r="M453" s="2"/>
      <c r="N453" s="2"/>
      <c r="O453" s="2"/>
      <c r="P453" s="2"/>
      <c r="Q453" s="2"/>
      <c r="R453" s="9"/>
      <c r="S453" s="9"/>
      <c r="T453" s="9"/>
      <c r="U453" s="9"/>
      <c r="V453" s="9"/>
      <c r="W453" s="9"/>
      <c r="X453" s="9"/>
      <c r="Y453" s="9"/>
      <c r="Z453" s="9"/>
      <c r="AA453" s="9"/>
      <c r="AB453" s="9"/>
      <c r="AC453" s="9"/>
      <c r="AD453" s="9"/>
    </row>
    <row r="454" spans="1:30" ht="13.5" customHeight="1">
      <c r="A454" s="2"/>
      <c r="B454" s="2"/>
      <c r="C454" s="2"/>
      <c r="D454" s="2"/>
      <c r="E454" s="2"/>
      <c r="F454" s="2"/>
      <c r="G454" s="2"/>
      <c r="H454" s="2"/>
      <c r="I454" s="2"/>
      <c r="J454" s="2"/>
      <c r="K454" s="2"/>
      <c r="L454" s="2"/>
      <c r="M454" s="2"/>
      <c r="N454" s="2"/>
      <c r="O454" s="2"/>
      <c r="P454" s="2"/>
      <c r="Q454" s="2"/>
      <c r="R454" s="9"/>
      <c r="S454" s="9"/>
      <c r="T454" s="9"/>
      <c r="U454" s="9"/>
      <c r="V454" s="9"/>
      <c r="W454" s="9"/>
      <c r="X454" s="9"/>
      <c r="Y454" s="9"/>
      <c r="Z454" s="9"/>
      <c r="AA454" s="9"/>
      <c r="AB454" s="9"/>
      <c r="AC454" s="9"/>
      <c r="AD454" s="9"/>
    </row>
    <row r="455" spans="1:30" ht="13.5" customHeight="1">
      <c r="A455" s="2"/>
      <c r="B455" s="2"/>
      <c r="C455" s="2"/>
      <c r="D455" s="2"/>
      <c r="E455" s="2"/>
      <c r="F455" s="2"/>
      <c r="G455" s="2"/>
      <c r="H455" s="2"/>
      <c r="I455" s="2"/>
      <c r="J455" s="2"/>
      <c r="K455" s="2"/>
      <c r="L455" s="2"/>
      <c r="M455" s="2"/>
      <c r="N455" s="2"/>
      <c r="O455" s="2"/>
      <c r="P455" s="2"/>
      <c r="Q455" s="2"/>
      <c r="R455" s="9"/>
      <c r="S455" s="9"/>
      <c r="T455" s="9"/>
      <c r="U455" s="9"/>
      <c r="V455" s="9"/>
      <c r="W455" s="9"/>
      <c r="X455" s="9"/>
      <c r="Y455" s="9"/>
      <c r="Z455" s="9"/>
      <c r="AA455" s="9"/>
      <c r="AB455" s="9"/>
      <c r="AC455" s="9"/>
      <c r="AD455" s="9"/>
    </row>
    <row r="456" spans="1:30" ht="13.5" customHeight="1">
      <c r="A456" s="2"/>
      <c r="B456" s="2"/>
      <c r="C456" s="2"/>
      <c r="D456" s="2"/>
      <c r="E456" s="2"/>
      <c r="F456" s="2"/>
      <c r="G456" s="2"/>
      <c r="H456" s="2"/>
      <c r="I456" s="2"/>
      <c r="J456" s="2"/>
      <c r="K456" s="2"/>
      <c r="L456" s="2"/>
      <c r="M456" s="2"/>
      <c r="N456" s="2"/>
      <c r="O456" s="2"/>
      <c r="P456" s="2"/>
      <c r="Q456" s="2"/>
      <c r="R456" s="9"/>
      <c r="S456" s="9"/>
      <c r="T456" s="9"/>
      <c r="U456" s="9"/>
      <c r="V456" s="9"/>
      <c r="W456" s="9"/>
      <c r="X456" s="9"/>
      <c r="Y456" s="9"/>
      <c r="Z456" s="9"/>
      <c r="AA456" s="9"/>
      <c r="AB456" s="9"/>
      <c r="AC456" s="9"/>
      <c r="AD456" s="9"/>
    </row>
    <row r="457" spans="1:30" ht="13.5" customHeight="1">
      <c r="A457" s="2"/>
      <c r="B457" s="2"/>
      <c r="C457" s="2"/>
      <c r="D457" s="2"/>
      <c r="E457" s="2"/>
      <c r="F457" s="2"/>
      <c r="G457" s="2"/>
      <c r="H457" s="2"/>
      <c r="I457" s="2"/>
      <c r="J457" s="2"/>
      <c r="K457" s="2"/>
      <c r="L457" s="2"/>
      <c r="M457" s="2"/>
      <c r="N457" s="2"/>
      <c r="O457" s="2"/>
      <c r="P457" s="2"/>
      <c r="Q457" s="2"/>
      <c r="R457" s="9"/>
      <c r="S457" s="9"/>
      <c r="T457" s="9"/>
      <c r="U457" s="9"/>
      <c r="V457" s="9"/>
      <c r="W457" s="9"/>
      <c r="X457" s="9"/>
      <c r="Y457" s="9"/>
      <c r="Z457" s="9"/>
      <c r="AA457" s="9"/>
      <c r="AB457" s="9"/>
      <c r="AC457" s="9"/>
      <c r="AD457" s="9"/>
    </row>
    <row r="458" spans="1:30" ht="13.5" customHeight="1">
      <c r="A458" s="2"/>
      <c r="B458" s="2"/>
      <c r="C458" s="2"/>
      <c r="D458" s="2"/>
      <c r="E458" s="2"/>
      <c r="F458" s="2"/>
      <c r="G458" s="2"/>
      <c r="H458" s="2"/>
      <c r="I458" s="2"/>
      <c r="J458" s="2"/>
      <c r="K458" s="2"/>
      <c r="L458" s="2"/>
      <c r="M458" s="2"/>
      <c r="N458" s="2"/>
      <c r="O458" s="2"/>
      <c r="P458" s="2"/>
      <c r="Q458" s="2"/>
      <c r="R458" s="9"/>
      <c r="S458" s="9"/>
      <c r="T458" s="9"/>
      <c r="U458" s="9"/>
      <c r="V458" s="9"/>
      <c r="W458" s="9"/>
      <c r="X458" s="9"/>
      <c r="Y458" s="9"/>
      <c r="Z458" s="9"/>
      <c r="AA458" s="9"/>
      <c r="AB458" s="9"/>
      <c r="AC458" s="9"/>
      <c r="AD458" s="9"/>
    </row>
    <row r="459" spans="1:30" ht="13.5" customHeight="1">
      <c r="A459" s="2"/>
      <c r="B459" s="2"/>
      <c r="C459" s="2"/>
      <c r="D459" s="2"/>
      <c r="E459" s="2"/>
      <c r="F459" s="2"/>
      <c r="G459" s="2"/>
      <c r="H459" s="2"/>
      <c r="I459" s="2"/>
      <c r="J459" s="2"/>
      <c r="K459" s="2"/>
      <c r="L459" s="2"/>
      <c r="M459" s="2"/>
      <c r="N459" s="2"/>
      <c r="O459" s="2"/>
      <c r="P459" s="2"/>
      <c r="Q459" s="2"/>
      <c r="R459" s="9"/>
      <c r="S459" s="9"/>
      <c r="T459" s="9"/>
      <c r="U459" s="9"/>
      <c r="V459" s="9"/>
      <c r="W459" s="9"/>
      <c r="X459" s="9"/>
      <c r="Y459" s="9"/>
      <c r="Z459" s="9"/>
      <c r="AA459" s="9"/>
      <c r="AB459" s="9"/>
      <c r="AC459" s="9"/>
      <c r="AD459" s="9"/>
    </row>
    <row r="460" spans="1:30" ht="13.5" customHeight="1">
      <c r="A460" s="2"/>
      <c r="B460" s="2"/>
      <c r="C460" s="2"/>
      <c r="D460" s="2"/>
      <c r="E460" s="2"/>
      <c r="F460" s="2"/>
      <c r="G460" s="2"/>
      <c r="H460" s="2"/>
      <c r="I460" s="2"/>
      <c r="J460" s="2"/>
      <c r="K460" s="2"/>
      <c r="L460" s="2"/>
      <c r="M460" s="2"/>
      <c r="N460" s="2"/>
      <c r="O460" s="2"/>
      <c r="P460" s="2"/>
      <c r="Q460" s="2"/>
      <c r="R460" s="9"/>
      <c r="S460" s="9"/>
      <c r="T460" s="9"/>
      <c r="U460" s="9"/>
      <c r="V460" s="9"/>
      <c r="W460" s="9"/>
      <c r="X460" s="9"/>
      <c r="Y460" s="9"/>
      <c r="Z460" s="9"/>
      <c r="AA460" s="9"/>
      <c r="AB460" s="9"/>
      <c r="AC460" s="9"/>
      <c r="AD460" s="9"/>
    </row>
    <row r="461" spans="1:30" ht="13.5" customHeight="1">
      <c r="A461" s="2"/>
      <c r="B461" s="2"/>
      <c r="C461" s="2"/>
      <c r="D461" s="2"/>
      <c r="E461" s="2"/>
      <c r="F461" s="2"/>
      <c r="G461" s="2"/>
      <c r="H461" s="2"/>
      <c r="I461" s="2"/>
      <c r="J461" s="2"/>
      <c r="K461" s="2"/>
      <c r="L461" s="2"/>
      <c r="M461" s="2"/>
      <c r="N461" s="2"/>
      <c r="O461" s="2"/>
      <c r="P461" s="2"/>
      <c r="Q461" s="2"/>
      <c r="R461" s="9"/>
      <c r="S461" s="9"/>
      <c r="T461" s="9"/>
      <c r="U461" s="9"/>
      <c r="V461" s="9"/>
      <c r="W461" s="9"/>
      <c r="X461" s="9"/>
      <c r="Y461" s="9"/>
      <c r="Z461" s="9"/>
      <c r="AA461" s="9"/>
      <c r="AB461" s="9"/>
      <c r="AC461" s="9"/>
      <c r="AD461" s="9"/>
    </row>
    <row r="462" spans="1:30" ht="13.5" customHeight="1">
      <c r="A462" s="2"/>
      <c r="B462" s="2"/>
      <c r="C462" s="2"/>
      <c r="D462" s="2"/>
      <c r="E462" s="2"/>
      <c r="F462" s="2"/>
      <c r="G462" s="2"/>
      <c r="H462" s="2"/>
      <c r="I462" s="2"/>
      <c r="J462" s="2"/>
      <c r="K462" s="2"/>
      <c r="L462" s="2"/>
      <c r="M462" s="2"/>
      <c r="N462" s="2"/>
      <c r="O462" s="2"/>
      <c r="P462" s="2"/>
      <c r="Q462" s="2"/>
      <c r="R462" s="9"/>
      <c r="S462" s="9"/>
      <c r="T462" s="9"/>
      <c r="U462" s="9"/>
      <c r="V462" s="9"/>
      <c r="W462" s="9"/>
      <c r="X462" s="9"/>
      <c r="Y462" s="9"/>
      <c r="Z462" s="9"/>
      <c r="AA462" s="9"/>
      <c r="AB462" s="9"/>
      <c r="AC462" s="9"/>
      <c r="AD462" s="9"/>
    </row>
    <row r="463" spans="1:30" ht="13.5" customHeight="1">
      <c r="A463" s="2"/>
      <c r="B463" s="2"/>
      <c r="C463" s="2"/>
      <c r="D463" s="2"/>
      <c r="E463" s="2"/>
      <c r="F463" s="2"/>
      <c r="G463" s="2"/>
      <c r="H463" s="2"/>
      <c r="I463" s="2"/>
      <c r="J463" s="2"/>
      <c r="K463" s="2"/>
      <c r="L463" s="2"/>
      <c r="M463" s="2"/>
      <c r="N463" s="2"/>
      <c r="O463" s="2"/>
      <c r="P463" s="2"/>
      <c r="Q463" s="2"/>
      <c r="R463" s="9"/>
      <c r="S463" s="9"/>
      <c r="T463" s="9"/>
      <c r="U463" s="9"/>
      <c r="V463" s="9"/>
      <c r="W463" s="9"/>
      <c r="X463" s="9"/>
      <c r="Y463" s="9"/>
      <c r="Z463" s="9"/>
      <c r="AA463" s="9"/>
      <c r="AB463" s="9"/>
      <c r="AC463" s="9"/>
      <c r="AD463" s="9"/>
    </row>
    <row r="464" spans="1:30" ht="13.5" customHeight="1">
      <c r="A464" s="2"/>
      <c r="B464" s="2"/>
      <c r="C464" s="2"/>
      <c r="D464" s="2"/>
      <c r="E464" s="2"/>
      <c r="F464" s="2"/>
      <c r="G464" s="2"/>
      <c r="H464" s="2"/>
      <c r="I464" s="2"/>
      <c r="J464" s="2"/>
      <c r="K464" s="2"/>
      <c r="L464" s="2"/>
      <c r="M464" s="2"/>
      <c r="N464" s="2"/>
      <c r="O464" s="2"/>
      <c r="P464" s="2"/>
      <c r="Q464" s="2"/>
      <c r="R464" s="9"/>
      <c r="S464" s="9"/>
      <c r="T464" s="9"/>
      <c r="U464" s="9"/>
      <c r="V464" s="9"/>
      <c r="W464" s="9"/>
      <c r="X464" s="9"/>
      <c r="Y464" s="9"/>
      <c r="Z464" s="9"/>
      <c r="AA464" s="9"/>
      <c r="AB464" s="9"/>
      <c r="AC464" s="9"/>
      <c r="AD464" s="9"/>
    </row>
    <row r="465" spans="1:30" ht="13.5" customHeight="1">
      <c r="A465" s="2"/>
      <c r="B465" s="2"/>
      <c r="C465" s="2"/>
      <c r="D465" s="2"/>
      <c r="E465" s="2"/>
      <c r="F465" s="2"/>
      <c r="G465" s="2"/>
      <c r="H465" s="2"/>
      <c r="I465" s="2"/>
      <c r="J465" s="2"/>
      <c r="K465" s="2"/>
      <c r="L465" s="2"/>
      <c r="M465" s="2"/>
      <c r="N465" s="2"/>
      <c r="O465" s="2"/>
      <c r="P465" s="2"/>
      <c r="Q465" s="2"/>
      <c r="R465" s="9"/>
      <c r="S465" s="9"/>
      <c r="T465" s="9"/>
      <c r="U465" s="9"/>
      <c r="V465" s="9"/>
      <c r="W465" s="9"/>
      <c r="X465" s="9"/>
      <c r="Y465" s="9"/>
      <c r="Z465" s="9"/>
      <c r="AA465" s="9"/>
      <c r="AB465" s="9"/>
      <c r="AC465" s="9"/>
      <c r="AD465" s="9"/>
    </row>
    <row r="466" spans="1:30" ht="13.5" customHeight="1">
      <c r="A466" s="2"/>
      <c r="B466" s="2"/>
      <c r="C466" s="2"/>
      <c r="D466" s="2"/>
      <c r="E466" s="2"/>
      <c r="F466" s="2"/>
      <c r="G466" s="2"/>
      <c r="H466" s="2"/>
      <c r="I466" s="2"/>
      <c r="J466" s="2"/>
      <c r="K466" s="2"/>
      <c r="L466" s="2"/>
      <c r="M466" s="2"/>
      <c r="N466" s="2"/>
      <c r="O466" s="2"/>
      <c r="P466" s="2"/>
      <c r="Q466" s="2"/>
      <c r="R466" s="9"/>
      <c r="S466" s="9"/>
      <c r="T466" s="9"/>
      <c r="U466" s="9"/>
      <c r="V466" s="9"/>
      <c r="W466" s="9"/>
      <c r="X466" s="9"/>
      <c r="Y466" s="9"/>
      <c r="Z466" s="9"/>
      <c r="AA466" s="9"/>
      <c r="AB466" s="9"/>
      <c r="AC466" s="9"/>
      <c r="AD466" s="9"/>
    </row>
    <row r="467" spans="1:30" ht="13.5" customHeight="1">
      <c r="A467" s="2"/>
      <c r="B467" s="2"/>
      <c r="C467" s="2"/>
      <c r="D467" s="2"/>
      <c r="E467" s="2"/>
      <c r="F467" s="2"/>
      <c r="G467" s="2"/>
      <c r="H467" s="2"/>
      <c r="I467" s="2"/>
      <c r="J467" s="2"/>
      <c r="K467" s="2"/>
      <c r="L467" s="2"/>
      <c r="M467" s="2"/>
      <c r="N467" s="2"/>
      <c r="O467" s="2"/>
      <c r="P467" s="2"/>
      <c r="Q467" s="2"/>
      <c r="R467" s="9"/>
      <c r="S467" s="9"/>
      <c r="T467" s="9"/>
      <c r="U467" s="9"/>
      <c r="V467" s="9"/>
      <c r="W467" s="9"/>
      <c r="X467" s="9"/>
      <c r="Y467" s="9"/>
      <c r="Z467" s="9"/>
      <c r="AA467" s="9"/>
      <c r="AB467" s="9"/>
      <c r="AC467" s="9"/>
      <c r="AD467" s="9"/>
    </row>
    <row r="468" spans="1:30" ht="13.5" customHeight="1">
      <c r="A468" s="2"/>
      <c r="B468" s="2"/>
      <c r="C468" s="2"/>
      <c r="D468" s="2"/>
      <c r="E468" s="2"/>
      <c r="F468" s="2"/>
      <c r="G468" s="2"/>
      <c r="H468" s="2"/>
      <c r="I468" s="2"/>
      <c r="J468" s="2"/>
      <c r="K468" s="2"/>
      <c r="L468" s="2"/>
      <c r="M468" s="2"/>
      <c r="N468" s="2"/>
      <c r="O468" s="2"/>
      <c r="P468" s="2"/>
      <c r="Q468" s="2"/>
      <c r="R468" s="9"/>
      <c r="S468" s="9"/>
      <c r="T468" s="9"/>
      <c r="U468" s="9"/>
      <c r="V468" s="9"/>
      <c r="W468" s="9"/>
      <c r="X468" s="9"/>
      <c r="Y468" s="9"/>
      <c r="Z468" s="9"/>
      <c r="AA468" s="9"/>
      <c r="AB468" s="9"/>
      <c r="AC468" s="9"/>
      <c r="AD468" s="9"/>
    </row>
    <row r="469" spans="1:30" ht="13.5" customHeight="1">
      <c r="A469" s="2"/>
      <c r="B469" s="2"/>
      <c r="C469" s="2"/>
      <c r="D469" s="2"/>
      <c r="E469" s="2"/>
      <c r="F469" s="2"/>
      <c r="G469" s="2"/>
      <c r="H469" s="2"/>
      <c r="I469" s="2"/>
      <c r="J469" s="2"/>
      <c r="K469" s="2"/>
      <c r="L469" s="2"/>
      <c r="M469" s="2"/>
      <c r="N469" s="2"/>
      <c r="O469" s="2"/>
      <c r="P469" s="2"/>
      <c r="Q469" s="2"/>
      <c r="R469" s="9"/>
      <c r="S469" s="9"/>
      <c r="T469" s="9"/>
      <c r="U469" s="9"/>
      <c r="V469" s="9"/>
      <c r="W469" s="9"/>
      <c r="X469" s="9"/>
      <c r="Y469" s="9"/>
      <c r="Z469" s="9"/>
      <c r="AA469" s="9"/>
      <c r="AB469" s="9"/>
      <c r="AC469" s="9"/>
      <c r="AD469" s="9"/>
    </row>
    <row r="470" spans="1:30" ht="13.5" customHeight="1">
      <c r="A470" s="2"/>
      <c r="B470" s="2"/>
      <c r="C470" s="2"/>
      <c r="D470" s="2"/>
      <c r="E470" s="2"/>
      <c r="F470" s="2"/>
      <c r="G470" s="2"/>
      <c r="H470" s="2"/>
      <c r="I470" s="2"/>
      <c r="J470" s="2"/>
      <c r="K470" s="2"/>
      <c r="L470" s="2"/>
      <c r="M470" s="2"/>
      <c r="N470" s="2"/>
      <c r="O470" s="2"/>
      <c r="P470" s="2"/>
      <c r="Q470" s="2"/>
      <c r="R470" s="9"/>
      <c r="S470" s="9"/>
      <c r="T470" s="9"/>
      <c r="U470" s="9"/>
      <c r="V470" s="9"/>
      <c r="W470" s="9"/>
      <c r="X470" s="9"/>
      <c r="Y470" s="9"/>
      <c r="Z470" s="9"/>
      <c r="AA470" s="9"/>
      <c r="AB470" s="9"/>
      <c r="AC470" s="9"/>
      <c r="AD470" s="9"/>
    </row>
    <row r="471" spans="1:30" ht="13.5" customHeight="1">
      <c r="A471" s="2"/>
      <c r="B471" s="2"/>
      <c r="C471" s="2"/>
      <c r="D471" s="2"/>
      <c r="E471" s="2"/>
      <c r="F471" s="2"/>
      <c r="G471" s="2"/>
      <c r="H471" s="2"/>
      <c r="I471" s="2"/>
      <c r="J471" s="2"/>
      <c r="K471" s="2"/>
      <c r="L471" s="2"/>
      <c r="M471" s="2"/>
      <c r="N471" s="2"/>
      <c r="O471" s="2"/>
      <c r="P471" s="2"/>
      <c r="Q471" s="2"/>
      <c r="R471" s="9"/>
      <c r="S471" s="9"/>
      <c r="T471" s="9"/>
      <c r="U471" s="9"/>
      <c r="V471" s="9"/>
      <c r="W471" s="9"/>
      <c r="X471" s="9"/>
      <c r="Y471" s="9"/>
      <c r="Z471" s="9"/>
      <c r="AA471" s="9"/>
      <c r="AB471" s="9"/>
      <c r="AC471" s="9"/>
      <c r="AD471" s="9"/>
    </row>
    <row r="472" spans="1:30" ht="13.5" customHeight="1">
      <c r="A472" s="2"/>
      <c r="B472" s="2"/>
      <c r="C472" s="2"/>
      <c r="D472" s="2"/>
      <c r="E472" s="2"/>
      <c r="F472" s="2"/>
      <c r="G472" s="2"/>
      <c r="H472" s="2"/>
      <c r="I472" s="2"/>
      <c r="J472" s="2"/>
      <c r="K472" s="2"/>
      <c r="L472" s="2"/>
      <c r="M472" s="2"/>
      <c r="N472" s="2"/>
      <c r="O472" s="2"/>
      <c r="P472" s="2"/>
      <c r="Q472" s="2"/>
      <c r="R472" s="9"/>
      <c r="S472" s="9"/>
      <c r="T472" s="9"/>
      <c r="U472" s="9"/>
      <c r="V472" s="9"/>
      <c r="W472" s="9"/>
      <c r="X472" s="9"/>
      <c r="Y472" s="9"/>
      <c r="Z472" s="9"/>
      <c r="AA472" s="9"/>
      <c r="AB472" s="9"/>
      <c r="AC472" s="9"/>
      <c r="AD472" s="9"/>
    </row>
    <row r="473" spans="1:30" ht="13.5" customHeight="1">
      <c r="A473" s="2"/>
      <c r="B473" s="2"/>
      <c r="C473" s="2"/>
      <c r="D473" s="2"/>
      <c r="E473" s="2"/>
      <c r="F473" s="2"/>
      <c r="G473" s="2"/>
      <c r="H473" s="2"/>
      <c r="I473" s="2"/>
      <c r="J473" s="2"/>
      <c r="K473" s="2"/>
      <c r="L473" s="2"/>
      <c r="M473" s="2"/>
      <c r="N473" s="2"/>
      <c r="O473" s="2"/>
      <c r="P473" s="2"/>
      <c r="Q473" s="2"/>
      <c r="R473" s="9"/>
      <c r="S473" s="9"/>
      <c r="T473" s="9"/>
      <c r="U473" s="9"/>
      <c r="V473" s="9"/>
      <c r="W473" s="9"/>
      <c r="X473" s="9"/>
      <c r="Y473" s="9"/>
      <c r="Z473" s="9"/>
      <c r="AA473" s="9"/>
      <c r="AB473" s="9"/>
      <c r="AC473" s="9"/>
      <c r="AD473" s="9"/>
    </row>
    <row r="474" spans="1:30" ht="13.5" customHeight="1">
      <c r="A474" s="2"/>
      <c r="B474" s="2"/>
      <c r="C474" s="2"/>
      <c r="D474" s="2"/>
      <c r="E474" s="2"/>
      <c r="F474" s="2"/>
      <c r="G474" s="2"/>
      <c r="H474" s="2"/>
      <c r="I474" s="2"/>
      <c r="J474" s="2"/>
      <c r="K474" s="2"/>
      <c r="L474" s="2"/>
      <c r="M474" s="2"/>
      <c r="N474" s="2"/>
      <c r="O474" s="2"/>
      <c r="P474" s="2"/>
      <c r="Q474" s="2"/>
      <c r="R474" s="9"/>
      <c r="S474" s="9"/>
      <c r="T474" s="9"/>
      <c r="U474" s="9"/>
      <c r="V474" s="9"/>
      <c r="W474" s="9"/>
      <c r="X474" s="9"/>
      <c r="Y474" s="9"/>
      <c r="Z474" s="9"/>
      <c r="AA474" s="9"/>
      <c r="AB474" s="9"/>
      <c r="AC474" s="9"/>
      <c r="AD474" s="9"/>
    </row>
    <row r="475" spans="1:30" ht="13.5" customHeight="1">
      <c r="A475" s="2"/>
      <c r="B475" s="2"/>
      <c r="C475" s="2"/>
      <c r="D475" s="2"/>
      <c r="E475" s="2"/>
      <c r="F475" s="2"/>
      <c r="G475" s="2"/>
      <c r="H475" s="2"/>
      <c r="I475" s="2"/>
      <c r="J475" s="2"/>
      <c r="K475" s="2"/>
      <c r="L475" s="2"/>
      <c r="M475" s="2"/>
      <c r="N475" s="2"/>
      <c r="O475" s="2"/>
      <c r="P475" s="2"/>
      <c r="Q475" s="2"/>
      <c r="R475" s="9"/>
      <c r="S475" s="9"/>
      <c r="T475" s="9"/>
      <c r="U475" s="9"/>
      <c r="V475" s="9"/>
      <c r="W475" s="9"/>
      <c r="X475" s="9"/>
      <c r="Y475" s="9"/>
      <c r="Z475" s="9"/>
      <c r="AA475" s="9"/>
      <c r="AB475" s="9"/>
      <c r="AC475" s="9"/>
      <c r="AD475" s="9"/>
    </row>
    <row r="476" spans="1:30" ht="13.5" customHeight="1">
      <c r="A476" s="2"/>
      <c r="B476" s="2"/>
      <c r="C476" s="2"/>
      <c r="D476" s="2"/>
      <c r="E476" s="2"/>
      <c r="F476" s="2"/>
      <c r="G476" s="2"/>
      <c r="H476" s="2"/>
      <c r="I476" s="2"/>
      <c r="J476" s="2"/>
      <c r="K476" s="2"/>
      <c r="L476" s="2"/>
      <c r="M476" s="2"/>
      <c r="N476" s="2"/>
      <c r="O476" s="2"/>
      <c r="P476" s="2"/>
      <c r="Q476" s="2"/>
      <c r="R476" s="9"/>
      <c r="S476" s="9"/>
      <c r="T476" s="9"/>
      <c r="U476" s="9"/>
      <c r="V476" s="9"/>
      <c r="W476" s="9"/>
      <c r="X476" s="9"/>
      <c r="Y476" s="9"/>
      <c r="Z476" s="9"/>
      <c r="AA476" s="9"/>
      <c r="AB476" s="9"/>
      <c r="AC476" s="9"/>
      <c r="AD476" s="9"/>
    </row>
    <row r="477" spans="1:30" ht="13.5" customHeight="1">
      <c r="A477" s="2"/>
      <c r="B477" s="2"/>
      <c r="C477" s="2"/>
      <c r="D477" s="2"/>
      <c r="E477" s="2"/>
      <c r="F477" s="2"/>
      <c r="G477" s="2"/>
      <c r="H477" s="2"/>
      <c r="I477" s="2"/>
      <c r="J477" s="2"/>
      <c r="K477" s="2"/>
      <c r="L477" s="2"/>
      <c r="M477" s="2"/>
      <c r="N477" s="2"/>
      <c r="O477" s="2"/>
      <c r="P477" s="2"/>
      <c r="Q477" s="2"/>
      <c r="R477" s="9"/>
      <c r="S477" s="9"/>
      <c r="T477" s="9"/>
      <c r="U477" s="9"/>
      <c r="V477" s="9"/>
      <c r="W477" s="9"/>
      <c r="X477" s="9"/>
      <c r="Y477" s="9"/>
      <c r="Z477" s="9"/>
      <c r="AA477" s="9"/>
      <c r="AB477" s="9"/>
      <c r="AC477" s="9"/>
      <c r="AD477" s="9"/>
    </row>
    <row r="478" spans="1:30" ht="13.5" customHeight="1">
      <c r="A478" s="2"/>
      <c r="B478" s="2"/>
      <c r="C478" s="2"/>
      <c r="D478" s="2"/>
      <c r="E478" s="2"/>
      <c r="F478" s="2"/>
      <c r="G478" s="2"/>
      <c r="H478" s="2"/>
      <c r="I478" s="2"/>
      <c r="J478" s="2"/>
      <c r="K478" s="2"/>
      <c r="L478" s="2"/>
      <c r="M478" s="2"/>
      <c r="N478" s="2"/>
      <c r="O478" s="2"/>
      <c r="P478" s="2"/>
      <c r="Q478" s="2"/>
      <c r="R478" s="9"/>
      <c r="S478" s="9"/>
      <c r="T478" s="9"/>
      <c r="U478" s="9"/>
      <c r="V478" s="9"/>
      <c r="W478" s="9"/>
      <c r="X478" s="9"/>
      <c r="Y478" s="9"/>
      <c r="Z478" s="9"/>
      <c r="AA478" s="9"/>
      <c r="AB478" s="9"/>
      <c r="AC478" s="9"/>
      <c r="AD478" s="9"/>
    </row>
    <row r="479" spans="1:30" ht="13.5" customHeight="1">
      <c r="A479" s="2"/>
      <c r="B479" s="2"/>
      <c r="C479" s="2"/>
      <c r="D479" s="2"/>
      <c r="E479" s="2"/>
      <c r="F479" s="2"/>
      <c r="G479" s="2"/>
      <c r="H479" s="2"/>
      <c r="I479" s="2"/>
      <c r="J479" s="2"/>
      <c r="K479" s="2"/>
      <c r="L479" s="2"/>
      <c r="M479" s="2"/>
      <c r="N479" s="2"/>
      <c r="O479" s="2"/>
      <c r="P479" s="2"/>
      <c r="Q479" s="2"/>
      <c r="R479" s="9"/>
      <c r="S479" s="9"/>
      <c r="T479" s="9"/>
      <c r="U479" s="9"/>
      <c r="V479" s="9"/>
      <c r="W479" s="9"/>
      <c r="X479" s="9"/>
      <c r="Y479" s="9"/>
      <c r="Z479" s="9"/>
      <c r="AA479" s="9"/>
      <c r="AB479" s="9"/>
      <c r="AC479" s="9"/>
      <c r="AD479" s="9"/>
    </row>
    <row r="480" spans="1:30" ht="13.5" customHeight="1">
      <c r="A480" s="2"/>
      <c r="B480" s="2"/>
      <c r="C480" s="2"/>
      <c r="D480" s="2"/>
      <c r="E480" s="2"/>
      <c r="F480" s="2"/>
      <c r="G480" s="2"/>
      <c r="H480" s="2"/>
      <c r="I480" s="2"/>
      <c r="J480" s="2"/>
      <c r="K480" s="2"/>
      <c r="L480" s="2"/>
      <c r="M480" s="2"/>
      <c r="N480" s="2"/>
      <c r="O480" s="2"/>
      <c r="P480" s="2"/>
      <c r="Q480" s="2"/>
      <c r="R480" s="9"/>
      <c r="S480" s="9"/>
      <c r="T480" s="9"/>
      <c r="U480" s="9"/>
      <c r="V480" s="9"/>
      <c r="W480" s="9"/>
      <c r="X480" s="9"/>
      <c r="Y480" s="9"/>
      <c r="Z480" s="9"/>
      <c r="AA480" s="9"/>
      <c r="AB480" s="9"/>
      <c r="AC480" s="9"/>
      <c r="AD480" s="9"/>
    </row>
    <row r="481" spans="1:30" ht="13.5" customHeight="1">
      <c r="A481" s="2"/>
      <c r="B481" s="2"/>
      <c r="C481" s="2"/>
      <c r="D481" s="2"/>
      <c r="E481" s="2"/>
      <c r="F481" s="2"/>
      <c r="G481" s="2"/>
      <c r="H481" s="2"/>
      <c r="I481" s="2"/>
      <c r="J481" s="2"/>
      <c r="K481" s="2"/>
      <c r="L481" s="2"/>
      <c r="M481" s="2"/>
      <c r="N481" s="2"/>
      <c r="O481" s="2"/>
      <c r="P481" s="2"/>
      <c r="Q481" s="2"/>
      <c r="R481" s="9"/>
      <c r="S481" s="9"/>
      <c r="T481" s="9"/>
      <c r="U481" s="9"/>
      <c r="V481" s="9"/>
      <c r="W481" s="9"/>
      <c r="X481" s="9"/>
      <c r="Y481" s="9"/>
      <c r="Z481" s="9"/>
      <c r="AA481" s="9"/>
      <c r="AB481" s="9"/>
      <c r="AC481" s="9"/>
      <c r="AD481" s="9"/>
    </row>
    <row r="482" spans="1:30" ht="13.5" customHeight="1">
      <c r="A482" s="2"/>
      <c r="B482" s="2"/>
      <c r="C482" s="2"/>
      <c r="D482" s="2"/>
      <c r="E482" s="2"/>
      <c r="F482" s="2"/>
      <c r="G482" s="2"/>
      <c r="H482" s="2"/>
      <c r="I482" s="2"/>
      <c r="J482" s="2"/>
      <c r="K482" s="2"/>
      <c r="L482" s="2"/>
      <c r="M482" s="2"/>
      <c r="N482" s="2"/>
      <c r="O482" s="2"/>
      <c r="P482" s="2"/>
      <c r="Q482" s="2"/>
      <c r="R482" s="9"/>
      <c r="S482" s="9"/>
      <c r="T482" s="9"/>
      <c r="U482" s="9"/>
      <c r="V482" s="9"/>
      <c r="W482" s="9"/>
      <c r="X482" s="9"/>
      <c r="Y482" s="9"/>
      <c r="Z482" s="9"/>
      <c r="AA482" s="9"/>
      <c r="AB482" s="9"/>
      <c r="AC482" s="9"/>
      <c r="AD482" s="9"/>
    </row>
    <row r="483" spans="1:30" ht="13.5" customHeight="1">
      <c r="A483" s="2"/>
      <c r="B483" s="2"/>
      <c r="C483" s="2"/>
      <c r="D483" s="2"/>
      <c r="E483" s="2"/>
      <c r="F483" s="2"/>
      <c r="G483" s="2"/>
      <c r="H483" s="2"/>
      <c r="I483" s="2"/>
      <c r="J483" s="2"/>
      <c r="K483" s="2"/>
      <c r="L483" s="2"/>
      <c r="M483" s="2"/>
      <c r="N483" s="2"/>
      <c r="O483" s="2"/>
      <c r="P483" s="2"/>
      <c r="Q483" s="2"/>
      <c r="R483" s="9"/>
      <c r="S483" s="9"/>
      <c r="T483" s="9"/>
      <c r="U483" s="9"/>
      <c r="V483" s="9"/>
      <c r="W483" s="9"/>
      <c r="X483" s="9"/>
      <c r="Y483" s="9"/>
      <c r="Z483" s="9"/>
      <c r="AA483" s="9"/>
      <c r="AB483" s="9"/>
      <c r="AC483" s="9"/>
      <c r="AD483" s="9"/>
    </row>
    <row r="484" spans="1:30" ht="13.5" customHeight="1">
      <c r="A484" s="2"/>
      <c r="B484" s="2"/>
      <c r="C484" s="2"/>
      <c r="D484" s="2"/>
      <c r="E484" s="2"/>
      <c r="F484" s="2"/>
      <c r="G484" s="2"/>
      <c r="H484" s="2"/>
      <c r="I484" s="2"/>
      <c r="J484" s="2"/>
      <c r="K484" s="2"/>
      <c r="L484" s="2"/>
      <c r="M484" s="2"/>
      <c r="N484" s="2"/>
      <c r="O484" s="2"/>
      <c r="P484" s="2"/>
      <c r="Q484" s="2"/>
      <c r="R484" s="9"/>
      <c r="S484" s="9"/>
      <c r="T484" s="9"/>
      <c r="U484" s="9"/>
      <c r="V484" s="9"/>
      <c r="W484" s="9"/>
      <c r="X484" s="9"/>
      <c r="Y484" s="9"/>
      <c r="Z484" s="9"/>
      <c r="AA484" s="9"/>
      <c r="AB484" s="9"/>
      <c r="AC484" s="9"/>
      <c r="AD484" s="9"/>
    </row>
    <row r="485" spans="1:30" ht="13.5" customHeight="1">
      <c r="A485" s="2"/>
      <c r="B485" s="2"/>
      <c r="C485" s="2"/>
      <c r="D485" s="2"/>
      <c r="E485" s="2"/>
      <c r="F485" s="2"/>
      <c r="G485" s="2"/>
      <c r="H485" s="2"/>
      <c r="I485" s="2"/>
      <c r="J485" s="2"/>
      <c r="K485" s="2"/>
      <c r="L485" s="2"/>
      <c r="M485" s="2"/>
      <c r="N485" s="2"/>
      <c r="O485" s="2"/>
      <c r="P485" s="2"/>
      <c r="Q485" s="2"/>
      <c r="R485" s="9"/>
      <c r="S485" s="9"/>
      <c r="T485" s="9"/>
      <c r="U485" s="9"/>
      <c r="V485" s="9"/>
      <c r="W485" s="9"/>
      <c r="X485" s="9"/>
      <c r="Y485" s="9"/>
      <c r="Z485" s="9"/>
      <c r="AA485" s="9"/>
      <c r="AB485" s="9"/>
      <c r="AC485" s="9"/>
      <c r="AD485" s="9"/>
    </row>
    <row r="486" spans="1:30" ht="13.5" customHeight="1">
      <c r="A486" s="2"/>
      <c r="B486" s="2"/>
      <c r="C486" s="2"/>
      <c r="D486" s="2"/>
      <c r="E486" s="2"/>
      <c r="F486" s="2"/>
      <c r="G486" s="2"/>
      <c r="H486" s="2"/>
      <c r="I486" s="2"/>
      <c r="J486" s="2"/>
      <c r="K486" s="2"/>
      <c r="L486" s="2"/>
      <c r="M486" s="2"/>
      <c r="N486" s="2"/>
      <c r="O486" s="2"/>
      <c r="P486" s="2"/>
      <c r="Q486" s="2"/>
      <c r="R486" s="9"/>
      <c r="S486" s="9"/>
      <c r="T486" s="9"/>
      <c r="U486" s="9"/>
      <c r="V486" s="9"/>
      <c r="W486" s="9"/>
      <c r="X486" s="9"/>
      <c r="Y486" s="9"/>
      <c r="Z486" s="9"/>
      <c r="AA486" s="9"/>
      <c r="AB486" s="9"/>
      <c r="AC486" s="9"/>
      <c r="AD486" s="9"/>
    </row>
    <row r="487" spans="1:30" ht="13.5" customHeight="1">
      <c r="A487" s="2"/>
      <c r="B487" s="2"/>
      <c r="C487" s="2"/>
      <c r="D487" s="2"/>
      <c r="E487" s="2"/>
      <c r="F487" s="2"/>
      <c r="G487" s="2"/>
      <c r="H487" s="2"/>
      <c r="I487" s="2"/>
      <c r="J487" s="2"/>
      <c r="K487" s="2"/>
      <c r="L487" s="2"/>
      <c r="M487" s="2"/>
      <c r="N487" s="2"/>
      <c r="O487" s="2"/>
      <c r="P487" s="2"/>
      <c r="Q487" s="2"/>
      <c r="R487" s="9"/>
      <c r="S487" s="9"/>
      <c r="T487" s="9"/>
      <c r="U487" s="9"/>
      <c r="V487" s="9"/>
      <c r="W487" s="9"/>
      <c r="X487" s="9"/>
      <c r="Y487" s="9"/>
      <c r="Z487" s="9"/>
      <c r="AA487" s="9"/>
      <c r="AB487" s="9"/>
      <c r="AC487" s="9"/>
      <c r="AD487" s="9"/>
    </row>
    <row r="488" spans="1:30" ht="13.5" customHeight="1">
      <c r="A488" s="2"/>
      <c r="B488" s="2"/>
      <c r="C488" s="2"/>
      <c r="D488" s="2"/>
      <c r="E488" s="2"/>
      <c r="F488" s="2"/>
      <c r="G488" s="2"/>
      <c r="H488" s="2"/>
      <c r="I488" s="2"/>
      <c r="J488" s="2"/>
      <c r="K488" s="2"/>
      <c r="L488" s="2"/>
      <c r="M488" s="2"/>
      <c r="N488" s="2"/>
      <c r="O488" s="2"/>
      <c r="P488" s="2"/>
      <c r="Q488" s="2"/>
      <c r="R488" s="9"/>
      <c r="S488" s="9"/>
      <c r="T488" s="9"/>
      <c r="U488" s="9"/>
      <c r="V488" s="9"/>
      <c r="W488" s="9"/>
      <c r="X488" s="9"/>
      <c r="Y488" s="9"/>
      <c r="Z488" s="9"/>
      <c r="AA488" s="9"/>
      <c r="AB488" s="9"/>
      <c r="AC488" s="9"/>
      <c r="AD488" s="9"/>
    </row>
    <row r="489" spans="1:30" ht="13.5" customHeight="1">
      <c r="A489" s="2"/>
      <c r="B489" s="2"/>
      <c r="C489" s="2"/>
      <c r="D489" s="2"/>
      <c r="E489" s="2"/>
      <c r="F489" s="2"/>
      <c r="G489" s="2"/>
      <c r="H489" s="2"/>
      <c r="I489" s="2"/>
      <c r="J489" s="2"/>
      <c r="K489" s="2"/>
      <c r="L489" s="2"/>
      <c r="M489" s="2"/>
      <c r="N489" s="2"/>
      <c r="O489" s="2"/>
      <c r="P489" s="2"/>
      <c r="Q489" s="2"/>
      <c r="R489" s="9"/>
      <c r="S489" s="9"/>
      <c r="T489" s="9"/>
      <c r="U489" s="9"/>
      <c r="V489" s="9"/>
      <c r="W489" s="9"/>
      <c r="X489" s="9"/>
      <c r="Y489" s="9"/>
      <c r="Z489" s="9"/>
      <c r="AA489" s="9"/>
      <c r="AB489" s="9"/>
      <c r="AC489" s="9"/>
      <c r="AD489" s="9"/>
    </row>
    <row r="490" spans="1:30" ht="13.5" customHeight="1">
      <c r="A490" s="2"/>
      <c r="B490" s="2"/>
      <c r="C490" s="2"/>
      <c r="D490" s="2"/>
      <c r="E490" s="2"/>
      <c r="F490" s="2"/>
      <c r="G490" s="2"/>
      <c r="H490" s="2"/>
      <c r="I490" s="2"/>
      <c r="J490" s="2"/>
      <c r="K490" s="2"/>
      <c r="L490" s="2"/>
      <c r="M490" s="2"/>
      <c r="N490" s="2"/>
      <c r="O490" s="2"/>
      <c r="P490" s="2"/>
      <c r="Q490" s="2"/>
      <c r="R490" s="9"/>
      <c r="S490" s="9"/>
      <c r="T490" s="9"/>
      <c r="U490" s="9"/>
      <c r="V490" s="9"/>
      <c r="W490" s="9"/>
      <c r="X490" s="9"/>
      <c r="Y490" s="9"/>
      <c r="Z490" s="9"/>
      <c r="AA490" s="9"/>
      <c r="AB490" s="9"/>
      <c r="AC490" s="9"/>
      <c r="AD490" s="9"/>
    </row>
    <row r="491" spans="1:30" ht="13.5" customHeight="1">
      <c r="A491" s="2"/>
      <c r="B491" s="2"/>
      <c r="C491" s="2"/>
      <c r="D491" s="2"/>
      <c r="E491" s="2"/>
      <c r="F491" s="2"/>
      <c r="G491" s="2"/>
      <c r="H491" s="2"/>
      <c r="I491" s="2"/>
      <c r="J491" s="2"/>
      <c r="K491" s="2"/>
      <c r="L491" s="2"/>
      <c r="M491" s="2"/>
      <c r="N491" s="2"/>
      <c r="O491" s="2"/>
      <c r="P491" s="2"/>
      <c r="Q491" s="2"/>
      <c r="R491" s="9"/>
      <c r="S491" s="9"/>
      <c r="T491" s="9"/>
      <c r="U491" s="9"/>
      <c r="V491" s="9"/>
      <c r="W491" s="9"/>
      <c r="X491" s="9"/>
      <c r="Y491" s="9"/>
      <c r="Z491" s="9"/>
      <c r="AA491" s="9"/>
      <c r="AB491" s="9"/>
      <c r="AC491" s="9"/>
      <c r="AD491" s="9"/>
    </row>
    <row r="492" spans="1:30" ht="13.5" customHeight="1">
      <c r="A492" s="2"/>
      <c r="B492" s="2"/>
      <c r="C492" s="2"/>
      <c r="D492" s="2"/>
      <c r="E492" s="2"/>
      <c r="F492" s="2"/>
      <c r="G492" s="2"/>
      <c r="H492" s="2"/>
      <c r="I492" s="2"/>
      <c r="J492" s="2"/>
      <c r="K492" s="2"/>
      <c r="L492" s="2"/>
      <c r="M492" s="2"/>
      <c r="N492" s="2"/>
      <c r="O492" s="2"/>
      <c r="P492" s="2"/>
      <c r="Q492" s="2"/>
      <c r="R492" s="9"/>
      <c r="S492" s="9"/>
      <c r="T492" s="9"/>
      <c r="U492" s="9"/>
      <c r="V492" s="9"/>
      <c r="W492" s="9"/>
      <c r="X492" s="9"/>
      <c r="Y492" s="9"/>
      <c r="Z492" s="9"/>
      <c r="AA492" s="9"/>
      <c r="AB492" s="9"/>
      <c r="AC492" s="9"/>
      <c r="AD492" s="9"/>
    </row>
    <row r="493" spans="1:30" ht="13.5" customHeight="1">
      <c r="A493" s="2"/>
      <c r="B493" s="2"/>
      <c r="C493" s="2"/>
      <c r="D493" s="2"/>
      <c r="E493" s="2"/>
      <c r="F493" s="2"/>
      <c r="G493" s="2"/>
      <c r="H493" s="2"/>
      <c r="I493" s="2"/>
      <c r="J493" s="2"/>
      <c r="K493" s="2"/>
      <c r="L493" s="2"/>
      <c r="M493" s="2"/>
      <c r="N493" s="2"/>
      <c r="O493" s="2"/>
      <c r="P493" s="2"/>
      <c r="Q493" s="2"/>
      <c r="R493" s="9"/>
      <c r="S493" s="9"/>
      <c r="T493" s="9"/>
      <c r="U493" s="9"/>
      <c r="V493" s="9"/>
      <c r="W493" s="9"/>
      <c r="X493" s="9"/>
      <c r="Y493" s="9"/>
      <c r="Z493" s="9"/>
      <c r="AA493" s="9"/>
      <c r="AB493" s="9"/>
      <c r="AC493" s="9"/>
      <c r="AD493" s="9"/>
    </row>
    <row r="494" spans="1:30" ht="13.5" customHeight="1">
      <c r="A494" s="2"/>
      <c r="B494" s="2"/>
      <c r="C494" s="2"/>
      <c r="D494" s="2"/>
      <c r="E494" s="2"/>
      <c r="F494" s="2"/>
      <c r="G494" s="2"/>
      <c r="H494" s="2"/>
      <c r="I494" s="2"/>
      <c r="J494" s="2"/>
      <c r="K494" s="2"/>
      <c r="L494" s="2"/>
      <c r="M494" s="2"/>
      <c r="N494" s="2"/>
      <c r="O494" s="2"/>
      <c r="P494" s="2"/>
      <c r="Q494" s="2"/>
      <c r="R494" s="9"/>
      <c r="S494" s="9"/>
      <c r="T494" s="9"/>
      <c r="U494" s="9"/>
      <c r="V494" s="9"/>
      <c r="W494" s="9"/>
      <c r="X494" s="9"/>
      <c r="Y494" s="9"/>
      <c r="Z494" s="9"/>
      <c r="AA494" s="9"/>
      <c r="AB494" s="9"/>
      <c r="AC494" s="9"/>
      <c r="AD494" s="9"/>
    </row>
    <row r="495" spans="1:30" ht="13.5" customHeight="1">
      <c r="A495" s="2"/>
      <c r="B495" s="2"/>
      <c r="C495" s="2"/>
      <c r="D495" s="2"/>
      <c r="E495" s="2"/>
      <c r="F495" s="2"/>
      <c r="G495" s="2"/>
      <c r="H495" s="2"/>
      <c r="I495" s="2"/>
      <c r="J495" s="2"/>
      <c r="K495" s="2"/>
      <c r="L495" s="2"/>
      <c r="M495" s="2"/>
      <c r="N495" s="2"/>
      <c r="O495" s="2"/>
      <c r="P495" s="2"/>
      <c r="Q495" s="2"/>
      <c r="R495" s="9"/>
      <c r="S495" s="9"/>
      <c r="T495" s="9"/>
      <c r="U495" s="9"/>
      <c r="V495" s="9"/>
      <c r="W495" s="9"/>
      <c r="X495" s="9"/>
      <c r="Y495" s="9"/>
      <c r="Z495" s="9"/>
      <c r="AA495" s="9"/>
      <c r="AB495" s="9"/>
      <c r="AC495" s="9"/>
      <c r="AD495" s="9"/>
    </row>
    <row r="496" spans="1:30" ht="13.5" customHeight="1">
      <c r="A496" s="2"/>
      <c r="B496" s="2"/>
      <c r="C496" s="2"/>
      <c r="D496" s="2"/>
      <c r="E496" s="2"/>
      <c r="F496" s="2"/>
      <c r="G496" s="2"/>
      <c r="H496" s="2"/>
      <c r="I496" s="2"/>
      <c r="J496" s="2"/>
      <c r="K496" s="2"/>
      <c r="L496" s="2"/>
      <c r="M496" s="2"/>
      <c r="N496" s="2"/>
      <c r="O496" s="2"/>
      <c r="P496" s="2"/>
      <c r="Q496" s="2"/>
      <c r="R496" s="9"/>
      <c r="S496" s="9"/>
      <c r="T496" s="9"/>
      <c r="U496" s="9"/>
      <c r="V496" s="9"/>
      <c r="W496" s="9"/>
      <c r="X496" s="9"/>
      <c r="Y496" s="9"/>
      <c r="Z496" s="9"/>
      <c r="AA496" s="9"/>
      <c r="AB496" s="9"/>
      <c r="AC496" s="9"/>
      <c r="AD496" s="9"/>
    </row>
    <row r="497" spans="1:30" ht="13.5" customHeight="1">
      <c r="A497" s="2"/>
      <c r="B497" s="2"/>
      <c r="C497" s="2"/>
      <c r="D497" s="2"/>
      <c r="E497" s="2"/>
      <c r="F497" s="2"/>
      <c r="G497" s="2"/>
      <c r="H497" s="2"/>
      <c r="I497" s="2"/>
      <c r="J497" s="2"/>
      <c r="K497" s="2"/>
      <c r="L497" s="2"/>
      <c r="M497" s="2"/>
      <c r="N497" s="2"/>
      <c r="O497" s="2"/>
      <c r="P497" s="2"/>
      <c r="Q497" s="2"/>
      <c r="R497" s="9"/>
      <c r="S497" s="9"/>
      <c r="T497" s="9"/>
      <c r="U497" s="9"/>
      <c r="V497" s="9"/>
      <c r="W497" s="9"/>
      <c r="X497" s="9"/>
      <c r="Y497" s="9"/>
      <c r="Z497" s="9"/>
      <c r="AA497" s="9"/>
      <c r="AB497" s="9"/>
      <c r="AC497" s="9"/>
      <c r="AD497" s="9"/>
    </row>
    <row r="498" spans="1:30" ht="13.5" customHeight="1">
      <c r="A498" s="2"/>
      <c r="B498" s="2"/>
      <c r="C498" s="2"/>
      <c r="D498" s="2"/>
      <c r="E498" s="2"/>
      <c r="F498" s="2"/>
      <c r="G498" s="2"/>
      <c r="H498" s="2"/>
      <c r="I498" s="2"/>
      <c r="J498" s="2"/>
      <c r="K498" s="2"/>
      <c r="L498" s="2"/>
      <c r="M498" s="2"/>
      <c r="N498" s="2"/>
      <c r="O498" s="2"/>
      <c r="P498" s="2"/>
      <c r="Q498" s="2"/>
      <c r="R498" s="9"/>
      <c r="S498" s="9"/>
      <c r="T498" s="9"/>
      <c r="U498" s="9"/>
      <c r="V498" s="9"/>
      <c r="W498" s="9"/>
      <c r="X498" s="9"/>
      <c r="Y498" s="9"/>
      <c r="Z498" s="9"/>
      <c r="AA498" s="9"/>
      <c r="AB498" s="9"/>
      <c r="AC498" s="9"/>
      <c r="AD498" s="9"/>
    </row>
    <row r="499" spans="1:30" ht="13.5" customHeight="1">
      <c r="A499" s="2"/>
      <c r="B499" s="2"/>
      <c r="C499" s="2"/>
      <c r="D499" s="2"/>
      <c r="E499" s="2"/>
      <c r="F499" s="2"/>
      <c r="G499" s="2"/>
      <c r="H499" s="2"/>
      <c r="I499" s="2"/>
      <c r="J499" s="2"/>
      <c r="K499" s="2"/>
      <c r="L499" s="2"/>
      <c r="M499" s="2"/>
      <c r="N499" s="2"/>
      <c r="O499" s="2"/>
      <c r="P499" s="2"/>
      <c r="Q499" s="2"/>
      <c r="R499" s="9"/>
      <c r="S499" s="9"/>
      <c r="T499" s="9"/>
      <c r="U499" s="9"/>
      <c r="V499" s="9"/>
      <c r="W499" s="9"/>
      <c r="X499" s="9"/>
      <c r="Y499" s="9"/>
      <c r="Z499" s="9"/>
      <c r="AA499" s="9"/>
      <c r="AB499" s="9"/>
      <c r="AC499" s="9"/>
      <c r="AD499" s="9"/>
    </row>
    <row r="500" spans="1:30" ht="13.5" customHeight="1">
      <c r="A500" s="2"/>
      <c r="B500" s="2"/>
      <c r="C500" s="2"/>
      <c r="D500" s="2"/>
      <c r="E500" s="2"/>
      <c r="F500" s="2"/>
      <c r="G500" s="2"/>
      <c r="H500" s="2"/>
      <c r="I500" s="2"/>
      <c r="J500" s="2"/>
      <c r="K500" s="2"/>
      <c r="L500" s="2"/>
      <c r="M500" s="2"/>
      <c r="N500" s="2"/>
      <c r="O500" s="2"/>
      <c r="P500" s="2"/>
      <c r="Q500" s="2"/>
      <c r="R500" s="9"/>
      <c r="S500" s="9"/>
      <c r="T500" s="9"/>
      <c r="U500" s="9"/>
      <c r="V500" s="9"/>
      <c r="W500" s="9"/>
      <c r="X500" s="9"/>
      <c r="Y500" s="9"/>
      <c r="Z500" s="9"/>
      <c r="AA500" s="9"/>
      <c r="AB500" s="9"/>
      <c r="AC500" s="9"/>
      <c r="AD500" s="9"/>
    </row>
    <row r="501" spans="1:30" ht="13.5" customHeight="1">
      <c r="A501" s="2"/>
      <c r="B501" s="2"/>
      <c r="C501" s="2"/>
      <c r="D501" s="2"/>
      <c r="E501" s="2"/>
      <c r="F501" s="2"/>
      <c r="G501" s="2"/>
      <c r="H501" s="2"/>
      <c r="I501" s="2"/>
      <c r="J501" s="2"/>
      <c r="K501" s="2"/>
      <c r="L501" s="2"/>
      <c r="M501" s="2"/>
      <c r="N501" s="2"/>
      <c r="O501" s="2"/>
      <c r="P501" s="2"/>
      <c r="Q501" s="2"/>
      <c r="R501" s="9"/>
      <c r="S501" s="9"/>
      <c r="T501" s="9"/>
      <c r="U501" s="9"/>
      <c r="V501" s="9"/>
      <c r="W501" s="9"/>
      <c r="X501" s="9"/>
      <c r="Y501" s="9"/>
      <c r="Z501" s="9"/>
      <c r="AA501" s="9"/>
      <c r="AB501" s="9"/>
      <c r="AC501" s="9"/>
      <c r="AD501" s="9"/>
    </row>
    <row r="502" spans="1:30" ht="13.5" customHeight="1">
      <c r="A502" s="2"/>
      <c r="B502" s="2"/>
      <c r="C502" s="2"/>
      <c r="D502" s="2"/>
      <c r="E502" s="2"/>
      <c r="F502" s="2"/>
      <c r="G502" s="2"/>
      <c r="H502" s="2"/>
      <c r="I502" s="2"/>
      <c r="J502" s="2"/>
      <c r="K502" s="2"/>
      <c r="L502" s="2"/>
      <c r="M502" s="2"/>
      <c r="N502" s="2"/>
      <c r="O502" s="2"/>
      <c r="P502" s="2"/>
      <c r="Q502" s="2"/>
      <c r="R502" s="9"/>
      <c r="S502" s="9"/>
      <c r="T502" s="9"/>
      <c r="U502" s="9"/>
      <c r="V502" s="9"/>
      <c r="W502" s="9"/>
      <c r="X502" s="9"/>
      <c r="Y502" s="9"/>
      <c r="Z502" s="9"/>
      <c r="AA502" s="9"/>
      <c r="AB502" s="9"/>
      <c r="AC502" s="9"/>
      <c r="AD502" s="9"/>
    </row>
    <row r="503" spans="1:30" ht="13.5" customHeight="1">
      <c r="A503" s="2"/>
      <c r="B503" s="2"/>
      <c r="C503" s="2"/>
      <c r="D503" s="2"/>
      <c r="E503" s="2"/>
      <c r="F503" s="2"/>
      <c r="G503" s="2"/>
      <c r="H503" s="2"/>
      <c r="I503" s="2"/>
      <c r="J503" s="2"/>
      <c r="K503" s="2"/>
      <c r="L503" s="2"/>
      <c r="M503" s="2"/>
      <c r="N503" s="2"/>
      <c r="O503" s="2"/>
      <c r="P503" s="2"/>
      <c r="Q503" s="2"/>
      <c r="R503" s="9"/>
      <c r="S503" s="9"/>
      <c r="T503" s="9"/>
      <c r="U503" s="9"/>
      <c r="V503" s="9"/>
      <c r="W503" s="9"/>
      <c r="X503" s="9"/>
      <c r="Y503" s="9"/>
      <c r="Z503" s="9"/>
      <c r="AA503" s="9"/>
      <c r="AB503" s="9"/>
      <c r="AC503" s="9"/>
      <c r="AD503" s="9"/>
    </row>
    <row r="504" spans="1:30" ht="13.5" customHeight="1">
      <c r="A504" s="2"/>
      <c r="B504" s="2"/>
      <c r="C504" s="2"/>
      <c r="D504" s="2"/>
      <c r="E504" s="2"/>
      <c r="F504" s="2"/>
      <c r="G504" s="2"/>
      <c r="H504" s="2"/>
      <c r="I504" s="2"/>
      <c r="J504" s="2"/>
      <c r="K504" s="2"/>
      <c r="L504" s="2"/>
      <c r="M504" s="2"/>
      <c r="N504" s="2"/>
      <c r="O504" s="2"/>
      <c r="P504" s="2"/>
      <c r="Q504" s="2"/>
      <c r="R504" s="9"/>
      <c r="S504" s="9"/>
      <c r="T504" s="9"/>
      <c r="U504" s="9"/>
      <c r="V504" s="9"/>
      <c r="W504" s="9"/>
      <c r="X504" s="9"/>
      <c r="Y504" s="9"/>
      <c r="Z504" s="9"/>
      <c r="AA504" s="9"/>
      <c r="AB504" s="9"/>
      <c r="AC504" s="9"/>
      <c r="AD504" s="9"/>
    </row>
    <row r="505" spans="1:30" ht="13.5" customHeight="1">
      <c r="A505" s="2"/>
      <c r="B505" s="2"/>
      <c r="C505" s="2"/>
      <c r="D505" s="2"/>
      <c r="E505" s="2"/>
      <c r="F505" s="2"/>
      <c r="G505" s="2"/>
      <c r="H505" s="2"/>
      <c r="I505" s="2"/>
      <c r="J505" s="2"/>
      <c r="K505" s="2"/>
      <c r="L505" s="2"/>
      <c r="M505" s="2"/>
      <c r="N505" s="2"/>
      <c r="O505" s="2"/>
      <c r="P505" s="2"/>
      <c r="Q505" s="2"/>
      <c r="R505" s="9"/>
      <c r="S505" s="9"/>
      <c r="T505" s="9"/>
      <c r="U505" s="9"/>
      <c r="V505" s="9"/>
      <c r="W505" s="9"/>
      <c r="X505" s="9"/>
      <c r="Y505" s="9"/>
      <c r="Z505" s="9"/>
      <c r="AA505" s="9"/>
      <c r="AB505" s="9"/>
      <c r="AC505" s="9"/>
      <c r="AD505" s="9"/>
    </row>
    <row r="506" spans="1:30" ht="13.5" customHeight="1">
      <c r="A506" s="2"/>
      <c r="B506" s="2"/>
      <c r="C506" s="2"/>
      <c r="D506" s="2"/>
      <c r="E506" s="2"/>
      <c r="F506" s="2"/>
      <c r="G506" s="2"/>
      <c r="H506" s="2"/>
      <c r="I506" s="2"/>
      <c r="J506" s="2"/>
      <c r="K506" s="2"/>
      <c r="L506" s="2"/>
      <c r="M506" s="2"/>
      <c r="N506" s="2"/>
      <c r="O506" s="2"/>
      <c r="P506" s="2"/>
      <c r="Q506" s="2"/>
      <c r="R506" s="9"/>
      <c r="S506" s="9"/>
      <c r="T506" s="9"/>
      <c r="U506" s="9"/>
      <c r="V506" s="9"/>
      <c r="W506" s="9"/>
      <c r="X506" s="9"/>
      <c r="Y506" s="9"/>
      <c r="Z506" s="9"/>
      <c r="AA506" s="9"/>
      <c r="AB506" s="9"/>
      <c r="AC506" s="9"/>
      <c r="AD506" s="9"/>
    </row>
    <row r="507" spans="1:30" ht="13.5" customHeight="1">
      <c r="A507" s="2"/>
      <c r="B507" s="2"/>
      <c r="C507" s="2"/>
      <c r="D507" s="2"/>
      <c r="E507" s="2"/>
      <c r="F507" s="2"/>
      <c r="G507" s="2"/>
      <c r="H507" s="2"/>
      <c r="I507" s="2"/>
      <c r="J507" s="2"/>
      <c r="K507" s="2"/>
      <c r="L507" s="2"/>
      <c r="M507" s="2"/>
      <c r="N507" s="2"/>
      <c r="O507" s="2"/>
      <c r="P507" s="2"/>
      <c r="Q507" s="2"/>
      <c r="R507" s="9"/>
      <c r="S507" s="9"/>
      <c r="T507" s="9"/>
      <c r="U507" s="9"/>
      <c r="V507" s="9"/>
      <c r="W507" s="9"/>
      <c r="X507" s="9"/>
      <c r="Y507" s="9"/>
      <c r="Z507" s="9"/>
      <c r="AA507" s="9"/>
      <c r="AB507" s="9"/>
      <c r="AC507" s="9"/>
      <c r="AD507" s="9"/>
    </row>
    <row r="508" spans="1:30" ht="13.5" customHeight="1">
      <c r="A508" s="2"/>
      <c r="B508" s="2"/>
      <c r="C508" s="2"/>
      <c r="D508" s="2"/>
      <c r="E508" s="2"/>
      <c r="F508" s="2"/>
      <c r="G508" s="2"/>
      <c r="H508" s="2"/>
      <c r="I508" s="2"/>
      <c r="J508" s="2"/>
      <c r="K508" s="2"/>
      <c r="L508" s="2"/>
      <c r="M508" s="2"/>
      <c r="N508" s="2"/>
      <c r="O508" s="2"/>
      <c r="P508" s="2"/>
      <c r="Q508" s="2"/>
      <c r="R508" s="9"/>
      <c r="S508" s="9"/>
      <c r="T508" s="9"/>
      <c r="U508" s="9"/>
      <c r="V508" s="9"/>
      <c r="W508" s="9"/>
      <c r="X508" s="9"/>
      <c r="Y508" s="9"/>
      <c r="Z508" s="9"/>
      <c r="AA508" s="9"/>
      <c r="AB508" s="9"/>
      <c r="AC508" s="9"/>
      <c r="AD508" s="9"/>
    </row>
    <row r="509" spans="1:30" ht="13.5" customHeight="1">
      <c r="A509" s="2"/>
      <c r="B509" s="2"/>
      <c r="C509" s="2"/>
      <c r="D509" s="2"/>
      <c r="E509" s="2"/>
      <c r="F509" s="2"/>
      <c r="G509" s="2"/>
      <c r="H509" s="2"/>
      <c r="I509" s="2"/>
      <c r="J509" s="2"/>
      <c r="K509" s="2"/>
      <c r="L509" s="2"/>
      <c r="M509" s="2"/>
      <c r="N509" s="2"/>
      <c r="O509" s="2"/>
      <c r="P509" s="2"/>
      <c r="Q509" s="2"/>
      <c r="R509" s="9"/>
      <c r="S509" s="9"/>
      <c r="T509" s="9"/>
      <c r="U509" s="9"/>
      <c r="V509" s="9"/>
      <c r="W509" s="9"/>
      <c r="X509" s="9"/>
      <c r="Y509" s="9"/>
      <c r="Z509" s="9"/>
      <c r="AA509" s="9"/>
      <c r="AB509" s="9"/>
      <c r="AC509" s="9"/>
      <c r="AD509" s="9"/>
    </row>
    <row r="510" spans="1:30" ht="13.5" customHeight="1">
      <c r="A510" s="2"/>
      <c r="B510" s="2"/>
      <c r="C510" s="2"/>
      <c r="D510" s="2"/>
      <c r="E510" s="2"/>
      <c r="F510" s="2"/>
      <c r="G510" s="2"/>
      <c r="H510" s="2"/>
      <c r="I510" s="2"/>
      <c r="J510" s="2"/>
      <c r="K510" s="2"/>
      <c r="L510" s="2"/>
      <c r="M510" s="2"/>
      <c r="N510" s="2"/>
      <c r="O510" s="2"/>
      <c r="P510" s="2"/>
      <c r="Q510" s="2"/>
      <c r="R510" s="9"/>
      <c r="S510" s="9"/>
      <c r="T510" s="9"/>
      <c r="U510" s="9"/>
      <c r="V510" s="9"/>
      <c r="W510" s="9"/>
      <c r="X510" s="9"/>
      <c r="Y510" s="9"/>
      <c r="Z510" s="9"/>
      <c r="AA510" s="9"/>
      <c r="AB510" s="9"/>
      <c r="AC510" s="9"/>
      <c r="AD510" s="9"/>
    </row>
    <row r="511" spans="1:30" ht="13.5" customHeight="1">
      <c r="A511" s="2"/>
      <c r="B511" s="2"/>
      <c r="C511" s="2"/>
      <c r="D511" s="2"/>
      <c r="E511" s="2"/>
      <c r="F511" s="2"/>
      <c r="G511" s="2"/>
      <c r="H511" s="2"/>
      <c r="I511" s="2"/>
      <c r="J511" s="2"/>
      <c r="K511" s="2"/>
      <c r="L511" s="2"/>
      <c r="M511" s="2"/>
      <c r="N511" s="2"/>
      <c r="O511" s="2"/>
      <c r="P511" s="2"/>
      <c r="Q511" s="2"/>
      <c r="R511" s="9"/>
      <c r="S511" s="9"/>
      <c r="T511" s="9"/>
      <c r="U511" s="9"/>
      <c r="V511" s="9"/>
      <c r="W511" s="9"/>
      <c r="X511" s="9"/>
      <c r="Y511" s="9"/>
      <c r="Z511" s="9"/>
      <c r="AA511" s="9"/>
      <c r="AB511" s="9"/>
      <c r="AC511" s="9"/>
      <c r="AD511" s="9"/>
    </row>
    <row r="512" spans="1:30" ht="13.5" customHeight="1">
      <c r="A512" s="2"/>
      <c r="B512" s="2"/>
      <c r="C512" s="2"/>
      <c r="D512" s="2"/>
      <c r="E512" s="2"/>
      <c r="F512" s="2"/>
      <c r="G512" s="2"/>
      <c r="H512" s="2"/>
      <c r="I512" s="2"/>
      <c r="J512" s="2"/>
      <c r="K512" s="2"/>
      <c r="L512" s="2"/>
      <c r="M512" s="2"/>
      <c r="N512" s="2"/>
      <c r="O512" s="2"/>
      <c r="P512" s="2"/>
      <c r="Q512" s="2"/>
      <c r="R512" s="9"/>
      <c r="S512" s="9"/>
      <c r="T512" s="9"/>
      <c r="U512" s="9"/>
      <c r="V512" s="9"/>
      <c r="W512" s="9"/>
      <c r="X512" s="9"/>
      <c r="Y512" s="9"/>
      <c r="Z512" s="9"/>
      <c r="AA512" s="9"/>
      <c r="AB512" s="9"/>
      <c r="AC512" s="9"/>
      <c r="AD512" s="9"/>
    </row>
    <row r="513" spans="1:30" ht="13.5" customHeight="1">
      <c r="A513" s="2"/>
      <c r="B513" s="2"/>
      <c r="C513" s="2"/>
      <c r="D513" s="2"/>
      <c r="E513" s="2"/>
      <c r="F513" s="2"/>
      <c r="G513" s="2"/>
      <c r="H513" s="2"/>
      <c r="I513" s="2"/>
      <c r="J513" s="2"/>
      <c r="K513" s="2"/>
      <c r="L513" s="2"/>
      <c r="M513" s="2"/>
      <c r="N513" s="2"/>
      <c r="O513" s="2"/>
      <c r="P513" s="2"/>
      <c r="Q513" s="2"/>
      <c r="R513" s="9"/>
      <c r="S513" s="9"/>
      <c r="T513" s="9"/>
      <c r="U513" s="9"/>
      <c r="V513" s="9"/>
      <c r="W513" s="9"/>
      <c r="X513" s="9"/>
      <c r="Y513" s="9"/>
      <c r="Z513" s="9"/>
      <c r="AA513" s="9"/>
      <c r="AB513" s="9"/>
      <c r="AC513" s="9"/>
      <c r="AD513" s="9"/>
    </row>
    <row r="514" spans="1:30" ht="13.5" customHeight="1">
      <c r="A514" s="2"/>
      <c r="B514" s="2"/>
      <c r="C514" s="2"/>
      <c r="D514" s="2"/>
      <c r="E514" s="2"/>
      <c r="F514" s="2"/>
      <c r="G514" s="2"/>
      <c r="H514" s="2"/>
      <c r="I514" s="2"/>
      <c r="J514" s="2"/>
      <c r="K514" s="2"/>
      <c r="L514" s="2"/>
      <c r="M514" s="2"/>
      <c r="N514" s="2"/>
      <c r="O514" s="2"/>
      <c r="P514" s="2"/>
      <c r="Q514" s="2"/>
      <c r="R514" s="9"/>
      <c r="S514" s="9"/>
      <c r="T514" s="9"/>
      <c r="U514" s="9"/>
      <c r="V514" s="9"/>
      <c r="W514" s="9"/>
      <c r="X514" s="9"/>
      <c r="Y514" s="9"/>
      <c r="Z514" s="9"/>
      <c r="AA514" s="9"/>
      <c r="AB514" s="9"/>
      <c r="AC514" s="9"/>
      <c r="AD514" s="9"/>
    </row>
    <row r="515" spans="1:30" ht="13.5" customHeight="1">
      <c r="A515" s="2"/>
      <c r="B515" s="2"/>
      <c r="C515" s="2"/>
      <c r="D515" s="2"/>
      <c r="E515" s="2"/>
      <c r="F515" s="2"/>
      <c r="G515" s="2"/>
      <c r="H515" s="2"/>
      <c r="I515" s="2"/>
      <c r="J515" s="2"/>
      <c r="K515" s="2"/>
      <c r="L515" s="2"/>
      <c r="M515" s="2"/>
      <c r="N515" s="2"/>
      <c r="O515" s="2"/>
      <c r="P515" s="2"/>
      <c r="Q515" s="2"/>
      <c r="R515" s="9"/>
      <c r="S515" s="9"/>
      <c r="T515" s="9"/>
      <c r="U515" s="9"/>
      <c r="V515" s="9"/>
      <c r="W515" s="9"/>
      <c r="X515" s="9"/>
      <c r="Y515" s="9"/>
      <c r="Z515" s="9"/>
      <c r="AA515" s="9"/>
      <c r="AB515" s="9"/>
      <c r="AC515" s="9"/>
      <c r="AD515" s="9"/>
    </row>
    <row r="516" spans="1:30" ht="13.5" customHeight="1">
      <c r="A516" s="2"/>
      <c r="B516" s="2"/>
      <c r="C516" s="2"/>
      <c r="D516" s="2"/>
      <c r="E516" s="2"/>
      <c r="F516" s="2"/>
      <c r="G516" s="2"/>
      <c r="H516" s="2"/>
      <c r="I516" s="2"/>
      <c r="J516" s="2"/>
      <c r="K516" s="2"/>
      <c r="L516" s="2"/>
      <c r="M516" s="2"/>
      <c r="N516" s="2"/>
      <c r="O516" s="2"/>
      <c r="P516" s="2"/>
      <c r="Q516" s="2"/>
      <c r="R516" s="9"/>
      <c r="S516" s="9"/>
      <c r="T516" s="9"/>
      <c r="U516" s="9"/>
      <c r="V516" s="9"/>
      <c r="W516" s="9"/>
      <c r="X516" s="9"/>
      <c r="Y516" s="9"/>
      <c r="Z516" s="9"/>
      <c r="AA516" s="9"/>
      <c r="AB516" s="9"/>
      <c r="AC516" s="9"/>
      <c r="AD516" s="9"/>
    </row>
    <row r="517" spans="1:30" ht="13.5" customHeight="1">
      <c r="A517" s="2"/>
      <c r="B517" s="2"/>
      <c r="C517" s="2"/>
      <c r="D517" s="2"/>
      <c r="E517" s="2"/>
      <c r="F517" s="2"/>
      <c r="G517" s="2"/>
      <c r="H517" s="2"/>
      <c r="I517" s="2"/>
      <c r="J517" s="2"/>
      <c r="K517" s="2"/>
      <c r="L517" s="2"/>
      <c r="M517" s="2"/>
      <c r="N517" s="2"/>
      <c r="O517" s="2"/>
      <c r="P517" s="2"/>
      <c r="Q517" s="2"/>
      <c r="R517" s="9"/>
      <c r="S517" s="9"/>
      <c r="T517" s="9"/>
      <c r="U517" s="9"/>
      <c r="V517" s="9"/>
      <c r="W517" s="9"/>
      <c r="X517" s="9"/>
      <c r="Y517" s="9"/>
      <c r="Z517" s="9"/>
      <c r="AA517" s="9"/>
      <c r="AB517" s="9"/>
      <c r="AC517" s="9"/>
      <c r="AD517" s="9"/>
    </row>
    <row r="518" spans="1:30" ht="13.5" customHeight="1">
      <c r="A518" s="2"/>
      <c r="B518" s="2"/>
      <c r="C518" s="2"/>
      <c r="D518" s="2"/>
      <c r="E518" s="2"/>
      <c r="F518" s="2"/>
      <c r="G518" s="2"/>
      <c r="H518" s="2"/>
      <c r="I518" s="2"/>
      <c r="J518" s="2"/>
      <c r="K518" s="2"/>
      <c r="L518" s="2"/>
      <c r="M518" s="2"/>
      <c r="N518" s="2"/>
      <c r="O518" s="2"/>
      <c r="P518" s="2"/>
      <c r="Q518" s="2"/>
      <c r="R518" s="9"/>
      <c r="S518" s="9"/>
      <c r="T518" s="9"/>
      <c r="U518" s="9"/>
      <c r="V518" s="9"/>
      <c r="W518" s="9"/>
      <c r="X518" s="9"/>
      <c r="Y518" s="9"/>
      <c r="Z518" s="9"/>
      <c r="AA518" s="9"/>
      <c r="AB518" s="9"/>
      <c r="AC518" s="9"/>
      <c r="AD518" s="9"/>
    </row>
    <row r="519" spans="1:30" ht="13.5" customHeight="1">
      <c r="A519" s="2"/>
      <c r="B519" s="2"/>
      <c r="C519" s="2"/>
      <c r="D519" s="2"/>
      <c r="E519" s="2"/>
      <c r="F519" s="2"/>
      <c r="G519" s="2"/>
      <c r="H519" s="2"/>
      <c r="I519" s="2"/>
      <c r="J519" s="2"/>
      <c r="K519" s="2"/>
      <c r="L519" s="2"/>
      <c r="M519" s="2"/>
      <c r="N519" s="2"/>
      <c r="O519" s="2"/>
      <c r="P519" s="2"/>
      <c r="Q519" s="2"/>
      <c r="R519" s="9"/>
      <c r="S519" s="9"/>
      <c r="T519" s="9"/>
      <c r="U519" s="9"/>
      <c r="V519" s="9"/>
      <c r="W519" s="9"/>
      <c r="X519" s="9"/>
      <c r="Y519" s="9"/>
      <c r="Z519" s="9"/>
      <c r="AA519" s="9"/>
      <c r="AB519" s="9"/>
      <c r="AC519" s="9"/>
      <c r="AD519" s="9"/>
    </row>
    <row r="520" spans="1:30" ht="13.5" customHeight="1">
      <c r="A520" s="2"/>
      <c r="B520" s="2"/>
      <c r="C520" s="2"/>
      <c r="D520" s="2"/>
      <c r="E520" s="2"/>
      <c r="F520" s="2"/>
      <c r="G520" s="2"/>
      <c r="H520" s="2"/>
      <c r="I520" s="2"/>
      <c r="J520" s="2"/>
      <c r="K520" s="2"/>
      <c r="L520" s="2"/>
      <c r="M520" s="2"/>
      <c r="N520" s="2"/>
      <c r="O520" s="2"/>
      <c r="P520" s="2"/>
      <c r="Q520" s="2"/>
      <c r="R520" s="9"/>
      <c r="S520" s="9"/>
      <c r="T520" s="9"/>
      <c r="U520" s="9"/>
      <c r="V520" s="9"/>
      <c r="W520" s="9"/>
      <c r="X520" s="9"/>
      <c r="Y520" s="9"/>
      <c r="Z520" s="9"/>
      <c r="AA520" s="9"/>
      <c r="AB520" s="9"/>
      <c r="AC520" s="9"/>
      <c r="AD520" s="9"/>
    </row>
    <row r="521" spans="1:30" ht="13.5" customHeight="1">
      <c r="A521" s="2"/>
      <c r="B521" s="2"/>
      <c r="C521" s="2"/>
      <c r="D521" s="2"/>
      <c r="E521" s="2"/>
      <c r="F521" s="2"/>
      <c r="G521" s="2"/>
      <c r="H521" s="2"/>
      <c r="I521" s="2"/>
      <c r="J521" s="2"/>
      <c r="K521" s="2"/>
      <c r="L521" s="2"/>
      <c r="M521" s="2"/>
      <c r="N521" s="2"/>
      <c r="O521" s="2"/>
      <c r="P521" s="2"/>
      <c r="Q521" s="2"/>
      <c r="R521" s="9"/>
      <c r="S521" s="9"/>
      <c r="T521" s="9"/>
      <c r="U521" s="9"/>
      <c r="V521" s="9"/>
      <c r="W521" s="9"/>
      <c r="X521" s="9"/>
      <c r="Y521" s="9"/>
      <c r="Z521" s="9"/>
      <c r="AA521" s="9"/>
      <c r="AB521" s="9"/>
      <c r="AC521" s="9"/>
      <c r="AD521" s="9"/>
    </row>
    <row r="522" spans="1:30" ht="13.5" customHeight="1">
      <c r="A522" s="2"/>
      <c r="B522" s="2"/>
      <c r="C522" s="2"/>
      <c r="D522" s="2"/>
      <c r="E522" s="2"/>
      <c r="F522" s="2"/>
      <c r="G522" s="2"/>
      <c r="H522" s="2"/>
      <c r="I522" s="2"/>
      <c r="J522" s="2"/>
      <c r="K522" s="2"/>
      <c r="L522" s="2"/>
      <c r="M522" s="2"/>
      <c r="N522" s="2"/>
      <c r="O522" s="2"/>
      <c r="P522" s="2"/>
      <c r="Q522" s="2"/>
      <c r="R522" s="9"/>
      <c r="S522" s="9"/>
      <c r="T522" s="9"/>
      <c r="U522" s="9"/>
      <c r="V522" s="9"/>
      <c r="W522" s="9"/>
      <c r="X522" s="9"/>
      <c r="Y522" s="9"/>
      <c r="Z522" s="9"/>
      <c r="AA522" s="9"/>
      <c r="AB522" s="9"/>
      <c r="AC522" s="9"/>
      <c r="AD522" s="9"/>
    </row>
    <row r="523" spans="1:30" ht="13.5" customHeight="1">
      <c r="A523" s="2"/>
      <c r="B523" s="2"/>
      <c r="C523" s="2"/>
      <c r="D523" s="2"/>
      <c r="E523" s="2"/>
      <c r="F523" s="2"/>
      <c r="G523" s="2"/>
      <c r="H523" s="2"/>
      <c r="I523" s="2"/>
      <c r="J523" s="2"/>
      <c r="K523" s="2"/>
      <c r="L523" s="2"/>
      <c r="M523" s="2"/>
      <c r="N523" s="2"/>
      <c r="O523" s="2"/>
      <c r="P523" s="2"/>
      <c r="Q523" s="2"/>
      <c r="R523" s="9"/>
      <c r="S523" s="9"/>
      <c r="T523" s="9"/>
      <c r="U523" s="9"/>
      <c r="V523" s="9"/>
      <c r="W523" s="9"/>
      <c r="X523" s="9"/>
      <c r="Y523" s="9"/>
      <c r="Z523" s="9"/>
      <c r="AA523" s="9"/>
      <c r="AB523" s="9"/>
      <c r="AC523" s="9"/>
      <c r="AD523" s="9"/>
    </row>
    <row r="524" spans="1:30" ht="13.5" customHeight="1">
      <c r="A524" s="2"/>
      <c r="B524" s="2"/>
      <c r="C524" s="2"/>
      <c r="D524" s="2"/>
      <c r="E524" s="2"/>
      <c r="F524" s="2"/>
      <c r="G524" s="2"/>
      <c r="H524" s="2"/>
      <c r="I524" s="2"/>
      <c r="J524" s="2"/>
      <c r="K524" s="2"/>
      <c r="L524" s="2"/>
      <c r="M524" s="2"/>
      <c r="N524" s="2"/>
      <c r="O524" s="2"/>
      <c r="P524" s="2"/>
      <c r="Q524" s="2"/>
      <c r="R524" s="9"/>
      <c r="S524" s="9"/>
      <c r="T524" s="9"/>
      <c r="U524" s="9"/>
      <c r="V524" s="9"/>
      <c r="W524" s="9"/>
      <c r="X524" s="9"/>
      <c r="Y524" s="9"/>
      <c r="Z524" s="9"/>
      <c r="AA524" s="9"/>
      <c r="AB524" s="9"/>
      <c r="AC524" s="9"/>
      <c r="AD524" s="9"/>
    </row>
    <row r="525" spans="1:30" ht="13.5" customHeight="1">
      <c r="A525" s="2"/>
      <c r="B525" s="2"/>
      <c r="C525" s="2"/>
      <c r="D525" s="2"/>
      <c r="E525" s="2"/>
      <c r="F525" s="2"/>
      <c r="G525" s="2"/>
      <c r="H525" s="2"/>
      <c r="I525" s="2"/>
      <c r="J525" s="2"/>
      <c r="K525" s="2"/>
      <c r="L525" s="2"/>
      <c r="M525" s="2"/>
      <c r="N525" s="2"/>
      <c r="O525" s="2"/>
      <c r="P525" s="2"/>
      <c r="Q525" s="2"/>
      <c r="R525" s="9"/>
      <c r="S525" s="9"/>
      <c r="T525" s="9"/>
      <c r="U525" s="9"/>
      <c r="V525" s="9"/>
      <c r="W525" s="9"/>
      <c r="X525" s="9"/>
      <c r="Y525" s="9"/>
      <c r="Z525" s="9"/>
      <c r="AA525" s="9"/>
      <c r="AB525" s="9"/>
      <c r="AC525" s="9"/>
      <c r="AD525" s="9"/>
    </row>
    <row r="526" spans="1:30" ht="13.5" customHeight="1">
      <c r="A526" s="2"/>
      <c r="B526" s="2"/>
      <c r="C526" s="2"/>
      <c r="D526" s="2"/>
      <c r="E526" s="2"/>
      <c r="F526" s="2"/>
      <c r="G526" s="2"/>
      <c r="H526" s="2"/>
      <c r="I526" s="2"/>
      <c r="J526" s="2"/>
      <c r="K526" s="2"/>
      <c r="L526" s="2"/>
      <c r="M526" s="2"/>
      <c r="N526" s="2"/>
      <c r="O526" s="2"/>
      <c r="P526" s="2"/>
      <c r="Q526" s="2"/>
      <c r="R526" s="9"/>
      <c r="S526" s="9"/>
      <c r="T526" s="9"/>
      <c r="U526" s="9"/>
      <c r="V526" s="9"/>
      <c r="W526" s="9"/>
      <c r="X526" s="9"/>
      <c r="Y526" s="9"/>
      <c r="Z526" s="9"/>
      <c r="AA526" s="9"/>
      <c r="AB526" s="9"/>
      <c r="AC526" s="9"/>
      <c r="AD526" s="9"/>
    </row>
    <row r="527" spans="1:30" ht="13.5" customHeight="1">
      <c r="A527" s="2"/>
      <c r="B527" s="2"/>
      <c r="C527" s="2"/>
      <c r="D527" s="2"/>
      <c r="E527" s="2"/>
      <c r="F527" s="2"/>
      <c r="G527" s="2"/>
      <c r="H527" s="2"/>
      <c r="I527" s="2"/>
      <c r="J527" s="2"/>
      <c r="K527" s="2"/>
      <c r="L527" s="2"/>
      <c r="M527" s="2"/>
      <c r="N527" s="2"/>
      <c r="O527" s="2"/>
      <c r="P527" s="2"/>
      <c r="Q527" s="2"/>
      <c r="R527" s="9"/>
      <c r="S527" s="9"/>
      <c r="T527" s="9"/>
      <c r="U527" s="9"/>
      <c r="V527" s="9"/>
      <c r="W527" s="9"/>
      <c r="X527" s="9"/>
      <c r="Y527" s="9"/>
      <c r="Z527" s="9"/>
      <c r="AA527" s="9"/>
      <c r="AB527" s="9"/>
      <c r="AC527" s="9"/>
      <c r="AD527" s="9"/>
    </row>
    <row r="528" spans="1:30" ht="13.5" customHeight="1">
      <c r="A528" s="2"/>
      <c r="B528" s="2"/>
      <c r="C528" s="2"/>
      <c r="D528" s="2"/>
      <c r="E528" s="2"/>
      <c r="F528" s="2"/>
      <c r="G528" s="2"/>
      <c r="H528" s="2"/>
      <c r="I528" s="2"/>
      <c r="J528" s="2"/>
      <c r="K528" s="2"/>
      <c r="L528" s="2"/>
      <c r="M528" s="2"/>
      <c r="N528" s="2"/>
      <c r="O528" s="2"/>
      <c r="P528" s="2"/>
      <c r="Q528" s="2"/>
      <c r="R528" s="9"/>
      <c r="S528" s="9"/>
      <c r="T528" s="9"/>
      <c r="U528" s="9"/>
      <c r="V528" s="9"/>
      <c r="W528" s="9"/>
      <c r="X528" s="9"/>
      <c r="Y528" s="9"/>
      <c r="Z528" s="9"/>
      <c r="AA528" s="9"/>
      <c r="AB528" s="9"/>
      <c r="AC528" s="9"/>
      <c r="AD528" s="9"/>
    </row>
    <row r="529" spans="1:30" ht="13.5" customHeight="1">
      <c r="A529" s="2"/>
      <c r="B529" s="2"/>
      <c r="C529" s="2"/>
      <c r="D529" s="2"/>
      <c r="E529" s="2"/>
      <c r="F529" s="2"/>
      <c r="G529" s="2"/>
      <c r="H529" s="2"/>
      <c r="I529" s="2"/>
      <c r="J529" s="2"/>
      <c r="K529" s="2"/>
      <c r="L529" s="2"/>
      <c r="M529" s="2"/>
      <c r="N529" s="2"/>
      <c r="O529" s="2"/>
      <c r="P529" s="2"/>
      <c r="Q529" s="2"/>
      <c r="R529" s="9"/>
      <c r="S529" s="9"/>
      <c r="T529" s="9"/>
      <c r="U529" s="9"/>
      <c r="V529" s="9"/>
      <c r="W529" s="9"/>
      <c r="X529" s="9"/>
      <c r="Y529" s="9"/>
      <c r="Z529" s="9"/>
      <c r="AA529" s="9"/>
      <c r="AB529" s="9"/>
      <c r="AC529" s="9"/>
      <c r="AD529" s="9"/>
    </row>
    <row r="530" spans="1:30" ht="13.5" customHeight="1">
      <c r="A530" s="2"/>
      <c r="B530" s="2"/>
      <c r="C530" s="2"/>
      <c r="D530" s="2"/>
      <c r="E530" s="2"/>
      <c r="F530" s="2"/>
      <c r="G530" s="2"/>
      <c r="H530" s="2"/>
      <c r="I530" s="2"/>
      <c r="J530" s="2"/>
      <c r="K530" s="2"/>
      <c r="L530" s="2"/>
      <c r="M530" s="2"/>
      <c r="N530" s="2"/>
      <c r="O530" s="2"/>
      <c r="P530" s="2"/>
      <c r="Q530" s="2"/>
      <c r="R530" s="9"/>
      <c r="S530" s="9"/>
      <c r="T530" s="9"/>
      <c r="U530" s="9"/>
      <c r="V530" s="9"/>
      <c r="W530" s="9"/>
      <c r="X530" s="9"/>
      <c r="Y530" s="9"/>
      <c r="Z530" s="9"/>
      <c r="AA530" s="9"/>
      <c r="AB530" s="9"/>
      <c r="AC530" s="9"/>
      <c r="AD530" s="9"/>
    </row>
    <row r="531" spans="1:30" ht="13.5" customHeight="1">
      <c r="A531" s="2"/>
      <c r="B531" s="2"/>
      <c r="C531" s="2"/>
      <c r="D531" s="2"/>
      <c r="E531" s="2"/>
      <c r="F531" s="2"/>
      <c r="G531" s="2"/>
      <c r="H531" s="2"/>
      <c r="I531" s="2"/>
      <c r="J531" s="2"/>
      <c r="K531" s="2"/>
      <c r="L531" s="2"/>
      <c r="M531" s="2"/>
      <c r="N531" s="2"/>
      <c r="O531" s="2"/>
      <c r="P531" s="2"/>
      <c r="Q531" s="2"/>
      <c r="R531" s="9"/>
      <c r="S531" s="9"/>
      <c r="T531" s="9"/>
      <c r="U531" s="9"/>
      <c r="V531" s="9"/>
      <c r="W531" s="9"/>
      <c r="X531" s="9"/>
      <c r="Y531" s="9"/>
      <c r="Z531" s="9"/>
      <c r="AA531" s="9"/>
      <c r="AB531" s="9"/>
      <c r="AC531" s="9"/>
      <c r="AD531" s="9"/>
    </row>
    <row r="532" spans="1:30" ht="13.5" customHeight="1">
      <c r="A532" s="2"/>
      <c r="B532" s="2"/>
      <c r="C532" s="2"/>
      <c r="D532" s="2"/>
      <c r="E532" s="2"/>
      <c r="F532" s="2"/>
      <c r="G532" s="2"/>
      <c r="H532" s="2"/>
      <c r="I532" s="2"/>
      <c r="J532" s="2"/>
      <c r="K532" s="2"/>
      <c r="L532" s="2"/>
      <c r="M532" s="2"/>
      <c r="N532" s="2"/>
      <c r="O532" s="2"/>
      <c r="P532" s="2"/>
      <c r="Q532" s="2"/>
      <c r="R532" s="9"/>
      <c r="S532" s="9"/>
      <c r="T532" s="9"/>
      <c r="U532" s="9"/>
      <c r="V532" s="9"/>
      <c r="W532" s="9"/>
      <c r="X532" s="9"/>
      <c r="Y532" s="9"/>
      <c r="Z532" s="9"/>
      <c r="AA532" s="9"/>
      <c r="AB532" s="9"/>
      <c r="AC532" s="9"/>
      <c r="AD532" s="9"/>
    </row>
    <row r="533" spans="1:30" ht="13.5" customHeight="1">
      <c r="A533" s="2"/>
      <c r="B533" s="2"/>
      <c r="C533" s="2"/>
      <c r="D533" s="2"/>
      <c r="E533" s="2"/>
      <c r="F533" s="2"/>
      <c r="G533" s="2"/>
      <c r="H533" s="2"/>
      <c r="I533" s="2"/>
      <c r="J533" s="2"/>
      <c r="K533" s="2"/>
      <c r="L533" s="2"/>
      <c r="M533" s="2"/>
      <c r="N533" s="2"/>
      <c r="O533" s="2"/>
      <c r="P533" s="2"/>
      <c r="Q533" s="2"/>
      <c r="R533" s="9"/>
      <c r="S533" s="9"/>
      <c r="T533" s="9"/>
      <c r="U533" s="9"/>
      <c r="V533" s="9"/>
      <c r="W533" s="9"/>
      <c r="X533" s="9"/>
      <c r="Y533" s="9"/>
      <c r="Z533" s="9"/>
      <c r="AA533" s="9"/>
      <c r="AB533" s="9"/>
      <c r="AC533" s="9"/>
      <c r="AD533" s="9"/>
    </row>
    <row r="534" spans="1:30" ht="13.5" customHeight="1">
      <c r="A534" s="2"/>
      <c r="B534" s="2"/>
      <c r="C534" s="2"/>
      <c r="D534" s="2"/>
      <c r="E534" s="2"/>
      <c r="F534" s="2"/>
      <c r="G534" s="2"/>
      <c r="H534" s="2"/>
      <c r="I534" s="2"/>
      <c r="J534" s="2"/>
      <c r="K534" s="2"/>
      <c r="L534" s="2"/>
      <c r="M534" s="2"/>
      <c r="N534" s="2"/>
      <c r="O534" s="2"/>
      <c r="P534" s="2"/>
      <c r="Q534" s="2"/>
      <c r="R534" s="9"/>
      <c r="S534" s="9"/>
      <c r="T534" s="9"/>
      <c r="U534" s="9"/>
      <c r="V534" s="9"/>
      <c r="W534" s="9"/>
      <c r="X534" s="9"/>
      <c r="Y534" s="9"/>
      <c r="Z534" s="9"/>
      <c r="AA534" s="9"/>
      <c r="AB534" s="9"/>
      <c r="AC534" s="9"/>
      <c r="AD534" s="9"/>
    </row>
    <row r="535" spans="1:30" ht="13.5" customHeight="1">
      <c r="A535" s="2"/>
      <c r="B535" s="2"/>
      <c r="C535" s="2"/>
      <c r="D535" s="2"/>
      <c r="E535" s="2"/>
      <c r="F535" s="2"/>
      <c r="G535" s="2"/>
      <c r="H535" s="2"/>
      <c r="I535" s="2"/>
      <c r="J535" s="2"/>
      <c r="K535" s="2"/>
      <c r="L535" s="2"/>
      <c r="M535" s="2"/>
      <c r="N535" s="2"/>
      <c r="O535" s="2"/>
      <c r="P535" s="2"/>
      <c r="Q535" s="2"/>
      <c r="R535" s="9"/>
      <c r="S535" s="9"/>
      <c r="T535" s="9"/>
      <c r="U535" s="9"/>
      <c r="V535" s="9"/>
      <c r="W535" s="9"/>
      <c r="X535" s="9"/>
      <c r="Y535" s="9"/>
      <c r="Z535" s="9"/>
      <c r="AA535" s="9"/>
      <c r="AB535" s="9"/>
      <c r="AC535" s="9"/>
      <c r="AD535" s="9"/>
    </row>
    <row r="536" spans="1:30" ht="13.5" customHeight="1">
      <c r="A536" s="2"/>
      <c r="B536" s="2"/>
      <c r="C536" s="2"/>
      <c r="D536" s="2"/>
      <c r="E536" s="2"/>
      <c r="F536" s="2"/>
      <c r="G536" s="2"/>
      <c r="H536" s="2"/>
      <c r="I536" s="2"/>
      <c r="J536" s="2"/>
      <c r="K536" s="2"/>
      <c r="L536" s="2"/>
      <c r="M536" s="2"/>
      <c r="N536" s="2"/>
      <c r="O536" s="2"/>
      <c r="P536" s="2"/>
      <c r="Q536" s="2"/>
      <c r="R536" s="9"/>
      <c r="S536" s="9"/>
      <c r="T536" s="9"/>
      <c r="U536" s="9"/>
      <c r="V536" s="9"/>
      <c r="W536" s="9"/>
      <c r="X536" s="9"/>
      <c r="Y536" s="9"/>
      <c r="Z536" s="9"/>
      <c r="AA536" s="9"/>
      <c r="AB536" s="9"/>
      <c r="AC536" s="9"/>
      <c r="AD536" s="9"/>
    </row>
    <row r="537" spans="1:30" ht="13.5" customHeight="1">
      <c r="A537" s="2"/>
      <c r="B537" s="2"/>
      <c r="C537" s="2"/>
      <c r="D537" s="2"/>
      <c r="E537" s="2"/>
      <c r="F537" s="2"/>
      <c r="G537" s="2"/>
      <c r="H537" s="2"/>
      <c r="I537" s="2"/>
      <c r="J537" s="2"/>
      <c r="K537" s="2"/>
      <c r="L537" s="2"/>
      <c r="M537" s="2"/>
      <c r="N537" s="2"/>
      <c r="O537" s="2"/>
      <c r="P537" s="2"/>
      <c r="Q537" s="2"/>
      <c r="R537" s="9"/>
      <c r="S537" s="9"/>
      <c r="T537" s="9"/>
      <c r="U537" s="9"/>
      <c r="V537" s="9"/>
      <c r="W537" s="9"/>
      <c r="X537" s="9"/>
      <c r="Y537" s="9"/>
      <c r="Z537" s="9"/>
      <c r="AA537" s="9"/>
      <c r="AB537" s="9"/>
      <c r="AC537" s="9"/>
      <c r="AD537" s="9"/>
    </row>
    <row r="538" spans="1:30" ht="13.5" customHeight="1">
      <c r="A538" s="2"/>
      <c r="B538" s="2"/>
      <c r="C538" s="2"/>
      <c r="D538" s="2"/>
      <c r="E538" s="2"/>
      <c r="F538" s="2"/>
      <c r="G538" s="2"/>
      <c r="H538" s="2"/>
      <c r="I538" s="2"/>
      <c r="J538" s="2"/>
      <c r="K538" s="2"/>
      <c r="L538" s="2"/>
      <c r="M538" s="2"/>
      <c r="N538" s="2"/>
      <c r="O538" s="2"/>
      <c r="P538" s="2"/>
      <c r="Q538" s="2"/>
      <c r="R538" s="9"/>
      <c r="S538" s="9"/>
      <c r="T538" s="9"/>
      <c r="U538" s="9"/>
      <c r="V538" s="9"/>
      <c r="W538" s="9"/>
      <c r="X538" s="9"/>
      <c r="Y538" s="9"/>
      <c r="Z538" s="9"/>
      <c r="AA538" s="9"/>
      <c r="AB538" s="9"/>
      <c r="AC538" s="9"/>
      <c r="AD538" s="9"/>
    </row>
    <row r="539" spans="1:30" ht="13.5" customHeight="1">
      <c r="A539" s="2"/>
      <c r="B539" s="2"/>
      <c r="C539" s="2"/>
      <c r="D539" s="2"/>
      <c r="E539" s="2"/>
      <c r="F539" s="2"/>
      <c r="G539" s="2"/>
      <c r="H539" s="2"/>
      <c r="I539" s="2"/>
      <c r="J539" s="2"/>
      <c r="K539" s="2"/>
      <c r="L539" s="2"/>
      <c r="M539" s="2"/>
      <c r="N539" s="2"/>
      <c r="O539" s="2"/>
      <c r="P539" s="2"/>
      <c r="Q539" s="2"/>
      <c r="R539" s="9"/>
      <c r="S539" s="9"/>
      <c r="T539" s="9"/>
      <c r="U539" s="9"/>
      <c r="V539" s="9"/>
      <c r="W539" s="9"/>
      <c r="X539" s="9"/>
      <c r="Y539" s="9"/>
      <c r="Z539" s="9"/>
      <c r="AA539" s="9"/>
      <c r="AB539" s="9"/>
      <c r="AC539" s="9"/>
      <c r="AD539" s="9"/>
    </row>
    <row r="540" spans="1:30" ht="13.5" customHeight="1">
      <c r="A540" s="2"/>
      <c r="B540" s="2"/>
      <c r="C540" s="2"/>
      <c r="D540" s="2"/>
      <c r="E540" s="2"/>
      <c r="F540" s="2"/>
      <c r="G540" s="2"/>
      <c r="H540" s="2"/>
      <c r="I540" s="2"/>
      <c r="J540" s="2"/>
      <c r="K540" s="2"/>
      <c r="L540" s="2"/>
      <c r="M540" s="2"/>
      <c r="N540" s="2"/>
      <c r="O540" s="2"/>
      <c r="P540" s="2"/>
      <c r="Q540" s="2"/>
      <c r="R540" s="9"/>
      <c r="S540" s="9"/>
      <c r="T540" s="9"/>
      <c r="U540" s="9"/>
      <c r="V540" s="9"/>
      <c r="W540" s="9"/>
      <c r="X540" s="9"/>
      <c r="Y540" s="9"/>
      <c r="Z540" s="9"/>
      <c r="AA540" s="9"/>
      <c r="AB540" s="9"/>
      <c r="AC540" s="9"/>
      <c r="AD540" s="9"/>
    </row>
    <row r="541" spans="1:30" ht="13.5" customHeight="1">
      <c r="A541" s="2"/>
      <c r="B541" s="2"/>
      <c r="C541" s="2"/>
      <c r="D541" s="2"/>
      <c r="E541" s="2"/>
      <c r="F541" s="2"/>
      <c r="G541" s="2"/>
      <c r="H541" s="2"/>
      <c r="I541" s="2"/>
      <c r="J541" s="2"/>
      <c r="K541" s="2"/>
      <c r="L541" s="2"/>
      <c r="M541" s="2"/>
      <c r="N541" s="2"/>
      <c r="O541" s="2"/>
      <c r="P541" s="2"/>
      <c r="Q541" s="2"/>
      <c r="R541" s="9"/>
      <c r="S541" s="9"/>
      <c r="T541" s="9"/>
      <c r="U541" s="9"/>
      <c r="V541" s="9"/>
      <c r="W541" s="9"/>
      <c r="X541" s="9"/>
      <c r="Y541" s="9"/>
      <c r="Z541" s="9"/>
      <c r="AA541" s="9"/>
      <c r="AB541" s="9"/>
      <c r="AC541" s="9"/>
      <c r="AD541" s="9"/>
    </row>
    <row r="542" spans="1:30" ht="13.5" customHeight="1">
      <c r="A542" s="2"/>
      <c r="B542" s="2"/>
      <c r="C542" s="2"/>
      <c r="D542" s="2"/>
      <c r="E542" s="2"/>
      <c r="F542" s="2"/>
      <c r="G542" s="2"/>
      <c r="H542" s="2"/>
      <c r="I542" s="2"/>
      <c r="J542" s="2"/>
      <c r="K542" s="2"/>
      <c r="L542" s="2"/>
      <c r="M542" s="2"/>
      <c r="N542" s="2"/>
      <c r="O542" s="2"/>
      <c r="P542" s="2"/>
      <c r="Q542" s="2"/>
      <c r="R542" s="9"/>
      <c r="S542" s="9"/>
      <c r="T542" s="9"/>
      <c r="U542" s="9"/>
      <c r="V542" s="9"/>
      <c r="W542" s="9"/>
      <c r="X542" s="9"/>
      <c r="Y542" s="9"/>
      <c r="Z542" s="9"/>
      <c r="AA542" s="9"/>
      <c r="AB542" s="9"/>
      <c r="AC542" s="9"/>
      <c r="AD542" s="9"/>
    </row>
    <row r="543" spans="1:30" ht="13.5" customHeight="1">
      <c r="A543" s="2"/>
      <c r="B543" s="2"/>
      <c r="C543" s="2"/>
      <c r="D543" s="2"/>
      <c r="E543" s="2"/>
      <c r="F543" s="2"/>
      <c r="G543" s="2"/>
      <c r="H543" s="2"/>
      <c r="I543" s="2"/>
      <c r="J543" s="2"/>
      <c r="K543" s="2"/>
      <c r="L543" s="2"/>
      <c r="M543" s="2"/>
      <c r="N543" s="2"/>
      <c r="O543" s="2"/>
      <c r="P543" s="2"/>
      <c r="Q543" s="2"/>
      <c r="R543" s="9"/>
      <c r="S543" s="9"/>
      <c r="T543" s="9"/>
      <c r="U543" s="9"/>
      <c r="V543" s="9"/>
      <c r="W543" s="9"/>
      <c r="X543" s="9"/>
      <c r="Y543" s="9"/>
      <c r="Z543" s="9"/>
      <c r="AA543" s="9"/>
      <c r="AB543" s="9"/>
      <c r="AC543" s="9"/>
      <c r="AD543" s="9"/>
    </row>
    <row r="544" spans="1:30" ht="13.5" customHeight="1">
      <c r="A544" s="2"/>
      <c r="B544" s="2"/>
      <c r="C544" s="2"/>
      <c r="D544" s="2"/>
      <c r="E544" s="2"/>
      <c r="F544" s="2"/>
      <c r="G544" s="2"/>
      <c r="H544" s="2"/>
      <c r="I544" s="2"/>
      <c r="J544" s="2"/>
      <c r="K544" s="2"/>
      <c r="L544" s="2"/>
      <c r="M544" s="2"/>
      <c r="N544" s="2"/>
      <c r="O544" s="2"/>
      <c r="P544" s="2"/>
      <c r="Q544" s="2"/>
      <c r="R544" s="9"/>
      <c r="S544" s="9"/>
      <c r="T544" s="9"/>
      <c r="U544" s="9"/>
      <c r="V544" s="9"/>
      <c r="W544" s="9"/>
      <c r="X544" s="9"/>
      <c r="Y544" s="9"/>
      <c r="Z544" s="9"/>
      <c r="AA544" s="9"/>
      <c r="AB544" s="9"/>
      <c r="AC544" s="9"/>
      <c r="AD544" s="9"/>
    </row>
    <row r="545" spans="1:30" ht="13.5" customHeight="1">
      <c r="A545" s="2"/>
      <c r="B545" s="2"/>
      <c r="C545" s="2"/>
      <c r="D545" s="2"/>
      <c r="E545" s="2"/>
      <c r="F545" s="2"/>
      <c r="G545" s="2"/>
      <c r="H545" s="2"/>
      <c r="I545" s="2"/>
      <c r="J545" s="2"/>
      <c r="K545" s="2"/>
      <c r="L545" s="2"/>
      <c r="M545" s="2"/>
      <c r="N545" s="2"/>
      <c r="O545" s="2"/>
      <c r="P545" s="2"/>
      <c r="Q545" s="2"/>
      <c r="R545" s="9"/>
      <c r="S545" s="9"/>
      <c r="T545" s="9"/>
      <c r="U545" s="9"/>
      <c r="V545" s="9"/>
      <c r="W545" s="9"/>
      <c r="X545" s="9"/>
      <c r="Y545" s="9"/>
      <c r="Z545" s="9"/>
      <c r="AA545" s="9"/>
      <c r="AB545" s="9"/>
      <c r="AC545" s="9"/>
      <c r="AD545" s="9"/>
    </row>
    <row r="546" spans="1:30" ht="13.5" customHeight="1">
      <c r="A546" s="2"/>
      <c r="B546" s="2"/>
      <c r="C546" s="2"/>
      <c r="D546" s="2"/>
      <c r="E546" s="2"/>
      <c r="F546" s="2"/>
      <c r="G546" s="2"/>
      <c r="H546" s="2"/>
      <c r="I546" s="2"/>
      <c r="J546" s="2"/>
      <c r="K546" s="2"/>
      <c r="L546" s="2"/>
      <c r="M546" s="2"/>
      <c r="N546" s="2"/>
      <c r="O546" s="2"/>
      <c r="P546" s="2"/>
      <c r="Q546" s="2"/>
      <c r="R546" s="9"/>
      <c r="S546" s="9"/>
      <c r="T546" s="9"/>
      <c r="U546" s="9"/>
      <c r="V546" s="9"/>
      <c r="W546" s="9"/>
      <c r="X546" s="9"/>
      <c r="Y546" s="9"/>
      <c r="Z546" s="9"/>
      <c r="AA546" s="9"/>
      <c r="AB546" s="9"/>
      <c r="AC546" s="9"/>
      <c r="AD546" s="9"/>
    </row>
    <row r="547" spans="1:30" ht="13.5" customHeight="1">
      <c r="A547" s="2"/>
      <c r="B547" s="2"/>
      <c r="C547" s="2"/>
      <c r="D547" s="2"/>
      <c r="E547" s="2"/>
      <c r="F547" s="2"/>
      <c r="G547" s="2"/>
      <c r="H547" s="2"/>
      <c r="I547" s="2"/>
      <c r="J547" s="2"/>
      <c r="K547" s="2"/>
      <c r="L547" s="2"/>
      <c r="M547" s="2"/>
      <c r="N547" s="2"/>
      <c r="O547" s="2"/>
      <c r="P547" s="2"/>
      <c r="Q547" s="2"/>
      <c r="R547" s="9"/>
      <c r="S547" s="9"/>
      <c r="T547" s="9"/>
      <c r="U547" s="9"/>
      <c r="V547" s="9"/>
      <c r="W547" s="9"/>
      <c r="X547" s="9"/>
      <c r="Y547" s="9"/>
      <c r="Z547" s="9"/>
      <c r="AA547" s="9"/>
      <c r="AB547" s="9"/>
      <c r="AC547" s="9"/>
      <c r="AD547" s="9"/>
    </row>
    <row r="548" spans="1:30" ht="13.5" customHeight="1">
      <c r="A548" s="2"/>
      <c r="B548" s="2"/>
      <c r="C548" s="2"/>
      <c r="D548" s="2"/>
      <c r="E548" s="2"/>
      <c r="F548" s="2"/>
      <c r="G548" s="2"/>
      <c r="H548" s="2"/>
      <c r="I548" s="2"/>
      <c r="J548" s="2"/>
      <c r="K548" s="2"/>
      <c r="L548" s="2"/>
      <c r="M548" s="2"/>
      <c r="N548" s="2"/>
      <c r="O548" s="2"/>
      <c r="P548" s="2"/>
      <c r="Q548" s="2"/>
      <c r="R548" s="9"/>
      <c r="S548" s="9"/>
      <c r="T548" s="9"/>
      <c r="U548" s="9"/>
      <c r="V548" s="9"/>
      <c r="W548" s="9"/>
      <c r="X548" s="9"/>
      <c r="Y548" s="9"/>
      <c r="Z548" s="9"/>
      <c r="AA548" s="9"/>
      <c r="AB548" s="9"/>
      <c r="AC548" s="9"/>
      <c r="AD548" s="9"/>
    </row>
    <row r="549" spans="1:30" ht="13.5" customHeight="1">
      <c r="A549" s="2"/>
      <c r="B549" s="2"/>
      <c r="C549" s="2"/>
      <c r="D549" s="2"/>
      <c r="E549" s="2"/>
      <c r="F549" s="2"/>
      <c r="G549" s="2"/>
      <c r="H549" s="2"/>
      <c r="I549" s="2"/>
      <c r="J549" s="2"/>
      <c r="K549" s="2"/>
      <c r="L549" s="2"/>
      <c r="M549" s="2"/>
      <c r="N549" s="2"/>
      <c r="O549" s="2"/>
      <c r="P549" s="2"/>
      <c r="Q549" s="2"/>
      <c r="R549" s="9"/>
      <c r="S549" s="9"/>
      <c r="T549" s="9"/>
      <c r="U549" s="9"/>
      <c r="V549" s="9"/>
      <c r="W549" s="9"/>
      <c r="X549" s="9"/>
      <c r="Y549" s="9"/>
      <c r="Z549" s="9"/>
      <c r="AA549" s="9"/>
      <c r="AB549" s="9"/>
      <c r="AC549" s="9"/>
      <c r="AD549" s="9"/>
    </row>
    <row r="550" spans="1:30" ht="13.5" customHeight="1">
      <c r="A550" s="2"/>
      <c r="B550" s="2"/>
      <c r="C550" s="2"/>
      <c r="D550" s="2"/>
      <c r="E550" s="2"/>
      <c r="F550" s="2"/>
      <c r="G550" s="2"/>
      <c r="H550" s="2"/>
      <c r="I550" s="2"/>
      <c r="J550" s="2"/>
      <c r="K550" s="2"/>
      <c r="L550" s="2"/>
      <c r="M550" s="2"/>
      <c r="N550" s="2"/>
      <c r="O550" s="2"/>
      <c r="P550" s="2"/>
      <c r="Q550" s="2"/>
      <c r="R550" s="9"/>
      <c r="S550" s="9"/>
      <c r="T550" s="9"/>
      <c r="U550" s="9"/>
      <c r="V550" s="9"/>
      <c r="W550" s="9"/>
      <c r="X550" s="9"/>
      <c r="Y550" s="9"/>
      <c r="Z550" s="9"/>
      <c r="AA550" s="9"/>
      <c r="AB550" s="9"/>
      <c r="AC550" s="9"/>
      <c r="AD550" s="9"/>
    </row>
    <row r="551" spans="1:30" ht="13.5" customHeight="1">
      <c r="A551" s="2"/>
      <c r="B551" s="2"/>
      <c r="C551" s="2"/>
      <c r="D551" s="2"/>
      <c r="E551" s="2"/>
      <c r="F551" s="2"/>
      <c r="G551" s="2"/>
      <c r="H551" s="2"/>
      <c r="I551" s="2"/>
      <c r="J551" s="2"/>
      <c r="K551" s="2"/>
      <c r="L551" s="2"/>
      <c r="M551" s="2"/>
      <c r="N551" s="2"/>
      <c r="O551" s="2"/>
      <c r="P551" s="2"/>
      <c r="Q551" s="2"/>
      <c r="R551" s="9"/>
      <c r="S551" s="9"/>
      <c r="T551" s="9"/>
      <c r="U551" s="9"/>
      <c r="V551" s="9"/>
      <c r="W551" s="9"/>
      <c r="X551" s="9"/>
      <c r="Y551" s="9"/>
      <c r="Z551" s="9"/>
      <c r="AA551" s="9"/>
      <c r="AB551" s="9"/>
      <c r="AC551" s="9"/>
      <c r="AD551" s="9"/>
    </row>
    <row r="552" spans="1:30" ht="13.5" customHeight="1">
      <c r="A552" s="2"/>
      <c r="B552" s="2"/>
      <c r="C552" s="2"/>
      <c r="D552" s="2"/>
      <c r="E552" s="2"/>
      <c r="F552" s="2"/>
      <c r="G552" s="2"/>
      <c r="H552" s="2"/>
      <c r="I552" s="2"/>
      <c r="J552" s="2"/>
      <c r="K552" s="2"/>
      <c r="L552" s="2"/>
      <c r="M552" s="2"/>
      <c r="N552" s="2"/>
      <c r="O552" s="2"/>
      <c r="P552" s="2"/>
      <c r="Q552" s="2"/>
      <c r="R552" s="9"/>
      <c r="S552" s="9"/>
      <c r="T552" s="9"/>
      <c r="U552" s="9"/>
      <c r="V552" s="9"/>
      <c r="W552" s="9"/>
      <c r="X552" s="9"/>
      <c r="Y552" s="9"/>
      <c r="Z552" s="9"/>
      <c r="AA552" s="9"/>
      <c r="AB552" s="9"/>
      <c r="AC552" s="9"/>
      <c r="AD552" s="9"/>
    </row>
    <row r="553" spans="1:30" ht="13.5" customHeight="1">
      <c r="A553" s="2"/>
      <c r="B553" s="2"/>
      <c r="C553" s="2"/>
      <c r="D553" s="2"/>
      <c r="E553" s="2"/>
      <c r="F553" s="2"/>
      <c r="G553" s="2"/>
      <c r="H553" s="2"/>
      <c r="I553" s="2"/>
      <c r="J553" s="2"/>
      <c r="K553" s="2"/>
      <c r="L553" s="2"/>
      <c r="M553" s="2"/>
      <c r="N553" s="2"/>
      <c r="O553" s="2"/>
      <c r="P553" s="2"/>
      <c r="Q553" s="2"/>
      <c r="R553" s="9"/>
      <c r="S553" s="9"/>
      <c r="T553" s="9"/>
      <c r="U553" s="9"/>
      <c r="V553" s="9"/>
      <c r="W553" s="9"/>
      <c r="X553" s="9"/>
      <c r="Y553" s="9"/>
      <c r="Z553" s="9"/>
      <c r="AA553" s="9"/>
      <c r="AB553" s="9"/>
      <c r="AC553" s="9"/>
      <c r="AD553" s="9"/>
    </row>
    <row r="554" spans="1:30" ht="13.5" customHeight="1">
      <c r="A554" s="2"/>
      <c r="B554" s="2"/>
      <c r="C554" s="2"/>
      <c r="D554" s="2"/>
      <c r="E554" s="2"/>
      <c r="F554" s="2"/>
      <c r="G554" s="2"/>
      <c r="H554" s="2"/>
      <c r="I554" s="2"/>
      <c r="J554" s="2"/>
      <c r="K554" s="2"/>
      <c r="L554" s="2"/>
      <c r="M554" s="2"/>
      <c r="N554" s="2"/>
      <c r="O554" s="2"/>
      <c r="P554" s="2"/>
      <c r="Q554" s="2"/>
      <c r="R554" s="9"/>
      <c r="S554" s="9"/>
      <c r="T554" s="9"/>
      <c r="U554" s="9"/>
      <c r="V554" s="9"/>
      <c r="W554" s="9"/>
      <c r="X554" s="9"/>
      <c r="Y554" s="9"/>
      <c r="Z554" s="9"/>
      <c r="AA554" s="9"/>
      <c r="AB554" s="9"/>
      <c r="AC554" s="9"/>
      <c r="AD554" s="9"/>
    </row>
    <row r="555" spans="1:30" ht="13.5" customHeight="1">
      <c r="A555" s="2"/>
      <c r="B555" s="2"/>
      <c r="C555" s="2"/>
      <c r="D555" s="2"/>
      <c r="E555" s="2"/>
      <c r="F555" s="2"/>
      <c r="G555" s="2"/>
      <c r="H555" s="2"/>
      <c r="I555" s="2"/>
      <c r="J555" s="2"/>
      <c r="K555" s="2"/>
      <c r="L555" s="2"/>
      <c r="M555" s="2"/>
      <c r="N555" s="2"/>
      <c r="O555" s="2"/>
      <c r="P555" s="2"/>
      <c r="Q555" s="2"/>
      <c r="R555" s="9"/>
      <c r="S555" s="9"/>
      <c r="T555" s="9"/>
      <c r="U555" s="9"/>
      <c r="V555" s="9"/>
      <c r="W555" s="9"/>
      <c r="X555" s="9"/>
      <c r="Y555" s="9"/>
      <c r="Z555" s="9"/>
      <c r="AA555" s="9"/>
      <c r="AB555" s="9"/>
      <c r="AC555" s="9"/>
      <c r="AD555" s="9"/>
    </row>
    <row r="556" spans="1:30" ht="13.5" customHeight="1">
      <c r="A556" s="2"/>
      <c r="B556" s="2"/>
      <c r="C556" s="2"/>
      <c r="D556" s="2"/>
      <c r="E556" s="2"/>
      <c r="F556" s="2"/>
      <c r="G556" s="2"/>
      <c r="H556" s="2"/>
      <c r="I556" s="2"/>
      <c r="J556" s="2"/>
      <c r="K556" s="2"/>
      <c r="L556" s="2"/>
      <c r="M556" s="2"/>
      <c r="N556" s="2"/>
      <c r="O556" s="2"/>
      <c r="P556" s="2"/>
      <c r="Q556" s="2"/>
      <c r="R556" s="9"/>
      <c r="S556" s="9"/>
      <c r="T556" s="9"/>
      <c r="U556" s="9"/>
      <c r="V556" s="9"/>
      <c r="W556" s="9"/>
      <c r="X556" s="9"/>
      <c r="Y556" s="9"/>
      <c r="Z556" s="9"/>
      <c r="AA556" s="9"/>
      <c r="AB556" s="9"/>
      <c r="AC556" s="9"/>
      <c r="AD556" s="9"/>
    </row>
    <row r="557" spans="1:30" ht="13.5" customHeight="1">
      <c r="A557" s="2"/>
      <c r="B557" s="2"/>
      <c r="C557" s="2"/>
      <c r="D557" s="2"/>
      <c r="E557" s="2"/>
      <c r="F557" s="2"/>
      <c r="G557" s="2"/>
      <c r="H557" s="2"/>
      <c r="I557" s="2"/>
      <c r="J557" s="2"/>
      <c r="K557" s="2"/>
      <c r="L557" s="2"/>
      <c r="M557" s="2"/>
      <c r="N557" s="2"/>
      <c r="O557" s="2"/>
      <c r="P557" s="2"/>
      <c r="Q557" s="2"/>
      <c r="R557" s="9"/>
      <c r="S557" s="9"/>
      <c r="T557" s="9"/>
      <c r="U557" s="9"/>
      <c r="V557" s="9"/>
      <c r="W557" s="9"/>
      <c r="X557" s="9"/>
      <c r="Y557" s="9"/>
      <c r="Z557" s="9"/>
      <c r="AA557" s="9"/>
      <c r="AB557" s="9"/>
      <c r="AC557" s="9"/>
      <c r="AD557" s="9"/>
    </row>
    <row r="558" spans="1:30" ht="13.5" customHeight="1">
      <c r="A558" s="2"/>
      <c r="B558" s="2"/>
      <c r="C558" s="2"/>
      <c r="D558" s="2"/>
      <c r="E558" s="2"/>
      <c r="F558" s="2"/>
      <c r="G558" s="2"/>
      <c r="H558" s="2"/>
      <c r="I558" s="2"/>
      <c r="J558" s="2"/>
      <c r="K558" s="2"/>
      <c r="L558" s="2"/>
      <c r="M558" s="2"/>
      <c r="N558" s="2"/>
      <c r="O558" s="2"/>
      <c r="P558" s="2"/>
      <c r="Q558" s="2"/>
      <c r="R558" s="9"/>
      <c r="S558" s="9"/>
      <c r="T558" s="9"/>
      <c r="U558" s="9"/>
      <c r="V558" s="9"/>
      <c r="W558" s="9"/>
      <c r="X558" s="9"/>
      <c r="Y558" s="9"/>
      <c r="Z558" s="9"/>
      <c r="AA558" s="9"/>
      <c r="AB558" s="9"/>
      <c r="AC558" s="9"/>
      <c r="AD558" s="9"/>
    </row>
    <row r="559" spans="1:30" ht="13.5" customHeight="1">
      <c r="A559" s="2"/>
      <c r="B559" s="2"/>
      <c r="C559" s="2"/>
      <c r="D559" s="2"/>
      <c r="E559" s="2"/>
      <c r="F559" s="2"/>
      <c r="G559" s="2"/>
      <c r="H559" s="2"/>
      <c r="I559" s="2"/>
      <c r="J559" s="2"/>
      <c r="K559" s="2"/>
      <c r="L559" s="2"/>
      <c r="M559" s="2"/>
      <c r="N559" s="2"/>
      <c r="O559" s="2"/>
      <c r="P559" s="2"/>
      <c r="Q559" s="2"/>
      <c r="R559" s="9"/>
      <c r="S559" s="9"/>
      <c r="T559" s="9"/>
      <c r="U559" s="9"/>
      <c r="V559" s="9"/>
      <c r="W559" s="9"/>
      <c r="X559" s="9"/>
      <c r="Y559" s="9"/>
      <c r="Z559" s="9"/>
      <c r="AA559" s="9"/>
      <c r="AB559" s="9"/>
      <c r="AC559" s="9"/>
      <c r="AD559" s="9"/>
    </row>
    <row r="560" spans="1:30" ht="13.5" customHeight="1">
      <c r="A560" s="2"/>
      <c r="B560" s="2"/>
      <c r="C560" s="2"/>
      <c r="D560" s="2"/>
      <c r="E560" s="2"/>
      <c r="F560" s="2"/>
      <c r="G560" s="2"/>
      <c r="H560" s="2"/>
      <c r="I560" s="2"/>
      <c r="J560" s="2"/>
      <c r="K560" s="2"/>
      <c r="L560" s="2"/>
      <c r="M560" s="2"/>
      <c r="N560" s="2"/>
      <c r="O560" s="2"/>
      <c r="P560" s="2"/>
      <c r="Q560" s="2"/>
      <c r="R560" s="9"/>
      <c r="S560" s="9"/>
      <c r="T560" s="9"/>
      <c r="U560" s="9"/>
      <c r="V560" s="9"/>
      <c r="W560" s="9"/>
      <c r="X560" s="9"/>
      <c r="Y560" s="9"/>
      <c r="Z560" s="9"/>
      <c r="AA560" s="9"/>
      <c r="AB560" s="9"/>
      <c r="AC560" s="9"/>
      <c r="AD560" s="9"/>
    </row>
    <row r="561" spans="1:30" ht="13.5" customHeight="1">
      <c r="A561" s="2"/>
      <c r="B561" s="2"/>
      <c r="C561" s="2"/>
      <c r="D561" s="2"/>
      <c r="E561" s="2"/>
      <c r="F561" s="2"/>
      <c r="G561" s="2"/>
      <c r="H561" s="2"/>
      <c r="I561" s="2"/>
      <c r="J561" s="2"/>
      <c r="K561" s="2"/>
      <c r="L561" s="2"/>
      <c r="M561" s="2"/>
      <c r="N561" s="2"/>
      <c r="O561" s="2"/>
      <c r="P561" s="2"/>
      <c r="Q561" s="2"/>
      <c r="R561" s="9"/>
      <c r="S561" s="9"/>
      <c r="T561" s="9"/>
      <c r="U561" s="9"/>
      <c r="V561" s="9"/>
      <c r="W561" s="9"/>
      <c r="X561" s="9"/>
      <c r="Y561" s="9"/>
      <c r="Z561" s="9"/>
      <c r="AA561" s="9"/>
      <c r="AB561" s="9"/>
      <c r="AC561" s="9"/>
      <c r="AD561" s="9"/>
    </row>
    <row r="562" spans="1:30" ht="13.5" customHeight="1">
      <c r="A562" s="2"/>
      <c r="B562" s="2"/>
      <c r="C562" s="2"/>
      <c r="D562" s="2"/>
      <c r="E562" s="2"/>
      <c r="F562" s="2"/>
      <c r="G562" s="2"/>
      <c r="H562" s="2"/>
      <c r="I562" s="2"/>
      <c r="J562" s="2"/>
      <c r="K562" s="2"/>
      <c r="L562" s="2"/>
      <c r="M562" s="2"/>
      <c r="N562" s="2"/>
      <c r="O562" s="2"/>
      <c r="P562" s="2"/>
      <c r="Q562" s="2"/>
      <c r="R562" s="9"/>
      <c r="S562" s="9"/>
      <c r="T562" s="9"/>
      <c r="U562" s="9"/>
      <c r="V562" s="9"/>
      <c r="W562" s="9"/>
      <c r="X562" s="9"/>
      <c r="Y562" s="9"/>
      <c r="Z562" s="9"/>
      <c r="AA562" s="9"/>
      <c r="AB562" s="9"/>
      <c r="AC562" s="9"/>
      <c r="AD562" s="9"/>
    </row>
    <row r="563" spans="1:30" ht="13.5" customHeight="1">
      <c r="A563" s="2"/>
      <c r="B563" s="2"/>
      <c r="C563" s="2"/>
      <c r="D563" s="2"/>
      <c r="E563" s="2"/>
      <c r="F563" s="2"/>
      <c r="G563" s="2"/>
      <c r="H563" s="2"/>
      <c r="I563" s="2"/>
      <c r="J563" s="2"/>
      <c r="K563" s="2"/>
      <c r="L563" s="2"/>
      <c r="M563" s="2"/>
      <c r="N563" s="2"/>
      <c r="O563" s="2"/>
      <c r="P563" s="2"/>
      <c r="Q563" s="2"/>
      <c r="R563" s="9"/>
      <c r="S563" s="9"/>
      <c r="T563" s="9"/>
      <c r="U563" s="9"/>
      <c r="V563" s="9"/>
      <c r="W563" s="9"/>
      <c r="X563" s="9"/>
      <c r="Y563" s="9"/>
      <c r="Z563" s="9"/>
      <c r="AA563" s="9"/>
      <c r="AB563" s="9"/>
      <c r="AC563" s="9"/>
      <c r="AD563" s="9"/>
    </row>
    <row r="564" spans="1:30" ht="13.5" customHeight="1">
      <c r="A564" s="2"/>
      <c r="B564" s="2"/>
      <c r="C564" s="2"/>
      <c r="D564" s="2"/>
      <c r="E564" s="2"/>
      <c r="F564" s="2"/>
      <c r="G564" s="2"/>
      <c r="H564" s="2"/>
      <c r="I564" s="2"/>
      <c r="J564" s="2"/>
      <c r="K564" s="2"/>
      <c r="L564" s="2"/>
      <c r="M564" s="2"/>
      <c r="N564" s="2"/>
      <c r="O564" s="2"/>
      <c r="P564" s="2"/>
      <c r="Q564" s="2"/>
      <c r="R564" s="9"/>
      <c r="S564" s="9"/>
      <c r="T564" s="9"/>
      <c r="U564" s="9"/>
      <c r="V564" s="9"/>
      <c r="W564" s="9"/>
      <c r="X564" s="9"/>
      <c r="Y564" s="9"/>
      <c r="Z564" s="9"/>
      <c r="AA564" s="9"/>
      <c r="AB564" s="9"/>
      <c r="AC564" s="9"/>
      <c r="AD564" s="9"/>
    </row>
    <row r="565" spans="1:30" ht="13.5" customHeight="1">
      <c r="A565" s="2"/>
      <c r="B565" s="2"/>
      <c r="C565" s="2"/>
      <c r="D565" s="2"/>
      <c r="E565" s="2"/>
      <c r="F565" s="2"/>
      <c r="G565" s="2"/>
      <c r="H565" s="2"/>
      <c r="I565" s="2"/>
      <c r="J565" s="2"/>
      <c r="K565" s="2"/>
      <c r="L565" s="2"/>
      <c r="M565" s="2"/>
      <c r="N565" s="2"/>
      <c r="O565" s="2"/>
      <c r="P565" s="2"/>
      <c r="Q565" s="2"/>
      <c r="R565" s="9"/>
      <c r="S565" s="9"/>
      <c r="T565" s="9"/>
      <c r="U565" s="9"/>
      <c r="V565" s="9"/>
      <c r="W565" s="9"/>
      <c r="X565" s="9"/>
      <c r="Y565" s="9"/>
      <c r="Z565" s="9"/>
      <c r="AA565" s="9"/>
      <c r="AB565" s="9"/>
      <c r="AC565" s="9"/>
      <c r="AD565" s="9"/>
    </row>
    <row r="566" spans="1:30" ht="13.5" customHeight="1">
      <c r="A566" s="2"/>
      <c r="B566" s="2"/>
      <c r="C566" s="2"/>
      <c r="D566" s="2"/>
      <c r="E566" s="2"/>
      <c r="F566" s="2"/>
      <c r="G566" s="2"/>
      <c r="H566" s="2"/>
      <c r="I566" s="2"/>
      <c r="J566" s="2"/>
      <c r="K566" s="2"/>
      <c r="L566" s="2"/>
      <c r="M566" s="2"/>
      <c r="N566" s="2"/>
      <c r="O566" s="2"/>
      <c r="P566" s="2"/>
      <c r="Q566" s="2"/>
      <c r="R566" s="9"/>
      <c r="S566" s="9"/>
      <c r="T566" s="9"/>
      <c r="U566" s="9"/>
      <c r="V566" s="9"/>
      <c r="W566" s="9"/>
      <c r="X566" s="9"/>
      <c r="Y566" s="9"/>
      <c r="Z566" s="9"/>
      <c r="AA566" s="9"/>
      <c r="AB566" s="9"/>
      <c r="AC566" s="9"/>
      <c r="AD566" s="9"/>
    </row>
    <row r="567" spans="1:30" ht="13.5" customHeight="1">
      <c r="A567" s="2"/>
      <c r="B567" s="2"/>
      <c r="C567" s="2"/>
      <c r="D567" s="2"/>
      <c r="E567" s="2"/>
      <c r="F567" s="2"/>
      <c r="G567" s="2"/>
      <c r="H567" s="2"/>
      <c r="I567" s="2"/>
      <c r="J567" s="2"/>
      <c r="K567" s="2"/>
      <c r="L567" s="2"/>
      <c r="M567" s="2"/>
      <c r="N567" s="2"/>
      <c r="O567" s="2"/>
      <c r="P567" s="2"/>
      <c r="Q567" s="2"/>
      <c r="R567" s="9"/>
      <c r="S567" s="9"/>
      <c r="T567" s="9"/>
      <c r="U567" s="9"/>
      <c r="V567" s="9"/>
      <c r="W567" s="9"/>
      <c r="X567" s="9"/>
      <c r="Y567" s="9"/>
      <c r="Z567" s="9"/>
      <c r="AA567" s="9"/>
      <c r="AB567" s="9"/>
      <c r="AC567" s="9"/>
      <c r="AD567" s="9"/>
    </row>
    <row r="568" spans="1:30" ht="13.5" customHeight="1">
      <c r="A568" s="2"/>
      <c r="B568" s="2"/>
      <c r="C568" s="2"/>
      <c r="D568" s="2"/>
      <c r="E568" s="2"/>
      <c r="F568" s="2"/>
      <c r="G568" s="2"/>
      <c r="H568" s="2"/>
      <c r="I568" s="2"/>
      <c r="J568" s="2"/>
      <c r="K568" s="2"/>
      <c r="L568" s="2"/>
      <c r="M568" s="2"/>
      <c r="N568" s="2"/>
      <c r="O568" s="2"/>
      <c r="P568" s="2"/>
      <c r="Q568" s="2"/>
      <c r="R568" s="9"/>
      <c r="S568" s="9"/>
      <c r="T568" s="9"/>
      <c r="U568" s="9"/>
      <c r="V568" s="9"/>
      <c r="W568" s="9"/>
      <c r="X568" s="9"/>
      <c r="Y568" s="9"/>
      <c r="Z568" s="9"/>
      <c r="AA568" s="9"/>
      <c r="AB568" s="9"/>
      <c r="AC568" s="9"/>
      <c r="AD568" s="9"/>
    </row>
    <row r="569" spans="1:30" ht="13.5" customHeight="1">
      <c r="A569" s="2"/>
      <c r="B569" s="2"/>
      <c r="C569" s="2"/>
      <c r="D569" s="2"/>
      <c r="E569" s="2"/>
      <c r="F569" s="2"/>
      <c r="G569" s="2"/>
      <c r="H569" s="2"/>
      <c r="I569" s="2"/>
      <c r="J569" s="2"/>
      <c r="K569" s="2"/>
      <c r="L569" s="2"/>
      <c r="M569" s="2"/>
      <c r="N569" s="2"/>
      <c r="O569" s="2"/>
      <c r="P569" s="2"/>
      <c r="Q569" s="2"/>
      <c r="R569" s="9"/>
      <c r="S569" s="9"/>
      <c r="T569" s="9"/>
      <c r="U569" s="9"/>
      <c r="V569" s="9"/>
      <c r="W569" s="9"/>
      <c r="X569" s="9"/>
      <c r="Y569" s="9"/>
      <c r="Z569" s="9"/>
      <c r="AA569" s="9"/>
      <c r="AB569" s="9"/>
      <c r="AC569" s="9"/>
      <c r="AD569" s="9"/>
    </row>
    <row r="570" spans="1:30" ht="13.5" customHeight="1">
      <c r="A570" s="2"/>
      <c r="B570" s="2"/>
      <c r="C570" s="2"/>
      <c r="D570" s="2"/>
      <c r="E570" s="2"/>
      <c r="F570" s="2"/>
      <c r="G570" s="2"/>
      <c r="H570" s="2"/>
      <c r="I570" s="2"/>
      <c r="J570" s="2"/>
      <c r="K570" s="2"/>
      <c r="L570" s="2"/>
      <c r="M570" s="2"/>
      <c r="N570" s="2"/>
      <c r="O570" s="2"/>
      <c r="P570" s="2"/>
      <c r="Q570" s="2"/>
      <c r="R570" s="9"/>
      <c r="S570" s="9"/>
      <c r="T570" s="9"/>
      <c r="U570" s="9"/>
      <c r="V570" s="9"/>
      <c r="W570" s="9"/>
      <c r="X570" s="9"/>
      <c r="Y570" s="9"/>
      <c r="Z570" s="9"/>
      <c r="AA570" s="9"/>
      <c r="AB570" s="9"/>
      <c r="AC570" s="9"/>
      <c r="AD570" s="9"/>
    </row>
    <row r="571" spans="1:30" ht="13.5" customHeight="1">
      <c r="A571" s="2"/>
      <c r="B571" s="2"/>
      <c r="C571" s="2"/>
      <c r="D571" s="2"/>
      <c r="E571" s="2"/>
      <c r="F571" s="2"/>
      <c r="G571" s="2"/>
      <c r="H571" s="2"/>
      <c r="I571" s="2"/>
      <c r="J571" s="2"/>
      <c r="K571" s="2"/>
      <c r="L571" s="2"/>
      <c r="M571" s="2"/>
      <c r="N571" s="2"/>
      <c r="O571" s="2"/>
      <c r="P571" s="2"/>
      <c r="Q571" s="2"/>
      <c r="R571" s="9"/>
      <c r="S571" s="9"/>
      <c r="T571" s="9"/>
      <c r="U571" s="9"/>
      <c r="V571" s="9"/>
      <c r="W571" s="9"/>
      <c r="X571" s="9"/>
      <c r="Y571" s="9"/>
      <c r="Z571" s="9"/>
      <c r="AA571" s="9"/>
      <c r="AB571" s="9"/>
      <c r="AC571" s="9"/>
      <c r="AD571" s="9"/>
    </row>
    <row r="572" spans="1:30" ht="13.5" customHeight="1">
      <c r="A572" s="2"/>
      <c r="B572" s="2"/>
      <c r="C572" s="2"/>
      <c r="D572" s="2"/>
      <c r="E572" s="2"/>
      <c r="F572" s="2"/>
      <c r="G572" s="2"/>
      <c r="H572" s="2"/>
      <c r="I572" s="2"/>
      <c r="J572" s="2"/>
      <c r="K572" s="2"/>
      <c r="L572" s="2"/>
      <c r="M572" s="2"/>
      <c r="N572" s="2"/>
      <c r="O572" s="2"/>
      <c r="P572" s="2"/>
      <c r="Q572" s="2"/>
      <c r="R572" s="9"/>
      <c r="S572" s="9"/>
      <c r="T572" s="9"/>
      <c r="U572" s="9"/>
      <c r="V572" s="9"/>
      <c r="W572" s="9"/>
      <c r="X572" s="9"/>
      <c r="Y572" s="9"/>
      <c r="Z572" s="9"/>
      <c r="AA572" s="9"/>
      <c r="AB572" s="9"/>
      <c r="AC572" s="9"/>
      <c r="AD572" s="9"/>
    </row>
    <row r="573" spans="1:30" ht="13.5" customHeight="1">
      <c r="A573" s="2"/>
      <c r="B573" s="2"/>
      <c r="C573" s="2"/>
      <c r="D573" s="2"/>
      <c r="E573" s="2"/>
      <c r="F573" s="2"/>
      <c r="G573" s="2"/>
      <c r="H573" s="2"/>
      <c r="I573" s="2"/>
      <c r="J573" s="2"/>
      <c r="K573" s="2"/>
      <c r="L573" s="2"/>
      <c r="M573" s="2"/>
      <c r="N573" s="2"/>
      <c r="O573" s="2"/>
      <c r="P573" s="2"/>
      <c r="Q573" s="2"/>
      <c r="R573" s="9"/>
      <c r="S573" s="9"/>
      <c r="T573" s="9"/>
      <c r="U573" s="9"/>
      <c r="V573" s="9"/>
      <c r="W573" s="9"/>
      <c r="X573" s="9"/>
      <c r="Y573" s="9"/>
      <c r="Z573" s="9"/>
      <c r="AA573" s="9"/>
      <c r="AB573" s="9"/>
      <c r="AC573" s="9"/>
      <c r="AD573" s="9"/>
    </row>
    <row r="574" spans="1:30" ht="13.5" customHeight="1">
      <c r="A574" s="2"/>
      <c r="B574" s="2"/>
      <c r="C574" s="2"/>
      <c r="D574" s="2"/>
      <c r="E574" s="2"/>
      <c r="F574" s="2"/>
      <c r="G574" s="2"/>
      <c r="H574" s="2"/>
      <c r="I574" s="2"/>
      <c r="J574" s="2"/>
      <c r="K574" s="2"/>
      <c r="L574" s="2"/>
      <c r="M574" s="2"/>
      <c r="N574" s="2"/>
      <c r="O574" s="2"/>
      <c r="P574" s="2"/>
      <c r="Q574" s="2"/>
      <c r="R574" s="9"/>
      <c r="S574" s="9"/>
      <c r="T574" s="9"/>
      <c r="U574" s="9"/>
      <c r="V574" s="9"/>
      <c r="W574" s="9"/>
      <c r="X574" s="9"/>
      <c r="Y574" s="9"/>
      <c r="Z574" s="9"/>
      <c r="AA574" s="9"/>
      <c r="AB574" s="9"/>
      <c r="AC574" s="9"/>
      <c r="AD574" s="9"/>
    </row>
    <row r="575" spans="1:30" ht="13.5" customHeight="1">
      <c r="A575" s="2"/>
      <c r="B575" s="2"/>
      <c r="C575" s="2"/>
      <c r="D575" s="2"/>
      <c r="E575" s="2"/>
      <c r="F575" s="2"/>
      <c r="G575" s="2"/>
      <c r="H575" s="2"/>
      <c r="I575" s="2"/>
      <c r="J575" s="2"/>
      <c r="K575" s="2"/>
      <c r="L575" s="2"/>
      <c r="M575" s="2"/>
      <c r="N575" s="2"/>
      <c r="O575" s="2"/>
      <c r="P575" s="2"/>
      <c r="Q575" s="2"/>
      <c r="R575" s="9"/>
      <c r="S575" s="9"/>
      <c r="T575" s="9"/>
      <c r="U575" s="9"/>
      <c r="V575" s="9"/>
      <c r="W575" s="9"/>
      <c r="X575" s="9"/>
      <c r="Y575" s="9"/>
      <c r="Z575" s="9"/>
      <c r="AA575" s="9"/>
      <c r="AB575" s="9"/>
      <c r="AC575" s="9"/>
      <c r="AD575" s="9"/>
    </row>
    <row r="576" spans="1:30" ht="13.5" customHeight="1">
      <c r="A576" s="2"/>
      <c r="B576" s="2"/>
      <c r="C576" s="2"/>
      <c r="D576" s="2"/>
      <c r="E576" s="2"/>
      <c r="F576" s="2"/>
      <c r="G576" s="2"/>
      <c r="H576" s="2"/>
      <c r="I576" s="2"/>
      <c r="J576" s="2"/>
      <c r="K576" s="2"/>
      <c r="L576" s="2"/>
      <c r="M576" s="2"/>
      <c r="N576" s="2"/>
      <c r="O576" s="2"/>
      <c r="P576" s="2"/>
      <c r="Q576" s="2"/>
      <c r="R576" s="9"/>
      <c r="S576" s="9"/>
      <c r="T576" s="9"/>
      <c r="U576" s="9"/>
      <c r="V576" s="9"/>
      <c r="W576" s="9"/>
      <c r="X576" s="9"/>
      <c r="Y576" s="9"/>
      <c r="Z576" s="9"/>
      <c r="AA576" s="9"/>
      <c r="AB576" s="9"/>
      <c r="AC576" s="9"/>
      <c r="AD576" s="9"/>
    </row>
    <row r="577" spans="1:30" ht="13.5" customHeight="1">
      <c r="A577" s="2"/>
      <c r="B577" s="2"/>
      <c r="C577" s="2"/>
      <c r="D577" s="2"/>
      <c r="E577" s="2"/>
      <c r="F577" s="2"/>
      <c r="G577" s="2"/>
      <c r="H577" s="2"/>
      <c r="I577" s="2"/>
      <c r="J577" s="2"/>
      <c r="K577" s="2"/>
      <c r="L577" s="2"/>
      <c r="M577" s="2"/>
      <c r="N577" s="2"/>
      <c r="O577" s="2"/>
      <c r="P577" s="2"/>
      <c r="Q577" s="2"/>
      <c r="R577" s="9"/>
      <c r="S577" s="9"/>
      <c r="T577" s="9"/>
      <c r="U577" s="9"/>
      <c r="V577" s="9"/>
      <c r="W577" s="9"/>
      <c r="X577" s="9"/>
      <c r="Y577" s="9"/>
      <c r="Z577" s="9"/>
      <c r="AA577" s="9"/>
      <c r="AB577" s="9"/>
      <c r="AC577" s="9"/>
      <c r="AD577" s="9"/>
    </row>
    <row r="578" spans="1:30" ht="13.5" customHeight="1">
      <c r="A578" s="2"/>
      <c r="B578" s="2"/>
      <c r="C578" s="2"/>
      <c r="D578" s="2"/>
      <c r="E578" s="2"/>
      <c r="F578" s="2"/>
      <c r="G578" s="2"/>
      <c r="H578" s="2"/>
      <c r="I578" s="2"/>
      <c r="J578" s="2"/>
      <c r="K578" s="2"/>
      <c r="L578" s="2"/>
      <c r="M578" s="2"/>
      <c r="N578" s="2"/>
      <c r="O578" s="2"/>
      <c r="P578" s="2"/>
      <c r="Q578" s="2"/>
      <c r="R578" s="9"/>
      <c r="S578" s="9"/>
      <c r="T578" s="9"/>
      <c r="U578" s="9"/>
      <c r="V578" s="9"/>
      <c r="W578" s="9"/>
      <c r="X578" s="9"/>
      <c r="Y578" s="9"/>
      <c r="Z578" s="9"/>
      <c r="AA578" s="9"/>
      <c r="AB578" s="9"/>
      <c r="AC578" s="9"/>
      <c r="AD578" s="9"/>
    </row>
    <row r="579" spans="1:30" ht="13.5" customHeight="1">
      <c r="A579" s="2"/>
      <c r="B579" s="2"/>
      <c r="C579" s="2"/>
      <c r="D579" s="2"/>
      <c r="E579" s="2"/>
      <c r="F579" s="2"/>
      <c r="G579" s="2"/>
      <c r="H579" s="2"/>
      <c r="I579" s="2"/>
      <c r="J579" s="2"/>
      <c r="K579" s="2"/>
      <c r="L579" s="2"/>
      <c r="M579" s="2"/>
      <c r="N579" s="2"/>
      <c r="O579" s="2"/>
      <c r="P579" s="2"/>
      <c r="Q579" s="2"/>
      <c r="R579" s="9"/>
      <c r="S579" s="9"/>
      <c r="T579" s="9"/>
      <c r="U579" s="9"/>
      <c r="V579" s="9"/>
      <c r="W579" s="9"/>
      <c r="X579" s="9"/>
      <c r="Y579" s="9"/>
      <c r="Z579" s="9"/>
      <c r="AA579" s="9"/>
      <c r="AB579" s="9"/>
      <c r="AC579" s="9"/>
      <c r="AD579" s="9"/>
    </row>
    <row r="580" spans="1:30" ht="13.5" customHeight="1">
      <c r="A580" s="2"/>
      <c r="B580" s="2"/>
      <c r="C580" s="2"/>
      <c r="D580" s="2"/>
      <c r="E580" s="2"/>
      <c r="F580" s="2"/>
      <c r="G580" s="2"/>
      <c r="H580" s="2"/>
      <c r="I580" s="2"/>
      <c r="J580" s="2"/>
      <c r="K580" s="2"/>
      <c r="L580" s="2"/>
      <c r="M580" s="2"/>
      <c r="N580" s="2"/>
      <c r="O580" s="2"/>
      <c r="P580" s="2"/>
      <c r="Q580" s="2"/>
      <c r="R580" s="9"/>
      <c r="S580" s="9"/>
      <c r="T580" s="9"/>
      <c r="U580" s="9"/>
      <c r="V580" s="9"/>
      <c r="W580" s="9"/>
      <c r="X580" s="9"/>
      <c r="Y580" s="9"/>
      <c r="Z580" s="9"/>
      <c r="AA580" s="9"/>
      <c r="AB580" s="9"/>
      <c r="AC580" s="9"/>
      <c r="AD580" s="9"/>
    </row>
    <row r="581" spans="1:30" ht="13.5" customHeight="1">
      <c r="A581" s="2"/>
      <c r="B581" s="2"/>
      <c r="C581" s="2"/>
      <c r="D581" s="2"/>
      <c r="E581" s="2"/>
      <c r="F581" s="2"/>
      <c r="G581" s="2"/>
      <c r="H581" s="2"/>
      <c r="I581" s="2"/>
      <c r="J581" s="2"/>
      <c r="K581" s="2"/>
      <c r="L581" s="2"/>
      <c r="M581" s="2"/>
      <c r="N581" s="2"/>
      <c r="O581" s="2"/>
      <c r="P581" s="2"/>
      <c r="Q581" s="2"/>
      <c r="R581" s="9"/>
      <c r="S581" s="9"/>
      <c r="T581" s="9"/>
      <c r="U581" s="9"/>
      <c r="V581" s="9"/>
      <c r="W581" s="9"/>
      <c r="X581" s="9"/>
      <c r="Y581" s="9"/>
      <c r="Z581" s="9"/>
      <c r="AA581" s="9"/>
      <c r="AB581" s="9"/>
      <c r="AC581" s="9"/>
      <c r="AD581" s="9"/>
    </row>
    <row r="582" spans="1:30" ht="13.5" customHeight="1">
      <c r="A582" s="2"/>
      <c r="B582" s="2"/>
      <c r="C582" s="2"/>
      <c r="D582" s="2"/>
      <c r="E582" s="2"/>
      <c r="F582" s="2"/>
      <c r="G582" s="2"/>
      <c r="H582" s="2"/>
      <c r="I582" s="2"/>
      <c r="J582" s="2"/>
      <c r="K582" s="2"/>
      <c r="L582" s="2"/>
      <c r="M582" s="2"/>
      <c r="N582" s="2"/>
      <c r="O582" s="2"/>
      <c r="P582" s="2"/>
      <c r="Q582" s="2"/>
      <c r="R582" s="9"/>
      <c r="S582" s="9"/>
      <c r="T582" s="9"/>
      <c r="U582" s="9"/>
      <c r="V582" s="9"/>
      <c r="W582" s="9"/>
      <c r="X582" s="9"/>
      <c r="Y582" s="9"/>
      <c r="Z582" s="9"/>
      <c r="AA582" s="9"/>
      <c r="AB582" s="9"/>
      <c r="AC582" s="9"/>
      <c r="AD582" s="9"/>
    </row>
    <row r="583" spans="1:30" ht="13.5" customHeight="1">
      <c r="A583" s="2"/>
      <c r="B583" s="2"/>
      <c r="C583" s="2"/>
      <c r="D583" s="2"/>
      <c r="E583" s="2"/>
      <c r="F583" s="2"/>
      <c r="G583" s="2"/>
      <c r="H583" s="2"/>
      <c r="I583" s="2"/>
      <c r="J583" s="2"/>
      <c r="K583" s="2"/>
      <c r="L583" s="2"/>
      <c r="M583" s="2"/>
      <c r="N583" s="2"/>
      <c r="O583" s="2"/>
      <c r="P583" s="2"/>
      <c r="Q583" s="2"/>
      <c r="R583" s="9"/>
      <c r="S583" s="9"/>
      <c r="T583" s="9"/>
      <c r="U583" s="9"/>
      <c r="V583" s="9"/>
      <c r="W583" s="9"/>
      <c r="X583" s="9"/>
      <c r="Y583" s="9"/>
      <c r="Z583" s="9"/>
      <c r="AA583" s="9"/>
      <c r="AB583" s="9"/>
      <c r="AC583" s="9"/>
      <c r="AD583" s="9"/>
    </row>
    <row r="584" spans="1:30" ht="13.5" customHeight="1">
      <c r="A584" s="2"/>
      <c r="B584" s="2"/>
      <c r="C584" s="2"/>
      <c r="D584" s="2"/>
      <c r="E584" s="2"/>
      <c r="F584" s="2"/>
      <c r="G584" s="2"/>
      <c r="H584" s="2"/>
      <c r="I584" s="2"/>
      <c r="J584" s="2"/>
      <c r="K584" s="2"/>
      <c r="L584" s="2"/>
      <c r="M584" s="2"/>
      <c r="N584" s="2"/>
      <c r="O584" s="2"/>
      <c r="P584" s="2"/>
      <c r="Q584" s="2"/>
      <c r="R584" s="9"/>
      <c r="S584" s="9"/>
      <c r="T584" s="9"/>
      <c r="U584" s="9"/>
      <c r="V584" s="9"/>
      <c r="W584" s="9"/>
      <c r="X584" s="9"/>
      <c r="Y584" s="9"/>
      <c r="Z584" s="9"/>
      <c r="AA584" s="9"/>
      <c r="AB584" s="9"/>
      <c r="AC584" s="9"/>
      <c r="AD584" s="9"/>
    </row>
    <row r="585" spans="1:30" ht="13.5" customHeight="1">
      <c r="A585" s="2"/>
      <c r="B585" s="2"/>
      <c r="C585" s="2"/>
      <c r="D585" s="2"/>
      <c r="E585" s="2"/>
      <c r="F585" s="2"/>
      <c r="G585" s="2"/>
      <c r="H585" s="2"/>
      <c r="I585" s="2"/>
      <c r="J585" s="2"/>
      <c r="K585" s="2"/>
      <c r="L585" s="2"/>
      <c r="M585" s="2"/>
      <c r="N585" s="2"/>
      <c r="O585" s="2"/>
      <c r="P585" s="2"/>
      <c r="Q585" s="2"/>
      <c r="R585" s="9"/>
      <c r="S585" s="9"/>
      <c r="T585" s="9"/>
      <c r="U585" s="9"/>
      <c r="V585" s="9"/>
      <c r="W585" s="9"/>
      <c r="X585" s="9"/>
      <c r="Y585" s="9"/>
      <c r="Z585" s="9"/>
      <c r="AA585" s="9"/>
      <c r="AB585" s="9"/>
      <c r="AC585" s="9"/>
      <c r="AD585" s="9"/>
    </row>
    <row r="586" spans="1:30" ht="13.5" customHeight="1">
      <c r="A586" s="2"/>
      <c r="B586" s="2"/>
      <c r="C586" s="2"/>
      <c r="D586" s="2"/>
      <c r="E586" s="2"/>
      <c r="F586" s="2"/>
      <c r="G586" s="2"/>
      <c r="H586" s="2"/>
      <c r="I586" s="2"/>
      <c r="J586" s="2"/>
      <c r="K586" s="2"/>
      <c r="L586" s="2"/>
      <c r="M586" s="2"/>
      <c r="N586" s="2"/>
      <c r="O586" s="2"/>
      <c r="P586" s="2"/>
      <c r="Q586" s="2"/>
      <c r="R586" s="9"/>
      <c r="S586" s="9"/>
      <c r="T586" s="9"/>
      <c r="U586" s="9"/>
      <c r="V586" s="9"/>
      <c r="W586" s="9"/>
      <c r="X586" s="9"/>
      <c r="Y586" s="9"/>
      <c r="Z586" s="9"/>
      <c r="AA586" s="9"/>
      <c r="AB586" s="9"/>
      <c r="AC586" s="9"/>
      <c r="AD586" s="9"/>
    </row>
    <row r="587" spans="1:30" ht="13.5" customHeight="1">
      <c r="A587" s="2"/>
      <c r="B587" s="2"/>
      <c r="C587" s="2"/>
      <c r="D587" s="2"/>
      <c r="E587" s="2"/>
      <c r="F587" s="2"/>
      <c r="G587" s="2"/>
      <c r="H587" s="2"/>
      <c r="I587" s="2"/>
      <c r="J587" s="2"/>
      <c r="K587" s="2"/>
      <c r="L587" s="2"/>
      <c r="M587" s="2"/>
      <c r="N587" s="2"/>
      <c r="O587" s="2"/>
      <c r="P587" s="2"/>
      <c r="Q587" s="2"/>
      <c r="R587" s="9"/>
      <c r="S587" s="9"/>
      <c r="T587" s="9"/>
      <c r="U587" s="9"/>
      <c r="V587" s="9"/>
      <c r="W587" s="9"/>
      <c r="X587" s="9"/>
      <c r="Y587" s="9"/>
      <c r="Z587" s="9"/>
      <c r="AA587" s="9"/>
      <c r="AB587" s="9"/>
      <c r="AC587" s="9"/>
      <c r="AD587" s="9"/>
    </row>
    <row r="588" spans="1:30" ht="13.5" customHeight="1">
      <c r="A588" s="2"/>
      <c r="B588" s="2"/>
      <c r="C588" s="2"/>
      <c r="D588" s="2"/>
      <c r="E588" s="2"/>
      <c r="F588" s="2"/>
      <c r="G588" s="2"/>
      <c r="H588" s="2"/>
      <c r="I588" s="2"/>
      <c r="J588" s="2"/>
      <c r="K588" s="2"/>
      <c r="L588" s="2"/>
      <c r="M588" s="2"/>
      <c r="N588" s="2"/>
      <c r="O588" s="2"/>
      <c r="P588" s="2"/>
      <c r="Q588" s="2"/>
      <c r="R588" s="9"/>
      <c r="S588" s="9"/>
      <c r="T588" s="9"/>
      <c r="U588" s="9"/>
      <c r="V588" s="9"/>
      <c r="W588" s="9"/>
      <c r="X588" s="9"/>
      <c r="Y588" s="9"/>
      <c r="Z588" s="9"/>
      <c r="AA588" s="9"/>
      <c r="AB588" s="9"/>
      <c r="AC588" s="9"/>
      <c r="AD588" s="9"/>
    </row>
    <row r="589" spans="1:30" ht="13.5" customHeight="1">
      <c r="A589" s="2"/>
      <c r="B589" s="2"/>
      <c r="C589" s="2"/>
      <c r="D589" s="2"/>
      <c r="E589" s="2"/>
      <c r="F589" s="2"/>
      <c r="G589" s="2"/>
      <c r="H589" s="2"/>
      <c r="I589" s="2"/>
      <c r="J589" s="2"/>
      <c r="K589" s="2"/>
      <c r="L589" s="2"/>
      <c r="M589" s="2"/>
      <c r="N589" s="2"/>
      <c r="O589" s="2"/>
      <c r="P589" s="2"/>
      <c r="Q589" s="2"/>
      <c r="R589" s="9"/>
      <c r="S589" s="9"/>
      <c r="T589" s="9"/>
      <c r="U589" s="9"/>
      <c r="V589" s="9"/>
      <c r="W589" s="9"/>
      <c r="X589" s="9"/>
      <c r="Y589" s="9"/>
      <c r="Z589" s="9"/>
      <c r="AA589" s="9"/>
      <c r="AB589" s="9"/>
      <c r="AC589" s="9"/>
      <c r="AD589" s="9"/>
    </row>
    <row r="590" spans="1:30" ht="13.5" customHeight="1">
      <c r="A590" s="2"/>
      <c r="B590" s="2"/>
      <c r="C590" s="2"/>
      <c r="D590" s="2"/>
      <c r="E590" s="2"/>
      <c r="F590" s="2"/>
      <c r="G590" s="2"/>
      <c r="H590" s="2"/>
      <c r="I590" s="2"/>
      <c r="J590" s="2"/>
      <c r="K590" s="2"/>
      <c r="L590" s="2"/>
      <c r="M590" s="2"/>
      <c r="N590" s="2"/>
      <c r="O590" s="2"/>
      <c r="P590" s="2"/>
      <c r="Q590" s="2"/>
      <c r="R590" s="9"/>
      <c r="S590" s="9"/>
      <c r="T590" s="9"/>
      <c r="U590" s="9"/>
      <c r="V590" s="9"/>
      <c r="W590" s="9"/>
      <c r="X590" s="9"/>
      <c r="Y590" s="9"/>
      <c r="Z590" s="9"/>
      <c r="AA590" s="9"/>
      <c r="AB590" s="9"/>
      <c r="AC590" s="9"/>
      <c r="AD590" s="9"/>
    </row>
    <row r="591" spans="1:30" ht="13.5" customHeight="1">
      <c r="A591" s="2"/>
      <c r="B591" s="2"/>
      <c r="C591" s="2"/>
      <c r="D591" s="2"/>
      <c r="E591" s="2"/>
      <c r="F591" s="2"/>
      <c r="G591" s="2"/>
      <c r="H591" s="2"/>
      <c r="I591" s="2"/>
      <c r="J591" s="2"/>
      <c r="K591" s="2"/>
      <c r="L591" s="2"/>
      <c r="M591" s="2"/>
      <c r="N591" s="2"/>
      <c r="O591" s="2"/>
      <c r="P591" s="2"/>
      <c r="Q591" s="2"/>
      <c r="R591" s="9"/>
      <c r="S591" s="9"/>
      <c r="T591" s="9"/>
      <c r="U591" s="9"/>
      <c r="V591" s="9"/>
      <c r="W591" s="9"/>
      <c r="X591" s="9"/>
      <c r="Y591" s="9"/>
      <c r="Z591" s="9"/>
      <c r="AA591" s="9"/>
      <c r="AB591" s="9"/>
      <c r="AC591" s="9"/>
      <c r="AD591" s="9"/>
    </row>
    <row r="592" spans="1:30" ht="13.5" customHeight="1">
      <c r="A592" s="2"/>
      <c r="B592" s="2"/>
      <c r="C592" s="2"/>
      <c r="D592" s="2"/>
      <c r="E592" s="2"/>
      <c r="F592" s="2"/>
      <c r="G592" s="2"/>
      <c r="H592" s="2"/>
      <c r="I592" s="2"/>
      <c r="J592" s="2"/>
      <c r="K592" s="2"/>
      <c r="L592" s="2"/>
      <c r="M592" s="2"/>
      <c r="N592" s="2"/>
      <c r="O592" s="2"/>
      <c r="P592" s="2"/>
      <c r="Q592" s="2"/>
      <c r="R592" s="9"/>
      <c r="S592" s="9"/>
      <c r="T592" s="9"/>
      <c r="U592" s="9"/>
      <c r="V592" s="9"/>
      <c r="W592" s="9"/>
      <c r="X592" s="9"/>
      <c r="Y592" s="9"/>
      <c r="Z592" s="9"/>
      <c r="AA592" s="9"/>
      <c r="AB592" s="9"/>
      <c r="AC592" s="9"/>
      <c r="AD592" s="9"/>
    </row>
    <row r="593" spans="1:30" ht="13.5" customHeight="1">
      <c r="A593" s="2"/>
      <c r="B593" s="2"/>
      <c r="C593" s="2"/>
      <c r="D593" s="2"/>
      <c r="E593" s="2"/>
      <c r="F593" s="2"/>
      <c r="G593" s="2"/>
      <c r="H593" s="2"/>
      <c r="I593" s="2"/>
      <c r="J593" s="2"/>
      <c r="K593" s="2"/>
      <c r="L593" s="2"/>
      <c r="M593" s="2"/>
      <c r="N593" s="2"/>
      <c r="O593" s="2"/>
      <c r="P593" s="2"/>
      <c r="Q593" s="2"/>
      <c r="R593" s="9"/>
      <c r="S593" s="9"/>
      <c r="T593" s="9"/>
      <c r="U593" s="9"/>
      <c r="V593" s="9"/>
      <c r="W593" s="9"/>
      <c r="X593" s="9"/>
      <c r="Y593" s="9"/>
      <c r="Z593" s="9"/>
      <c r="AA593" s="9"/>
      <c r="AB593" s="9"/>
      <c r="AC593" s="9"/>
      <c r="AD593" s="9"/>
    </row>
    <row r="594" spans="1:30" ht="13.5" customHeight="1">
      <c r="A594" s="2"/>
      <c r="B594" s="2"/>
      <c r="C594" s="2"/>
      <c r="D594" s="2"/>
      <c r="E594" s="2"/>
      <c r="F594" s="2"/>
      <c r="G594" s="2"/>
      <c r="H594" s="2"/>
      <c r="I594" s="2"/>
      <c r="J594" s="2"/>
      <c r="K594" s="2"/>
      <c r="L594" s="2"/>
      <c r="M594" s="2"/>
      <c r="N594" s="2"/>
      <c r="O594" s="2"/>
      <c r="P594" s="2"/>
      <c r="Q594" s="2"/>
      <c r="R594" s="9"/>
      <c r="S594" s="9"/>
      <c r="T594" s="9"/>
      <c r="U594" s="9"/>
      <c r="V594" s="9"/>
      <c r="W594" s="9"/>
      <c r="X594" s="9"/>
      <c r="Y594" s="9"/>
      <c r="Z594" s="9"/>
      <c r="AA594" s="9"/>
      <c r="AB594" s="9"/>
      <c r="AC594" s="9"/>
      <c r="AD594" s="9"/>
    </row>
    <row r="595" spans="1:30" ht="13.5" customHeight="1">
      <c r="A595" s="2"/>
      <c r="B595" s="2"/>
      <c r="C595" s="2"/>
      <c r="D595" s="2"/>
      <c r="E595" s="2"/>
      <c r="F595" s="2"/>
      <c r="G595" s="2"/>
      <c r="H595" s="2"/>
      <c r="I595" s="2"/>
      <c r="J595" s="2"/>
      <c r="K595" s="2"/>
      <c r="L595" s="2"/>
      <c r="M595" s="2"/>
      <c r="N595" s="2"/>
      <c r="O595" s="2"/>
      <c r="P595" s="2"/>
      <c r="Q595" s="2"/>
      <c r="R595" s="9"/>
      <c r="S595" s="9"/>
      <c r="T595" s="9"/>
      <c r="U595" s="9"/>
      <c r="V595" s="9"/>
      <c r="W595" s="9"/>
      <c r="X595" s="9"/>
      <c r="Y595" s="9"/>
      <c r="Z595" s="9"/>
      <c r="AA595" s="9"/>
      <c r="AB595" s="9"/>
      <c r="AC595" s="9"/>
      <c r="AD595" s="9"/>
    </row>
    <row r="596" spans="1:30" ht="13.5" customHeight="1">
      <c r="A596" s="2"/>
      <c r="B596" s="2"/>
      <c r="C596" s="2"/>
      <c r="D596" s="2"/>
      <c r="E596" s="2"/>
      <c r="F596" s="2"/>
      <c r="G596" s="2"/>
      <c r="H596" s="2"/>
      <c r="I596" s="2"/>
      <c r="J596" s="2"/>
      <c r="K596" s="2"/>
      <c r="L596" s="2"/>
      <c r="M596" s="2"/>
      <c r="N596" s="2"/>
      <c r="O596" s="2"/>
      <c r="P596" s="2"/>
      <c r="Q596" s="2"/>
      <c r="R596" s="9"/>
      <c r="S596" s="9"/>
      <c r="T596" s="9"/>
      <c r="U596" s="9"/>
      <c r="V596" s="9"/>
      <c r="W596" s="9"/>
      <c r="X596" s="9"/>
      <c r="Y596" s="9"/>
      <c r="Z596" s="9"/>
      <c r="AA596" s="9"/>
      <c r="AB596" s="9"/>
      <c r="AC596" s="9"/>
      <c r="AD596" s="9"/>
    </row>
    <row r="597" spans="1:30" ht="13.5" customHeight="1">
      <c r="A597" s="2"/>
      <c r="B597" s="2"/>
      <c r="C597" s="2"/>
      <c r="D597" s="2"/>
      <c r="E597" s="2"/>
      <c r="F597" s="2"/>
      <c r="G597" s="2"/>
      <c r="H597" s="2"/>
      <c r="I597" s="2"/>
      <c r="J597" s="2"/>
      <c r="K597" s="2"/>
      <c r="L597" s="2"/>
      <c r="M597" s="2"/>
      <c r="N597" s="2"/>
      <c r="O597" s="2"/>
      <c r="P597" s="2"/>
      <c r="Q597" s="2"/>
      <c r="R597" s="9"/>
      <c r="S597" s="9"/>
      <c r="T597" s="9"/>
      <c r="U597" s="9"/>
      <c r="V597" s="9"/>
      <c r="W597" s="9"/>
      <c r="X597" s="9"/>
      <c r="Y597" s="9"/>
      <c r="Z597" s="9"/>
      <c r="AA597" s="9"/>
      <c r="AB597" s="9"/>
      <c r="AC597" s="9"/>
      <c r="AD597" s="9"/>
    </row>
    <row r="598" spans="1:30" ht="13.5" customHeight="1">
      <c r="A598" s="2"/>
      <c r="B598" s="2"/>
      <c r="C598" s="2"/>
      <c r="D598" s="2"/>
      <c r="E598" s="2"/>
      <c r="F598" s="2"/>
      <c r="G598" s="2"/>
      <c r="H598" s="2"/>
      <c r="I598" s="2"/>
      <c r="J598" s="2"/>
      <c r="K598" s="2"/>
      <c r="L598" s="2"/>
      <c r="M598" s="2"/>
      <c r="N598" s="2"/>
      <c r="O598" s="2"/>
      <c r="P598" s="2"/>
      <c r="Q598" s="2"/>
      <c r="R598" s="9"/>
      <c r="S598" s="9"/>
      <c r="T598" s="9"/>
      <c r="U598" s="9"/>
      <c r="V598" s="9"/>
      <c r="W598" s="9"/>
      <c r="X598" s="9"/>
      <c r="Y598" s="9"/>
      <c r="Z598" s="9"/>
      <c r="AA598" s="9"/>
      <c r="AB598" s="9"/>
      <c r="AC598" s="9"/>
      <c r="AD598" s="9"/>
    </row>
    <row r="599" spans="1:30" ht="13.5" customHeight="1">
      <c r="A599" s="2"/>
      <c r="B599" s="2"/>
      <c r="C599" s="2"/>
      <c r="D599" s="2"/>
      <c r="E599" s="2"/>
      <c r="F599" s="2"/>
      <c r="G599" s="2"/>
      <c r="H599" s="2"/>
      <c r="I599" s="2"/>
      <c r="J599" s="2"/>
      <c r="K599" s="2"/>
      <c r="L599" s="2"/>
      <c r="M599" s="2"/>
      <c r="N599" s="2"/>
      <c r="O599" s="2"/>
      <c r="P599" s="2"/>
      <c r="Q599" s="2"/>
      <c r="R599" s="9"/>
      <c r="S599" s="9"/>
      <c r="T599" s="9"/>
      <c r="U599" s="9"/>
      <c r="V599" s="9"/>
      <c r="W599" s="9"/>
      <c r="X599" s="9"/>
      <c r="Y599" s="9"/>
      <c r="Z599" s="9"/>
      <c r="AA599" s="9"/>
      <c r="AB599" s="9"/>
      <c r="AC599" s="9"/>
      <c r="AD599" s="9"/>
    </row>
    <row r="600" spans="1:30" ht="13.5" customHeight="1">
      <c r="A600" s="2"/>
      <c r="B600" s="2"/>
      <c r="C600" s="2"/>
      <c r="D600" s="2"/>
      <c r="E600" s="2"/>
      <c r="F600" s="2"/>
      <c r="G600" s="2"/>
      <c r="H600" s="2"/>
      <c r="I600" s="2"/>
      <c r="J600" s="2"/>
      <c r="K600" s="2"/>
      <c r="L600" s="2"/>
      <c r="M600" s="2"/>
      <c r="N600" s="2"/>
      <c r="O600" s="2"/>
      <c r="P600" s="2"/>
      <c r="Q600" s="2"/>
      <c r="R600" s="9"/>
      <c r="S600" s="9"/>
      <c r="T600" s="9"/>
      <c r="U600" s="9"/>
      <c r="V600" s="9"/>
      <c r="W600" s="9"/>
      <c r="X600" s="9"/>
      <c r="Y600" s="9"/>
      <c r="Z600" s="9"/>
      <c r="AA600" s="9"/>
      <c r="AB600" s="9"/>
      <c r="AC600" s="9"/>
      <c r="AD600" s="9"/>
    </row>
    <row r="601" spans="1:30" ht="13.5" customHeight="1">
      <c r="A601" s="2"/>
      <c r="B601" s="2"/>
      <c r="C601" s="2"/>
      <c r="D601" s="2"/>
      <c r="E601" s="2"/>
      <c r="F601" s="2"/>
      <c r="G601" s="2"/>
      <c r="H601" s="2"/>
      <c r="I601" s="2"/>
      <c r="J601" s="2"/>
      <c r="K601" s="2"/>
      <c r="L601" s="2"/>
      <c r="M601" s="2"/>
      <c r="N601" s="2"/>
      <c r="O601" s="2"/>
      <c r="P601" s="2"/>
      <c r="Q601" s="2"/>
      <c r="R601" s="9"/>
      <c r="S601" s="9"/>
      <c r="T601" s="9"/>
      <c r="U601" s="9"/>
      <c r="V601" s="9"/>
      <c r="W601" s="9"/>
      <c r="X601" s="9"/>
      <c r="Y601" s="9"/>
      <c r="Z601" s="9"/>
      <c r="AA601" s="9"/>
      <c r="AB601" s="9"/>
      <c r="AC601" s="9"/>
      <c r="AD601" s="9"/>
    </row>
    <row r="602" spans="1:30" ht="13.5" customHeight="1">
      <c r="A602" s="2"/>
      <c r="B602" s="2"/>
      <c r="C602" s="2"/>
      <c r="D602" s="2"/>
      <c r="E602" s="2"/>
      <c r="F602" s="2"/>
      <c r="G602" s="2"/>
      <c r="H602" s="2"/>
      <c r="I602" s="2"/>
      <c r="J602" s="2"/>
      <c r="K602" s="2"/>
      <c r="L602" s="2"/>
      <c r="M602" s="2"/>
      <c r="N602" s="2"/>
      <c r="O602" s="2"/>
      <c r="P602" s="2"/>
      <c r="Q602" s="2"/>
      <c r="R602" s="9"/>
      <c r="S602" s="9"/>
      <c r="T602" s="9"/>
      <c r="U602" s="9"/>
      <c r="V602" s="9"/>
      <c r="W602" s="9"/>
      <c r="X602" s="9"/>
      <c r="Y602" s="9"/>
      <c r="Z602" s="9"/>
      <c r="AA602" s="9"/>
      <c r="AB602" s="9"/>
      <c r="AC602" s="9"/>
      <c r="AD602" s="9"/>
    </row>
    <row r="603" spans="1:30" ht="13.5" customHeight="1">
      <c r="A603" s="2"/>
      <c r="B603" s="2"/>
      <c r="C603" s="2"/>
      <c r="D603" s="2"/>
      <c r="E603" s="2"/>
      <c r="F603" s="2"/>
      <c r="G603" s="2"/>
      <c r="H603" s="2"/>
      <c r="I603" s="2"/>
      <c r="J603" s="2"/>
      <c r="K603" s="2"/>
      <c r="L603" s="2"/>
      <c r="M603" s="2"/>
      <c r="N603" s="2"/>
      <c r="O603" s="2"/>
      <c r="P603" s="2"/>
      <c r="Q603" s="2"/>
      <c r="R603" s="9"/>
      <c r="S603" s="9"/>
      <c r="T603" s="9"/>
      <c r="U603" s="9"/>
      <c r="V603" s="9"/>
      <c r="W603" s="9"/>
      <c r="X603" s="9"/>
      <c r="Y603" s="9"/>
      <c r="Z603" s="9"/>
      <c r="AA603" s="9"/>
      <c r="AB603" s="9"/>
      <c r="AC603" s="9"/>
      <c r="AD603" s="9"/>
    </row>
    <row r="604" spans="1:30" ht="13.5" customHeight="1">
      <c r="A604" s="2"/>
      <c r="B604" s="2"/>
      <c r="C604" s="2"/>
      <c r="D604" s="2"/>
      <c r="E604" s="2"/>
      <c r="F604" s="2"/>
      <c r="G604" s="2"/>
      <c r="H604" s="2"/>
      <c r="I604" s="2"/>
      <c r="J604" s="2"/>
      <c r="K604" s="2"/>
      <c r="L604" s="2"/>
      <c r="M604" s="2"/>
      <c r="N604" s="2"/>
      <c r="O604" s="2"/>
      <c r="P604" s="2"/>
      <c r="Q604" s="2"/>
      <c r="R604" s="9"/>
      <c r="S604" s="9"/>
      <c r="T604" s="9"/>
      <c r="U604" s="9"/>
      <c r="V604" s="9"/>
      <c r="W604" s="9"/>
      <c r="X604" s="9"/>
      <c r="Y604" s="9"/>
      <c r="Z604" s="9"/>
      <c r="AA604" s="9"/>
      <c r="AB604" s="9"/>
      <c r="AC604" s="9"/>
      <c r="AD604" s="9"/>
    </row>
    <row r="605" spans="1:30" ht="13.5" customHeight="1">
      <c r="A605" s="2"/>
      <c r="B605" s="2"/>
      <c r="C605" s="2"/>
      <c r="D605" s="2"/>
      <c r="E605" s="2"/>
      <c r="F605" s="2"/>
      <c r="G605" s="2"/>
      <c r="H605" s="2"/>
      <c r="I605" s="2"/>
      <c r="J605" s="2"/>
      <c r="K605" s="2"/>
      <c r="L605" s="2"/>
      <c r="M605" s="2"/>
      <c r="N605" s="2"/>
      <c r="O605" s="2"/>
      <c r="P605" s="2"/>
      <c r="Q605" s="2"/>
      <c r="R605" s="9"/>
      <c r="S605" s="9"/>
      <c r="T605" s="9"/>
      <c r="U605" s="9"/>
      <c r="V605" s="9"/>
      <c r="W605" s="9"/>
      <c r="X605" s="9"/>
      <c r="Y605" s="9"/>
      <c r="Z605" s="9"/>
      <c r="AA605" s="9"/>
      <c r="AB605" s="9"/>
      <c r="AC605" s="9"/>
      <c r="AD605" s="9"/>
    </row>
    <row r="606" spans="1:30" ht="13.5" customHeight="1">
      <c r="A606" s="2"/>
      <c r="B606" s="2"/>
      <c r="C606" s="2"/>
      <c r="D606" s="2"/>
      <c r="E606" s="2"/>
      <c r="F606" s="2"/>
      <c r="G606" s="2"/>
      <c r="H606" s="2"/>
      <c r="I606" s="2"/>
      <c r="J606" s="2"/>
      <c r="K606" s="2"/>
      <c r="L606" s="2"/>
      <c r="M606" s="2"/>
      <c r="N606" s="2"/>
      <c r="O606" s="2"/>
      <c r="P606" s="2"/>
      <c r="Q606" s="2"/>
      <c r="R606" s="9"/>
      <c r="S606" s="9"/>
      <c r="T606" s="9"/>
      <c r="U606" s="9"/>
      <c r="V606" s="9"/>
      <c r="W606" s="9"/>
      <c r="X606" s="9"/>
      <c r="Y606" s="9"/>
      <c r="Z606" s="9"/>
      <c r="AA606" s="9"/>
      <c r="AB606" s="9"/>
      <c r="AC606" s="9"/>
      <c r="AD606" s="9"/>
    </row>
    <row r="607" spans="1:30" ht="13.5" customHeight="1">
      <c r="A607" s="2"/>
      <c r="B607" s="2"/>
      <c r="C607" s="2"/>
      <c r="D607" s="2"/>
      <c r="E607" s="2"/>
      <c r="F607" s="2"/>
      <c r="G607" s="2"/>
      <c r="H607" s="2"/>
      <c r="I607" s="2"/>
      <c r="J607" s="2"/>
      <c r="K607" s="2"/>
      <c r="L607" s="2"/>
      <c r="M607" s="2"/>
      <c r="N607" s="2"/>
      <c r="O607" s="2"/>
      <c r="P607" s="2"/>
      <c r="Q607" s="2"/>
      <c r="R607" s="9"/>
      <c r="S607" s="9"/>
      <c r="T607" s="9"/>
      <c r="U607" s="9"/>
      <c r="V607" s="9"/>
      <c r="W607" s="9"/>
      <c r="X607" s="9"/>
      <c r="Y607" s="9"/>
      <c r="Z607" s="9"/>
      <c r="AA607" s="9"/>
      <c r="AB607" s="9"/>
      <c r="AC607" s="9"/>
      <c r="AD607" s="9"/>
    </row>
    <row r="608" spans="1:30" ht="13.5" customHeight="1">
      <c r="A608" s="2"/>
      <c r="B608" s="2"/>
      <c r="C608" s="2"/>
      <c r="D608" s="2"/>
      <c r="E608" s="2"/>
      <c r="F608" s="2"/>
      <c r="G608" s="2"/>
      <c r="H608" s="2"/>
      <c r="I608" s="2"/>
      <c r="J608" s="2"/>
      <c r="K608" s="2"/>
      <c r="L608" s="2"/>
      <c r="M608" s="2"/>
      <c r="N608" s="2"/>
      <c r="O608" s="2"/>
      <c r="P608" s="2"/>
      <c r="Q608" s="2"/>
      <c r="R608" s="9"/>
      <c r="S608" s="9"/>
      <c r="T608" s="9"/>
      <c r="U608" s="9"/>
      <c r="V608" s="9"/>
      <c r="W608" s="9"/>
      <c r="X608" s="9"/>
      <c r="Y608" s="9"/>
      <c r="Z608" s="9"/>
      <c r="AA608" s="9"/>
      <c r="AB608" s="9"/>
      <c r="AC608" s="9"/>
      <c r="AD608" s="9"/>
    </row>
    <row r="609" spans="1:30" ht="13.5" customHeight="1">
      <c r="A609" s="2"/>
      <c r="B609" s="2"/>
      <c r="C609" s="2"/>
      <c r="D609" s="2"/>
      <c r="E609" s="2"/>
      <c r="F609" s="2"/>
      <c r="G609" s="2"/>
      <c r="H609" s="2"/>
      <c r="I609" s="2"/>
      <c r="J609" s="2"/>
      <c r="K609" s="2"/>
      <c r="L609" s="2"/>
      <c r="M609" s="2"/>
      <c r="N609" s="2"/>
      <c r="O609" s="2"/>
      <c r="P609" s="2"/>
      <c r="Q609" s="2"/>
      <c r="R609" s="9"/>
      <c r="S609" s="9"/>
      <c r="T609" s="9"/>
      <c r="U609" s="9"/>
      <c r="V609" s="9"/>
      <c r="W609" s="9"/>
      <c r="X609" s="9"/>
      <c r="Y609" s="9"/>
      <c r="Z609" s="9"/>
      <c r="AA609" s="9"/>
      <c r="AB609" s="9"/>
      <c r="AC609" s="9"/>
      <c r="AD609" s="9"/>
    </row>
    <row r="610" spans="1:30" ht="13.5" customHeight="1">
      <c r="A610" s="2"/>
      <c r="B610" s="2"/>
      <c r="C610" s="2"/>
      <c r="D610" s="2"/>
      <c r="E610" s="2"/>
      <c r="F610" s="2"/>
      <c r="G610" s="2"/>
      <c r="H610" s="2"/>
      <c r="I610" s="2"/>
      <c r="J610" s="2"/>
      <c r="K610" s="2"/>
      <c r="L610" s="2"/>
      <c r="M610" s="2"/>
      <c r="N610" s="2"/>
      <c r="O610" s="2"/>
      <c r="P610" s="2"/>
      <c r="Q610" s="2"/>
      <c r="R610" s="9"/>
      <c r="S610" s="9"/>
      <c r="T610" s="9"/>
      <c r="U610" s="9"/>
      <c r="V610" s="9"/>
      <c r="W610" s="9"/>
      <c r="X610" s="9"/>
      <c r="Y610" s="9"/>
      <c r="Z610" s="9"/>
      <c r="AA610" s="9"/>
      <c r="AB610" s="9"/>
      <c r="AC610" s="9"/>
      <c r="AD610" s="9"/>
    </row>
    <row r="611" spans="1:30" ht="13.5" customHeight="1">
      <c r="A611" s="2"/>
      <c r="B611" s="2"/>
      <c r="C611" s="2"/>
      <c r="D611" s="2"/>
      <c r="E611" s="2"/>
      <c r="F611" s="2"/>
      <c r="G611" s="2"/>
      <c r="H611" s="2"/>
      <c r="I611" s="2"/>
      <c r="J611" s="2"/>
      <c r="K611" s="2"/>
      <c r="L611" s="2"/>
      <c r="M611" s="2"/>
      <c r="N611" s="2"/>
      <c r="O611" s="2"/>
      <c r="P611" s="2"/>
      <c r="Q611" s="2"/>
      <c r="R611" s="9"/>
      <c r="S611" s="9"/>
      <c r="T611" s="9"/>
      <c r="U611" s="9"/>
      <c r="V611" s="9"/>
      <c r="W611" s="9"/>
      <c r="X611" s="9"/>
      <c r="Y611" s="9"/>
      <c r="Z611" s="9"/>
      <c r="AA611" s="9"/>
      <c r="AB611" s="9"/>
      <c r="AC611" s="9"/>
      <c r="AD611" s="9"/>
    </row>
    <row r="612" spans="1:30" ht="13.5" customHeight="1">
      <c r="A612" s="2"/>
      <c r="B612" s="2"/>
      <c r="C612" s="2"/>
      <c r="D612" s="2"/>
      <c r="E612" s="2"/>
      <c r="F612" s="2"/>
      <c r="G612" s="2"/>
      <c r="H612" s="2"/>
      <c r="I612" s="2"/>
      <c r="J612" s="2"/>
      <c r="K612" s="2"/>
      <c r="L612" s="2"/>
      <c r="M612" s="2"/>
      <c r="N612" s="2"/>
      <c r="O612" s="2"/>
      <c r="P612" s="2"/>
      <c r="Q612" s="2"/>
      <c r="R612" s="9"/>
      <c r="S612" s="9"/>
      <c r="T612" s="9"/>
      <c r="U612" s="9"/>
      <c r="V612" s="9"/>
      <c r="W612" s="9"/>
      <c r="X612" s="9"/>
      <c r="Y612" s="9"/>
      <c r="Z612" s="9"/>
      <c r="AA612" s="9"/>
      <c r="AB612" s="9"/>
      <c r="AC612" s="9"/>
      <c r="AD612" s="9"/>
    </row>
    <row r="613" spans="1:30" ht="13.5" customHeight="1">
      <c r="A613" s="2"/>
      <c r="B613" s="2"/>
      <c r="C613" s="2"/>
      <c r="D613" s="2"/>
      <c r="E613" s="2"/>
      <c r="F613" s="2"/>
      <c r="G613" s="2"/>
      <c r="H613" s="2"/>
      <c r="I613" s="2"/>
      <c r="J613" s="2"/>
      <c r="K613" s="2"/>
      <c r="L613" s="2"/>
      <c r="M613" s="2"/>
      <c r="N613" s="2"/>
      <c r="O613" s="2"/>
      <c r="P613" s="2"/>
      <c r="Q613" s="2"/>
      <c r="R613" s="9"/>
      <c r="S613" s="9"/>
      <c r="T613" s="9"/>
      <c r="U613" s="9"/>
      <c r="V613" s="9"/>
      <c r="W613" s="9"/>
      <c r="X613" s="9"/>
      <c r="Y613" s="9"/>
      <c r="Z613" s="9"/>
      <c r="AA613" s="9"/>
      <c r="AB613" s="9"/>
      <c r="AC613" s="9"/>
      <c r="AD613" s="9"/>
    </row>
    <row r="614" spans="1:30" ht="13.5" customHeight="1">
      <c r="A614" s="2"/>
      <c r="B614" s="2"/>
      <c r="C614" s="2"/>
      <c r="D614" s="2"/>
      <c r="E614" s="2"/>
      <c r="F614" s="2"/>
      <c r="G614" s="2"/>
      <c r="H614" s="2"/>
      <c r="I614" s="2"/>
      <c r="J614" s="2"/>
      <c r="K614" s="2"/>
      <c r="L614" s="2"/>
      <c r="M614" s="2"/>
      <c r="N614" s="2"/>
      <c r="O614" s="2"/>
      <c r="P614" s="2"/>
      <c r="Q614" s="2"/>
      <c r="R614" s="9"/>
      <c r="S614" s="9"/>
      <c r="T614" s="9"/>
      <c r="U614" s="9"/>
      <c r="V614" s="9"/>
      <c r="W614" s="9"/>
      <c r="X614" s="9"/>
      <c r="Y614" s="9"/>
      <c r="Z614" s="9"/>
      <c r="AA614" s="9"/>
      <c r="AB614" s="9"/>
      <c r="AC614" s="9"/>
      <c r="AD614" s="9"/>
    </row>
    <row r="615" spans="1:30" ht="13.5" customHeight="1">
      <c r="A615" s="2"/>
      <c r="B615" s="2"/>
      <c r="C615" s="2"/>
      <c r="D615" s="2"/>
      <c r="E615" s="2"/>
      <c r="F615" s="2"/>
      <c r="G615" s="2"/>
      <c r="H615" s="2"/>
      <c r="I615" s="2"/>
      <c r="J615" s="2"/>
      <c r="K615" s="2"/>
      <c r="L615" s="2"/>
      <c r="M615" s="2"/>
      <c r="N615" s="2"/>
      <c r="O615" s="2"/>
      <c r="P615" s="2"/>
      <c r="Q615" s="2"/>
      <c r="R615" s="9"/>
      <c r="S615" s="9"/>
      <c r="T615" s="9"/>
      <c r="U615" s="9"/>
      <c r="V615" s="9"/>
      <c r="W615" s="9"/>
      <c r="X615" s="9"/>
      <c r="Y615" s="9"/>
      <c r="Z615" s="9"/>
      <c r="AA615" s="9"/>
      <c r="AB615" s="9"/>
      <c r="AC615" s="9"/>
      <c r="AD615" s="9"/>
    </row>
    <row r="616" spans="1:30" ht="13.5" customHeight="1">
      <c r="A616" s="2"/>
      <c r="B616" s="2"/>
      <c r="C616" s="2"/>
      <c r="D616" s="2"/>
      <c r="E616" s="2"/>
      <c r="F616" s="2"/>
      <c r="G616" s="2"/>
      <c r="H616" s="2"/>
      <c r="I616" s="2"/>
      <c r="J616" s="2"/>
      <c r="K616" s="2"/>
      <c r="L616" s="2"/>
      <c r="M616" s="2"/>
      <c r="N616" s="2"/>
      <c r="O616" s="2"/>
      <c r="P616" s="2"/>
      <c r="Q616" s="2"/>
      <c r="R616" s="9"/>
      <c r="S616" s="9"/>
      <c r="T616" s="9"/>
      <c r="U616" s="9"/>
      <c r="V616" s="9"/>
      <c r="W616" s="9"/>
      <c r="X616" s="9"/>
      <c r="Y616" s="9"/>
      <c r="Z616" s="9"/>
      <c r="AA616" s="9"/>
      <c r="AB616" s="9"/>
      <c r="AC616" s="9"/>
      <c r="AD616" s="9"/>
    </row>
    <row r="617" spans="1:30" ht="13.5" customHeight="1">
      <c r="A617" s="2"/>
      <c r="B617" s="2"/>
      <c r="C617" s="2"/>
      <c r="D617" s="2"/>
      <c r="E617" s="2"/>
      <c r="F617" s="2"/>
      <c r="G617" s="2"/>
      <c r="H617" s="2"/>
      <c r="I617" s="2"/>
      <c r="J617" s="2"/>
      <c r="K617" s="2"/>
      <c r="L617" s="2"/>
      <c r="M617" s="2"/>
      <c r="N617" s="2"/>
      <c r="O617" s="2"/>
      <c r="P617" s="2"/>
      <c r="Q617" s="2"/>
      <c r="R617" s="9"/>
      <c r="S617" s="9"/>
      <c r="T617" s="9"/>
      <c r="U617" s="9"/>
      <c r="V617" s="9"/>
      <c r="W617" s="9"/>
      <c r="X617" s="9"/>
      <c r="Y617" s="9"/>
      <c r="Z617" s="9"/>
      <c r="AA617" s="9"/>
      <c r="AB617" s="9"/>
      <c r="AC617" s="9"/>
      <c r="AD617" s="9"/>
    </row>
    <row r="618" spans="1:30" ht="13.5" customHeight="1">
      <c r="A618" s="2"/>
      <c r="B618" s="2"/>
      <c r="C618" s="2"/>
      <c r="D618" s="2"/>
      <c r="E618" s="2"/>
      <c r="F618" s="2"/>
      <c r="G618" s="2"/>
      <c r="H618" s="2"/>
      <c r="I618" s="2"/>
      <c r="J618" s="2"/>
      <c r="K618" s="2"/>
      <c r="L618" s="2"/>
      <c r="M618" s="2"/>
      <c r="N618" s="2"/>
      <c r="O618" s="2"/>
      <c r="P618" s="2"/>
      <c r="Q618" s="2"/>
      <c r="R618" s="9"/>
      <c r="S618" s="9"/>
      <c r="T618" s="9"/>
      <c r="U618" s="9"/>
      <c r="V618" s="9"/>
      <c r="W618" s="9"/>
      <c r="X618" s="9"/>
      <c r="Y618" s="9"/>
      <c r="Z618" s="9"/>
      <c r="AA618" s="9"/>
      <c r="AB618" s="9"/>
      <c r="AC618" s="9"/>
      <c r="AD618" s="9"/>
    </row>
    <row r="619" spans="1:30" ht="13.5" customHeight="1">
      <c r="A619" s="2"/>
      <c r="B619" s="2"/>
      <c r="C619" s="2"/>
      <c r="D619" s="2"/>
      <c r="E619" s="2"/>
      <c r="F619" s="2"/>
      <c r="G619" s="2"/>
      <c r="H619" s="2"/>
      <c r="I619" s="2"/>
      <c r="J619" s="2"/>
      <c r="K619" s="2"/>
      <c r="L619" s="2"/>
      <c r="M619" s="2"/>
      <c r="N619" s="2"/>
      <c r="O619" s="2"/>
      <c r="P619" s="2"/>
      <c r="Q619" s="2"/>
      <c r="R619" s="9"/>
      <c r="S619" s="9"/>
      <c r="T619" s="9"/>
      <c r="U619" s="9"/>
      <c r="V619" s="9"/>
      <c r="W619" s="9"/>
      <c r="X619" s="9"/>
      <c r="Y619" s="9"/>
      <c r="Z619" s="9"/>
      <c r="AA619" s="9"/>
      <c r="AB619" s="9"/>
      <c r="AC619" s="9"/>
      <c r="AD619" s="9"/>
    </row>
    <row r="620" spans="1:30" ht="13.5" customHeight="1">
      <c r="A620" s="2"/>
      <c r="B620" s="2"/>
      <c r="C620" s="2"/>
      <c r="D620" s="2"/>
      <c r="E620" s="2"/>
      <c r="F620" s="2"/>
      <c r="G620" s="2"/>
      <c r="H620" s="2"/>
      <c r="I620" s="2"/>
      <c r="J620" s="2"/>
      <c r="K620" s="2"/>
      <c r="L620" s="2"/>
      <c r="M620" s="2"/>
      <c r="N620" s="2"/>
      <c r="O620" s="2"/>
      <c r="P620" s="2"/>
      <c r="Q620" s="2"/>
      <c r="R620" s="9"/>
      <c r="S620" s="9"/>
      <c r="T620" s="9"/>
      <c r="U620" s="9"/>
      <c r="V620" s="9"/>
      <c r="W620" s="9"/>
      <c r="X620" s="9"/>
      <c r="Y620" s="9"/>
      <c r="Z620" s="9"/>
      <c r="AA620" s="9"/>
      <c r="AB620" s="9"/>
      <c r="AC620" s="9"/>
      <c r="AD620" s="9"/>
    </row>
    <row r="621" spans="1:30" ht="13.5" customHeight="1">
      <c r="A621" s="2"/>
      <c r="B621" s="2"/>
      <c r="C621" s="2"/>
      <c r="D621" s="2"/>
      <c r="E621" s="2"/>
      <c r="F621" s="2"/>
      <c r="G621" s="2"/>
      <c r="H621" s="2"/>
      <c r="I621" s="2"/>
      <c r="J621" s="2"/>
      <c r="K621" s="2"/>
      <c r="L621" s="2"/>
      <c r="M621" s="2"/>
      <c r="N621" s="2"/>
      <c r="O621" s="2"/>
      <c r="P621" s="2"/>
      <c r="Q621" s="2"/>
      <c r="R621" s="9"/>
      <c r="S621" s="9"/>
      <c r="T621" s="9"/>
      <c r="U621" s="9"/>
      <c r="V621" s="9"/>
      <c r="W621" s="9"/>
      <c r="X621" s="9"/>
      <c r="Y621" s="9"/>
      <c r="Z621" s="9"/>
      <c r="AA621" s="9"/>
      <c r="AB621" s="9"/>
      <c r="AC621" s="9"/>
      <c r="AD621" s="9"/>
    </row>
    <row r="622" spans="1:30" ht="13.5" customHeight="1">
      <c r="A622" s="2"/>
      <c r="B622" s="2"/>
      <c r="C622" s="2"/>
      <c r="D622" s="2"/>
      <c r="E622" s="2"/>
      <c r="F622" s="2"/>
      <c r="G622" s="2"/>
      <c r="H622" s="2"/>
      <c r="I622" s="2"/>
      <c r="J622" s="2"/>
      <c r="K622" s="2"/>
      <c r="L622" s="2"/>
      <c r="M622" s="2"/>
      <c r="N622" s="2"/>
      <c r="O622" s="2"/>
      <c r="P622" s="2"/>
      <c r="Q622" s="2"/>
      <c r="R622" s="9"/>
      <c r="S622" s="9"/>
      <c r="T622" s="9"/>
      <c r="U622" s="9"/>
      <c r="V622" s="9"/>
      <c r="W622" s="9"/>
      <c r="X622" s="9"/>
      <c r="Y622" s="9"/>
      <c r="Z622" s="9"/>
      <c r="AA622" s="9"/>
      <c r="AB622" s="9"/>
      <c r="AC622" s="9"/>
      <c r="AD622" s="9"/>
    </row>
    <row r="623" spans="1:30" ht="13.5" customHeight="1">
      <c r="A623" s="2"/>
      <c r="B623" s="2"/>
      <c r="C623" s="2"/>
      <c r="D623" s="2"/>
      <c r="E623" s="2"/>
      <c r="F623" s="2"/>
      <c r="G623" s="2"/>
      <c r="H623" s="2"/>
      <c r="I623" s="2"/>
      <c r="J623" s="2"/>
      <c r="K623" s="2"/>
      <c r="L623" s="2"/>
      <c r="M623" s="2"/>
      <c r="N623" s="2"/>
      <c r="O623" s="2"/>
      <c r="P623" s="2"/>
      <c r="Q623" s="2"/>
      <c r="R623" s="9"/>
      <c r="S623" s="9"/>
      <c r="T623" s="9"/>
      <c r="U623" s="9"/>
      <c r="V623" s="9"/>
      <c r="W623" s="9"/>
      <c r="X623" s="9"/>
      <c r="Y623" s="9"/>
      <c r="Z623" s="9"/>
      <c r="AA623" s="9"/>
      <c r="AB623" s="9"/>
      <c r="AC623" s="9"/>
      <c r="AD623" s="9"/>
    </row>
    <row r="624" spans="1:30" ht="13.5" customHeight="1">
      <c r="A624" s="2"/>
      <c r="B624" s="2"/>
      <c r="C624" s="2"/>
      <c r="D624" s="2"/>
      <c r="E624" s="2"/>
      <c r="F624" s="2"/>
      <c r="G624" s="2"/>
      <c r="H624" s="2"/>
      <c r="I624" s="2"/>
      <c r="J624" s="2"/>
      <c r="K624" s="2"/>
      <c r="L624" s="2"/>
      <c r="M624" s="2"/>
      <c r="N624" s="2"/>
      <c r="O624" s="2"/>
      <c r="P624" s="2"/>
      <c r="Q624" s="2"/>
      <c r="R624" s="9"/>
      <c r="S624" s="9"/>
      <c r="T624" s="9"/>
      <c r="U624" s="9"/>
      <c r="V624" s="9"/>
      <c r="W624" s="9"/>
      <c r="X624" s="9"/>
      <c r="Y624" s="9"/>
      <c r="Z624" s="9"/>
      <c r="AA624" s="9"/>
      <c r="AB624" s="9"/>
      <c r="AC624" s="9"/>
      <c r="AD624" s="9"/>
    </row>
    <row r="625" spans="1:30" ht="13.5" customHeight="1">
      <c r="A625" s="2"/>
      <c r="B625" s="2"/>
      <c r="C625" s="2"/>
      <c r="D625" s="2"/>
      <c r="E625" s="2"/>
      <c r="F625" s="2"/>
      <c r="G625" s="2"/>
      <c r="H625" s="2"/>
      <c r="I625" s="2"/>
      <c r="J625" s="2"/>
      <c r="K625" s="2"/>
      <c r="L625" s="2"/>
      <c r="M625" s="2"/>
      <c r="N625" s="2"/>
      <c r="O625" s="2"/>
      <c r="P625" s="2"/>
      <c r="Q625" s="2"/>
      <c r="R625" s="9"/>
      <c r="S625" s="9"/>
      <c r="T625" s="9"/>
      <c r="U625" s="9"/>
      <c r="V625" s="9"/>
      <c r="W625" s="9"/>
      <c r="X625" s="9"/>
      <c r="Y625" s="9"/>
      <c r="Z625" s="9"/>
      <c r="AA625" s="9"/>
      <c r="AB625" s="9"/>
      <c r="AC625" s="9"/>
      <c r="AD625" s="9"/>
    </row>
    <row r="626" spans="1:30" ht="13.5" customHeight="1">
      <c r="A626" s="2"/>
      <c r="B626" s="2"/>
      <c r="C626" s="2"/>
      <c r="D626" s="2"/>
      <c r="E626" s="2"/>
      <c r="F626" s="2"/>
      <c r="G626" s="2"/>
      <c r="H626" s="2"/>
      <c r="I626" s="2"/>
      <c r="J626" s="2"/>
      <c r="K626" s="2"/>
      <c r="L626" s="2"/>
      <c r="M626" s="2"/>
      <c r="N626" s="2"/>
      <c r="O626" s="2"/>
      <c r="P626" s="2"/>
      <c r="Q626" s="2"/>
      <c r="R626" s="9"/>
      <c r="S626" s="9"/>
      <c r="T626" s="9"/>
      <c r="U626" s="9"/>
      <c r="V626" s="9"/>
      <c r="W626" s="9"/>
      <c r="X626" s="9"/>
      <c r="Y626" s="9"/>
      <c r="Z626" s="9"/>
      <c r="AA626" s="9"/>
      <c r="AB626" s="9"/>
      <c r="AC626" s="9"/>
      <c r="AD626" s="9"/>
    </row>
    <row r="627" spans="1:30" ht="13.5" customHeight="1">
      <c r="A627" s="2"/>
      <c r="B627" s="2"/>
      <c r="C627" s="2"/>
      <c r="D627" s="2"/>
      <c r="E627" s="2"/>
      <c r="F627" s="2"/>
      <c r="G627" s="2"/>
      <c r="H627" s="2"/>
      <c r="I627" s="2"/>
      <c r="J627" s="2"/>
      <c r="K627" s="2"/>
      <c r="L627" s="2"/>
      <c r="M627" s="2"/>
      <c r="N627" s="2"/>
      <c r="O627" s="2"/>
      <c r="P627" s="2"/>
      <c r="Q627" s="2"/>
      <c r="R627" s="9"/>
      <c r="S627" s="9"/>
      <c r="T627" s="9"/>
      <c r="U627" s="9"/>
      <c r="V627" s="9"/>
      <c r="W627" s="9"/>
      <c r="X627" s="9"/>
      <c r="Y627" s="9"/>
      <c r="Z627" s="9"/>
      <c r="AA627" s="9"/>
      <c r="AB627" s="9"/>
      <c r="AC627" s="9"/>
      <c r="AD627" s="9"/>
    </row>
    <row r="628" spans="1:30" ht="13.5" customHeight="1">
      <c r="A628" s="2"/>
      <c r="B628" s="2"/>
      <c r="C628" s="2"/>
      <c r="D628" s="2"/>
      <c r="E628" s="2"/>
      <c r="F628" s="2"/>
      <c r="G628" s="2"/>
      <c r="H628" s="2"/>
      <c r="I628" s="2"/>
      <c r="J628" s="2"/>
      <c r="K628" s="2"/>
      <c r="L628" s="2"/>
      <c r="M628" s="2"/>
      <c r="N628" s="2"/>
      <c r="O628" s="2"/>
      <c r="P628" s="2"/>
      <c r="Q628" s="2"/>
      <c r="R628" s="9"/>
      <c r="S628" s="9"/>
      <c r="T628" s="9"/>
      <c r="U628" s="9"/>
      <c r="V628" s="9"/>
      <c r="W628" s="9"/>
      <c r="X628" s="9"/>
      <c r="Y628" s="9"/>
      <c r="Z628" s="9"/>
      <c r="AA628" s="9"/>
      <c r="AB628" s="9"/>
      <c r="AC628" s="9"/>
      <c r="AD628" s="9"/>
    </row>
    <row r="629" spans="1:30" ht="13.5" customHeight="1">
      <c r="A629" s="2"/>
      <c r="B629" s="2"/>
      <c r="C629" s="2"/>
      <c r="D629" s="2"/>
      <c r="E629" s="2"/>
      <c r="F629" s="2"/>
      <c r="G629" s="2"/>
      <c r="H629" s="2"/>
      <c r="I629" s="2"/>
      <c r="J629" s="2"/>
      <c r="K629" s="2"/>
      <c r="L629" s="2"/>
      <c r="M629" s="2"/>
      <c r="N629" s="2"/>
      <c r="O629" s="2"/>
      <c r="P629" s="2"/>
      <c r="Q629" s="2"/>
      <c r="R629" s="9"/>
      <c r="S629" s="9"/>
      <c r="T629" s="9"/>
      <c r="U629" s="9"/>
      <c r="V629" s="9"/>
      <c r="W629" s="9"/>
      <c r="X629" s="9"/>
      <c r="Y629" s="9"/>
      <c r="Z629" s="9"/>
      <c r="AA629" s="9"/>
      <c r="AB629" s="9"/>
      <c r="AC629" s="9"/>
      <c r="AD629" s="9"/>
    </row>
    <row r="630" spans="1:30" ht="13.5" customHeight="1">
      <c r="A630" s="2"/>
      <c r="B630" s="2"/>
      <c r="C630" s="2"/>
      <c r="D630" s="2"/>
      <c r="E630" s="2"/>
      <c r="F630" s="2"/>
      <c r="G630" s="2"/>
      <c r="H630" s="2"/>
      <c r="I630" s="2"/>
      <c r="J630" s="2"/>
      <c r="K630" s="2"/>
      <c r="L630" s="2"/>
      <c r="M630" s="2"/>
      <c r="N630" s="2"/>
      <c r="O630" s="2"/>
      <c r="P630" s="2"/>
      <c r="Q630" s="2"/>
      <c r="R630" s="9"/>
      <c r="S630" s="9"/>
      <c r="T630" s="9"/>
      <c r="U630" s="9"/>
      <c r="V630" s="9"/>
      <c r="W630" s="9"/>
      <c r="X630" s="9"/>
      <c r="Y630" s="9"/>
      <c r="Z630" s="9"/>
      <c r="AA630" s="9"/>
      <c r="AB630" s="9"/>
      <c r="AC630" s="9"/>
      <c r="AD630" s="9"/>
    </row>
    <row r="631" spans="1:30" ht="13.5" customHeight="1">
      <c r="A631" s="2"/>
      <c r="B631" s="2"/>
      <c r="C631" s="2"/>
      <c r="D631" s="2"/>
      <c r="E631" s="2"/>
      <c r="F631" s="2"/>
      <c r="G631" s="2"/>
      <c r="H631" s="2"/>
      <c r="I631" s="2"/>
      <c r="J631" s="2"/>
      <c r="K631" s="2"/>
      <c r="L631" s="2"/>
      <c r="M631" s="2"/>
      <c r="N631" s="2"/>
      <c r="O631" s="2"/>
      <c r="P631" s="2"/>
      <c r="Q631" s="2"/>
      <c r="R631" s="9"/>
      <c r="S631" s="9"/>
      <c r="T631" s="9"/>
      <c r="U631" s="9"/>
      <c r="V631" s="9"/>
      <c r="W631" s="9"/>
      <c r="X631" s="9"/>
      <c r="Y631" s="9"/>
      <c r="Z631" s="9"/>
      <c r="AA631" s="9"/>
      <c r="AB631" s="9"/>
      <c r="AC631" s="9"/>
      <c r="AD631" s="9"/>
    </row>
    <row r="632" spans="1:30" ht="13.5" customHeight="1">
      <c r="A632" s="2"/>
      <c r="B632" s="2"/>
      <c r="C632" s="2"/>
      <c r="D632" s="2"/>
      <c r="E632" s="2"/>
      <c r="F632" s="2"/>
      <c r="G632" s="2"/>
      <c r="H632" s="2"/>
      <c r="I632" s="2"/>
      <c r="J632" s="2"/>
      <c r="K632" s="2"/>
      <c r="L632" s="2"/>
      <c r="M632" s="2"/>
      <c r="N632" s="2"/>
      <c r="O632" s="2"/>
      <c r="P632" s="2"/>
      <c r="Q632" s="2"/>
      <c r="R632" s="9"/>
      <c r="S632" s="9"/>
      <c r="T632" s="9"/>
      <c r="U632" s="9"/>
      <c r="V632" s="9"/>
      <c r="W632" s="9"/>
      <c r="X632" s="9"/>
      <c r="Y632" s="9"/>
      <c r="Z632" s="9"/>
      <c r="AA632" s="9"/>
      <c r="AB632" s="9"/>
      <c r="AC632" s="9"/>
      <c r="AD632" s="9"/>
    </row>
    <row r="633" spans="1:30" ht="13.5" customHeight="1">
      <c r="A633" s="2"/>
      <c r="B633" s="2"/>
      <c r="C633" s="2"/>
      <c r="D633" s="2"/>
      <c r="E633" s="2"/>
      <c r="F633" s="2"/>
      <c r="G633" s="2"/>
      <c r="H633" s="2"/>
      <c r="I633" s="2"/>
      <c r="J633" s="2"/>
      <c r="K633" s="2"/>
      <c r="L633" s="2"/>
      <c r="M633" s="2"/>
      <c r="N633" s="2"/>
      <c r="O633" s="2"/>
      <c r="P633" s="2"/>
      <c r="Q633" s="2"/>
      <c r="R633" s="9"/>
      <c r="S633" s="9"/>
      <c r="T633" s="9"/>
      <c r="U633" s="9"/>
      <c r="V633" s="9"/>
      <c r="W633" s="9"/>
      <c r="X633" s="9"/>
      <c r="Y633" s="9"/>
      <c r="Z633" s="9"/>
      <c r="AA633" s="9"/>
      <c r="AB633" s="9"/>
      <c r="AC633" s="9"/>
      <c r="AD633" s="9"/>
    </row>
    <row r="634" spans="1:30" ht="13.5" customHeight="1">
      <c r="A634" s="2"/>
      <c r="B634" s="2"/>
      <c r="C634" s="2"/>
      <c r="D634" s="2"/>
      <c r="E634" s="2"/>
      <c r="F634" s="2"/>
      <c r="G634" s="2"/>
      <c r="H634" s="2"/>
      <c r="I634" s="2"/>
      <c r="J634" s="2"/>
      <c r="K634" s="2"/>
      <c r="L634" s="2"/>
      <c r="M634" s="2"/>
      <c r="N634" s="2"/>
      <c r="O634" s="2"/>
      <c r="P634" s="2"/>
      <c r="Q634" s="2"/>
      <c r="R634" s="9"/>
      <c r="S634" s="9"/>
      <c r="T634" s="9"/>
      <c r="U634" s="9"/>
      <c r="V634" s="9"/>
      <c r="W634" s="9"/>
      <c r="X634" s="9"/>
      <c r="Y634" s="9"/>
      <c r="Z634" s="9"/>
      <c r="AA634" s="9"/>
      <c r="AB634" s="9"/>
      <c r="AC634" s="9"/>
      <c r="AD634" s="9"/>
    </row>
    <row r="635" spans="1:30" ht="13.5" customHeight="1">
      <c r="A635" s="2"/>
      <c r="B635" s="2"/>
      <c r="C635" s="2"/>
      <c r="D635" s="2"/>
      <c r="E635" s="2"/>
      <c r="F635" s="2"/>
      <c r="G635" s="2"/>
      <c r="H635" s="2"/>
      <c r="I635" s="2"/>
      <c r="J635" s="2"/>
      <c r="K635" s="2"/>
      <c r="L635" s="2"/>
      <c r="M635" s="2"/>
      <c r="N635" s="2"/>
      <c r="O635" s="2"/>
      <c r="P635" s="2"/>
      <c r="Q635" s="2"/>
      <c r="R635" s="9"/>
      <c r="S635" s="9"/>
      <c r="T635" s="9"/>
      <c r="U635" s="9"/>
      <c r="V635" s="9"/>
      <c r="W635" s="9"/>
      <c r="X635" s="9"/>
      <c r="Y635" s="9"/>
      <c r="Z635" s="9"/>
      <c r="AA635" s="9"/>
      <c r="AB635" s="9"/>
      <c r="AC635" s="9"/>
      <c r="AD635" s="9"/>
    </row>
    <row r="636" spans="1:30" ht="13.5" customHeight="1">
      <c r="A636" s="2"/>
      <c r="B636" s="2"/>
      <c r="C636" s="2"/>
      <c r="D636" s="2"/>
      <c r="E636" s="2"/>
      <c r="F636" s="2"/>
      <c r="G636" s="2"/>
      <c r="H636" s="2"/>
      <c r="I636" s="2"/>
      <c r="J636" s="2"/>
      <c r="K636" s="2"/>
      <c r="L636" s="2"/>
      <c r="M636" s="2"/>
      <c r="N636" s="2"/>
      <c r="O636" s="2"/>
      <c r="P636" s="2"/>
      <c r="Q636" s="2"/>
      <c r="R636" s="9"/>
      <c r="S636" s="9"/>
      <c r="T636" s="9"/>
      <c r="U636" s="9"/>
      <c r="V636" s="9"/>
      <c r="W636" s="9"/>
      <c r="X636" s="9"/>
      <c r="Y636" s="9"/>
      <c r="Z636" s="9"/>
      <c r="AA636" s="9"/>
      <c r="AB636" s="9"/>
      <c r="AC636" s="9"/>
      <c r="AD636" s="9"/>
    </row>
    <row r="637" spans="1:30" ht="13.5" customHeight="1">
      <c r="A637" s="2"/>
      <c r="B637" s="2"/>
      <c r="C637" s="2"/>
      <c r="D637" s="2"/>
      <c r="E637" s="2"/>
      <c r="F637" s="2"/>
      <c r="G637" s="2"/>
      <c r="H637" s="2"/>
      <c r="I637" s="2"/>
      <c r="J637" s="2"/>
      <c r="K637" s="2"/>
      <c r="L637" s="2"/>
      <c r="M637" s="2"/>
      <c r="N637" s="2"/>
      <c r="O637" s="2"/>
      <c r="P637" s="2"/>
      <c r="Q637" s="2"/>
      <c r="R637" s="9"/>
      <c r="S637" s="9"/>
      <c r="T637" s="9"/>
      <c r="U637" s="9"/>
      <c r="V637" s="9"/>
      <c r="W637" s="9"/>
      <c r="X637" s="9"/>
      <c r="Y637" s="9"/>
      <c r="Z637" s="9"/>
      <c r="AA637" s="9"/>
      <c r="AB637" s="9"/>
      <c r="AC637" s="9"/>
      <c r="AD637" s="9"/>
    </row>
    <row r="638" spans="1:30" ht="13.5" customHeight="1">
      <c r="A638" s="2"/>
      <c r="B638" s="2"/>
      <c r="C638" s="2"/>
      <c r="D638" s="2"/>
      <c r="E638" s="2"/>
      <c r="F638" s="2"/>
      <c r="G638" s="2"/>
      <c r="H638" s="2"/>
      <c r="I638" s="2"/>
      <c r="J638" s="2"/>
      <c r="K638" s="2"/>
      <c r="L638" s="2"/>
      <c r="M638" s="2"/>
      <c r="N638" s="2"/>
      <c r="O638" s="2"/>
      <c r="P638" s="2"/>
      <c r="Q638" s="2"/>
      <c r="R638" s="9"/>
      <c r="S638" s="9"/>
      <c r="T638" s="9"/>
      <c r="U638" s="9"/>
      <c r="V638" s="9"/>
      <c r="W638" s="9"/>
      <c r="X638" s="9"/>
      <c r="Y638" s="9"/>
      <c r="Z638" s="9"/>
      <c r="AA638" s="9"/>
      <c r="AB638" s="9"/>
      <c r="AC638" s="9"/>
      <c r="AD638" s="9"/>
    </row>
    <row r="639" spans="1:30" ht="13.5" customHeight="1">
      <c r="A639" s="2"/>
      <c r="B639" s="2"/>
      <c r="C639" s="2"/>
      <c r="D639" s="2"/>
      <c r="E639" s="2"/>
      <c r="F639" s="2"/>
      <c r="G639" s="2"/>
      <c r="H639" s="2"/>
      <c r="I639" s="2"/>
      <c r="J639" s="2"/>
      <c r="K639" s="2"/>
      <c r="L639" s="2"/>
      <c r="M639" s="2"/>
      <c r="N639" s="2"/>
      <c r="O639" s="2"/>
      <c r="P639" s="2"/>
      <c r="Q639" s="2"/>
      <c r="R639" s="9"/>
      <c r="S639" s="9"/>
      <c r="T639" s="9"/>
      <c r="U639" s="9"/>
      <c r="V639" s="9"/>
      <c r="W639" s="9"/>
      <c r="X639" s="9"/>
      <c r="Y639" s="9"/>
      <c r="Z639" s="9"/>
      <c r="AA639" s="9"/>
      <c r="AB639" s="9"/>
      <c r="AC639" s="9"/>
      <c r="AD639" s="9"/>
    </row>
    <row r="640" spans="1:30" ht="13.5" customHeight="1">
      <c r="A640" s="2"/>
      <c r="B640" s="2"/>
      <c r="C640" s="2"/>
      <c r="D640" s="2"/>
      <c r="E640" s="2"/>
      <c r="F640" s="2"/>
      <c r="G640" s="2"/>
      <c r="H640" s="2"/>
      <c r="I640" s="2"/>
      <c r="J640" s="2"/>
      <c r="K640" s="2"/>
      <c r="L640" s="2"/>
      <c r="M640" s="2"/>
      <c r="N640" s="2"/>
      <c r="O640" s="2"/>
      <c r="P640" s="2"/>
      <c r="Q640" s="2"/>
      <c r="R640" s="9"/>
      <c r="S640" s="9"/>
      <c r="T640" s="9"/>
      <c r="U640" s="9"/>
      <c r="V640" s="9"/>
      <c r="W640" s="9"/>
      <c r="X640" s="9"/>
      <c r="Y640" s="9"/>
      <c r="Z640" s="9"/>
      <c r="AA640" s="9"/>
      <c r="AB640" s="9"/>
      <c r="AC640" s="9"/>
      <c r="AD640" s="9"/>
    </row>
    <row r="641" spans="1:30" ht="13.5" customHeight="1">
      <c r="A641" s="2"/>
      <c r="B641" s="2"/>
      <c r="C641" s="2"/>
      <c r="D641" s="2"/>
      <c r="E641" s="2"/>
      <c r="F641" s="2"/>
      <c r="G641" s="2"/>
      <c r="H641" s="2"/>
      <c r="I641" s="2"/>
      <c r="J641" s="2"/>
      <c r="K641" s="2"/>
      <c r="L641" s="2"/>
      <c r="M641" s="2"/>
      <c r="N641" s="2"/>
      <c r="O641" s="2"/>
      <c r="P641" s="2"/>
      <c r="Q641" s="2"/>
      <c r="R641" s="9"/>
      <c r="S641" s="9"/>
      <c r="T641" s="9"/>
      <c r="U641" s="9"/>
      <c r="V641" s="9"/>
      <c r="W641" s="9"/>
      <c r="X641" s="9"/>
      <c r="Y641" s="9"/>
      <c r="Z641" s="9"/>
      <c r="AA641" s="9"/>
      <c r="AB641" s="9"/>
      <c r="AC641" s="9"/>
      <c r="AD641" s="9"/>
    </row>
    <row r="642" spans="1:30" ht="13.5" customHeight="1">
      <c r="A642" s="2"/>
      <c r="B642" s="2"/>
      <c r="C642" s="2"/>
      <c r="D642" s="2"/>
      <c r="E642" s="2"/>
      <c r="F642" s="2"/>
      <c r="G642" s="2"/>
      <c r="H642" s="2"/>
      <c r="I642" s="2"/>
      <c r="J642" s="2"/>
      <c r="K642" s="2"/>
      <c r="L642" s="2"/>
      <c r="M642" s="2"/>
      <c r="N642" s="2"/>
      <c r="O642" s="2"/>
      <c r="P642" s="2"/>
      <c r="Q642" s="2"/>
      <c r="R642" s="9"/>
      <c r="S642" s="9"/>
      <c r="T642" s="9"/>
      <c r="U642" s="9"/>
      <c r="V642" s="9"/>
      <c r="W642" s="9"/>
      <c r="X642" s="9"/>
      <c r="Y642" s="9"/>
      <c r="Z642" s="9"/>
      <c r="AA642" s="9"/>
      <c r="AB642" s="9"/>
      <c r="AC642" s="9"/>
      <c r="AD642" s="9"/>
    </row>
    <row r="643" spans="1:30" ht="13.5" customHeight="1">
      <c r="A643" s="2"/>
      <c r="B643" s="2"/>
      <c r="C643" s="2"/>
      <c r="D643" s="2"/>
      <c r="E643" s="2"/>
      <c r="F643" s="2"/>
      <c r="G643" s="2"/>
      <c r="H643" s="2"/>
      <c r="I643" s="2"/>
      <c r="J643" s="2"/>
      <c r="K643" s="2"/>
      <c r="L643" s="2"/>
      <c r="M643" s="2"/>
      <c r="N643" s="2"/>
      <c r="O643" s="2"/>
      <c r="P643" s="2"/>
      <c r="Q643" s="2"/>
      <c r="R643" s="9"/>
      <c r="S643" s="9"/>
      <c r="T643" s="9"/>
      <c r="U643" s="9"/>
      <c r="V643" s="9"/>
      <c r="W643" s="9"/>
      <c r="X643" s="9"/>
      <c r="Y643" s="9"/>
      <c r="Z643" s="9"/>
      <c r="AA643" s="9"/>
      <c r="AB643" s="9"/>
      <c r="AC643" s="9"/>
      <c r="AD643" s="9"/>
    </row>
    <row r="644" spans="1:30" ht="13.5" customHeight="1">
      <c r="A644" s="2"/>
      <c r="B644" s="2"/>
      <c r="C644" s="2"/>
      <c r="D644" s="2"/>
      <c r="E644" s="2"/>
      <c r="F644" s="2"/>
      <c r="G644" s="2"/>
      <c r="H644" s="2"/>
      <c r="I644" s="2"/>
      <c r="J644" s="2"/>
      <c r="K644" s="2"/>
      <c r="L644" s="2"/>
      <c r="M644" s="2"/>
      <c r="N644" s="2"/>
      <c r="O644" s="2"/>
      <c r="P644" s="2"/>
      <c r="Q644" s="2"/>
      <c r="R644" s="9"/>
      <c r="S644" s="9"/>
      <c r="T644" s="9"/>
      <c r="U644" s="9"/>
      <c r="V644" s="9"/>
      <c r="W644" s="9"/>
      <c r="X644" s="9"/>
      <c r="Y644" s="9"/>
      <c r="Z644" s="9"/>
      <c r="AA644" s="9"/>
      <c r="AB644" s="9"/>
      <c r="AC644" s="9"/>
      <c r="AD644" s="9"/>
    </row>
    <row r="645" spans="1:30" ht="13.5" customHeight="1">
      <c r="A645" s="2"/>
      <c r="B645" s="2"/>
      <c r="C645" s="2"/>
      <c r="D645" s="2"/>
      <c r="E645" s="2"/>
      <c r="F645" s="2"/>
      <c r="G645" s="2"/>
      <c r="H645" s="2"/>
      <c r="I645" s="2"/>
      <c r="J645" s="2"/>
      <c r="K645" s="2"/>
      <c r="L645" s="2"/>
      <c r="M645" s="2"/>
      <c r="N645" s="2"/>
      <c r="O645" s="2"/>
      <c r="P645" s="2"/>
      <c r="Q645" s="2"/>
      <c r="R645" s="9"/>
      <c r="S645" s="9"/>
      <c r="T645" s="9"/>
      <c r="U645" s="9"/>
      <c r="V645" s="9"/>
      <c r="W645" s="9"/>
      <c r="X645" s="9"/>
      <c r="Y645" s="9"/>
      <c r="Z645" s="9"/>
      <c r="AA645" s="9"/>
      <c r="AB645" s="9"/>
      <c r="AC645" s="9"/>
      <c r="AD645" s="9"/>
    </row>
    <row r="646" spans="1:30" ht="13.5" customHeight="1">
      <c r="A646" s="2"/>
      <c r="B646" s="2"/>
      <c r="C646" s="2"/>
      <c r="D646" s="2"/>
      <c r="E646" s="2"/>
      <c r="F646" s="2"/>
      <c r="G646" s="2"/>
      <c r="H646" s="2"/>
      <c r="I646" s="2"/>
      <c r="J646" s="2"/>
      <c r="K646" s="2"/>
      <c r="L646" s="2"/>
      <c r="M646" s="2"/>
      <c r="N646" s="2"/>
      <c r="O646" s="2"/>
      <c r="P646" s="2"/>
      <c r="Q646" s="2"/>
      <c r="R646" s="9"/>
      <c r="S646" s="9"/>
      <c r="T646" s="9"/>
      <c r="U646" s="9"/>
      <c r="V646" s="9"/>
      <c r="W646" s="9"/>
      <c r="X646" s="9"/>
      <c r="Y646" s="9"/>
      <c r="Z646" s="9"/>
      <c r="AA646" s="9"/>
      <c r="AB646" s="9"/>
      <c r="AC646" s="9"/>
      <c r="AD646" s="9"/>
    </row>
    <row r="647" spans="1:30" ht="13.5" customHeight="1">
      <c r="A647" s="2"/>
      <c r="B647" s="2"/>
      <c r="C647" s="2"/>
      <c r="D647" s="2"/>
      <c r="E647" s="2"/>
      <c r="F647" s="2"/>
      <c r="G647" s="2"/>
      <c r="H647" s="2"/>
      <c r="I647" s="2"/>
      <c r="J647" s="2"/>
      <c r="K647" s="2"/>
      <c r="L647" s="2"/>
      <c r="M647" s="2"/>
      <c r="N647" s="2"/>
      <c r="O647" s="2"/>
      <c r="P647" s="2"/>
      <c r="Q647" s="2"/>
      <c r="R647" s="9"/>
      <c r="S647" s="9"/>
      <c r="T647" s="9"/>
      <c r="U647" s="9"/>
      <c r="V647" s="9"/>
      <c r="W647" s="9"/>
      <c r="X647" s="9"/>
      <c r="Y647" s="9"/>
      <c r="Z647" s="9"/>
      <c r="AA647" s="9"/>
      <c r="AB647" s="9"/>
      <c r="AC647" s="9"/>
      <c r="AD647" s="9"/>
    </row>
    <row r="648" spans="1:30" ht="13.5" customHeight="1">
      <c r="A648" s="2"/>
      <c r="B648" s="2"/>
      <c r="C648" s="2"/>
      <c r="D648" s="2"/>
      <c r="E648" s="2"/>
      <c r="F648" s="2"/>
      <c r="G648" s="2"/>
      <c r="H648" s="2"/>
      <c r="I648" s="2"/>
      <c r="J648" s="2"/>
      <c r="K648" s="2"/>
      <c r="L648" s="2"/>
      <c r="M648" s="2"/>
      <c r="N648" s="2"/>
      <c r="O648" s="2"/>
      <c r="P648" s="2"/>
      <c r="Q648" s="2"/>
      <c r="R648" s="9"/>
      <c r="S648" s="9"/>
      <c r="T648" s="9"/>
      <c r="U648" s="9"/>
      <c r="V648" s="9"/>
      <c r="W648" s="9"/>
      <c r="X648" s="9"/>
      <c r="Y648" s="9"/>
      <c r="Z648" s="9"/>
      <c r="AA648" s="9"/>
      <c r="AB648" s="9"/>
      <c r="AC648" s="9"/>
      <c r="AD648" s="9"/>
    </row>
    <row r="649" spans="1:30" ht="13.5" customHeight="1">
      <c r="A649" s="2"/>
      <c r="B649" s="2"/>
      <c r="C649" s="2"/>
      <c r="D649" s="2"/>
      <c r="E649" s="2"/>
      <c r="F649" s="2"/>
      <c r="G649" s="2"/>
      <c r="H649" s="2"/>
      <c r="I649" s="2"/>
      <c r="J649" s="2"/>
      <c r="K649" s="2"/>
      <c r="L649" s="2"/>
      <c r="M649" s="2"/>
      <c r="N649" s="2"/>
      <c r="O649" s="2"/>
      <c r="P649" s="2"/>
      <c r="Q649" s="2"/>
      <c r="R649" s="9"/>
      <c r="S649" s="9"/>
      <c r="T649" s="9"/>
      <c r="U649" s="9"/>
      <c r="V649" s="9"/>
      <c r="W649" s="9"/>
      <c r="X649" s="9"/>
      <c r="Y649" s="9"/>
      <c r="Z649" s="9"/>
      <c r="AA649" s="9"/>
      <c r="AB649" s="9"/>
      <c r="AC649" s="9"/>
      <c r="AD649" s="9"/>
    </row>
    <row r="650" spans="1:30" ht="13.5" customHeight="1">
      <c r="A650" s="2"/>
      <c r="B650" s="2"/>
      <c r="C650" s="2"/>
      <c r="D650" s="2"/>
      <c r="E650" s="2"/>
      <c r="F650" s="2"/>
      <c r="G650" s="2"/>
      <c r="H650" s="2"/>
      <c r="I650" s="2"/>
      <c r="J650" s="2"/>
      <c r="K650" s="2"/>
      <c r="L650" s="2"/>
      <c r="M650" s="2"/>
      <c r="N650" s="2"/>
      <c r="O650" s="2"/>
      <c r="P650" s="2"/>
      <c r="Q650" s="2"/>
      <c r="R650" s="9"/>
      <c r="S650" s="9"/>
      <c r="T650" s="9"/>
      <c r="U650" s="9"/>
      <c r="V650" s="9"/>
      <c r="W650" s="9"/>
      <c r="X650" s="9"/>
      <c r="Y650" s="9"/>
      <c r="Z650" s="9"/>
      <c r="AA650" s="9"/>
      <c r="AB650" s="9"/>
      <c r="AC650" s="9"/>
      <c r="AD650" s="9"/>
    </row>
    <row r="651" spans="1:30" ht="13.5" customHeight="1">
      <c r="A651" s="2"/>
      <c r="B651" s="2"/>
      <c r="C651" s="2"/>
      <c r="D651" s="2"/>
      <c r="E651" s="2"/>
      <c r="F651" s="2"/>
      <c r="G651" s="2"/>
      <c r="H651" s="2"/>
      <c r="I651" s="2"/>
      <c r="J651" s="2"/>
      <c r="K651" s="2"/>
      <c r="L651" s="2"/>
      <c r="M651" s="2"/>
      <c r="N651" s="2"/>
      <c r="O651" s="2"/>
      <c r="P651" s="2"/>
      <c r="Q651" s="2"/>
      <c r="R651" s="9"/>
      <c r="S651" s="9"/>
      <c r="T651" s="9"/>
      <c r="U651" s="9"/>
      <c r="V651" s="9"/>
      <c r="W651" s="9"/>
      <c r="X651" s="9"/>
      <c r="Y651" s="9"/>
      <c r="Z651" s="9"/>
      <c r="AA651" s="9"/>
      <c r="AB651" s="9"/>
      <c r="AC651" s="9"/>
      <c r="AD651" s="9"/>
    </row>
    <row r="652" spans="1:30" ht="13.5" customHeight="1">
      <c r="A652" s="2"/>
      <c r="B652" s="2"/>
      <c r="C652" s="2"/>
      <c r="D652" s="2"/>
      <c r="E652" s="2"/>
      <c r="F652" s="2"/>
      <c r="G652" s="2"/>
      <c r="H652" s="2"/>
      <c r="I652" s="2"/>
      <c r="J652" s="2"/>
      <c r="K652" s="2"/>
      <c r="L652" s="2"/>
      <c r="M652" s="2"/>
      <c r="N652" s="2"/>
      <c r="O652" s="2"/>
      <c r="P652" s="2"/>
      <c r="Q652" s="2"/>
      <c r="R652" s="9"/>
      <c r="S652" s="9"/>
      <c r="T652" s="9"/>
      <c r="U652" s="9"/>
      <c r="V652" s="9"/>
      <c r="W652" s="9"/>
      <c r="X652" s="9"/>
      <c r="Y652" s="9"/>
      <c r="Z652" s="9"/>
      <c r="AA652" s="9"/>
      <c r="AB652" s="9"/>
      <c r="AC652" s="9"/>
      <c r="AD652" s="9"/>
    </row>
    <row r="653" spans="1:30" ht="13.5" customHeight="1">
      <c r="A653" s="2"/>
      <c r="B653" s="2"/>
      <c r="C653" s="2"/>
      <c r="D653" s="2"/>
      <c r="E653" s="2"/>
      <c r="F653" s="2"/>
      <c r="G653" s="2"/>
      <c r="H653" s="2"/>
      <c r="I653" s="2"/>
      <c r="J653" s="2"/>
      <c r="K653" s="2"/>
      <c r="L653" s="2"/>
      <c r="M653" s="2"/>
      <c r="N653" s="2"/>
      <c r="O653" s="2"/>
      <c r="P653" s="2"/>
      <c r="Q653" s="2"/>
      <c r="R653" s="9"/>
      <c r="S653" s="9"/>
      <c r="T653" s="9"/>
      <c r="U653" s="9"/>
      <c r="V653" s="9"/>
      <c r="W653" s="9"/>
      <c r="X653" s="9"/>
      <c r="Y653" s="9"/>
      <c r="Z653" s="9"/>
      <c r="AA653" s="9"/>
      <c r="AB653" s="9"/>
      <c r="AC653" s="9"/>
      <c r="AD653" s="9"/>
    </row>
    <row r="654" spans="1:30" ht="13.5" customHeight="1">
      <c r="A654" s="2"/>
      <c r="B654" s="2"/>
      <c r="C654" s="2"/>
      <c r="D654" s="2"/>
      <c r="E654" s="2"/>
      <c r="F654" s="2"/>
      <c r="G654" s="2"/>
      <c r="H654" s="2"/>
      <c r="I654" s="2"/>
      <c r="J654" s="2"/>
      <c r="K654" s="2"/>
      <c r="L654" s="2"/>
      <c r="M654" s="2"/>
      <c r="N654" s="2"/>
      <c r="O654" s="2"/>
      <c r="P654" s="2"/>
      <c r="Q654" s="2"/>
      <c r="R654" s="9"/>
      <c r="S654" s="9"/>
      <c r="T654" s="9"/>
      <c r="U654" s="9"/>
      <c r="V654" s="9"/>
      <c r="W654" s="9"/>
      <c r="X654" s="9"/>
      <c r="Y654" s="9"/>
      <c r="Z654" s="9"/>
      <c r="AA654" s="9"/>
      <c r="AB654" s="9"/>
      <c r="AC654" s="9"/>
      <c r="AD654" s="9"/>
    </row>
    <row r="655" spans="1:30" ht="13.5" customHeight="1">
      <c r="A655" s="2"/>
      <c r="B655" s="2"/>
      <c r="C655" s="2"/>
      <c r="D655" s="2"/>
      <c r="E655" s="2"/>
      <c r="F655" s="2"/>
      <c r="G655" s="2"/>
      <c r="H655" s="2"/>
      <c r="I655" s="2"/>
      <c r="J655" s="2"/>
      <c r="K655" s="2"/>
      <c r="L655" s="2"/>
      <c r="M655" s="2"/>
      <c r="N655" s="2"/>
      <c r="O655" s="2"/>
      <c r="P655" s="2"/>
      <c r="Q655" s="2"/>
      <c r="R655" s="9"/>
      <c r="S655" s="9"/>
      <c r="T655" s="9"/>
      <c r="U655" s="9"/>
      <c r="V655" s="9"/>
      <c r="W655" s="9"/>
      <c r="X655" s="9"/>
      <c r="Y655" s="9"/>
      <c r="Z655" s="9"/>
      <c r="AA655" s="9"/>
      <c r="AB655" s="9"/>
      <c r="AC655" s="9"/>
      <c r="AD655" s="9"/>
    </row>
    <row r="656" spans="1:30" ht="13.5" customHeight="1">
      <c r="A656" s="2"/>
      <c r="B656" s="2"/>
      <c r="C656" s="2"/>
      <c r="D656" s="2"/>
      <c r="E656" s="2"/>
      <c r="F656" s="2"/>
      <c r="G656" s="2"/>
      <c r="H656" s="2"/>
      <c r="I656" s="2"/>
      <c r="J656" s="2"/>
      <c r="K656" s="2"/>
      <c r="L656" s="2"/>
      <c r="M656" s="2"/>
      <c r="N656" s="2"/>
      <c r="O656" s="2"/>
      <c r="P656" s="2"/>
      <c r="Q656" s="2"/>
      <c r="R656" s="9"/>
      <c r="S656" s="9"/>
      <c r="T656" s="9"/>
      <c r="U656" s="9"/>
      <c r="V656" s="9"/>
      <c r="W656" s="9"/>
      <c r="X656" s="9"/>
      <c r="Y656" s="9"/>
      <c r="Z656" s="9"/>
      <c r="AA656" s="9"/>
      <c r="AB656" s="9"/>
      <c r="AC656" s="9"/>
      <c r="AD656" s="9"/>
    </row>
    <row r="657" spans="1:30" ht="13.5" customHeight="1">
      <c r="A657" s="2"/>
      <c r="B657" s="2"/>
      <c r="C657" s="2"/>
      <c r="D657" s="2"/>
      <c r="E657" s="2"/>
      <c r="F657" s="2"/>
      <c r="G657" s="2"/>
      <c r="H657" s="2"/>
      <c r="I657" s="2"/>
      <c r="J657" s="2"/>
      <c r="K657" s="2"/>
      <c r="L657" s="2"/>
      <c r="M657" s="2"/>
      <c r="N657" s="2"/>
      <c r="O657" s="2"/>
      <c r="P657" s="2"/>
      <c r="Q657" s="2"/>
      <c r="R657" s="9"/>
      <c r="S657" s="9"/>
      <c r="T657" s="9"/>
      <c r="U657" s="9"/>
      <c r="V657" s="9"/>
      <c r="W657" s="9"/>
      <c r="X657" s="9"/>
      <c r="Y657" s="9"/>
      <c r="Z657" s="9"/>
      <c r="AA657" s="9"/>
      <c r="AB657" s="9"/>
      <c r="AC657" s="9"/>
      <c r="AD657" s="9"/>
    </row>
    <row r="658" spans="1:30" ht="13.5" customHeight="1">
      <c r="A658" s="2"/>
      <c r="B658" s="2"/>
      <c r="C658" s="2"/>
      <c r="D658" s="2"/>
      <c r="E658" s="2"/>
      <c r="F658" s="2"/>
      <c r="G658" s="2"/>
      <c r="H658" s="2"/>
      <c r="I658" s="2"/>
      <c r="J658" s="2"/>
      <c r="K658" s="2"/>
      <c r="L658" s="2"/>
      <c r="M658" s="2"/>
      <c r="N658" s="2"/>
      <c r="O658" s="2"/>
      <c r="P658" s="2"/>
      <c r="Q658" s="2"/>
      <c r="R658" s="9"/>
      <c r="S658" s="9"/>
      <c r="T658" s="9"/>
      <c r="U658" s="9"/>
      <c r="V658" s="9"/>
      <c r="W658" s="9"/>
      <c r="X658" s="9"/>
      <c r="Y658" s="9"/>
      <c r="Z658" s="9"/>
      <c r="AA658" s="9"/>
      <c r="AB658" s="9"/>
      <c r="AC658" s="9"/>
      <c r="AD658" s="9"/>
    </row>
    <row r="659" spans="1:30" ht="13.5" customHeight="1">
      <c r="A659" s="2"/>
      <c r="B659" s="2"/>
      <c r="C659" s="2"/>
      <c r="D659" s="2"/>
      <c r="E659" s="2"/>
      <c r="F659" s="2"/>
      <c r="G659" s="2"/>
      <c r="H659" s="2"/>
      <c r="I659" s="2"/>
      <c r="J659" s="2"/>
      <c r="K659" s="2"/>
      <c r="L659" s="2"/>
      <c r="M659" s="2"/>
      <c r="N659" s="2"/>
      <c r="O659" s="2"/>
      <c r="P659" s="2"/>
      <c r="Q659" s="2"/>
      <c r="R659" s="9"/>
      <c r="S659" s="9"/>
      <c r="T659" s="9"/>
      <c r="U659" s="9"/>
      <c r="V659" s="9"/>
      <c r="W659" s="9"/>
      <c r="X659" s="9"/>
      <c r="Y659" s="9"/>
      <c r="Z659" s="9"/>
      <c r="AA659" s="9"/>
      <c r="AB659" s="9"/>
      <c r="AC659" s="9"/>
      <c r="AD659" s="9"/>
    </row>
    <row r="660" spans="1:30" ht="13.5" customHeight="1">
      <c r="A660" s="2"/>
      <c r="B660" s="2"/>
      <c r="C660" s="2"/>
      <c r="D660" s="2"/>
      <c r="E660" s="2"/>
      <c r="F660" s="2"/>
      <c r="G660" s="2"/>
      <c r="H660" s="2"/>
      <c r="I660" s="2"/>
      <c r="J660" s="2"/>
      <c r="K660" s="2"/>
      <c r="L660" s="2"/>
      <c r="M660" s="2"/>
      <c r="N660" s="2"/>
      <c r="O660" s="2"/>
      <c r="P660" s="2"/>
      <c r="Q660" s="2"/>
      <c r="R660" s="9"/>
      <c r="S660" s="9"/>
      <c r="T660" s="9"/>
      <c r="U660" s="9"/>
      <c r="V660" s="9"/>
      <c r="W660" s="9"/>
      <c r="X660" s="9"/>
      <c r="Y660" s="9"/>
      <c r="Z660" s="9"/>
      <c r="AA660" s="9"/>
      <c r="AB660" s="9"/>
      <c r="AC660" s="9"/>
      <c r="AD660" s="9"/>
    </row>
    <row r="661" spans="1:30" ht="13.5" customHeight="1">
      <c r="A661" s="2"/>
      <c r="B661" s="2"/>
      <c r="C661" s="2"/>
      <c r="D661" s="2"/>
      <c r="E661" s="2"/>
      <c r="F661" s="2"/>
      <c r="G661" s="2"/>
      <c r="H661" s="2"/>
      <c r="I661" s="2"/>
      <c r="J661" s="2"/>
      <c r="K661" s="2"/>
      <c r="L661" s="2"/>
      <c r="M661" s="2"/>
      <c r="N661" s="2"/>
      <c r="O661" s="2"/>
      <c r="P661" s="2"/>
      <c r="Q661" s="2"/>
      <c r="R661" s="9"/>
      <c r="S661" s="9"/>
      <c r="T661" s="9"/>
      <c r="U661" s="9"/>
      <c r="V661" s="9"/>
      <c r="W661" s="9"/>
      <c r="X661" s="9"/>
      <c r="Y661" s="9"/>
      <c r="Z661" s="9"/>
      <c r="AA661" s="9"/>
      <c r="AB661" s="9"/>
      <c r="AC661" s="9"/>
      <c r="AD661" s="9"/>
    </row>
    <row r="662" spans="1:30" ht="13.5" customHeight="1">
      <c r="A662" s="2"/>
      <c r="B662" s="2"/>
      <c r="C662" s="2"/>
      <c r="D662" s="2"/>
      <c r="E662" s="2"/>
      <c r="F662" s="2"/>
      <c r="G662" s="2"/>
      <c r="H662" s="2"/>
      <c r="I662" s="2"/>
      <c r="J662" s="2"/>
      <c r="K662" s="2"/>
      <c r="L662" s="2"/>
      <c r="M662" s="2"/>
      <c r="N662" s="2"/>
      <c r="O662" s="2"/>
      <c r="P662" s="2"/>
      <c r="Q662" s="2"/>
      <c r="R662" s="9"/>
      <c r="S662" s="9"/>
      <c r="T662" s="9"/>
      <c r="U662" s="9"/>
      <c r="V662" s="9"/>
      <c r="W662" s="9"/>
      <c r="X662" s="9"/>
      <c r="Y662" s="9"/>
      <c r="Z662" s="9"/>
      <c r="AA662" s="9"/>
      <c r="AB662" s="9"/>
      <c r="AC662" s="9"/>
      <c r="AD662" s="9"/>
    </row>
    <row r="663" spans="1:30" ht="13.5" customHeight="1">
      <c r="A663" s="2"/>
      <c r="B663" s="2"/>
      <c r="C663" s="2"/>
      <c r="D663" s="2"/>
      <c r="E663" s="2"/>
      <c r="F663" s="2"/>
      <c r="G663" s="2"/>
      <c r="H663" s="2"/>
      <c r="I663" s="2"/>
      <c r="J663" s="2"/>
      <c r="K663" s="2"/>
      <c r="L663" s="2"/>
      <c r="M663" s="2"/>
      <c r="N663" s="2"/>
      <c r="O663" s="2"/>
      <c r="P663" s="2"/>
      <c r="Q663" s="2"/>
      <c r="R663" s="9"/>
      <c r="S663" s="9"/>
      <c r="T663" s="9"/>
      <c r="U663" s="9"/>
      <c r="V663" s="9"/>
      <c r="W663" s="9"/>
      <c r="X663" s="9"/>
      <c r="Y663" s="9"/>
      <c r="Z663" s="9"/>
      <c r="AA663" s="9"/>
      <c r="AB663" s="9"/>
      <c r="AC663" s="9"/>
      <c r="AD663" s="9"/>
    </row>
    <row r="664" spans="1:30" ht="13.5" customHeight="1">
      <c r="A664" s="2"/>
      <c r="B664" s="2"/>
      <c r="C664" s="2"/>
      <c r="D664" s="2"/>
      <c r="E664" s="2"/>
      <c r="F664" s="2"/>
      <c r="G664" s="2"/>
      <c r="H664" s="2"/>
      <c r="I664" s="2"/>
      <c r="J664" s="2"/>
      <c r="K664" s="2"/>
      <c r="L664" s="2"/>
      <c r="M664" s="2"/>
      <c r="N664" s="2"/>
      <c r="O664" s="2"/>
      <c r="P664" s="2"/>
      <c r="Q664" s="2"/>
      <c r="R664" s="9"/>
      <c r="S664" s="9"/>
      <c r="T664" s="9"/>
      <c r="U664" s="9"/>
      <c r="V664" s="9"/>
      <c r="W664" s="9"/>
      <c r="X664" s="9"/>
      <c r="Y664" s="9"/>
      <c r="Z664" s="9"/>
      <c r="AA664" s="9"/>
      <c r="AB664" s="9"/>
      <c r="AC664" s="9"/>
      <c r="AD664" s="9"/>
    </row>
    <row r="665" spans="1:30" ht="13.5" customHeight="1">
      <c r="A665" s="2"/>
      <c r="B665" s="2"/>
      <c r="C665" s="2"/>
      <c r="D665" s="2"/>
      <c r="E665" s="2"/>
      <c r="F665" s="2"/>
      <c r="G665" s="2"/>
      <c r="H665" s="2"/>
      <c r="I665" s="2"/>
      <c r="J665" s="2"/>
      <c r="K665" s="2"/>
      <c r="L665" s="2"/>
      <c r="M665" s="2"/>
      <c r="N665" s="2"/>
      <c r="O665" s="2"/>
      <c r="P665" s="2"/>
      <c r="Q665" s="2"/>
      <c r="R665" s="9"/>
      <c r="S665" s="9"/>
      <c r="T665" s="9"/>
      <c r="U665" s="9"/>
      <c r="V665" s="9"/>
      <c r="W665" s="9"/>
      <c r="X665" s="9"/>
      <c r="Y665" s="9"/>
      <c r="Z665" s="9"/>
      <c r="AA665" s="9"/>
      <c r="AB665" s="9"/>
      <c r="AC665" s="9"/>
      <c r="AD665" s="9"/>
    </row>
    <row r="666" spans="1:30" ht="13.5" customHeight="1">
      <c r="A666" s="2"/>
      <c r="B666" s="2"/>
      <c r="C666" s="2"/>
      <c r="D666" s="2"/>
      <c r="E666" s="2"/>
      <c r="F666" s="2"/>
      <c r="G666" s="2"/>
      <c r="H666" s="2"/>
      <c r="I666" s="2"/>
      <c r="J666" s="2"/>
      <c r="K666" s="2"/>
      <c r="L666" s="2"/>
      <c r="M666" s="2"/>
      <c r="N666" s="2"/>
      <c r="O666" s="2"/>
      <c r="P666" s="2"/>
      <c r="Q666" s="2"/>
      <c r="R666" s="9"/>
      <c r="S666" s="9"/>
      <c r="T666" s="9"/>
      <c r="U666" s="9"/>
      <c r="V666" s="9"/>
      <c r="W666" s="9"/>
      <c r="X666" s="9"/>
      <c r="Y666" s="9"/>
      <c r="Z666" s="9"/>
      <c r="AA666" s="9"/>
      <c r="AB666" s="9"/>
      <c r="AC666" s="9"/>
      <c r="AD666" s="9"/>
    </row>
    <row r="667" spans="1:30" ht="13.5" customHeight="1">
      <c r="A667" s="2"/>
      <c r="B667" s="2"/>
      <c r="C667" s="2"/>
      <c r="D667" s="2"/>
      <c r="E667" s="2"/>
      <c r="F667" s="2"/>
      <c r="G667" s="2"/>
      <c r="H667" s="2"/>
      <c r="I667" s="2"/>
      <c r="J667" s="2"/>
      <c r="K667" s="2"/>
      <c r="L667" s="2"/>
      <c r="M667" s="2"/>
      <c r="N667" s="2"/>
      <c r="O667" s="2"/>
      <c r="P667" s="2"/>
      <c r="Q667" s="2"/>
      <c r="R667" s="9"/>
      <c r="S667" s="9"/>
      <c r="T667" s="9"/>
      <c r="U667" s="9"/>
      <c r="V667" s="9"/>
      <c r="W667" s="9"/>
      <c r="X667" s="9"/>
      <c r="Y667" s="9"/>
      <c r="Z667" s="9"/>
      <c r="AA667" s="9"/>
      <c r="AB667" s="9"/>
      <c r="AC667" s="9"/>
      <c r="AD667" s="9"/>
    </row>
    <row r="668" spans="1:30" ht="13.5" customHeight="1">
      <c r="A668" s="2"/>
      <c r="B668" s="2"/>
      <c r="C668" s="2"/>
      <c r="D668" s="2"/>
      <c r="E668" s="2"/>
      <c r="F668" s="2"/>
      <c r="G668" s="2"/>
      <c r="H668" s="2"/>
      <c r="I668" s="2"/>
      <c r="J668" s="2"/>
      <c r="K668" s="2"/>
      <c r="L668" s="2"/>
      <c r="M668" s="2"/>
      <c r="N668" s="2"/>
      <c r="O668" s="2"/>
      <c r="P668" s="2"/>
      <c r="Q668" s="2"/>
      <c r="R668" s="9"/>
      <c r="S668" s="9"/>
      <c r="T668" s="9"/>
      <c r="U668" s="9"/>
      <c r="V668" s="9"/>
      <c r="W668" s="9"/>
      <c r="X668" s="9"/>
      <c r="Y668" s="9"/>
      <c r="Z668" s="9"/>
      <c r="AA668" s="9"/>
      <c r="AB668" s="9"/>
      <c r="AC668" s="9"/>
      <c r="AD668" s="9"/>
    </row>
    <row r="669" spans="1:30" ht="13.5" customHeight="1">
      <c r="A669" s="2"/>
      <c r="B669" s="2"/>
      <c r="C669" s="2"/>
      <c r="D669" s="2"/>
      <c r="E669" s="2"/>
      <c r="F669" s="2"/>
      <c r="G669" s="2"/>
      <c r="H669" s="2"/>
      <c r="I669" s="2"/>
      <c r="J669" s="2"/>
      <c r="K669" s="2"/>
      <c r="L669" s="2"/>
      <c r="M669" s="2"/>
      <c r="N669" s="2"/>
      <c r="O669" s="2"/>
      <c r="P669" s="2"/>
      <c r="Q669" s="2"/>
      <c r="R669" s="9"/>
      <c r="S669" s="9"/>
      <c r="T669" s="9"/>
      <c r="U669" s="9"/>
      <c r="V669" s="9"/>
      <c r="W669" s="9"/>
      <c r="X669" s="9"/>
      <c r="Y669" s="9"/>
      <c r="Z669" s="9"/>
      <c r="AA669" s="9"/>
      <c r="AB669" s="9"/>
      <c r="AC669" s="9"/>
      <c r="AD669" s="9"/>
    </row>
    <row r="670" spans="1:30" ht="13.5" customHeight="1">
      <c r="A670" s="2"/>
      <c r="B670" s="2"/>
      <c r="C670" s="2"/>
      <c r="D670" s="2"/>
      <c r="E670" s="2"/>
      <c r="F670" s="2"/>
      <c r="G670" s="2"/>
      <c r="H670" s="2"/>
      <c r="I670" s="2"/>
      <c r="J670" s="2"/>
      <c r="K670" s="2"/>
      <c r="L670" s="2"/>
      <c r="M670" s="2"/>
      <c r="N670" s="2"/>
      <c r="O670" s="2"/>
      <c r="P670" s="2"/>
      <c r="Q670" s="2"/>
      <c r="R670" s="9"/>
      <c r="S670" s="9"/>
      <c r="T670" s="9"/>
      <c r="U670" s="9"/>
      <c r="V670" s="9"/>
      <c r="W670" s="9"/>
      <c r="X670" s="9"/>
      <c r="Y670" s="9"/>
      <c r="Z670" s="9"/>
      <c r="AA670" s="9"/>
      <c r="AB670" s="9"/>
      <c r="AC670" s="9"/>
      <c r="AD670" s="9"/>
    </row>
    <row r="671" spans="1:30" ht="13.5" customHeight="1">
      <c r="A671" s="2"/>
      <c r="B671" s="2"/>
      <c r="C671" s="2"/>
      <c r="D671" s="2"/>
      <c r="E671" s="2"/>
      <c r="F671" s="2"/>
      <c r="G671" s="2"/>
      <c r="H671" s="2"/>
      <c r="I671" s="2"/>
      <c r="J671" s="2"/>
      <c r="K671" s="2"/>
      <c r="L671" s="2"/>
      <c r="M671" s="2"/>
      <c r="N671" s="2"/>
      <c r="O671" s="2"/>
      <c r="P671" s="2"/>
      <c r="Q671" s="2"/>
      <c r="R671" s="9"/>
      <c r="S671" s="9"/>
      <c r="T671" s="9"/>
      <c r="U671" s="9"/>
      <c r="V671" s="9"/>
      <c r="W671" s="9"/>
      <c r="X671" s="9"/>
      <c r="Y671" s="9"/>
      <c r="Z671" s="9"/>
      <c r="AA671" s="9"/>
      <c r="AB671" s="9"/>
      <c r="AC671" s="9"/>
      <c r="AD671" s="9"/>
    </row>
    <row r="672" spans="1:30" ht="13.5" customHeight="1">
      <c r="A672" s="2"/>
      <c r="B672" s="2"/>
      <c r="C672" s="2"/>
      <c r="D672" s="2"/>
      <c r="E672" s="2"/>
      <c r="F672" s="2"/>
      <c r="G672" s="2"/>
      <c r="H672" s="2"/>
      <c r="I672" s="2"/>
      <c r="J672" s="2"/>
      <c r="K672" s="2"/>
      <c r="L672" s="2"/>
      <c r="M672" s="2"/>
      <c r="N672" s="2"/>
      <c r="O672" s="2"/>
      <c r="P672" s="2"/>
      <c r="Q672" s="2"/>
      <c r="R672" s="9"/>
      <c r="S672" s="9"/>
      <c r="T672" s="9"/>
      <c r="U672" s="9"/>
      <c r="V672" s="9"/>
      <c r="W672" s="9"/>
      <c r="X672" s="9"/>
      <c r="Y672" s="9"/>
      <c r="Z672" s="9"/>
      <c r="AA672" s="9"/>
      <c r="AB672" s="9"/>
      <c r="AC672" s="9"/>
      <c r="AD672" s="9"/>
    </row>
    <row r="673" spans="1:30" ht="13.5" customHeight="1">
      <c r="A673" s="2"/>
      <c r="B673" s="2"/>
      <c r="C673" s="2"/>
      <c r="D673" s="2"/>
      <c r="E673" s="2"/>
      <c r="F673" s="2"/>
      <c r="G673" s="2"/>
      <c r="H673" s="2"/>
      <c r="I673" s="2"/>
      <c r="J673" s="2"/>
      <c r="K673" s="2"/>
      <c r="L673" s="2"/>
      <c r="M673" s="2"/>
      <c r="N673" s="2"/>
      <c r="O673" s="2"/>
      <c r="P673" s="2"/>
      <c r="Q673" s="2"/>
      <c r="R673" s="9"/>
      <c r="S673" s="9"/>
      <c r="T673" s="9"/>
      <c r="U673" s="9"/>
      <c r="V673" s="9"/>
      <c r="W673" s="9"/>
      <c r="X673" s="9"/>
      <c r="Y673" s="9"/>
      <c r="Z673" s="9"/>
      <c r="AA673" s="9"/>
      <c r="AB673" s="9"/>
      <c r="AC673" s="9"/>
      <c r="AD673" s="9"/>
    </row>
    <row r="674" spans="1:30" ht="13.5" customHeight="1">
      <c r="A674" s="2"/>
      <c r="B674" s="2"/>
      <c r="C674" s="2"/>
      <c r="D674" s="2"/>
      <c r="E674" s="2"/>
      <c r="F674" s="2"/>
      <c r="G674" s="2"/>
      <c r="H674" s="2"/>
      <c r="I674" s="2"/>
      <c r="J674" s="2"/>
      <c r="K674" s="2"/>
      <c r="L674" s="2"/>
      <c r="M674" s="2"/>
      <c r="N674" s="2"/>
      <c r="O674" s="2"/>
      <c r="P674" s="2"/>
      <c r="Q674" s="2"/>
      <c r="R674" s="9"/>
      <c r="S674" s="9"/>
      <c r="T674" s="9"/>
      <c r="U674" s="9"/>
      <c r="V674" s="9"/>
      <c r="W674" s="9"/>
      <c r="X674" s="9"/>
      <c r="Y674" s="9"/>
      <c r="Z674" s="9"/>
      <c r="AA674" s="9"/>
      <c r="AB674" s="9"/>
      <c r="AC674" s="9"/>
      <c r="AD674" s="9"/>
    </row>
    <row r="675" spans="1:30" ht="13.5" customHeight="1">
      <c r="A675" s="2"/>
      <c r="B675" s="2"/>
      <c r="C675" s="2"/>
      <c r="D675" s="2"/>
      <c r="E675" s="2"/>
      <c r="F675" s="2"/>
      <c r="G675" s="2"/>
      <c r="H675" s="2"/>
      <c r="I675" s="2"/>
      <c r="J675" s="2"/>
      <c r="K675" s="2"/>
      <c r="L675" s="2"/>
      <c r="M675" s="2"/>
      <c r="N675" s="2"/>
      <c r="O675" s="2"/>
      <c r="P675" s="2"/>
      <c r="Q675" s="2"/>
      <c r="R675" s="9"/>
      <c r="S675" s="9"/>
      <c r="T675" s="9"/>
      <c r="U675" s="9"/>
      <c r="V675" s="9"/>
      <c r="W675" s="9"/>
      <c r="X675" s="9"/>
      <c r="Y675" s="9"/>
      <c r="Z675" s="9"/>
      <c r="AA675" s="9"/>
      <c r="AB675" s="9"/>
      <c r="AC675" s="9"/>
      <c r="AD675" s="9"/>
    </row>
    <row r="676" spans="1:30" ht="13.5" customHeight="1">
      <c r="A676" s="2"/>
      <c r="B676" s="2"/>
      <c r="C676" s="2"/>
      <c r="D676" s="2"/>
      <c r="E676" s="2"/>
      <c r="F676" s="2"/>
      <c r="G676" s="2"/>
      <c r="H676" s="2"/>
      <c r="I676" s="2"/>
      <c r="J676" s="2"/>
      <c r="K676" s="2"/>
      <c r="L676" s="2"/>
      <c r="M676" s="2"/>
      <c r="N676" s="2"/>
      <c r="O676" s="2"/>
      <c r="P676" s="2"/>
      <c r="Q676" s="2"/>
      <c r="R676" s="9"/>
      <c r="S676" s="9"/>
      <c r="T676" s="9"/>
      <c r="U676" s="9"/>
      <c r="V676" s="9"/>
      <c r="W676" s="9"/>
      <c r="X676" s="9"/>
      <c r="Y676" s="9"/>
      <c r="Z676" s="9"/>
      <c r="AA676" s="9"/>
      <c r="AB676" s="9"/>
      <c r="AC676" s="9"/>
      <c r="AD676" s="9"/>
    </row>
    <row r="677" spans="1:30" ht="13.5" customHeight="1">
      <c r="A677" s="2"/>
      <c r="B677" s="2"/>
      <c r="C677" s="2"/>
      <c r="D677" s="2"/>
      <c r="E677" s="2"/>
      <c r="F677" s="2"/>
      <c r="G677" s="2"/>
      <c r="H677" s="2"/>
      <c r="I677" s="2"/>
      <c r="J677" s="2"/>
      <c r="K677" s="2"/>
      <c r="L677" s="2"/>
      <c r="M677" s="2"/>
      <c r="N677" s="2"/>
      <c r="O677" s="2"/>
      <c r="P677" s="2"/>
      <c r="Q677" s="2"/>
      <c r="R677" s="9"/>
      <c r="S677" s="9"/>
      <c r="T677" s="9"/>
      <c r="U677" s="9"/>
      <c r="V677" s="9"/>
      <c r="W677" s="9"/>
      <c r="X677" s="9"/>
      <c r="Y677" s="9"/>
      <c r="Z677" s="9"/>
      <c r="AA677" s="9"/>
      <c r="AB677" s="9"/>
      <c r="AC677" s="9"/>
      <c r="AD677" s="9"/>
    </row>
    <row r="678" spans="1:30" ht="13.5" customHeight="1">
      <c r="A678" s="2"/>
      <c r="B678" s="2"/>
      <c r="C678" s="2"/>
      <c r="D678" s="2"/>
      <c r="E678" s="2"/>
      <c r="F678" s="2"/>
      <c r="G678" s="2"/>
      <c r="H678" s="2"/>
      <c r="I678" s="2"/>
      <c r="J678" s="2"/>
      <c r="K678" s="2"/>
      <c r="L678" s="2"/>
      <c r="M678" s="2"/>
      <c r="N678" s="2"/>
      <c r="O678" s="2"/>
      <c r="P678" s="2"/>
      <c r="Q678" s="2"/>
      <c r="R678" s="9"/>
      <c r="S678" s="9"/>
      <c r="T678" s="9"/>
      <c r="U678" s="9"/>
      <c r="V678" s="9"/>
      <c r="W678" s="9"/>
      <c r="X678" s="9"/>
      <c r="Y678" s="9"/>
      <c r="Z678" s="9"/>
      <c r="AA678" s="9"/>
      <c r="AB678" s="9"/>
      <c r="AC678" s="9"/>
      <c r="AD678" s="9"/>
    </row>
    <row r="679" spans="1:30" ht="13.5" customHeight="1">
      <c r="A679" s="2"/>
      <c r="B679" s="2"/>
      <c r="C679" s="2"/>
      <c r="D679" s="2"/>
      <c r="E679" s="2"/>
      <c r="F679" s="2"/>
      <c r="G679" s="2"/>
      <c r="H679" s="2"/>
      <c r="I679" s="2"/>
      <c r="J679" s="2"/>
      <c r="K679" s="2"/>
      <c r="L679" s="2"/>
      <c r="M679" s="2"/>
      <c r="N679" s="2"/>
      <c r="O679" s="2"/>
      <c r="P679" s="2"/>
      <c r="Q679" s="2"/>
      <c r="R679" s="9"/>
      <c r="S679" s="9"/>
      <c r="T679" s="9"/>
      <c r="U679" s="9"/>
      <c r="V679" s="9"/>
      <c r="W679" s="9"/>
      <c r="X679" s="9"/>
      <c r="Y679" s="9"/>
      <c r="Z679" s="9"/>
      <c r="AA679" s="9"/>
      <c r="AB679" s="9"/>
      <c r="AC679" s="9"/>
      <c r="AD679" s="9"/>
    </row>
    <row r="680" spans="1:30" ht="13.5" customHeight="1">
      <c r="A680" s="2"/>
      <c r="B680" s="2"/>
      <c r="C680" s="2"/>
      <c r="D680" s="2"/>
      <c r="E680" s="2"/>
      <c r="F680" s="2"/>
      <c r="G680" s="2"/>
      <c r="H680" s="2"/>
      <c r="I680" s="2"/>
      <c r="J680" s="2"/>
      <c r="K680" s="2"/>
      <c r="L680" s="2"/>
      <c r="M680" s="2"/>
      <c r="N680" s="2"/>
      <c r="O680" s="2"/>
      <c r="P680" s="2"/>
      <c r="Q680" s="2"/>
      <c r="R680" s="9"/>
      <c r="S680" s="9"/>
      <c r="T680" s="9"/>
      <c r="U680" s="9"/>
      <c r="V680" s="9"/>
      <c r="W680" s="9"/>
      <c r="X680" s="9"/>
      <c r="Y680" s="9"/>
      <c r="Z680" s="9"/>
      <c r="AA680" s="9"/>
      <c r="AB680" s="9"/>
      <c r="AC680" s="9"/>
      <c r="AD680" s="9"/>
    </row>
    <row r="681" spans="1:30" ht="13.5" customHeight="1">
      <c r="A681" s="2"/>
      <c r="B681" s="2"/>
      <c r="C681" s="2"/>
      <c r="D681" s="2"/>
      <c r="E681" s="2"/>
      <c r="F681" s="2"/>
      <c r="G681" s="2"/>
      <c r="H681" s="2"/>
      <c r="I681" s="2"/>
      <c r="J681" s="2"/>
      <c r="K681" s="2"/>
      <c r="L681" s="2"/>
      <c r="M681" s="2"/>
      <c r="N681" s="2"/>
      <c r="O681" s="2"/>
      <c r="P681" s="2"/>
      <c r="Q681" s="2"/>
      <c r="R681" s="9"/>
      <c r="S681" s="9"/>
      <c r="T681" s="9"/>
      <c r="U681" s="9"/>
      <c r="V681" s="9"/>
      <c r="W681" s="9"/>
      <c r="X681" s="9"/>
      <c r="Y681" s="9"/>
      <c r="Z681" s="9"/>
      <c r="AA681" s="9"/>
      <c r="AB681" s="9"/>
      <c r="AC681" s="9"/>
      <c r="AD681" s="9"/>
    </row>
    <row r="682" spans="1:30" ht="13.5" customHeight="1">
      <c r="A682" s="2"/>
      <c r="B682" s="2"/>
      <c r="C682" s="2"/>
      <c r="D682" s="2"/>
      <c r="E682" s="2"/>
      <c r="F682" s="2"/>
      <c r="G682" s="2"/>
      <c r="H682" s="2"/>
      <c r="I682" s="2"/>
      <c r="J682" s="2"/>
      <c r="K682" s="2"/>
      <c r="L682" s="2"/>
      <c r="M682" s="2"/>
      <c r="N682" s="2"/>
      <c r="O682" s="2"/>
      <c r="P682" s="2"/>
      <c r="Q682" s="2"/>
      <c r="R682" s="9"/>
      <c r="S682" s="9"/>
      <c r="T682" s="9"/>
      <c r="U682" s="9"/>
      <c r="V682" s="9"/>
      <c r="W682" s="9"/>
      <c r="X682" s="9"/>
      <c r="Y682" s="9"/>
      <c r="Z682" s="9"/>
      <c r="AA682" s="9"/>
      <c r="AB682" s="9"/>
      <c r="AC682" s="9"/>
      <c r="AD682" s="9"/>
    </row>
    <row r="683" spans="1:30" ht="13.5" customHeight="1">
      <c r="A683" s="2"/>
      <c r="B683" s="2"/>
      <c r="C683" s="2"/>
      <c r="D683" s="2"/>
      <c r="E683" s="2"/>
      <c r="F683" s="2"/>
      <c r="G683" s="2"/>
      <c r="H683" s="2"/>
      <c r="I683" s="2"/>
      <c r="J683" s="2"/>
      <c r="K683" s="2"/>
      <c r="L683" s="2"/>
      <c r="M683" s="2"/>
      <c r="N683" s="2"/>
      <c r="O683" s="2"/>
      <c r="P683" s="2"/>
      <c r="Q683" s="2"/>
      <c r="R683" s="9"/>
      <c r="S683" s="9"/>
      <c r="T683" s="9"/>
      <c r="U683" s="9"/>
      <c r="V683" s="9"/>
      <c r="W683" s="9"/>
      <c r="X683" s="9"/>
      <c r="Y683" s="9"/>
      <c r="Z683" s="9"/>
      <c r="AA683" s="9"/>
      <c r="AB683" s="9"/>
      <c r="AC683" s="9"/>
      <c r="AD683" s="9"/>
    </row>
    <row r="684" spans="1:30" ht="13.5" customHeight="1">
      <c r="A684" s="2"/>
      <c r="B684" s="2"/>
      <c r="C684" s="2"/>
      <c r="D684" s="2"/>
      <c r="E684" s="2"/>
      <c r="F684" s="2"/>
      <c r="G684" s="2"/>
      <c r="H684" s="2"/>
      <c r="I684" s="2"/>
      <c r="J684" s="2"/>
      <c r="K684" s="2"/>
      <c r="L684" s="2"/>
      <c r="M684" s="2"/>
      <c r="N684" s="2"/>
      <c r="O684" s="2"/>
      <c r="P684" s="2"/>
      <c r="Q684" s="2"/>
      <c r="R684" s="9"/>
      <c r="S684" s="9"/>
      <c r="T684" s="9"/>
      <c r="U684" s="9"/>
      <c r="V684" s="9"/>
      <c r="W684" s="9"/>
      <c r="X684" s="9"/>
      <c r="Y684" s="9"/>
      <c r="Z684" s="9"/>
      <c r="AA684" s="9"/>
      <c r="AB684" s="9"/>
      <c r="AC684" s="9"/>
      <c r="AD684" s="9"/>
    </row>
    <row r="685" spans="1:30" ht="13.5" customHeight="1">
      <c r="A685" s="2"/>
      <c r="B685" s="2"/>
      <c r="C685" s="2"/>
      <c r="D685" s="2"/>
      <c r="E685" s="2"/>
      <c r="F685" s="2"/>
      <c r="G685" s="2"/>
      <c r="H685" s="2"/>
      <c r="I685" s="2"/>
      <c r="J685" s="2"/>
      <c r="K685" s="2"/>
      <c r="L685" s="2"/>
      <c r="M685" s="2"/>
      <c r="N685" s="2"/>
      <c r="O685" s="2"/>
      <c r="P685" s="2"/>
      <c r="Q685" s="2"/>
      <c r="R685" s="9"/>
      <c r="S685" s="9"/>
      <c r="T685" s="9"/>
      <c r="U685" s="9"/>
      <c r="V685" s="9"/>
      <c r="W685" s="9"/>
      <c r="X685" s="9"/>
      <c r="Y685" s="9"/>
      <c r="Z685" s="9"/>
      <c r="AA685" s="9"/>
      <c r="AB685" s="9"/>
      <c r="AC685" s="9"/>
      <c r="AD685" s="9"/>
    </row>
    <row r="686" spans="1:30" ht="13.5" customHeight="1">
      <c r="A686" s="2"/>
      <c r="B686" s="2"/>
      <c r="C686" s="2"/>
      <c r="D686" s="2"/>
      <c r="E686" s="2"/>
      <c r="F686" s="2"/>
      <c r="G686" s="2"/>
      <c r="H686" s="2"/>
      <c r="I686" s="2"/>
      <c r="J686" s="2"/>
      <c r="K686" s="2"/>
      <c r="L686" s="2"/>
      <c r="M686" s="2"/>
      <c r="N686" s="2"/>
      <c r="O686" s="2"/>
      <c r="P686" s="2"/>
      <c r="Q686" s="2"/>
      <c r="R686" s="9"/>
      <c r="S686" s="9"/>
      <c r="T686" s="9"/>
      <c r="U686" s="9"/>
      <c r="V686" s="9"/>
      <c r="W686" s="9"/>
      <c r="X686" s="9"/>
      <c r="Y686" s="9"/>
      <c r="Z686" s="9"/>
      <c r="AA686" s="9"/>
      <c r="AB686" s="9"/>
      <c r="AC686" s="9"/>
      <c r="AD686" s="9"/>
    </row>
    <row r="687" spans="1:30" ht="13.5" customHeight="1">
      <c r="A687" s="2"/>
      <c r="B687" s="2"/>
      <c r="C687" s="2"/>
      <c r="D687" s="2"/>
      <c r="E687" s="2"/>
      <c r="F687" s="2"/>
      <c r="G687" s="2"/>
      <c r="H687" s="2"/>
      <c r="I687" s="2"/>
      <c r="J687" s="2"/>
      <c r="K687" s="2"/>
      <c r="L687" s="2"/>
      <c r="M687" s="2"/>
      <c r="N687" s="2"/>
      <c r="O687" s="2"/>
      <c r="P687" s="2"/>
      <c r="Q687" s="2"/>
      <c r="R687" s="9"/>
      <c r="S687" s="9"/>
      <c r="T687" s="9"/>
      <c r="U687" s="9"/>
      <c r="V687" s="9"/>
      <c r="W687" s="9"/>
      <c r="X687" s="9"/>
      <c r="Y687" s="9"/>
      <c r="Z687" s="9"/>
      <c r="AA687" s="9"/>
      <c r="AB687" s="9"/>
      <c r="AC687" s="9"/>
      <c r="AD687" s="9"/>
    </row>
    <row r="688" spans="1:30" ht="13.5" customHeight="1">
      <c r="A688" s="2"/>
      <c r="B688" s="2"/>
      <c r="C688" s="2"/>
      <c r="D688" s="2"/>
      <c r="E688" s="2"/>
      <c r="F688" s="2"/>
      <c r="G688" s="2"/>
      <c r="H688" s="2"/>
      <c r="I688" s="2"/>
      <c r="J688" s="2"/>
      <c r="K688" s="2"/>
      <c r="L688" s="2"/>
      <c r="M688" s="2"/>
      <c r="N688" s="2"/>
      <c r="O688" s="2"/>
      <c r="P688" s="2"/>
      <c r="Q688" s="2"/>
      <c r="R688" s="9"/>
      <c r="S688" s="9"/>
      <c r="T688" s="9"/>
      <c r="U688" s="9"/>
      <c r="V688" s="9"/>
      <c r="W688" s="9"/>
      <c r="X688" s="9"/>
      <c r="Y688" s="9"/>
      <c r="Z688" s="9"/>
      <c r="AA688" s="9"/>
      <c r="AB688" s="9"/>
      <c r="AC688" s="9"/>
      <c r="AD688" s="9"/>
    </row>
    <row r="689" spans="1:30" ht="13.5" customHeight="1">
      <c r="A689" s="2"/>
      <c r="B689" s="2"/>
      <c r="C689" s="2"/>
      <c r="D689" s="2"/>
      <c r="E689" s="2"/>
      <c r="F689" s="2"/>
      <c r="G689" s="2"/>
      <c r="H689" s="2"/>
      <c r="I689" s="2"/>
      <c r="J689" s="2"/>
      <c r="K689" s="2"/>
      <c r="L689" s="2"/>
      <c r="M689" s="2"/>
      <c r="N689" s="2"/>
      <c r="O689" s="2"/>
      <c r="P689" s="2"/>
      <c r="Q689" s="2"/>
      <c r="R689" s="9"/>
      <c r="S689" s="9"/>
      <c r="T689" s="9"/>
      <c r="U689" s="9"/>
      <c r="V689" s="9"/>
      <c r="W689" s="9"/>
      <c r="X689" s="9"/>
      <c r="Y689" s="9"/>
      <c r="Z689" s="9"/>
      <c r="AA689" s="9"/>
      <c r="AB689" s="9"/>
      <c r="AC689" s="9"/>
      <c r="AD689" s="9"/>
    </row>
    <row r="690" spans="1:30" ht="13.5" customHeight="1">
      <c r="A690" s="2"/>
      <c r="B690" s="2"/>
      <c r="C690" s="2"/>
      <c r="D690" s="2"/>
      <c r="E690" s="2"/>
      <c r="F690" s="2"/>
      <c r="G690" s="2"/>
      <c r="H690" s="2"/>
      <c r="I690" s="2"/>
      <c r="J690" s="2"/>
      <c r="K690" s="2"/>
      <c r="L690" s="2"/>
      <c r="M690" s="2"/>
      <c r="N690" s="2"/>
      <c r="O690" s="2"/>
      <c r="P690" s="2"/>
      <c r="Q690" s="2"/>
      <c r="R690" s="9"/>
      <c r="S690" s="9"/>
      <c r="T690" s="9"/>
      <c r="U690" s="9"/>
      <c r="V690" s="9"/>
      <c r="W690" s="9"/>
      <c r="X690" s="9"/>
      <c r="Y690" s="9"/>
      <c r="Z690" s="9"/>
      <c r="AA690" s="9"/>
      <c r="AB690" s="9"/>
      <c r="AC690" s="9"/>
      <c r="AD690" s="9"/>
    </row>
    <row r="691" spans="1:30" ht="13.5" customHeight="1">
      <c r="A691" s="2"/>
      <c r="B691" s="2"/>
      <c r="C691" s="2"/>
      <c r="D691" s="2"/>
      <c r="E691" s="2"/>
      <c r="F691" s="2"/>
      <c r="G691" s="2"/>
      <c r="H691" s="2"/>
      <c r="I691" s="2"/>
      <c r="J691" s="2"/>
      <c r="K691" s="2"/>
      <c r="L691" s="2"/>
      <c r="M691" s="2"/>
      <c r="N691" s="2"/>
      <c r="O691" s="2"/>
      <c r="P691" s="2"/>
      <c r="Q691" s="2"/>
      <c r="R691" s="9"/>
      <c r="S691" s="9"/>
      <c r="T691" s="9"/>
      <c r="U691" s="9"/>
      <c r="V691" s="9"/>
      <c r="W691" s="9"/>
      <c r="X691" s="9"/>
      <c r="Y691" s="9"/>
      <c r="Z691" s="9"/>
      <c r="AA691" s="9"/>
      <c r="AB691" s="9"/>
      <c r="AC691" s="9"/>
      <c r="AD691" s="9"/>
    </row>
    <row r="692" spans="1:30" ht="13.5" customHeight="1">
      <c r="A692" s="2"/>
      <c r="B692" s="2"/>
      <c r="C692" s="2"/>
      <c r="D692" s="2"/>
      <c r="E692" s="2"/>
      <c r="F692" s="2"/>
      <c r="G692" s="2"/>
      <c r="H692" s="2"/>
      <c r="I692" s="2"/>
      <c r="J692" s="2"/>
      <c r="K692" s="2"/>
      <c r="L692" s="2"/>
      <c r="M692" s="2"/>
      <c r="N692" s="2"/>
      <c r="O692" s="2"/>
      <c r="P692" s="2"/>
      <c r="Q692" s="2"/>
      <c r="R692" s="9"/>
      <c r="S692" s="9"/>
      <c r="T692" s="9"/>
      <c r="U692" s="9"/>
      <c r="V692" s="9"/>
      <c r="W692" s="9"/>
      <c r="X692" s="9"/>
      <c r="Y692" s="9"/>
      <c r="Z692" s="9"/>
      <c r="AA692" s="9"/>
      <c r="AB692" s="9"/>
      <c r="AC692" s="9"/>
      <c r="AD692" s="9"/>
    </row>
    <row r="693" spans="1:30" ht="13.5" customHeight="1">
      <c r="A693" s="2"/>
      <c r="B693" s="2"/>
      <c r="C693" s="2"/>
      <c r="D693" s="2"/>
      <c r="E693" s="2"/>
      <c r="F693" s="2"/>
      <c r="G693" s="2"/>
      <c r="H693" s="2"/>
      <c r="I693" s="2"/>
      <c r="J693" s="2"/>
      <c r="K693" s="2"/>
      <c r="L693" s="2"/>
      <c r="M693" s="2"/>
      <c r="N693" s="2"/>
      <c r="O693" s="2"/>
      <c r="P693" s="2"/>
      <c r="Q693" s="2"/>
      <c r="R693" s="9"/>
      <c r="S693" s="9"/>
      <c r="T693" s="9"/>
      <c r="U693" s="9"/>
      <c r="V693" s="9"/>
      <c r="W693" s="9"/>
      <c r="X693" s="9"/>
      <c r="Y693" s="9"/>
      <c r="Z693" s="9"/>
      <c r="AA693" s="9"/>
      <c r="AB693" s="9"/>
      <c r="AC693" s="9"/>
      <c r="AD693" s="9"/>
    </row>
    <row r="694" spans="1:30" ht="13.5" customHeight="1">
      <c r="A694" s="2"/>
      <c r="B694" s="2"/>
      <c r="C694" s="2"/>
      <c r="D694" s="2"/>
      <c r="E694" s="2"/>
      <c r="F694" s="2"/>
      <c r="G694" s="2"/>
      <c r="H694" s="2"/>
      <c r="I694" s="2"/>
      <c r="J694" s="2"/>
      <c r="K694" s="2"/>
      <c r="L694" s="2"/>
      <c r="M694" s="2"/>
      <c r="N694" s="2"/>
      <c r="O694" s="2"/>
      <c r="P694" s="2"/>
      <c r="Q694" s="2"/>
      <c r="R694" s="9"/>
      <c r="S694" s="9"/>
      <c r="T694" s="9"/>
      <c r="U694" s="9"/>
      <c r="V694" s="9"/>
      <c r="W694" s="9"/>
      <c r="X694" s="9"/>
      <c r="Y694" s="9"/>
      <c r="Z694" s="9"/>
      <c r="AA694" s="9"/>
      <c r="AB694" s="9"/>
      <c r="AC694" s="9"/>
      <c r="AD694" s="9"/>
    </row>
    <row r="695" spans="1:30" ht="13.5" customHeight="1">
      <c r="A695" s="2"/>
      <c r="B695" s="2"/>
      <c r="C695" s="2"/>
      <c r="D695" s="2"/>
      <c r="E695" s="2"/>
      <c r="F695" s="2"/>
      <c r="G695" s="2"/>
      <c r="H695" s="2"/>
      <c r="I695" s="2"/>
      <c r="J695" s="2"/>
      <c r="K695" s="2"/>
      <c r="L695" s="2"/>
      <c r="M695" s="2"/>
      <c r="N695" s="2"/>
      <c r="O695" s="2"/>
      <c r="P695" s="2"/>
      <c r="Q695" s="2"/>
      <c r="R695" s="9"/>
      <c r="S695" s="9"/>
      <c r="T695" s="9"/>
      <c r="U695" s="9"/>
      <c r="V695" s="9"/>
      <c r="W695" s="9"/>
      <c r="X695" s="9"/>
      <c r="Y695" s="9"/>
      <c r="Z695" s="9"/>
      <c r="AA695" s="9"/>
      <c r="AB695" s="9"/>
      <c r="AC695" s="9"/>
      <c r="AD695" s="9"/>
    </row>
    <row r="696" spans="1:30" ht="13.5" customHeight="1">
      <c r="A696" s="2"/>
      <c r="B696" s="2"/>
      <c r="C696" s="2"/>
      <c r="D696" s="2"/>
      <c r="E696" s="2"/>
      <c r="F696" s="2"/>
      <c r="G696" s="2"/>
      <c r="H696" s="2"/>
      <c r="I696" s="2"/>
      <c r="J696" s="2"/>
      <c r="K696" s="2"/>
      <c r="L696" s="2"/>
      <c r="M696" s="2"/>
      <c r="N696" s="2"/>
      <c r="O696" s="2"/>
      <c r="P696" s="2"/>
      <c r="Q696" s="2"/>
      <c r="R696" s="9"/>
      <c r="S696" s="9"/>
      <c r="T696" s="9"/>
      <c r="U696" s="9"/>
      <c r="V696" s="9"/>
      <c r="W696" s="9"/>
      <c r="X696" s="9"/>
      <c r="Y696" s="9"/>
      <c r="Z696" s="9"/>
      <c r="AA696" s="9"/>
      <c r="AB696" s="9"/>
      <c r="AC696" s="9"/>
      <c r="AD696" s="9"/>
    </row>
    <row r="697" spans="1:30" ht="13.5" customHeight="1">
      <c r="A697" s="2"/>
      <c r="B697" s="2"/>
      <c r="C697" s="2"/>
      <c r="D697" s="2"/>
      <c r="E697" s="2"/>
      <c r="F697" s="2"/>
      <c r="G697" s="2"/>
      <c r="H697" s="2"/>
      <c r="I697" s="2"/>
      <c r="J697" s="2"/>
      <c r="K697" s="2"/>
      <c r="L697" s="2"/>
      <c r="M697" s="2"/>
      <c r="N697" s="2"/>
      <c r="O697" s="2"/>
      <c r="P697" s="2"/>
      <c r="Q697" s="2"/>
      <c r="R697" s="9"/>
      <c r="S697" s="9"/>
      <c r="T697" s="9"/>
      <c r="U697" s="9"/>
      <c r="V697" s="9"/>
      <c r="W697" s="9"/>
      <c r="X697" s="9"/>
      <c r="Y697" s="9"/>
      <c r="Z697" s="9"/>
      <c r="AA697" s="9"/>
      <c r="AB697" s="9"/>
      <c r="AC697" s="9"/>
      <c r="AD697" s="9"/>
    </row>
    <row r="698" spans="1:30" ht="13.5" customHeight="1">
      <c r="A698" s="2"/>
      <c r="B698" s="2"/>
      <c r="C698" s="2"/>
      <c r="D698" s="2"/>
      <c r="E698" s="2"/>
      <c r="F698" s="2"/>
      <c r="G698" s="2"/>
      <c r="H698" s="2"/>
      <c r="I698" s="2"/>
      <c r="J698" s="2"/>
      <c r="K698" s="2"/>
      <c r="L698" s="2"/>
      <c r="M698" s="2"/>
      <c r="N698" s="2"/>
      <c r="O698" s="2"/>
      <c r="P698" s="2"/>
      <c r="Q698" s="2"/>
      <c r="R698" s="9"/>
      <c r="S698" s="9"/>
      <c r="T698" s="9"/>
      <c r="U698" s="9"/>
      <c r="V698" s="9"/>
      <c r="W698" s="9"/>
      <c r="X698" s="9"/>
      <c r="Y698" s="9"/>
      <c r="Z698" s="9"/>
      <c r="AA698" s="9"/>
      <c r="AB698" s="9"/>
      <c r="AC698" s="9"/>
      <c r="AD698" s="9"/>
    </row>
    <row r="699" spans="1:30" ht="13.5" customHeight="1">
      <c r="A699" s="2"/>
      <c r="B699" s="2"/>
      <c r="C699" s="2"/>
      <c r="D699" s="2"/>
      <c r="E699" s="2"/>
      <c r="F699" s="2"/>
      <c r="G699" s="2"/>
      <c r="H699" s="2"/>
      <c r="I699" s="2"/>
      <c r="J699" s="2"/>
      <c r="K699" s="2"/>
      <c r="L699" s="2"/>
      <c r="M699" s="2"/>
      <c r="N699" s="2"/>
      <c r="O699" s="2"/>
      <c r="P699" s="2"/>
      <c r="Q699" s="2"/>
      <c r="R699" s="9"/>
      <c r="S699" s="9"/>
      <c r="T699" s="9"/>
      <c r="U699" s="9"/>
      <c r="V699" s="9"/>
      <c r="W699" s="9"/>
      <c r="X699" s="9"/>
      <c r="Y699" s="9"/>
      <c r="Z699" s="9"/>
      <c r="AA699" s="9"/>
      <c r="AB699" s="9"/>
      <c r="AC699" s="9"/>
      <c r="AD699" s="9"/>
    </row>
    <row r="700" spans="1:30" ht="13.5" customHeight="1">
      <c r="A700" s="2"/>
      <c r="B700" s="2"/>
      <c r="C700" s="2"/>
      <c r="D700" s="2"/>
      <c r="E700" s="2"/>
      <c r="F700" s="2"/>
      <c r="G700" s="2"/>
      <c r="H700" s="2"/>
      <c r="I700" s="2"/>
      <c r="J700" s="2"/>
      <c r="K700" s="2"/>
      <c r="L700" s="2"/>
      <c r="M700" s="2"/>
      <c r="N700" s="2"/>
      <c r="O700" s="2"/>
      <c r="P700" s="2"/>
      <c r="Q700" s="2"/>
      <c r="R700" s="9"/>
      <c r="S700" s="9"/>
      <c r="T700" s="9"/>
      <c r="U700" s="9"/>
      <c r="V700" s="9"/>
      <c r="W700" s="9"/>
      <c r="X700" s="9"/>
      <c r="Y700" s="9"/>
      <c r="Z700" s="9"/>
      <c r="AA700" s="9"/>
      <c r="AB700" s="9"/>
      <c r="AC700" s="9"/>
      <c r="AD700" s="9"/>
    </row>
    <row r="701" spans="1:30" ht="13.5" customHeight="1">
      <c r="A701" s="2"/>
      <c r="B701" s="2"/>
      <c r="C701" s="2"/>
      <c r="D701" s="2"/>
      <c r="E701" s="2"/>
      <c r="F701" s="2"/>
      <c r="G701" s="2"/>
      <c r="H701" s="2"/>
      <c r="I701" s="2"/>
      <c r="J701" s="2"/>
      <c r="K701" s="2"/>
      <c r="L701" s="2"/>
      <c r="M701" s="2"/>
      <c r="N701" s="2"/>
      <c r="O701" s="2"/>
      <c r="P701" s="2"/>
      <c r="Q701" s="2"/>
      <c r="R701" s="9"/>
      <c r="S701" s="9"/>
      <c r="T701" s="9"/>
      <c r="U701" s="9"/>
      <c r="V701" s="9"/>
      <c r="W701" s="9"/>
      <c r="X701" s="9"/>
      <c r="Y701" s="9"/>
      <c r="Z701" s="9"/>
      <c r="AA701" s="9"/>
      <c r="AB701" s="9"/>
      <c r="AC701" s="9"/>
      <c r="AD701" s="9"/>
    </row>
    <row r="702" spans="1:30" ht="13.5" customHeight="1">
      <c r="A702" s="2"/>
      <c r="B702" s="2"/>
      <c r="C702" s="2"/>
      <c r="D702" s="2"/>
      <c r="E702" s="2"/>
      <c r="F702" s="2"/>
      <c r="G702" s="2"/>
      <c r="H702" s="2"/>
      <c r="I702" s="2"/>
      <c r="J702" s="2"/>
      <c r="K702" s="2"/>
      <c r="L702" s="2"/>
      <c r="M702" s="2"/>
      <c r="N702" s="2"/>
      <c r="O702" s="2"/>
      <c r="P702" s="2"/>
      <c r="Q702" s="2"/>
      <c r="R702" s="9"/>
      <c r="S702" s="9"/>
      <c r="T702" s="9"/>
      <c r="U702" s="9"/>
      <c r="V702" s="9"/>
      <c r="W702" s="9"/>
      <c r="X702" s="9"/>
      <c r="Y702" s="9"/>
      <c r="Z702" s="9"/>
      <c r="AA702" s="9"/>
      <c r="AB702" s="9"/>
      <c r="AC702" s="9"/>
      <c r="AD702" s="9"/>
    </row>
    <row r="703" spans="1:30" ht="13.5" customHeight="1">
      <c r="A703" s="2"/>
      <c r="B703" s="2"/>
      <c r="C703" s="2"/>
      <c r="D703" s="2"/>
      <c r="E703" s="2"/>
      <c r="F703" s="2"/>
      <c r="G703" s="2"/>
      <c r="H703" s="2"/>
      <c r="I703" s="2"/>
      <c r="J703" s="2"/>
      <c r="K703" s="2"/>
      <c r="L703" s="2"/>
      <c r="M703" s="2"/>
      <c r="N703" s="2"/>
      <c r="O703" s="2"/>
      <c r="P703" s="2"/>
      <c r="Q703" s="2"/>
      <c r="R703" s="9"/>
      <c r="S703" s="9"/>
      <c r="T703" s="9"/>
      <c r="U703" s="9"/>
      <c r="V703" s="9"/>
      <c r="W703" s="9"/>
      <c r="X703" s="9"/>
      <c r="Y703" s="9"/>
      <c r="Z703" s="9"/>
      <c r="AA703" s="9"/>
      <c r="AB703" s="9"/>
      <c r="AC703" s="9"/>
      <c r="AD703" s="9"/>
    </row>
    <row r="704" spans="1:30" ht="13.5" customHeight="1">
      <c r="A704" s="2"/>
      <c r="B704" s="2"/>
      <c r="C704" s="2"/>
      <c r="D704" s="2"/>
      <c r="E704" s="2"/>
      <c r="F704" s="2"/>
      <c r="G704" s="2"/>
      <c r="H704" s="2"/>
      <c r="I704" s="2"/>
      <c r="J704" s="2"/>
      <c r="K704" s="2"/>
      <c r="L704" s="2"/>
      <c r="M704" s="2"/>
      <c r="N704" s="2"/>
      <c r="O704" s="2"/>
      <c r="P704" s="2"/>
      <c r="Q704" s="2"/>
      <c r="R704" s="9"/>
      <c r="S704" s="9"/>
      <c r="T704" s="9"/>
      <c r="U704" s="9"/>
      <c r="V704" s="9"/>
      <c r="W704" s="9"/>
      <c r="X704" s="9"/>
      <c r="Y704" s="9"/>
      <c r="Z704" s="9"/>
      <c r="AA704" s="9"/>
      <c r="AB704" s="9"/>
      <c r="AC704" s="9"/>
      <c r="AD704" s="9"/>
    </row>
    <row r="705" spans="1:30" ht="13.5" customHeight="1">
      <c r="A705" s="2"/>
      <c r="B705" s="2"/>
      <c r="C705" s="2"/>
      <c r="D705" s="2"/>
      <c r="E705" s="2"/>
      <c r="F705" s="2"/>
      <c r="G705" s="2"/>
      <c r="H705" s="2"/>
      <c r="I705" s="2"/>
      <c r="J705" s="2"/>
      <c r="K705" s="2"/>
      <c r="L705" s="2"/>
      <c r="M705" s="2"/>
      <c r="N705" s="2"/>
      <c r="O705" s="2"/>
      <c r="P705" s="2"/>
      <c r="Q705" s="2"/>
      <c r="R705" s="9"/>
      <c r="S705" s="9"/>
      <c r="T705" s="9"/>
      <c r="U705" s="9"/>
      <c r="V705" s="9"/>
      <c r="W705" s="9"/>
      <c r="X705" s="9"/>
      <c r="Y705" s="9"/>
      <c r="Z705" s="9"/>
      <c r="AA705" s="9"/>
      <c r="AB705" s="9"/>
      <c r="AC705" s="9"/>
      <c r="AD705" s="9"/>
    </row>
    <row r="706" spans="1:30" ht="13.5" customHeight="1">
      <c r="A706" s="2"/>
      <c r="B706" s="2"/>
      <c r="C706" s="2"/>
      <c r="D706" s="2"/>
      <c r="E706" s="2"/>
      <c r="F706" s="2"/>
      <c r="G706" s="2"/>
      <c r="H706" s="2"/>
      <c r="I706" s="2"/>
      <c r="J706" s="2"/>
      <c r="K706" s="2"/>
      <c r="L706" s="2"/>
      <c r="M706" s="2"/>
      <c r="N706" s="2"/>
      <c r="O706" s="2"/>
      <c r="P706" s="2"/>
      <c r="Q706" s="2"/>
      <c r="R706" s="9"/>
      <c r="S706" s="9"/>
      <c r="T706" s="9"/>
      <c r="U706" s="9"/>
      <c r="V706" s="9"/>
      <c r="W706" s="9"/>
      <c r="X706" s="9"/>
      <c r="Y706" s="9"/>
      <c r="Z706" s="9"/>
      <c r="AA706" s="9"/>
      <c r="AB706" s="9"/>
      <c r="AC706" s="9"/>
      <c r="AD706" s="9"/>
    </row>
    <row r="707" spans="1:30" ht="13.5" customHeight="1">
      <c r="A707" s="2"/>
      <c r="B707" s="2"/>
      <c r="C707" s="2"/>
      <c r="D707" s="2"/>
      <c r="E707" s="2"/>
      <c r="F707" s="2"/>
      <c r="G707" s="2"/>
      <c r="H707" s="2"/>
      <c r="I707" s="2"/>
      <c r="J707" s="2"/>
      <c r="K707" s="2"/>
      <c r="L707" s="2"/>
      <c r="M707" s="2"/>
      <c r="N707" s="2"/>
      <c r="O707" s="2"/>
      <c r="P707" s="2"/>
      <c r="Q707" s="2"/>
      <c r="R707" s="9"/>
      <c r="S707" s="9"/>
      <c r="T707" s="9"/>
      <c r="U707" s="9"/>
      <c r="V707" s="9"/>
      <c r="W707" s="9"/>
      <c r="X707" s="9"/>
      <c r="Y707" s="9"/>
      <c r="Z707" s="9"/>
      <c r="AA707" s="9"/>
      <c r="AB707" s="9"/>
      <c r="AC707" s="9"/>
      <c r="AD707" s="9"/>
    </row>
    <row r="708" spans="1:30" ht="13.5" customHeight="1">
      <c r="A708" s="2"/>
      <c r="B708" s="2"/>
      <c r="C708" s="2"/>
      <c r="D708" s="2"/>
      <c r="E708" s="2"/>
      <c r="F708" s="2"/>
      <c r="G708" s="2"/>
      <c r="H708" s="2"/>
      <c r="I708" s="2"/>
      <c r="J708" s="2"/>
      <c r="K708" s="2"/>
      <c r="L708" s="2"/>
      <c r="M708" s="2"/>
      <c r="N708" s="2"/>
      <c r="O708" s="2"/>
      <c r="P708" s="2"/>
      <c r="Q708" s="2"/>
      <c r="R708" s="9"/>
      <c r="S708" s="9"/>
      <c r="T708" s="9"/>
      <c r="U708" s="9"/>
      <c r="V708" s="9"/>
      <c r="W708" s="9"/>
      <c r="X708" s="9"/>
      <c r="Y708" s="9"/>
      <c r="Z708" s="9"/>
      <c r="AA708" s="9"/>
      <c r="AB708" s="9"/>
      <c r="AC708" s="9"/>
      <c r="AD708" s="9"/>
    </row>
    <row r="709" spans="1:30" ht="13.5" customHeight="1">
      <c r="A709" s="2"/>
      <c r="B709" s="2"/>
      <c r="C709" s="2"/>
      <c r="D709" s="2"/>
      <c r="E709" s="2"/>
      <c r="F709" s="2"/>
      <c r="G709" s="2"/>
      <c r="H709" s="2"/>
      <c r="I709" s="2"/>
      <c r="J709" s="2"/>
      <c r="K709" s="2"/>
      <c r="L709" s="2"/>
      <c r="M709" s="2"/>
      <c r="N709" s="2"/>
      <c r="O709" s="2"/>
      <c r="P709" s="2"/>
      <c r="Q709" s="2"/>
      <c r="R709" s="9"/>
      <c r="S709" s="9"/>
      <c r="T709" s="9"/>
      <c r="U709" s="9"/>
      <c r="V709" s="9"/>
      <c r="W709" s="9"/>
      <c r="X709" s="9"/>
      <c r="Y709" s="9"/>
      <c r="Z709" s="9"/>
      <c r="AA709" s="9"/>
      <c r="AB709" s="9"/>
      <c r="AC709" s="9"/>
      <c r="AD709" s="9"/>
    </row>
    <row r="710" spans="1:30" ht="13.5" customHeight="1">
      <c r="A710" s="2"/>
      <c r="B710" s="2"/>
      <c r="C710" s="2"/>
      <c r="D710" s="2"/>
      <c r="E710" s="2"/>
      <c r="F710" s="2"/>
      <c r="G710" s="2"/>
      <c r="H710" s="2"/>
      <c r="I710" s="2"/>
      <c r="J710" s="2"/>
      <c r="K710" s="2"/>
      <c r="L710" s="2"/>
      <c r="M710" s="2"/>
      <c r="N710" s="2"/>
      <c r="O710" s="2"/>
      <c r="P710" s="2"/>
      <c r="Q710" s="2"/>
      <c r="R710" s="9"/>
      <c r="S710" s="9"/>
      <c r="T710" s="9"/>
      <c r="U710" s="9"/>
      <c r="V710" s="9"/>
      <c r="W710" s="9"/>
      <c r="X710" s="9"/>
      <c r="Y710" s="9"/>
      <c r="Z710" s="9"/>
      <c r="AA710" s="9"/>
      <c r="AB710" s="9"/>
      <c r="AC710" s="9"/>
      <c r="AD710" s="9"/>
    </row>
    <row r="711" spans="1:30" ht="13.5" customHeight="1">
      <c r="A711" s="2"/>
      <c r="B711" s="2"/>
      <c r="C711" s="2"/>
      <c r="D711" s="2"/>
      <c r="E711" s="2"/>
      <c r="F711" s="2"/>
      <c r="G711" s="2"/>
      <c r="H711" s="2"/>
      <c r="I711" s="2"/>
      <c r="J711" s="2"/>
      <c r="K711" s="2"/>
      <c r="L711" s="2"/>
      <c r="M711" s="2"/>
      <c r="N711" s="2"/>
      <c r="O711" s="2"/>
      <c r="P711" s="2"/>
      <c r="Q711" s="2"/>
      <c r="R711" s="9"/>
      <c r="S711" s="9"/>
      <c r="T711" s="9"/>
      <c r="U711" s="9"/>
      <c r="V711" s="9"/>
      <c r="W711" s="9"/>
      <c r="X711" s="9"/>
      <c r="Y711" s="9"/>
      <c r="Z711" s="9"/>
      <c r="AA711" s="9"/>
      <c r="AB711" s="9"/>
      <c r="AC711" s="9"/>
      <c r="AD711" s="9"/>
    </row>
    <row r="712" spans="1:30" ht="13.5" customHeight="1">
      <c r="A712" s="2"/>
      <c r="B712" s="2"/>
      <c r="C712" s="2"/>
      <c r="D712" s="2"/>
      <c r="E712" s="2"/>
      <c r="F712" s="2"/>
      <c r="G712" s="2"/>
      <c r="H712" s="2"/>
      <c r="I712" s="2"/>
      <c r="J712" s="2"/>
      <c r="K712" s="2"/>
      <c r="L712" s="2"/>
      <c r="M712" s="2"/>
      <c r="N712" s="2"/>
      <c r="O712" s="2"/>
      <c r="P712" s="2"/>
      <c r="Q712" s="2"/>
      <c r="R712" s="9"/>
      <c r="S712" s="9"/>
      <c r="T712" s="9"/>
      <c r="U712" s="9"/>
      <c r="V712" s="9"/>
      <c r="W712" s="9"/>
      <c r="X712" s="9"/>
      <c r="Y712" s="9"/>
      <c r="Z712" s="9"/>
      <c r="AA712" s="9"/>
      <c r="AB712" s="9"/>
      <c r="AC712" s="9"/>
      <c r="AD712" s="9"/>
    </row>
    <row r="713" spans="1:30" ht="13.5" customHeight="1">
      <c r="A713" s="2"/>
      <c r="B713" s="2"/>
      <c r="C713" s="2"/>
      <c r="D713" s="2"/>
      <c r="E713" s="2"/>
      <c r="F713" s="2"/>
      <c r="G713" s="2"/>
      <c r="H713" s="2"/>
      <c r="I713" s="2"/>
      <c r="J713" s="2"/>
      <c r="K713" s="2"/>
      <c r="L713" s="2"/>
      <c r="M713" s="2"/>
      <c r="N713" s="2"/>
      <c r="O713" s="2"/>
      <c r="P713" s="2"/>
      <c r="Q713" s="2"/>
      <c r="R713" s="9"/>
      <c r="S713" s="9"/>
      <c r="T713" s="9"/>
      <c r="U713" s="9"/>
      <c r="V713" s="9"/>
      <c r="W713" s="9"/>
      <c r="X713" s="9"/>
      <c r="Y713" s="9"/>
      <c r="Z713" s="9"/>
      <c r="AA713" s="9"/>
      <c r="AB713" s="9"/>
      <c r="AC713" s="9"/>
      <c r="AD713" s="9"/>
    </row>
    <row r="714" spans="1:30" ht="13.5" customHeight="1">
      <c r="A714" s="2"/>
      <c r="B714" s="2"/>
      <c r="C714" s="2"/>
      <c r="D714" s="2"/>
      <c r="E714" s="2"/>
      <c r="F714" s="2"/>
      <c r="G714" s="2"/>
      <c r="H714" s="2"/>
      <c r="I714" s="2"/>
      <c r="J714" s="2"/>
      <c r="K714" s="2"/>
      <c r="L714" s="2"/>
      <c r="M714" s="2"/>
      <c r="N714" s="2"/>
      <c r="O714" s="2"/>
      <c r="P714" s="2"/>
      <c r="Q714" s="2"/>
      <c r="R714" s="9"/>
      <c r="S714" s="9"/>
      <c r="T714" s="9"/>
      <c r="U714" s="9"/>
      <c r="V714" s="9"/>
      <c r="W714" s="9"/>
      <c r="X714" s="9"/>
      <c r="Y714" s="9"/>
      <c r="Z714" s="9"/>
      <c r="AA714" s="9"/>
      <c r="AB714" s="9"/>
      <c r="AC714" s="9"/>
      <c r="AD714" s="9"/>
    </row>
    <row r="715" spans="1:30" ht="13.5" customHeight="1">
      <c r="A715" s="2"/>
      <c r="B715" s="2"/>
      <c r="C715" s="2"/>
      <c r="D715" s="2"/>
      <c r="E715" s="2"/>
      <c r="F715" s="2"/>
      <c r="G715" s="2"/>
      <c r="H715" s="2"/>
      <c r="I715" s="2"/>
      <c r="J715" s="2"/>
      <c r="K715" s="2"/>
      <c r="L715" s="2"/>
      <c r="M715" s="2"/>
      <c r="N715" s="2"/>
      <c r="O715" s="2"/>
      <c r="P715" s="2"/>
      <c r="Q715" s="2"/>
      <c r="R715" s="9"/>
      <c r="S715" s="9"/>
      <c r="T715" s="9"/>
      <c r="U715" s="9"/>
      <c r="V715" s="9"/>
      <c r="W715" s="9"/>
      <c r="X715" s="9"/>
      <c r="Y715" s="9"/>
      <c r="Z715" s="9"/>
      <c r="AA715" s="9"/>
      <c r="AB715" s="9"/>
      <c r="AC715" s="9"/>
      <c r="AD715" s="9"/>
    </row>
    <row r="716" spans="1:30" ht="13.5" customHeight="1">
      <c r="A716" s="2"/>
      <c r="B716" s="2"/>
      <c r="C716" s="2"/>
      <c r="D716" s="2"/>
      <c r="E716" s="2"/>
      <c r="F716" s="2"/>
      <c r="G716" s="2"/>
      <c r="H716" s="2"/>
      <c r="I716" s="2"/>
      <c r="J716" s="2"/>
      <c r="K716" s="2"/>
      <c r="L716" s="2"/>
      <c r="M716" s="2"/>
      <c r="N716" s="2"/>
      <c r="O716" s="2"/>
      <c r="P716" s="2"/>
      <c r="Q716" s="2"/>
      <c r="R716" s="9"/>
      <c r="S716" s="9"/>
      <c r="T716" s="9"/>
      <c r="U716" s="9"/>
      <c r="V716" s="9"/>
      <c r="W716" s="9"/>
      <c r="X716" s="9"/>
      <c r="Y716" s="9"/>
      <c r="Z716" s="9"/>
      <c r="AA716" s="9"/>
      <c r="AB716" s="9"/>
      <c r="AC716" s="9"/>
      <c r="AD716" s="9"/>
    </row>
    <row r="717" spans="1:30" ht="13.5" customHeight="1">
      <c r="A717" s="2"/>
      <c r="B717" s="2"/>
      <c r="C717" s="2"/>
      <c r="D717" s="2"/>
      <c r="E717" s="2"/>
      <c r="F717" s="2"/>
      <c r="G717" s="2"/>
      <c r="H717" s="2"/>
      <c r="I717" s="2"/>
      <c r="J717" s="2"/>
      <c r="K717" s="2"/>
      <c r="L717" s="2"/>
      <c r="M717" s="2"/>
      <c r="N717" s="2"/>
      <c r="O717" s="2"/>
      <c r="P717" s="2"/>
      <c r="Q717" s="2"/>
      <c r="R717" s="9"/>
      <c r="S717" s="9"/>
      <c r="T717" s="9"/>
      <c r="U717" s="9"/>
      <c r="V717" s="9"/>
      <c r="W717" s="9"/>
      <c r="X717" s="9"/>
      <c r="Y717" s="9"/>
      <c r="Z717" s="9"/>
      <c r="AA717" s="9"/>
      <c r="AB717" s="9"/>
      <c r="AC717" s="9"/>
      <c r="AD717" s="9"/>
    </row>
    <row r="718" spans="1:30" ht="13.5" customHeight="1">
      <c r="A718" s="2"/>
      <c r="B718" s="2"/>
      <c r="C718" s="2"/>
      <c r="D718" s="2"/>
      <c r="E718" s="2"/>
      <c r="F718" s="2"/>
      <c r="G718" s="2"/>
      <c r="H718" s="2"/>
      <c r="I718" s="2"/>
      <c r="J718" s="2"/>
      <c r="K718" s="2"/>
      <c r="L718" s="2"/>
      <c r="M718" s="2"/>
      <c r="N718" s="2"/>
      <c r="O718" s="2"/>
      <c r="P718" s="2"/>
      <c r="Q718" s="2"/>
      <c r="R718" s="9"/>
      <c r="S718" s="9"/>
      <c r="T718" s="9"/>
      <c r="U718" s="9"/>
      <c r="V718" s="9"/>
      <c r="W718" s="9"/>
      <c r="X718" s="9"/>
      <c r="Y718" s="9"/>
      <c r="Z718" s="9"/>
      <c r="AA718" s="9"/>
      <c r="AB718" s="9"/>
      <c r="AC718" s="9"/>
      <c r="AD718" s="9"/>
    </row>
    <row r="719" spans="1:30" ht="13.5" customHeight="1">
      <c r="A719" s="2"/>
      <c r="B719" s="2"/>
      <c r="C719" s="2"/>
      <c r="D719" s="2"/>
      <c r="E719" s="2"/>
      <c r="F719" s="2"/>
      <c r="G719" s="2"/>
      <c r="H719" s="2"/>
      <c r="I719" s="2"/>
      <c r="J719" s="2"/>
      <c r="K719" s="2"/>
      <c r="L719" s="2"/>
      <c r="M719" s="2"/>
      <c r="N719" s="2"/>
      <c r="O719" s="2"/>
      <c r="P719" s="2"/>
      <c r="Q719" s="2"/>
      <c r="R719" s="9"/>
      <c r="S719" s="9"/>
      <c r="T719" s="9"/>
      <c r="U719" s="9"/>
      <c r="V719" s="9"/>
      <c r="W719" s="9"/>
      <c r="X719" s="9"/>
      <c r="Y719" s="9"/>
      <c r="Z719" s="9"/>
      <c r="AA719" s="9"/>
      <c r="AB719" s="9"/>
      <c r="AC719" s="9"/>
      <c r="AD719" s="9"/>
    </row>
    <row r="720" spans="1:30" ht="13.5" customHeight="1">
      <c r="A720" s="2"/>
      <c r="B720" s="2"/>
      <c r="C720" s="2"/>
      <c r="D720" s="2"/>
      <c r="E720" s="2"/>
      <c r="F720" s="2"/>
      <c r="G720" s="2"/>
      <c r="H720" s="2"/>
      <c r="I720" s="2"/>
      <c r="J720" s="2"/>
      <c r="K720" s="2"/>
      <c r="L720" s="2"/>
      <c r="M720" s="2"/>
      <c r="N720" s="2"/>
      <c r="O720" s="2"/>
      <c r="P720" s="2"/>
      <c r="Q720" s="2"/>
      <c r="R720" s="9"/>
      <c r="S720" s="9"/>
      <c r="T720" s="9"/>
      <c r="U720" s="9"/>
      <c r="V720" s="9"/>
      <c r="W720" s="9"/>
      <c r="X720" s="9"/>
      <c r="Y720" s="9"/>
      <c r="Z720" s="9"/>
      <c r="AA720" s="9"/>
      <c r="AB720" s="9"/>
      <c r="AC720" s="9"/>
      <c r="AD720" s="9"/>
    </row>
    <row r="721" spans="1:30" ht="13.5" customHeight="1">
      <c r="A721" s="2"/>
      <c r="B721" s="2"/>
      <c r="C721" s="2"/>
      <c r="D721" s="2"/>
      <c r="E721" s="2"/>
      <c r="F721" s="2"/>
      <c r="G721" s="2"/>
      <c r="H721" s="2"/>
      <c r="I721" s="2"/>
      <c r="J721" s="2"/>
      <c r="K721" s="2"/>
      <c r="L721" s="2"/>
      <c r="M721" s="2"/>
      <c r="N721" s="2"/>
      <c r="O721" s="2"/>
      <c r="P721" s="2"/>
      <c r="Q721" s="2"/>
      <c r="R721" s="9"/>
      <c r="S721" s="9"/>
      <c r="T721" s="9"/>
      <c r="U721" s="9"/>
      <c r="V721" s="9"/>
      <c r="W721" s="9"/>
      <c r="X721" s="9"/>
      <c r="Y721" s="9"/>
      <c r="Z721" s="9"/>
      <c r="AA721" s="9"/>
      <c r="AB721" s="9"/>
      <c r="AC721" s="9"/>
      <c r="AD721" s="9"/>
    </row>
    <row r="722" spans="1:30" ht="13.5" customHeight="1">
      <c r="A722" s="2"/>
      <c r="B722" s="2"/>
      <c r="C722" s="2"/>
      <c r="D722" s="2"/>
      <c r="E722" s="2"/>
      <c r="F722" s="2"/>
      <c r="G722" s="2"/>
      <c r="H722" s="2"/>
      <c r="I722" s="2"/>
      <c r="J722" s="2"/>
      <c r="K722" s="2"/>
      <c r="L722" s="2"/>
      <c r="M722" s="2"/>
      <c r="N722" s="2"/>
      <c r="O722" s="2"/>
      <c r="P722" s="2"/>
      <c r="Q722" s="2"/>
      <c r="R722" s="9"/>
      <c r="S722" s="9"/>
      <c r="T722" s="9"/>
      <c r="U722" s="9"/>
      <c r="V722" s="9"/>
      <c r="W722" s="9"/>
      <c r="X722" s="9"/>
      <c r="Y722" s="9"/>
      <c r="Z722" s="9"/>
      <c r="AA722" s="9"/>
      <c r="AB722" s="9"/>
      <c r="AC722" s="9"/>
      <c r="AD722" s="9"/>
    </row>
    <row r="723" spans="1:30" ht="13.5" customHeight="1">
      <c r="A723" s="2"/>
      <c r="B723" s="2"/>
      <c r="C723" s="2"/>
      <c r="D723" s="2"/>
      <c r="E723" s="2"/>
      <c r="F723" s="2"/>
      <c r="G723" s="2"/>
      <c r="H723" s="2"/>
      <c r="I723" s="2"/>
      <c r="J723" s="2"/>
      <c r="K723" s="2"/>
      <c r="L723" s="2"/>
      <c r="M723" s="2"/>
      <c r="N723" s="2"/>
      <c r="O723" s="2"/>
      <c r="P723" s="2"/>
      <c r="Q723" s="2"/>
      <c r="R723" s="9"/>
      <c r="S723" s="9"/>
      <c r="T723" s="9"/>
      <c r="U723" s="9"/>
      <c r="V723" s="9"/>
      <c r="W723" s="9"/>
      <c r="X723" s="9"/>
      <c r="Y723" s="9"/>
      <c r="Z723" s="9"/>
      <c r="AA723" s="9"/>
      <c r="AB723" s="9"/>
      <c r="AC723" s="9"/>
      <c r="AD723" s="9"/>
    </row>
    <row r="724" spans="1:30" ht="13.5" customHeight="1">
      <c r="A724" s="2"/>
      <c r="B724" s="2"/>
      <c r="C724" s="2"/>
      <c r="D724" s="2"/>
      <c r="E724" s="2"/>
      <c r="F724" s="2"/>
      <c r="G724" s="2"/>
      <c r="H724" s="2"/>
      <c r="I724" s="2"/>
      <c r="J724" s="2"/>
      <c r="K724" s="2"/>
      <c r="L724" s="2"/>
      <c r="M724" s="2"/>
      <c r="N724" s="2"/>
      <c r="O724" s="2"/>
      <c r="P724" s="2"/>
      <c r="Q724" s="2"/>
      <c r="R724" s="9"/>
      <c r="S724" s="9"/>
      <c r="T724" s="9"/>
      <c r="U724" s="9"/>
      <c r="V724" s="9"/>
      <c r="W724" s="9"/>
      <c r="X724" s="9"/>
      <c r="Y724" s="9"/>
      <c r="Z724" s="9"/>
      <c r="AA724" s="9"/>
      <c r="AB724" s="9"/>
      <c r="AC724" s="9"/>
      <c r="AD724" s="9"/>
    </row>
    <row r="725" spans="1:30" ht="13.5" customHeight="1">
      <c r="A725" s="2"/>
      <c r="B725" s="2"/>
      <c r="C725" s="2"/>
      <c r="D725" s="2"/>
      <c r="E725" s="2"/>
      <c r="F725" s="2"/>
      <c r="G725" s="2"/>
      <c r="H725" s="2"/>
      <c r="I725" s="2"/>
      <c r="J725" s="2"/>
      <c r="K725" s="2"/>
      <c r="L725" s="2"/>
      <c r="M725" s="2"/>
      <c r="N725" s="2"/>
      <c r="O725" s="2"/>
      <c r="P725" s="2"/>
      <c r="Q725" s="2"/>
      <c r="R725" s="9"/>
      <c r="S725" s="9"/>
      <c r="T725" s="9"/>
      <c r="U725" s="9"/>
      <c r="V725" s="9"/>
      <c r="W725" s="9"/>
      <c r="X725" s="9"/>
      <c r="Y725" s="9"/>
      <c r="Z725" s="9"/>
      <c r="AA725" s="9"/>
      <c r="AB725" s="9"/>
      <c r="AC725" s="9"/>
      <c r="AD725" s="9"/>
    </row>
    <row r="726" spans="1:30" ht="13.5" customHeight="1">
      <c r="A726" s="2"/>
      <c r="B726" s="2"/>
      <c r="C726" s="2"/>
      <c r="D726" s="2"/>
      <c r="E726" s="2"/>
      <c r="F726" s="2"/>
      <c r="G726" s="2"/>
      <c r="H726" s="2"/>
      <c r="I726" s="2"/>
      <c r="J726" s="2"/>
      <c r="K726" s="2"/>
      <c r="L726" s="2"/>
      <c r="M726" s="2"/>
      <c r="N726" s="2"/>
      <c r="O726" s="2"/>
      <c r="P726" s="2"/>
      <c r="Q726" s="2"/>
      <c r="R726" s="9"/>
      <c r="S726" s="9"/>
      <c r="T726" s="9"/>
      <c r="U726" s="9"/>
      <c r="V726" s="9"/>
      <c r="W726" s="9"/>
      <c r="X726" s="9"/>
      <c r="Y726" s="9"/>
      <c r="Z726" s="9"/>
      <c r="AA726" s="9"/>
      <c r="AB726" s="9"/>
      <c r="AC726" s="9"/>
      <c r="AD726" s="9"/>
    </row>
    <row r="727" spans="1:30" ht="13.5" customHeight="1">
      <c r="A727" s="2"/>
      <c r="B727" s="2"/>
      <c r="C727" s="2"/>
      <c r="D727" s="2"/>
      <c r="E727" s="2"/>
      <c r="F727" s="2"/>
      <c r="G727" s="2"/>
      <c r="H727" s="2"/>
      <c r="I727" s="2"/>
      <c r="J727" s="2"/>
      <c r="K727" s="2"/>
      <c r="L727" s="2"/>
      <c r="M727" s="2"/>
      <c r="N727" s="2"/>
      <c r="O727" s="2"/>
      <c r="P727" s="2"/>
      <c r="Q727" s="2"/>
      <c r="R727" s="9"/>
      <c r="S727" s="9"/>
      <c r="T727" s="9"/>
      <c r="U727" s="9"/>
      <c r="V727" s="9"/>
      <c r="W727" s="9"/>
      <c r="X727" s="9"/>
      <c r="Y727" s="9"/>
      <c r="Z727" s="9"/>
      <c r="AA727" s="9"/>
      <c r="AB727" s="9"/>
      <c r="AC727" s="9"/>
      <c r="AD727" s="9"/>
    </row>
    <row r="728" spans="1:30" ht="13.5" customHeight="1">
      <c r="A728" s="2"/>
      <c r="B728" s="2"/>
      <c r="C728" s="2"/>
      <c r="D728" s="2"/>
      <c r="E728" s="2"/>
      <c r="F728" s="2"/>
      <c r="G728" s="2"/>
      <c r="H728" s="2"/>
      <c r="I728" s="2"/>
      <c r="J728" s="2"/>
      <c r="K728" s="2"/>
      <c r="L728" s="2"/>
      <c r="M728" s="2"/>
      <c r="N728" s="2"/>
      <c r="O728" s="2"/>
      <c r="P728" s="2"/>
      <c r="Q728" s="2"/>
      <c r="R728" s="9"/>
      <c r="S728" s="9"/>
      <c r="T728" s="9"/>
      <c r="U728" s="9"/>
      <c r="V728" s="9"/>
      <c r="W728" s="9"/>
      <c r="X728" s="9"/>
      <c r="Y728" s="9"/>
      <c r="Z728" s="9"/>
      <c r="AA728" s="9"/>
      <c r="AB728" s="9"/>
      <c r="AC728" s="9"/>
      <c r="AD728" s="9"/>
    </row>
    <row r="729" spans="1:30" ht="13.5" customHeight="1">
      <c r="A729" s="2"/>
      <c r="B729" s="2"/>
      <c r="C729" s="2"/>
      <c r="D729" s="2"/>
      <c r="E729" s="2"/>
      <c r="F729" s="2"/>
      <c r="G729" s="2"/>
      <c r="H729" s="2"/>
      <c r="I729" s="2"/>
      <c r="J729" s="2"/>
      <c r="K729" s="2"/>
      <c r="L729" s="2"/>
      <c r="M729" s="2"/>
      <c r="N729" s="2"/>
      <c r="O729" s="2"/>
      <c r="P729" s="2"/>
      <c r="Q729" s="2"/>
      <c r="R729" s="9"/>
      <c r="S729" s="9"/>
      <c r="T729" s="9"/>
      <c r="U729" s="9"/>
      <c r="V729" s="9"/>
      <c r="W729" s="9"/>
      <c r="X729" s="9"/>
      <c r="Y729" s="9"/>
      <c r="Z729" s="9"/>
      <c r="AA729" s="9"/>
      <c r="AB729" s="9"/>
      <c r="AC729" s="9"/>
      <c r="AD729" s="9"/>
    </row>
    <row r="730" spans="1:30" ht="13.5" customHeight="1">
      <c r="A730" s="2"/>
      <c r="B730" s="2"/>
      <c r="C730" s="2"/>
      <c r="D730" s="2"/>
      <c r="E730" s="2"/>
      <c r="F730" s="2"/>
      <c r="G730" s="2"/>
      <c r="H730" s="2"/>
      <c r="I730" s="2"/>
      <c r="J730" s="2"/>
      <c r="K730" s="2"/>
      <c r="L730" s="2"/>
      <c r="M730" s="2"/>
      <c r="N730" s="2"/>
      <c r="O730" s="2"/>
      <c r="P730" s="2"/>
      <c r="Q730" s="2"/>
      <c r="R730" s="9"/>
      <c r="S730" s="9"/>
      <c r="T730" s="9"/>
      <c r="U730" s="9"/>
      <c r="V730" s="9"/>
      <c r="W730" s="9"/>
      <c r="X730" s="9"/>
      <c r="Y730" s="9"/>
      <c r="Z730" s="9"/>
      <c r="AA730" s="9"/>
      <c r="AB730" s="9"/>
      <c r="AC730" s="9"/>
      <c r="AD730" s="9"/>
    </row>
    <row r="731" spans="1:30" ht="13.5" customHeight="1">
      <c r="A731" s="2"/>
      <c r="B731" s="2"/>
      <c r="C731" s="2"/>
      <c r="D731" s="2"/>
      <c r="E731" s="2"/>
      <c r="F731" s="2"/>
      <c r="G731" s="2"/>
      <c r="H731" s="2"/>
      <c r="I731" s="2"/>
      <c r="J731" s="2"/>
      <c r="K731" s="2"/>
      <c r="L731" s="2"/>
      <c r="M731" s="2"/>
      <c r="N731" s="2"/>
      <c r="O731" s="2"/>
      <c r="P731" s="2"/>
      <c r="Q731" s="2"/>
      <c r="R731" s="9"/>
      <c r="S731" s="9"/>
      <c r="T731" s="9"/>
      <c r="U731" s="9"/>
      <c r="V731" s="9"/>
      <c r="W731" s="9"/>
      <c r="X731" s="9"/>
      <c r="Y731" s="9"/>
      <c r="Z731" s="9"/>
      <c r="AA731" s="9"/>
      <c r="AB731" s="9"/>
      <c r="AC731" s="9"/>
      <c r="AD731" s="9"/>
    </row>
    <row r="732" spans="1:30" ht="13.5" customHeight="1">
      <c r="A732" s="2"/>
      <c r="B732" s="2"/>
      <c r="C732" s="2"/>
      <c r="D732" s="2"/>
      <c r="E732" s="2"/>
      <c r="F732" s="2"/>
      <c r="G732" s="2"/>
      <c r="H732" s="2"/>
      <c r="I732" s="2"/>
      <c r="J732" s="2"/>
      <c r="K732" s="2"/>
      <c r="L732" s="2"/>
      <c r="M732" s="2"/>
      <c r="N732" s="2"/>
      <c r="O732" s="2"/>
      <c r="P732" s="2"/>
      <c r="Q732" s="2"/>
      <c r="R732" s="9"/>
      <c r="S732" s="9"/>
      <c r="T732" s="9"/>
      <c r="U732" s="9"/>
      <c r="V732" s="9"/>
      <c r="W732" s="9"/>
      <c r="X732" s="9"/>
      <c r="Y732" s="9"/>
      <c r="Z732" s="9"/>
      <c r="AA732" s="9"/>
      <c r="AB732" s="9"/>
      <c r="AC732" s="9"/>
      <c r="AD732" s="9"/>
    </row>
    <row r="733" spans="1:30" ht="13.5" customHeight="1">
      <c r="A733" s="2"/>
      <c r="B733" s="2"/>
      <c r="C733" s="2"/>
      <c r="D733" s="2"/>
      <c r="E733" s="2"/>
      <c r="F733" s="2"/>
      <c r="G733" s="2"/>
      <c r="H733" s="2"/>
      <c r="I733" s="2"/>
      <c r="J733" s="2"/>
      <c r="K733" s="2"/>
      <c r="L733" s="2"/>
      <c r="M733" s="2"/>
      <c r="N733" s="2"/>
      <c r="O733" s="2"/>
      <c r="P733" s="2"/>
      <c r="Q733" s="2"/>
      <c r="R733" s="9"/>
      <c r="S733" s="9"/>
      <c r="T733" s="9"/>
      <c r="U733" s="9"/>
      <c r="V733" s="9"/>
      <c r="W733" s="9"/>
      <c r="X733" s="9"/>
      <c r="Y733" s="9"/>
      <c r="Z733" s="9"/>
      <c r="AA733" s="9"/>
      <c r="AB733" s="9"/>
      <c r="AC733" s="9"/>
      <c r="AD733" s="9"/>
    </row>
    <row r="734" spans="1:30" ht="13.5" customHeight="1">
      <c r="A734" s="2"/>
      <c r="B734" s="2"/>
      <c r="C734" s="2"/>
      <c r="D734" s="2"/>
      <c r="E734" s="2"/>
      <c r="F734" s="2"/>
      <c r="G734" s="2"/>
      <c r="H734" s="2"/>
      <c r="I734" s="2"/>
      <c r="J734" s="2"/>
      <c r="K734" s="2"/>
      <c r="L734" s="2"/>
      <c r="M734" s="2"/>
      <c r="N734" s="2"/>
      <c r="O734" s="2"/>
      <c r="P734" s="2"/>
      <c r="Q734" s="2"/>
      <c r="R734" s="9"/>
      <c r="S734" s="9"/>
      <c r="T734" s="9"/>
      <c r="U734" s="9"/>
      <c r="V734" s="9"/>
      <c r="W734" s="9"/>
      <c r="X734" s="9"/>
      <c r="Y734" s="9"/>
      <c r="Z734" s="9"/>
      <c r="AA734" s="9"/>
      <c r="AB734" s="9"/>
      <c r="AC734" s="9"/>
      <c r="AD734" s="9"/>
    </row>
    <row r="735" spans="1:30" ht="13.5" customHeight="1">
      <c r="A735" s="2"/>
      <c r="B735" s="2"/>
      <c r="C735" s="2"/>
      <c r="D735" s="2"/>
      <c r="E735" s="2"/>
      <c r="F735" s="2"/>
      <c r="G735" s="2"/>
      <c r="H735" s="2"/>
      <c r="I735" s="2"/>
      <c r="J735" s="2"/>
      <c r="K735" s="2"/>
      <c r="L735" s="2"/>
      <c r="M735" s="2"/>
      <c r="N735" s="2"/>
      <c r="O735" s="2"/>
      <c r="P735" s="2"/>
      <c r="Q735" s="2"/>
      <c r="R735" s="9"/>
      <c r="S735" s="9"/>
      <c r="T735" s="9"/>
      <c r="U735" s="9"/>
      <c r="V735" s="9"/>
      <c r="W735" s="9"/>
      <c r="X735" s="9"/>
      <c r="Y735" s="9"/>
      <c r="Z735" s="9"/>
      <c r="AA735" s="9"/>
      <c r="AB735" s="9"/>
      <c r="AC735" s="9"/>
      <c r="AD735" s="9"/>
    </row>
    <row r="736" spans="1:30" ht="13.5" customHeight="1">
      <c r="A736" s="2"/>
      <c r="B736" s="2"/>
      <c r="C736" s="2"/>
      <c r="D736" s="2"/>
      <c r="E736" s="2"/>
      <c r="F736" s="2"/>
      <c r="G736" s="2"/>
      <c r="H736" s="2"/>
      <c r="I736" s="2"/>
      <c r="J736" s="2"/>
      <c r="K736" s="2"/>
      <c r="L736" s="2"/>
      <c r="M736" s="2"/>
      <c r="N736" s="2"/>
      <c r="O736" s="2"/>
      <c r="P736" s="2"/>
      <c r="Q736" s="2"/>
      <c r="R736" s="9"/>
      <c r="S736" s="9"/>
      <c r="T736" s="9"/>
      <c r="U736" s="9"/>
      <c r="V736" s="9"/>
      <c r="W736" s="9"/>
      <c r="X736" s="9"/>
      <c r="Y736" s="9"/>
      <c r="Z736" s="9"/>
      <c r="AA736" s="9"/>
      <c r="AB736" s="9"/>
      <c r="AC736" s="9"/>
      <c r="AD736" s="9"/>
    </row>
    <row r="737" spans="1:30" ht="13.5" customHeight="1">
      <c r="A737" s="2"/>
      <c r="B737" s="2"/>
      <c r="C737" s="2"/>
      <c r="D737" s="2"/>
      <c r="E737" s="2"/>
      <c r="F737" s="2"/>
      <c r="G737" s="2"/>
      <c r="H737" s="2"/>
      <c r="I737" s="2"/>
      <c r="J737" s="2"/>
      <c r="K737" s="2"/>
      <c r="L737" s="2"/>
      <c r="M737" s="2"/>
      <c r="N737" s="2"/>
      <c r="O737" s="2"/>
      <c r="P737" s="2"/>
      <c r="Q737" s="2"/>
      <c r="R737" s="9"/>
      <c r="S737" s="9"/>
      <c r="T737" s="9"/>
      <c r="U737" s="9"/>
      <c r="V737" s="9"/>
      <c r="W737" s="9"/>
      <c r="X737" s="9"/>
      <c r="Y737" s="9"/>
      <c r="Z737" s="9"/>
      <c r="AA737" s="9"/>
      <c r="AB737" s="9"/>
      <c r="AC737" s="9"/>
      <c r="AD737" s="9"/>
    </row>
    <row r="738" spans="1:30" ht="13.5" customHeight="1">
      <c r="A738" s="2"/>
      <c r="B738" s="2"/>
      <c r="C738" s="2"/>
      <c r="D738" s="2"/>
      <c r="E738" s="2"/>
      <c r="F738" s="2"/>
      <c r="G738" s="2"/>
      <c r="H738" s="2"/>
      <c r="I738" s="2"/>
      <c r="J738" s="2"/>
      <c r="K738" s="2"/>
      <c r="L738" s="2"/>
      <c r="M738" s="2"/>
      <c r="N738" s="2"/>
      <c r="O738" s="2"/>
      <c r="P738" s="2"/>
      <c r="Q738" s="2"/>
      <c r="R738" s="9"/>
      <c r="S738" s="9"/>
      <c r="T738" s="9"/>
      <c r="U738" s="9"/>
      <c r="V738" s="9"/>
      <c r="W738" s="9"/>
      <c r="X738" s="9"/>
      <c r="Y738" s="9"/>
      <c r="Z738" s="9"/>
      <c r="AA738" s="9"/>
      <c r="AB738" s="9"/>
      <c r="AC738" s="9"/>
      <c r="AD738" s="9"/>
    </row>
    <row r="739" spans="1:30" ht="13.5" customHeight="1">
      <c r="A739" s="2"/>
      <c r="B739" s="2"/>
      <c r="C739" s="2"/>
      <c r="D739" s="2"/>
      <c r="E739" s="2"/>
      <c r="F739" s="2"/>
      <c r="G739" s="2"/>
      <c r="H739" s="2"/>
      <c r="I739" s="2"/>
      <c r="J739" s="2"/>
      <c r="K739" s="2"/>
      <c r="L739" s="2"/>
      <c r="M739" s="2"/>
      <c r="N739" s="2"/>
      <c r="O739" s="2"/>
      <c r="P739" s="2"/>
      <c r="Q739" s="2"/>
      <c r="R739" s="9"/>
      <c r="S739" s="9"/>
      <c r="T739" s="9"/>
      <c r="U739" s="9"/>
      <c r="V739" s="9"/>
      <c r="W739" s="9"/>
      <c r="X739" s="9"/>
      <c r="Y739" s="9"/>
      <c r="Z739" s="9"/>
      <c r="AA739" s="9"/>
      <c r="AB739" s="9"/>
      <c r="AC739" s="9"/>
      <c r="AD739" s="9"/>
    </row>
    <row r="740" spans="1:30" ht="13.5" customHeight="1">
      <c r="A740" s="2"/>
      <c r="B740" s="2"/>
      <c r="C740" s="2"/>
      <c r="D740" s="2"/>
      <c r="E740" s="2"/>
      <c r="F740" s="2"/>
      <c r="G740" s="2"/>
      <c r="H740" s="2"/>
      <c r="I740" s="2"/>
      <c r="J740" s="2"/>
      <c r="K740" s="2"/>
      <c r="L740" s="2"/>
      <c r="M740" s="2"/>
      <c r="N740" s="2"/>
      <c r="O740" s="2"/>
      <c r="P740" s="2"/>
      <c r="Q740" s="2"/>
      <c r="R740" s="9"/>
      <c r="S740" s="9"/>
      <c r="T740" s="9"/>
      <c r="U740" s="9"/>
      <c r="V740" s="9"/>
      <c r="W740" s="9"/>
      <c r="X740" s="9"/>
      <c r="Y740" s="9"/>
      <c r="Z740" s="9"/>
      <c r="AA740" s="9"/>
      <c r="AB740" s="9"/>
      <c r="AC740" s="9"/>
      <c r="AD740" s="9"/>
    </row>
    <row r="741" spans="1:30" ht="13.5" customHeight="1">
      <c r="A741" s="2"/>
      <c r="B741" s="2"/>
      <c r="C741" s="2"/>
      <c r="D741" s="2"/>
      <c r="E741" s="2"/>
      <c r="F741" s="2"/>
      <c r="G741" s="2"/>
      <c r="H741" s="2"/>
      <c r="I741" s="2"/>
      <c r="J741" s="2"/>
      <c r="K741" s="2"/>
      <c r="L741" s="2"/>
      <c r="M741" s="2"/>
      <c r="N741" s="2"/>
      <c r="O741" s="2"/>
      <c r="P741" s="2"/>
      <c r="Q741" s="2"/>
      <c r="R741" s="9"/>
      <c r="S741" s="9"/>
      <c r="T741" s="9"/>
      <c r="U741" s="9"/>
      <c r="V741" s="9"/>
      <c r="W741" s="9"/>
      <c r="X741" s="9"/>
      <c r="Y741" s="9"/>
      <c r="Z741" s="9"/>
      <c r="AA741" s="9"/>
      <c r="AB741" s="9"/>
      <c r="AC741" s="9"/>
      <c r="AD741" s="9"/>
    </row>
    <row r="742" spans="1:30" ht="13.5" customHeight="1">
      <c r="A742" s="2"/>
      <c r="B742" s="2"/>
      <c r="C742" s="2"/>
      <c r="D742" s="2"/>
      <c r="E742" s="2"/>
      <c r="F742" s="2"/>
      <c r="G742" s="2"/>
      <c r="H742" s="2"/>
      <c r="I742" s="2"/>
      <c r="J742" s="2"/>
      <c r="K742" s="2"/>
      <c r="L742" s="2"/>
      <c r="M742" s="2"/>
      <c r="N742" s="2"/>
      <c r="O742" s="2"/>
      <c r="P742" s="2"/>
      <c r="Q742" s="2"/>
      <c r="R742" s="9"/>
      <c r="S742" s="9"/>
      <c r="T742" s="9"/>
      <c r="U742" s="9"/>
      <c r="V742" s="9"/>
      <c r="W742" s="9"/>
      <c r="X742" s="9"/>
      <c r="Y742" s="9"/>
      <c r="Z742" s="9"/>
      <c r="AA742" s="9"/>
      <c r="AB742" s="9"/>
      <c r="AC742" s="9"/>
      <c r="AD742" s="9"/>
    </row>
    <row r="743" spans="1:30" ht="13.5" customHeight="1">
      <c r="A743" s="2"/>
      <c r="B743" s="2"/>
      <c r="C743" s="2"/>
      <c r="D743" s="2"/>
      <c r="E743" s="2"/>
      <c r="F743" s="2"/>
      <c r="G743" s="2"/>
      <c r="H743" s="2"/>
      <c r="I743" s="2"/>
      <c r="J743" s="2"/>
      <c r="K743" s="2"/>
      <c r="L743" s="2"/>
      <c r="M743" s="2"/>
      <c r="N743" s="2"/>
      <c r="O743" s="2"/>
      <c r="P743" s="2"/>
      <c r="Q743" s="2"/>
      <c r="R743" s="9"/>
      <c r="S743" s="9"/>
      <c r="T743" s="9"/>
      <c r="U743" s="9"/>
      <c r="V743" s="9"/>
      <c r="W743" s="9"/>
      <c r="X743" s="9"/>
      <c r="Y743" s="9"/>
      <c r="Z743" s="9"/>
      <c r="AA743" s="9"/>
      <c r="AB743" s="9"/>
      <c r="AC743" s="9"/>
      <c r="AD743" s="9"/>
    </row>
    <row r="744" spans="1:30" ht="13.5" customHeight="1">
      <c r="A744" s="2"/>
      <c r="B744" s="2"/>
      <c r="C744" s="2"/>
      <c r="D744" s="2"/>
      <c r="E744" s="2"/>
      <c r="F744" s="2"/>
      <c r="G744" s="2"/>
      <c r="H744" s="2"/>
      <c r="I744" s="2"/>
      <c r="J744" s="2"/>
      <c r="K744" s="2"/>
      <c r="L744" s="2"/>
      <c r="M744" s="2"/>
      <c r="N744" s="2"/>
      <c r="O744" s="2"/>
      <c r="P744" s="2"/>
      <c r="Q744" s="2"/>
      <c r="R744" s="9"/>
      <c r="S744" s="9"/>
      <c r="T744" s="9"/>
      <c r="U744" s="9"/>
      <c r="V744" s="9"/>
      <c r="W744" s="9"/>
      <c r="X744" s="9"/>
      <c r="Y744" s="9"/>
      <c r="Z744" s="9"/>
      <c r="AA744" s="9"/>
      <c r="AB744" s="9"/>
      <c r="AC744" s="9"/>
      <c r="AD744" s="9"/>
    </row>
    <row r="745" spans="1:30" ht="13.5" customHeight="1">
      <c r="A745" s="2"/>
      <c r="B745" s="2"/>
      <c r="C745" s="2"/>
      <c r="D745" s="2"/>
      <c r="E745" s="2"/>
      <c r="F745" s="2"/>
      <c r="G745" s="2"/>
      <c r="H745" s="2"/>
      <c r="I745" s="2"/>
      <c r="J745" s="2"/>
      <c r="K745" s="2"/>
      <c r="L745" s="2"/>
      <c r="M745" s="2"/>
      <c r="N745" s="2"/>
      <c r="O745" s="2"/>
      <c r="P745" s="2"/>
      <c r="Q745" s="2"/>
      <c r="R745" s="9"/>
      <c r="S745" s="9"/>
      <c r="T745" s="9"/>
      <c r="U745" s="9"/>
      <c r="V745" s="9"/>
      <c r="W745" s="9"/>
      <c r="X745" s="9"/>
      <c r="Y745" s="9"/>
      <c r="Z745" s="9"/>
      <c r="AA745" s="9"/>
      <c r="AB745" s="9"/>
      <c r="AC745" s="9"/>
      <c r="AD745" s="9"/>
    </row>
    <row r="746" spans="1:30" ht="13.5" customHeight="1">
      <c r="A746" s="2"/>
      <c r="B746" s="2"/>
      <c r="C746" s="2"/>
      <c r="D746" s="2"/>
      <c r="E746" s="2"/>
      <c r="F746" s="2"/>
      <c r="G746" s="2"/>
      <c r="H746" s="2"/>
      <c r="I746" s="2"/>
      <c r="J746" s="2"/>
      <c r="K746" s="2"/>
      <c r="L746" s="2"/>
      <c r="M746" s="2"/>
      <c r="N746" s="2"/>
      <c r="O746" s="2"/>
      <c r="P746" s="2"/>
      <c r="Q746" s="2"/>
      <c r="R746" s="9"/>
      <c r="S746" s="9"/>
      <c r="T746" s="9"/>
      <c r="U746" s="9"/>
      <c r="V746" s="9"/>
      <c r="W746" s="9"/>
      <c r="X746" s="9"/>
      <c r="Y746" s="9"/>
      <c r="Z746" s="9"/>
      <c r="AA746" s="9"/>
      <c r="AB746" s="9"/>
      <c r="AC746" s="9"/>
      <c r="AD746" s="9"/>
    </row>
    <row r="747" spans="1:30" ht="13.5" customHeight="1">
      <c r="A747" s="2"/>
      <c r="B747" s="2"/>
      <c r="C747" s="2"/>
      <c r="D747" s="2"/>
      <c r="E747" s="2"/>
      <c r="F747" s="2"/>
      <c r="G747" s="2"/>
      <c r="H747" s="2"/>
      <c r="I747" s="2"/>
      <c r="J747" s="2"/>
      <c r="K747" s="2"/>
      <c r="L747" s="2"/>
      <c r="M747" s="2"/>
      <c r="N747" s="2"/>
      <c r="O747" s="2"/>
      <c r="P747" s="2"/>
      <c r="Q747" s="2"/>
      <c r="R747" s="9"/>
      <c r="S747" s="9"/>
      <c r="T747" s="9"/>
      <c r="U747" s="9"/>
      <c r="V747" s="9"/>
      <c r="W747" s="9"/>
      <c r="X747" s="9"/>
      <c r="Y747" s="9"/>
      <c r="Z747" s="9"/>
      <c r="AA747" s="9"/>
      <c r="AB747" s="9"/>
      <c r="AC747" s="9"/>
      <c r="AD747" s="9"/>
    </row>
    <row r="748" spans="1:30" ht="13.5" customHeight="1">
      <c r="A748" s="2"/>
      <c r="B748" s="2"/>
      <c r="C748" s="2"/>
      <c r="D748" s="2"/>
      <c r="E748" s="2"/>
      <c r="F748" s="2"/>
      <c r="G748" s="2"/>
      <c r="H748" s="2"/>
      <c r="I748" s="2"/>
      <c r="J748" s="2"/>
      <c r="K748" s="2"/>
      <c r="L748" s="2"/>
      <c r="M748" s="2"/>
      <c r="N748" s="2"/>
      <c r="O748" s="2"/>
      <c r="P748" s="2"/>
      <c r="Q748" s="2"/>
      <c r="R748" s="9"/>
      <c r="S748" s="9"/>
      <c r="T748" s="9"/>
      <c r="U748" s="9"/>
      <c r="V748" s="9"/>
      <c r="W748" s="9"/>
      <c r="X748" s="9"/>
      <c r="Y748" s="9"/>
      <c r="Z748" s="9"/>
      <c r="AA748" s="9"/>
      <c r="AB748" s="9"/>
      <c r="AC748" s="9"/>
      <c r="AD748" s="9"/>
    </row>
    <row r="749" spans="1:30" ht="13.5" customHeight="1">
      <c r="A749" s="2"/>
      <c r="B749" s="2"/>
      <c r="C749" s="2"/>
      <c r="D749" s="2"/>
      <c r="E749" s="2"/>
      <c r="F749" s="2"/>
      <c r="G749" s="2"/>
      <c r="H749" s="2"/>
      <c r="I749" s="2"/>
      <c r="J749" s="2"/>
      <c r="K749" s="2"/>
      <c r="L749" s="2"/>
      <c r="M749" s="2"/>
      <c r="N749" s="2"/>
      <c r="O749" s="2"/>
      <c r="P749" s="2"/>
      <c r="Q749" s="2"/>
      <c r="R749" s="9"/>
      <c r="S749" s="9"/>
      <c r="T749" s="9"/>
      <c r="U749" s="9"/>
      <c r="V749" s="9"/>
      <c r="W749" s="9"/>
      <c r="X749" s="9"/>
      <c r="Y749" s="9"/>
      <c r="Z749" s="9"/>
      <c r="AA749" s="9"/>
      <c r="AB749" s="9"/>
      <c r="AC749" s="9"/>
      <c r="AD749" s="9"/>
    </row>
    <row r="750" spans="1:30" ht="13.5" customHeight="1">
      <c r="A750" s="2"/>
      <c r="B750" s="2"/>
      <c r="C750" s="2"/>
      <c r="D750" s="2"/>
      <c r="E750" s="2"/>
      <c r="F750" s="2"/>
      <c r="G750" s="2"/>
      <c r="H750" s="2"/>
      <c r="I750" s="2"/>
      <c r="J750" s="2"/>
      <c r="K750" s="2"/>
      <c r="L750" s="2"/>
      <c r="M750" s="2"/>
      <c r="N750" s="2"/>
      <c r="O750" s="2"/>
      <c r="P750" s="2"/>
      <c r="Q750" s="2"/>
      <c r="R750" s="9"/>
      <c r="S750" s="9"/>
      <c r="T750" s="9"/>
      <c r="U750" s="9"/>
      <c r="V750" s="9"/>
      <c r="W750" s="9"/>
      <c r="X750" s="9"/>
      <c r="Y750" s="9"/>
      <c r="Z750" s="9"/>
      <c r="AA750" s="9"/>
      <c r="AB750" s="9"/>
      <c r="AC750" s="9"/>
      <c r="AD750" s="9"/>
    </row>
    <row r="751" spans="1:30" ht="13.5" customHeight="1">
      <c r="A751" s="2"/>
      <c r="B751" s="2"/>
      <c r="C751" s="2"/>
      <c r="D751" s="2"/>
      <c r="E751" s="2"/>
      <c r="F751" s="2"/>
      <c r="G751" s="2"/>
      <c r="H751" s="2"/>
      <c r="I751" s="2"/>
      <c r="J751" s="2"/>
      <c r="K751" s="2"/>
      <c r="L751" s="2"/>
      <c r="M751" s="2"/>
      <c r="N751" s="2"/>
      <c r="O751" s="2"/>
      <c r="P751" s="2"/>
      <c r="Q751" s="2"/>
      <c r="R751" s="9"/>
      <c r="S751" s="9"/>
      <c r="T751" s="9"/>
      <c r="U751" s="9"/>
      <c r="V751" s="9"/>
      <c r="W751" s="9"/>
      <c r="X751" s="9"/>
      <c r="Y751" s="9"/>
      <c r="Z751" s="9"/>
      <c r="AA751" s="9"/>
      <c r="AB751" s="9"/>
      <c r="AC751" s="9"/>
      <c r="AD751" s="9"/>
    </row>
    <row r="752" spans="1:30" ht="13.5" customHeight="1">
      <c r="A752" s="2"/>
      <c r="B752" s="2"/>
      <c r="C752" s="2"/>
      <c r="D752" s="2"/>
      <c r="E752" s="2"/>
      <c r="F752" s="2"/>
      <c r="G752" s="2"/>
      <c r="H752" s="2"/>
      <c r="I752" s="2"/>
      <c r="J752" s="2"/>
      <c r="K752" s="2"/>
      <c r="L752" s="2"/>
      <c r="M752" s="2"/>
      <c r="N752" s="2"/>
      <c r="O752" s="2"/>
      <c r="P752" s="2"/>
      <c r="Q752" s="2"/>
      <c r="R752" s="9"/>
      <c r="S752" s="9"/>
      <c r="T752" s="9"/>
      <c r="U752" s="9"/>
      <c r="V752" s="9"/>
      <c r="W752" s="9"/>
      <c r="X752" s="9"/>
      <c r="Y752" s="9"/>
      <c r="Z752" s="9"/>
      <c r="AA752" s="9"/>
      <c r="AB752" s="9"/>
      <c r="AC752" s="9"/>
      <c r="AD752" s="9"/>
    </row>
    <row r="753" spans="1:30" ht="13.5" customHeight="1">
      <c r="A753" s="2"/>
      <c r="B753" s="2"/>
      <c r="C753" s="2"/>
      <c r="D753" s="2"/>
      <c r="E753" s="2"/>
      <c r="F753" s="2"/>
      <c r="G753" s="2"/>
      <c r="H753" s="2"/>
      <c r="I753" s="2"/>
      <c r="J753" s="2"/>
      <c r="K753" s="2"/>
      <c r="L753" s="2"/>
      <c r="M753" s="2"/>
      <c r="N753" s="2"/>
      <c r="O753" s="2"/>
      <c r="P753" s="2"/>
      <c r="Q753" s="2"/>
      <c r="R753" s="9"/>
      <c r="S753" s="9"/>
      <c r="T753" s="9"/>
      <c r="U753" s="9"/>
      <c r="V753" s="9"/>
      <c r="W753" s="9"/>
      <c r="X753" s="9"/>
      <c r="Y753" s="9"/>
      <c r="Z753" s="9"/>
      <c r="AA753" s="9"/>
      <c r="AB753" s="9"/>
      <c r="AC753" s="9"/>
      <c r="AD753" s="9"/>
    </row>
    <row r="754" spans="1:30" ht="13.5" customHeight="1">
      <c r="A754" s="2"/>
      <c r="B754" s="2"/>
      <c r="C754" s="2"/>
      <c r="D754" s="2"/>
      <c r="E754" s="2"/>
      <c r="F754" s="2"/>
      <c r="G754" s="2"/>
      <c r="H754" s="2"/>
      <c r="I754" s="2"/>
      <c r="J754" s="2"/>
      <c r="K754" s="2"/>
      <c r="L754" s="2"/>
      <c r="M754" s="2"/>
      <c r="N754" s="2"/>
      <c r="O754" s="2"/>
      <c r="P754" s="2"/>
      <c r="Q754" s="2"/>
      <c r="R754" s="9"/>
      <c r="S754" s="9"/>
      <c r="T754" s="9"/>
      <c r="U754" s="9"/>
      <c r="V754" s="9"/>
      <c r="W754" s="9"/>
      <c r="X754" s="9"/>
      <c r="Y754" s="9"/>
      <c r="Z754" s="9"/>
      <c r="AA754" s="9"/>
      <c r="AB754" s="9"/>
      <c r="AC754" s="9"/>
      <c r="AD754" s="9"/>
    </row>
    <row r="755" spans="1:30" ht="13.5" customHeight="1">
      <c r="A755" s="2"/>
      <c r="B755" s="2"/>
      <c r="C755" s="2"/>
      <c r="D755" s="2"/>
      <c r="E755" s="2"/>
      <c r="F755" s="2"/>
      <c r="G755" s="2"/>
      <c r="H755" s="2"/>
      <c r="I755" s="2"/>
      <c r="J755" s="2"/>
      <c r="K755" s="2"/>
      <c r="L755" s="2"/>
      <c r="M755" s="2"/>
      <c r="N755" s="2"/>
      <c r="O755" s="2"/>
      <c r="P755" s="2"/>
      <c r="Q755" s="2"/>
      <c r="R755" s="9"/>
      <c r="S755" s="9"/>
      <c r="T755" s="9"/>
      <c r="U755" s="9"/>
      <c r="V755" s="9"/>
      <c r="W755" s="9"/>
      <c r="X755" s="9"/>
      <c r="Y755" s="9"/>
      <c r="Z755" s="9"/>
      <c r="AA755" s="9"/>
      <c r="AB755" s="9"/>
      <c r="AC755" s="9"/>
      <c r="AD755" s="9"/>
    </row>
    <row r="756" spans="1:30" ht="13.5" customHeight="1">
      <c r="A756" s="2"/>
      <c r="B756" s="2"/>
      <c r="C756" s="2"/>
      <c r="D756" s="2"/>
      <c r="E756" s="2"/>
      <c r="F756" s="2"/>
      <c r="G756" s="2"/>
      <c r="H756" s="2"/>
      <c r="I756" s="2"/>
      <c r="J756" s="2"/>
      <c r="K756" s="2"/>
      <c r="L756" s="2"/>
      <c r="M756" s="2"/>
      <c r="N756" s="2"/>
      <c r="O756" s="2"/>
      <c r="P756" s="2"/>
      <c r="Q756" s="2"/>
      <c r="R756" s="9"/>
      <c r="S756" s="9"/>
      <c r="T756" s="9"/>
      <c r="U756" s="9"/>
      <c r="V756" s="9"/>
      <c r="W756" s="9"/>
      <c r="X756" s="9"/>
      <c r="Y756" s="9"/>
      <c r="Z756" s="9"/>
      <c r="AA756" s="9"/>
      <c r="AB756" s="9"/>
      <c r="AC756" s="9"/>
      <c r="AD756" s="9"/>
    </row>
    <row r="757" spans="1:30" ht="13.5" customHeight="1">
      <c r="A757" s="2"/>
      <c r="B757" s="2"/>
      <c r="C757" s="2"/>
      <c r="D757" s="2"/>
      <c r="E757" s="2"/>
      <c r="F757" s="2"/>
      <c r="G757" s="2"/>
      <c r="H757" s="2"/>
      <c r="I757" s="2"/>
      <c r="J757" s="2"/>
      <c r="K757" s="2"/>
      <c r="L757" s="2"/>
      <c r="M757" s="2"/>
      <c r="N757" s="2"/>
      <c r="O757" s="2"/>
      <c r="P757" s="2"/>
      <c r="Q757" s="2"/>
      <c r="R757" s="9"/>
      <c r="S757" s="9"/>
      <c r="T757" s="9"/>
      <c r="U757" s="9"/>
      <c r="V757" s="9"/>
      <c r="W757" s="9"/>
      <c r="X757" s="9"/>
      <c r="Y757" s="9"/>
      <c r="Z757" s="9"/>
      <c r="AA757" s="9"/>
      <c r="AB757" s="9"/>
      <c r="AC757" s="9"/>
      <c r="AD757" s="9"/>
    </row>
    <row r="758" spans="1:30" ht="13.5" customHeight="1">
      <c r="A758" s="2"/>
      <c r="B758" s="2"/>
      <c r="C758" s="2"/>
      <c r="D758" s="2"/>
      <c r="E758" s="2"/>
      <c r="F758" s="2"/>
      <c r="G758" s="2"/>
      <c r="H758" s="2"/>
      <c r="I758" s="2"/>
      <c r="J758" s="2"/>
      <c r="K758" s="2"/>
      <c r="L758" s="2"/>
      <c r="M758" s="2"/>
      <c r="N758" s="2"/>
      <c r="O758" s="2"/>
      <c r="P758" s="2"/>
      <c r="Q758" s="2"/>
      <c r="R758" s="9"/>
      <c r="S758" s="9"/>
      <c r="T758" s="9"/>
      <c r="U758" s="9"/>
      <c r="V758" s="9"/>
      <c r="W758" s="9"/>
      <c r="X758" s="9"/>
      <c r="Y758" s="9"/>
      <c r="Z758" s="9"/>
      <c r="AA758" s="9"/>
      <c r="AB758" s="9"/>
      <c r="AC758" s="9"/>
      <c r="AD758" s="9"/>
    </row>
    <row r="759" spans="1:30" ht="13.5" customHeight="1">
      <c r="A759" s="2"/>
      <c r="B759" s="2"/>
      <c r="C759" s="2"/>
      <c r="D759" s="2"/>
      <c r="E759" s="2"/>
      <c r="F759" s="2"/>
      <c r="G759" s="2"/>
      <c r="H759" s="2"/>
      <c r="I759" s="2"/>
      <c r="J759" s="2"/>
      <c r="K759" s="2"/>
      <c r="L759" s="2"/>
      <c r="M759" s="2"/>
      <c r="N759" s="2"/>
      <c r="O759" s="2"/>
      <c r="P759" s="2"/>
      <c r="Q759" s="2"/>
      <c r="R759" s="9"/>
      <c r="S759" s="9"/>
      <c r="T759" s="9"/>
      <c r="U759" s="9"/>
      <c r="V759" s="9"/>
      <c r="W759" s="9"/>
      <c r="X759" s="9"/>
      <c r="Y759" s="9"/>
      <c r="Z759" s="9"/>
      <c r="AA759" s="9"/>
      <c r="AB759" s="9"/>
      <c r="AC759" s="9"/>
      <c r="AD759" s="9"/>
    </row>
    <row r="760" spans="1:30" ht="13.5" customHeight="1">
      <c r="A760" s="2"/>
      <c r="B760" s="2"/>
      <c r="C760" s="2"/>
      <c r="D760" s="2"/>
      <c r="E760" s="2"/>
      <c r="F760" s="2"/>
      <c r="G760" s="2"/>
      <c r="H760" s="2"/>
      <c r="I760" s="2"/>
      <c r="J760" s="2"/>
      <c r="K760" s="2"/>
      <c r="L760" s="2"/>
      <c r="M760" s="2"/>
      <c r="N760" s="2"/>
      <c r="O760" s="2"/>
      <c r="P760" s="2"/>
      <c r="Q760" s="2"/>
      <c r="R760" s="9"/>
      <c r="S760" s="9"/>
      <c r="T760" s="9"/>
      <c r="U760" s="9"/>
      <c r="V760" s="9"/>
      <c r="W760" s="9"/>
      <c r="X760" s="9"/>
      <c r="Y760" s="9"/>
      <c r="Z760" s="9"/>
      <c r="AA760" s="9"/>
      <c r="AB760" s="9"/>
      <c r="AC760" s="9"/>
      <c r="AD760" s="9"/>
    </row>
    <row r="761" spans="1:30" ht="13.5" customHeight="1">
      <c r="A761" s="2"/>
      <c r="B761" s="2"/>
      <c r="C761" s="2"/>
      <c r="D761" s="2"/>
      <c r="E761" s="2"/>
      <c r="F761" s="2"/>
      <c r="G761" s="2"/>
      <c r="H761" s="2"/>
      <c r="I761" s="2"/>
      <c r="J761" s="2"/>
      <c r="K761" s="2"/>
      <c r="L761" s="2"/>
      <c r="M761" s="2"/>
      <c r="N761" s="2"/>
      <c r="O761" s="2"/>
      <c r="P761" s="2"/>
      <c r="Q761" s="2"/>
      <c r="R761" s="9"/>
      <c r="S761" s="9"/>
      <c r="T761" s="9"/>
      <c r="U761" s="9"/>
      <c r="V761" s="9"/>
      <c r="W761" s="9"/>
      <c r="X761" s="9"/>
      <c r="Y761" s="9"/>
      <c r="Z761" s="9"/>
      <c r="AA761" s="9"/>
      <c r="AB761" s="9"/>
      <c r="AC761" s="9"/>
      <c r="AD761" s="9"/>
    </row>
    <row r="762" spans="1:30" ht="13.5" customHeight="1">
      <c r="A762" s="2"/>
      <c r="B762" s="2"/>
      <c r="C762" s="2"/>
      <c r="D762" s="2"/>
      <c r="E762" s="2"/>
      <c r="F762" s="2"/>
      <c r="G762" s="2"/>
      <c r="H762" s="2"/>
      <c r="I762" s="2"/>
      <c r="J762" s="2"/>
      <c r="K762" s="2"/>
      <c r="L762" s="2"/>
      <c r="M762" s="2"/>
      <c r="N762" s="2"/>
      <c r="O762" s="2"/>
      <c r="P762" s="2"/>
      <c r="Q762" s="2"/>
      <c r="R762" s="9"/>
      <c r="S762" s="9"/>
      <c r="T762" s="9"/>
      <c r="U762" s="9"/>
      <c r="V762" s="9"/>
      <c r="W762" s="9"/>
      <c r="X762" s="9"/>
      <c r="Y762" s="9"/>
      <c r="Z762" s="9"/>
      <c r="AA762" s="9"/>
      <c r="AB762" s="9"/>
      <c r="AC762" s="9"/>
      <c r="AD762" s="9"/>
    </row>
    <row r="763" spans="1:30" ht="13.5" customHeight="1">
      <c r="A763" s="2"/>
      <c r="B763" s="2"/>
      <c r="C763" s="2"/>
      <c r="D763" s="2"/>
      <c r="E763" s="2"/>
      <c r="F763" s="2"/>
      <c r="G763" s="2"/>
      <c r="H763" s="2"/>
      <c r="I763" s="2"/>
      <c r="J763" s="2"/>
      <c r="K763" s="2"/>
      <c r="L763" s="2"/>
      <c r="M763" s="2"/>
      <c r="N763" s="2"/>
      <c r="O763" s="2"/>
      <c r="P763" s="2"/>
      <c r="Q763" s="2"/>
      <c r="R763" s="9"/>
      <c r="S763" s="9"/>
      <c r="T763" s="9"/>
      <c r="U763" s="9"/>
      <c r="V763" s="9"/>
      <c r="W763" s="9"/>
      <c r="X763" s="9"/>
      <c r="Y763" s="9"/>
      <c r="Z763" s="9"/>
      <c r="AA763" s="9"/>
      <c r="AB763" s="9"/>
      <c r="AC763" s="9"/>
      <c r="AD763" s="9"/>
    </row>
    <row r="764" spans="1:30" ht="13.5" customHeight="1">
      <c r="A764" s="2"/>
      <c r="B764" s="2"/>
      <c r="C764" s="2"/>
      <c r="D764" s="2"/>
      <c r="E764" s="2"/>
      <c r="F764" s="2"/>
      <c r="G764" s="2"/>
      <c r="H764" s="2"/>
      <c r="I764" s="2"/>
      <c r="J764" s="2"/>
      <c r="K764" s="2"/>
      <c r="L764" s="2"/>
      <c r="M764" s="2"/>
      <c r="N764" s="2"/>
      <c r="O764" s="2"/>
      <c r="P764" s="2"/>
      <c r="Q764" s="2"/>
      <c r="R764" s="9"/>
      <c r="S764" s="9"/>
      <c r="T764" s="9"/>
      <c r="U764" s="9"/>
      <c r="V764" s="9"/>
      <c r="W764" s="9"/>
      <c r="X764" s="9"/>
      <c r="Y764" s="9"/>
      <c r="Z764" s="9"/>
      <c r="AA764" s="9"/>
      <c r="AB764" s="9"/>
      <c r="AC764" s="9"/>
      <c r="AD764" s="9"/>
    </row>
    <row r="765" spans="1:30" ht="13.5" customHeight="1">
      <c r="A765" s="2"/>
      <c r="B765" s="2"/>
      <c r="C765" s="2"/>
      <c r="D765" s="2"/>
      <c r="E765" s="2"/>
      <c r="F765" s="2"/>
      <c r="G765" s="2"/>
      <c r="H765" s="2"/>
      <c r="I765" s="2"/>
      <c r="J765" s="2"/>
      <c r="K765" s="2"/>
      <c r="L765" s="2"/>
      <c r="M765" s="2"/>
      <c r="N765" s="2"/>
      <c r="O765" s="2"/>
      <c r="P765" s="2"/>
      <c r="Q765" s="2"/>
      <c r="R765" s="9"/>
      <c r="S765" s="9"/>
      <c r="T765" s="9"/>
      <c r="U765" s="9"/>
      <c r="V765" s="9"/>
      <c r="W765" s="9"/>
      <c r="X765" s="9"/>
      <c r="Y765" s="9"/>
      <c r="Z765" s="9"/>
      <c r="AA765" s="9"/>
      <c r="AB765" s="9"/>
      <c r="AC765" s="9"/>
      <c r="AD765" s="9"/>
    </row>
    <row r="766" spans="1:30" ht="13.5" customHeight="1">
      <c r="A766" s="2"/>
      <c r="B766" s="2"/>
      <c r="C766" s="2"/>
      <c r="D766" s="2"/>
      <c r="E766" s="2"/>
      <c r="F766" s="2"/>
      <c r="G766" s="2"/>
      <c r="H766" s="2"/>
      <c r="I766" s="2"/>
      <c r="J766" s="2"/>
      <c r="K766" s="2"/>
      <c r="L766" s="2"/>
      <c r="M766" s="2"/>
      <c r="N766" s="2"/>
      <c r="O766" s="2"/>
      <c r="P766" s="2"/>
      <c r="Q766" s="2"/>
      <c r="R766" s="9"/>
      <c r="S766" s="9"/>
      <c r="T766" s="9"/>
      <c r="U766" s="9"/>
      <c r="V766" s="9"/>
      <c r="W766" s="9"/>
      <c r="X766" s="9"/>
      <c r="Y766" s="9"/>
      <c r="Z766" s="9"/>
      <c r="AA766" s="9"/>
      <c r="AB766" s="9"/>
      <c r="AC766" s="9"/>
      <c r="AD766" s="9"/>
    </row>
    <row r="767" spans="1:30" ht="13.5" customHeight="1">
      <c r="A767" s="2"/>
      <c r="B767" s="2"/>
      <c r="C767" s="2"/>
      <c r="D767" s="2"/>
      <c r="E767" s="2"/>
      <c r="F767" s="2"/>
      <c r="G767" s="2"/>
      <c r="H767" s="2"/>
      <c r="I767" s="2"/>
      <c r="J767" s="2"/>
      <c r="K767" s="2"/>
      <c r="L767" s="2"/>
      <c r="M767" s="2"/>
      <c r="N767" s="2"/>
      <c r="O767" s="2"/>
      <c r="P767" s="2"/>
      <c r="Q767" s="2"/>
      <c r="R767" s="9"/>
      <c r="S767" s="9"/>
      <c r="T767" s="9"/>
      <c r="U767" s="9"/>
      <c r="V767" s="9"/>
      <c r="W767" s="9"/>
      <c r="X767" s="9"/>
      <c r="Y767" s="9"/>
      <c r="Z767" s="9"/>
      <c r="AA767" s="9"/>
      <c r="AB767" s="9"/>
      <c r="AC767" s="9"/>
      <c r="AD767" s="9"/>
    </row>
    <row r="768" spans="1:30" ht="13.5" customHeight="1">
      <c r="A768" s="2"/>
      <c r="B768" s="2"/>
      <c r="C768" s="2"/>
      <c r="D768" s="2"/>
      <c r="E768" s="2"/>
      <c r="F768" s="2"/>
      <c r="G768" s="2"/>
      <c r="H768" s="2"/>
      <c r="I768" s="2"/>
      <c r="J768" s="2"/>
      <c r="K768" s="2"/>
      <c r="L768" s="2"/>
      <c r="M768" s="2"/>
      <c r="N768" s="2"/>
      <c r="O768" s="2"/>
      <c r="P768" s="2"/>
      <c r="Q768" s="2"/>
      <c r="R768" s="9"/>
      <c r="S768" s="9"/>
      <c r="T768" s="9"/>
      <c r="U768" s="9"/>
      <c r="V768" s="9"/>
      <c r="W768" s="9"/>
      <c r="X768" s="9"/>
      <c r="Y768" s="9"/>
      <c r="Z768" s="9"/>
      <c r="AA768" s="9"/>
      <c r="AB768" s="9"/>
      <c r="AC768" s="9"/>
      <c r="AD768" s="9"/>
    </row>
    <row r="769" spans="1:30" ht="13.5" customHeight="1">
      <c r="A769" s="2"/>
      <c r="B769" s="2"/>
      <c r="C769" s="2"/>
      <c r="D769" s="2"/>
      <c r="E769" s="2"/>
      <c r="F769" s="2"/>
      <c r="G769" s="2"/>
      <c r="H769" s="2"/>
      <c r="I769" s="2"/>
      <c r="J769" s="2"/>
      <c r="K769" s="2"/>
      <c r="L769" s="2"/>
      <c r="M769" s="2"/>
      <c r="N769" s="2"/>
      <c r="O769" s="2"/>
      <c r="P769" s="2"/>
      <c r="Q769" s="2"/>
      <c r="R769" s="9"/>
      <c r="S769" s="9"/>
      <c r="T769" s="9"/>
      <c r="U769" s="9"/>
      <c r="V769" s="9"/>
      <c r="W769" s="9"/>
      <c r="X769" s="9"/>
      <c r="Y769" s="9"/>
      <c r="Z769" s="9"/>
      <c r="AA769" s="9"/>
      <c r="AB769" s="9"/>
      <c r="AC769" s="9"/>
      <c r="AD769" s="9"/>
    </row>
    <row r="770" spans="1:30" ht="13.5" customHeight="1">
      <c r="A770" s="2"/>
      <c r="B770" s="2"/>
      <c r="C770" s="2"/>
      <c r="D770" s="2"/>
      <c r="E770" s="2"/>
      <c r="F770" s="2"/>
      <c r="G770" s="2"/>
      <c r="H770" s="2"/>
      <c r="I770" s="2"/>
      <c r="J770" s="2"/>
      <c r="K770" s="2"/>
      <c r="L770" s="2"/>
      <c r="M770" s="2"/>
      <c r="N770" s="2"/>
      <c r="O770" s="2"/>
      <c r="P770" s="2"/>
      <c r="Q770" s="2"/>
      <c r="R770" s="9"/>
      <c r="S770" s="9"/>
      <c r="T770" s="9"/>
      <c r="U770" s="9"/>
      <c r="V770" s="9"/>
      <c r="W770" s="9"/>
      <c r="X770" s="9"/>
      <c r="Y770" s="9"/>
      <c r="Z770" s="9"/>
      <c r="AA770" s="9"/>
      <c r="AB770" s="9"/>
      <c r="AC770" s="9"/>
      <c r="AD770" s="9"/>
    </row>
    <row r="771" spans="1:30" ht="13.5" customHeight="1">
      <c r="A771" s="2"/>
      <c r="B771" s="2"/>
      <c r="C771" s="2"/>
      <c r="D771" s="2"/>
      <c r="E771" s="2"/>
      <c r="F771" s="2"/>
      <c r="G771" s="2"/>
      <c r="H771" s="2"/>
      <c r="I771" s="2"/>
      <c r="J771" s="2"/>
      <c r="K771" s="2"/>
      <c r="L771" s="2"/>
      <c r="M771" s="2"/>
      <c r="N771" s="2"/>
      <c r="O771" s="2"/>
      <c r="P771" s="2"/>
      <c r="Q771" s="2"/>
      <c r="R771" s="9"/>
      <c r="S771" s="9"/>
      <c r="T771" s="9"/>
      <c r="U771" s="9"/>
      <c r="V771" s="9"/>
      <c r="W771" s="9"/>
      <c r="X771" s="9"/>
      <c r="Y771" s="9"/>
      <c r="Z771" s="9"/>
      <c r="AA771" s="9"/>
      <c r="AB771" s="9"/>
      <c r="AC771" s="9"/>
      <c r="AD771" s="9"/>
    </row>
    <row r="772" spans="1:30" ht="13.5" customHeight="1">
      <c r="A772" s="2"/>
      <c r="B772" s="2"/>
      <c r="C772" s="2"/>
      <c r="D772" s="2"/>
      <c r="E772" s="2"/>
      <c r="F772" s="2"/>
      <c r="G772" s="2"/>
      <c r="H772" s="2"/>
      <c r="I772" s="2"/>
      <c r="J772" s="2"/>
      <c r="K772" s="2"/>
      <c r="L772" s="2"/>
      <c r="M772" s="2"/>
      <c r="N772" s="2"/>
      <c r="O772" s="2"/>
      <c r="P772" s="2"/>
      <c r="Q772" s="2"/>
      <c r="R772" s="9"/>
      <c r="S772" s="9"/>
      <c r="T772" s="9"/>
      <c r="U772" s="9"/>
      <c r="V772" s="9"/>
      <c r="W772" s="9"/>
      <c r="X772" s="9"/>
      <c r="Y772" s="9"/>
      <c r="Z772" s="9"/>
      <c r="AA772" s="9"/>
      <c r="AB772" s="9"/>
      <c r="AC772" s="9"/>
      <c r="AD772" s="9"/>
    </row>
    <row r="773" spans="1:30" ht="13.5" customHeight="1">
      <c r="A773" s="2"/>
      <c r="B773" s="2"/>
      <c r="C773" s="2"/>
      <c r="D773" s="2"/>
      <c r="E773" s="2"/>
      <c r="F773" s="2"/>
      <c r="G773" s="2"/>
      <c r="H773" s="2"/>
      <c r="I773" s="2"/>
      <c r="J773" s="2"/>
      <c r="K773" s="2"/>
      <c r="L773" s="2"/>
      <c r="M773" s="2"/>
      <c r="N773" s="2"/>
      <c r="O773" s="2"/>
      <c r="P773" s="2"/>
      <c r="Q773" s="2"/>
      <c r="R773" s="9"/>
      <c r="S773" s="9"/>
      <c r="T773" s="9"/>
      <c r="U773" s="9"/>
      <c r="V773" s="9"/>
      <c r="W773" s="9"/>
      <c r="X773" s="9"/>
      <c r="Y773" s="9"/>
      <c r="Z773" s="9"/>
      <c r="AA773" s="9"/>
      <c r="AB773" s="9"/>
      <c r="AC773" s="9"/>
      <c r="AD773" s="9"/>
    </row>
    <row r="774" spans="1:30" ht="13.5" customHeight="1">
      <c r="A774" s="2"/>
      <c r="B774" s="2"/>
      <c r="C774" s="2"/>
      <c r="D774" s="2"/>
      <c r="E774" s="2"/>
      <c r="F774" s="2"/>
      <c r="G774" s="2"/>
      <c r="H774" s="2"/>
      <c r="I774" s="2"/>
      <c r="J774" s="2"/>
      <c r="K774" s="2"/>
      <c r="L774" s="2"/>
      <c r="M774" s="2"/>
      <c r="N774" s="2"/>
      <c r="O774" s="2"/>
      <c r="P774" s="2"/>
      <c r="Q774" s="2"/>
      <c r="R774" s="9"/>
      <c r="S774" s="9"/>
      <c r="T774" s="9"/>
      <c r="U774" s="9"/>
      <c r="V774" s="9"/>
      <c r="W774" s="9"/>
      <c r="X774" s="9"/>
      <c r="Y774" s="9"/>
      <c r="Z774" s="9"/>
      <c r="AA774" s="9"/>
      <c r="AB774" s="9"/>
      <c r="AC774" s="9"/>
      <c r="AD774" s="9"/>
    </row>
    <row r="775" spans="1:30" ht="13.5" customHeight="1">
      <c r="A775" s="2"/>
      <c r="B775" s="2"/>
      <c r="C775" s="2"/>
      <c r="D775" s="2"/>
      <c r="E775" s="2"/>
      <c r="F775" s="2"/>
      <c r="G775" s="2"/>
      <c r="H775" s="2"/>
      <c r="I775" s="2"/>
      <c r="J775" s="2"/>
      <c r="K775" s="2"/>
      <c r="L775" s="2"/>
      <c r="M775" s="2"/>
      <c r="N775" s="2"/>
      <c r="O775" s="2"/>
      <c r="P775" s="2"/>
      <c r="Q775" s="2"/>
      <c r="R775" s="9"/>
      <c r="S775" s="9"/>
      <c r="T775" s="9"/>
      <c r="U775" s="9"/>
      <c r="V775" s="9"/>
      <c r="W775" s="9"/>
      <c r="X775" s="9"/>
      <c r="Y775" s="9"/>
      <c r="Z775" s="9"/>
      <c r="AA775" s="9"/>
      <c r="AB775" s="9"/>
      <c r="AC775" s="9"/>
      <c r="AD775" s="9"/>
    </row>
    <row r="776" spans="1:30" ht="13.5" customHeight="1">
      <c r="A776" s="2"/>
      <c r="B776" s="2"/>
      <c r="C776" s="2"/>
      <c r="D776" s="2"/>
      <c r="E776" s="2"/>
      <c r="F776" s="2"/>
      <c r="G776" s="2"/>
      <c r="H776" s="2"/>
      <c r="I776" s="2"/>
      <c r="J776" s="2"/>
      <c r="K776" s="2"/>
      <c r="L776" s="2"/>
      <c r="M776" s="2"/>
      <c r="N776" s="2"/>
      <c r="O776" s="2"/>
      <c r="P776" s="2"/>
      <c r="Q776" s="2"/>
      <c r="R776" s="9"/>
      <c r="S776" s="9"/>
      <c r="T776" s="9"/>
      <c r="U776" s="9"/>
      <c r="V776" s="9"/>
      <c r="W776" s="9"/>
      <c r="X776" s="9"/>
      <c r="Y776" s="9"/>
      <c r="Z776" s="9"/>
      <c r="AA776" s="9"/>
      <c r="AB776" s="9"/>
      <c r="AC776" s="9"/>
      <c r="AD776" s="9"/>
    </row>
    <row r="777" spans="1:30" ht="13.5" customHeight="1">
      <c r="A777" s="2"/>
      <c r="B777" s="2"/>
      <c r="C777" s="2"/>
      <c r="D777" s="2"/>
      <c r="E777" s="2"/>
      <c r="F777" s="2"/>
      <c r="G777" s="2"/>
      <c r="H777" s="2"/>
      <c r="I777" s="2"/>
      <c r="J777" s="2"/>
      <c r="K777" s="2"/>
      <c r="L777" s="2"/>
      <c r="M777" s="2"/>
      <c r="N777" s="2"/>
      <c r="O777" s="2"/>
      <c r="P777" s="2"/>
      <c r="Q777" s="2"/>
      <c r="R777" s="9"/>
      <c r="S777" s="9"/>
      <c r="T777" s="9"/>
      <c r="U777" s="9"/>
      <c r="V777" s="9"/>
      <c r="W777" s="9"/>
      <c r="X777" s="9"/>
      <c r="Y777" s="9"/>
      <c r="Z777" s="9"/>
      <c r="AA777" s="9"/>
      <c r="AB777" s="9"/>
      <c r="AC777" s="9"/>
      <c r="AD777" s="9"/>
    </row>
    <row r="778" spans="1:30" ht="13.5" customHeight="1">
      <c r="A778" s="2"/>
      <c r="B778" s="2"/>
      <c r="C778" s="2"/>
      <c r="D778" s="2"/>
      <c r="E778" s="2"/>
      <c r="F778" s="2"/>
      <c r="G778" s="2"/>
      <c r="H778" s="2"/>
      <c r="I778" s="2"/>
      <c r="J778" s="2"/>
      <c r="K778" s="2"/>
      <c r="L778" s="2"/>
      <c r="M778" s="2"/>
      <c r="N778" s="2"/>
      <c r="O778" s="2"/>
      <c r="P778" s="2"/>
      <c r="Q778" s="2"/>
      <c r="R778" s="9"/>
      <c r="S778" s="9"/>
      <c r="T778" s="9"/>
      <c r="U778" s="9"/>
      <c r="V778" s="9"/>
      <c r="W778" s="9"/>
      <c r="X778" s="9"/>
      <c r="Y778" s="9"/>
      <c r="Z778" s="9"/>
      <c r="AA778" s="9"/>
      <c r="AB778" s="9"/>
      <c r="AC778" s="9"/>
      <c r="AD778" s="9"/>
    </row>
    <row r="779" spans="1:30" ht="13.5" customHeight="1">
      <c r="A779" s="2"/>
      <c r="B779" s="2"/>
      <c r="C779" s="2"/>
      <c r="D779" s="2"/>
      <c r="E779" s="2"/>
      <c r="F779" s="2"/>
      <c r="G779" s="2"/>
      <c r="H779" s="2"/>
      <c r="I779" s="2"/>
      <c r="J779" s="2"/>
      <c r="K779" s="2"/>
      <c r="L779" s="2"/>
      <c r="M779" s="2"/>
      <c r="N779" s="2"/>
      <c r="O779" s="2"/>
      <c r="P779" s="2"/>
      <c r="Q779" s="2"/>
      <c r="R779" s="9"/>
      <c r="S779" s="9"/>
      <c r="T779" s="9"/>
      <c r="U779" s="9"/>
      <c r="V779" s="9"/>
      <c r="W779" s="9"/>
      <c r="X779" s="9"/>
      <c r="Y779" s="9"/>
      <c r="Z779" s="9"/>
      <c r="AA779" s="9"/>
      <c r="AB779" s="9"/>
      <c r="AC779" s="9"/>
      <c r="AD779" s="9"/>
    </row>
    <row r="780" spans="1:30" ht="13.5" customHeight="1">
      <c r="A780" s="2"/>
      <c r="B780" s="2"/>
      <c r="C780" s="2"/>
      <c r="D780" s="2"/>
      <c r="E780" s="2"/>
      <c r="F780" s="2"/>
      <c r="G780" s="2"/>
      <c r="H780" s="2"/>
      <c r="I780" s="2"/>
      <c r="J780" s="2"/>
      <c r="K780" s="2"/>
      <c r="L780" s="2"/>
      <c r="M780" s="2"/>
      <c r="N780" s="2"/>
      <c r="O780" s="2"/>
      <c r="P780" s="2"/>
      <c r="Q780" s="2"/>
      <c r="R780" s="9"/>
      <c r="S780" s="9"/>
      <c r="T780" s="9"/>
      <c r="U780" s="9"/>
      <c r="V780" s="9"/>
      <c r="W780" s="9"/>
      <c r="X780" s="9"/>
      <c r="Y780" s="9"/>
      <c r="Z780" s="9"/>
      <c r="AA780" s="9"/>
      <c r="AB780" s="9"/>
      <c r="AC780" s="9"/>
      <c r="AD780" s="9"/>
    </row>
    <row r="781" spans="1:30" ht="13.5" customHeight="1">
      <c r="A781" s="2"/>
      <c r="B781" s="2"/>
      <c r="C781" s="2"/>
      <c r="D781" s="2"/>
      <c r="E781" s="2"/>
      <c r="F781" s="2"/>
      <c r="G781" s="2"/>
      <c r="H781" s="2"/>
      <c r="I781" s="2"/>
      <c r="J781" s="2"/>
      <c r="K781" s="2"/>
      <c r="L781" s="2"/>
      <c r="M781" s="2"/>
      <c r="N781" s="2"/>
      <c r="O781" s="2"/>
      <c r="P781" s="2"/>
      <c r="Q781" s="2"/>
      <c r="R781" s="9"/>
      <c r="S781" s="9"/>
      <c r="T781" s="9"/>
      <c r="U781" s="9"/>
      <c r="V781" s="9"/>
      <c r="W781" s="9"/>
      <c r="X781" s="9"/>
      <c r="Y781" s="9"/>
      <c r="Z781" s="9"/>
      <c r="AA781" s="9"/>
      <c r="AB781" s="9"/>
      <c r="AC781" s="9"/>
      <c r="AD781" s="9"/>
    </row>
    <row r="782" spans="1:30" ht="13.5" customHeight="1">
      <c r="A782" s="2"/>
      <c r="B782" s="2"/>
      <c r="C782" s="2"/>
      <c r="D782" s="2"/>
      <c r="E782" s="2"/>
      <c r="F782" s="2"/>
      <c r="G782" s="2"/>
      <c r="H782" s="2"/>
      <c r="I782" s="2"/>
      <c r="J782" s="2"/>
      <c r="K782" s="2"/>
      <c r="L782" s="2"/>
      <c r="M782" s="2"/>
      <c r="N782" s="2"/>
      <c r="O782" s="2"/>
      <c r="P782" s="2"/>
      <c r="Q782" s="2"/>
      <c r="R782" s="9"/>
      <c r="S782" s="9"/>
      <c r="T782" s="9"/>
      <c r="U782" s="9"/>
      <c r="V782" s="9"/>
      <c r="W782" s="9"/>
      <c r="X782" s="9"/>
      <c r="Y782" s="9"/>
      <c r="Z782" s="9"/>
      <c r="AA782" s="9"/>
      <c r="AB782" s="9"/>
      <c r="AC782" s="9"/>
      <c r="AD782" s="9"/>
    </row>
    <row r="783" spans="1:30" ht="13.5" customHeight="1">
      <c r="A783" s="2"/>
      <c r="B783" s="2"/>
      <c r="C783" s="2"/>
      <c r="D783" s="2"/>
      <c r="E783" s="2"/>
      <c r="F783" s="2"/>
      <c r="G783" s="2"/>
      <c r="H783" s="2"/>
      <c r="I783" s="2"/>
      <c r="J783" s="2"/>
      <c r="K783" s="2"/>
      <c r="L783" s="2"/>
      <c r="M783" s="2"/>
      <c r="N783" s="2"/>
      <c r="O783" s="2"/>
      <c r="P783" s="2"/>
      <c r="Q783" s="2"/>
      <c r="R783" s="9"/>
      <c r="S783" s="9"/>
      <c r="T783" s="9"/>
      <c r="U783" s="9"/>
      <c r="V783" s="9"/>
      <c r="W783" s="9"/>
      <c r="X783" s="9"/>
      <c r="Y783" s="9"/>
      <c r="Z783" s="9"/>
      <c r="AA783" s="9"/>
      <c r="AB783" s="9"/>
      <c r="AC783" s="9"/>
      <c r="AD783" s="9"/>
    </row>
    <row r="784" spans="1:30" ht="13.5" customHeight="1">
      <c r="A784" s="2"/>
      <c r="B784" s="2"/>
      <c r="C784" s="2"/>
      <c r="D784" s="2"/>
      <c r="E784" s="2"/>
      <c r="F784" s="2"/>
      <c r="G784" s="2"/>
      <c r="H784" s="2"/>
      <c r="I784" s="2"/>
      <c r="J784" s="2"/>
      <c r="K784" s="2"/>
      <c r="L784" s="2"/>
      <c r="M784" s="2"/>
      <c r="N784" s="2"/>
      <c r="O784" s="2"/>
      <c r="P784" s="2"/>
      <c r="Q784" s="2"/>
      <c r="R784" s="9"/>
      <c r="S784" s="9"/>
      <c r="T784" s="9"/>
      <c r="U784" s="9"/>
      <c r="V784" s="9"/>
      <c r="W784" s="9"/>
      <c r="X784" s="9"/>
      <c r="Y784" s="9"/>
      <c r="Z784" s="9"/>
      <c r="AA784" s="9"/>
      <c r="AB784" s="9"/>
      <c r="AC784" s="9"/>
      <c r="AD784" s="9"/>
    </row>
    <row r="785" spans="1:30" ht="13.5" customHeight="1">
      <c r="A785" s="2"/>
      <c r="B785" s="2"/>
      <c r="C785" s="2"/>
      <c r="D785" s="2"/>
      <c r="E785" s="2"/>
      <c r="F785" s="2"/>
      <c r="G785" s="2"/>
      <c r="H785" s="2"/>
      <c r="I785" s="2"/>
      <c r="J785" s="2"/>
      <c r="K785" s="2"/>
      <c r="L785" s="2"/>
      <c r="M785" s="2"/>
      <c r="N785" s="2"/>
      <c r="O785" s="2"/>
      <c r="P785" s="2"/>
      <c r="Q785" s="2"/>
      <c r="R785" s="9"/>
      <c r="S785" s="9"/>
      <c r="T785" s="9"/>
      <c r="U785" s="9"/>
      <c r="V785" s="9"/>
      <c r="W785" s="9"/>
      <c r="X785" s="9"/>
      <c r="Y785" s="9"/>
      <c r="Z785" s="9"/>
      <c r="AA785" s="9"/>
      <c r="AB785" s="9"/>
      <c r="AC785" s="9"/>
      <c r="AD785" s="9"/>
    </row>
    <row r="786" spans="1:30" ht="13.5" customHeight="1">
      <c r="A786" s="2"/>
      <c r="B786" s="2"/>
      <c r="C786" s="2"/>
      <c r="D786" s="2"/>
      <c r="E786" s="2"/>
      <c r="F786" s="2"/>
      <c r="G786" s="2"/>
      <c r="H786" s="2"/>
      <c r="I786" s="2"/>
      <c r="J786" s="2"/>
      <c r="K786" s="2"/>
      <c r="L786" s="2"/>
      <c r="M786" s="2"/>
      <c r="N786" s="2"/>
      <c r="O786" s="2"/>
      <c r="P786" s="2"/>
      <c r="Q786" s="2"/>
      <c r="R786" s="9"/>
      <c r="S786" s="9"/>
      <c r="T786" s="9"/>
      <c r="U786" s="9"/>
      <c r="V786" s="9"/>
      <c r="W786" s="9"/>
      <c r="X786" s="9"/>
      <c r="Y786" s="9"/>
      <c r="Z786" s="9"/>
      <c r="AA786" s="9"/>
      <c r="AB786" s="9"/>
      <c r="AC786" s="9"/>
      <c r="AD786" s="9"/>
    </row>
    <row r="787" spans="1:30" ht="13.5" customHeight="1">
      <c r="A787" s="2"/>
      <c r="B787" s="2"/>
      <c r="C787" s="2"/>
      <c r="D787" s="2"/>
      <c r="E787" s="2"/>
      <c r="F787" s="2"/>
      <c r="G787" s="2"/>
      <c r="H787" s="2"/>
      <c r="I787" s="2"/>
      <c r="J787" s="2"/>
      <c r="K787" s="2"/>
      <c r="L787" s="2"/>
      <c r="M787" s="2"/>
      <c r="N787" s="2"/>
      <c r="O787" s="2"/>
      <c r="P787" s="2"/>
      <c r="Q787" s="2"/>
      <c r="R787" s="9"/>
      <c r="S787" s="9"/>
      <c r="T787" s="9"/>
      <c r="U787" s="9"/>
      <c r="V787" s="9"/>
      <c r="W787" s="9"/>
      <c r="X787" s="9"/>
      <c r="Y787" s="9"/>
      <c r="Z787" s="9"/>
      <c r="AA787" s="9"/>
      <c r="AB787" s="9"/>
      <c r="AC787" s="9"/>
      <c r="AD787" s="9"/>
    </row>
    <row r="788" spans="1:30" ht="13.5" customHeight="1">
      <c r="A788" s="2"/>
      <c r="B788" s="2"/>
      <c r="C788" s="2"/>
      <c r="D788" s="2"/>
      <c r="E788" s="2"/>
      <c r="F788" s="2"/>
      <c r="G788" s="2"/>
      <c r="H788" s="2"/>
      <c r="I788" s="2"/>
      <c r="J788" s="2"/>
      <c r="K788" s="2"/>
      <c r="L788" s="2"/>
      <c r="M788" s="2"/>
      <c r="N788" s="2"/>
      <c r="O788" s="2"/>
      <c r="P788" s="2"/>
      <c r="Q788" s="2"/>
      <c r="R788" s="9"/>
      <c r="S788" s="9"/>
      <c r="T788" s="9"/>
      <c r="U788" s="9"/>
      <c r="V788" s="9"/>
      <c r="W788" s="9"/>
      <c r="X788" s="9"/>
      <c r="Y788" s="9"/>
      <c r="Z788" s="9"/>
      <c r="AA788" s="9"/>
      <c r="AB788" s="9"/>
      <c r="AC788" s="9"/>
      <c r="AD788" s="9"/>
    </row>
    <row r="789" spans="1:30" ht="13.5" customHeight="1">
      <c r="A789" s="2"/>
      <c r="B789" s="2"/>
      <c r="C789" s="2"/>
      <c r="D789" s="2"/>
      <c r="E789" s="2"/>
      <c r="F789" s="2"/>
      <c r="G789" s="2"/>
      <c r="H789" s="2"/>
      <c r="I789" s="2"/>
      <c r="J789" s="2"/>
      <c r="K789" s="2"/>
      <c r="L789" s="2"/>
      <c r="M789" s="2"/>
      <c r="N789" s="2"/>
      <c r="O789" s="2"/>
      <c r="P789" s="2"/>
      <c r="Q789" s="2"/>
      <c r="R789" s="9"/>
      <c r="S789" s="9"/>
      <c r="T789" s="9"/>
      <c r="U789" s="9"/>
      <c r="V789" s="9"/>
      <c r="W789" s="9"/>
      <c r="X789" s="9"/>
      <c r="Y789" s="9"/>
      <c r="Z789" s="9"/>
      <c r="AA789" s="9"/>
      <c r="AB789" s="9"/>
      <c r="AC789" s="9"/>
      <c r="AD789" s="9"/>
    </row>
    <row r="790" spans="1:30" ht="13.5" customHeight="1">
      <c r="A790" s="2"/>
      <c r="B790" s="2"/>
      <c r="C790" s="2"/>
      <c r="D790" s="2"/>
      <c r="E790" s="2"/>
      <c r="F790" s="2"/>
      <c r="G790" s="2"/>
      <c r="H790" s="2"/>
      <c r="I790" s="2"/>
      <c r="J790" s="2"/>
      <c r="K790" s="2"/>
      <c r="L790" s="2"/>
      <c r="M790" s="2"/>
      <c r="N790" s="2"/>
      <c r="O790" s="2"/>
      <c r="P790" s="2"/>
      <c r="Q790" s="2"/>
      <c r="R790" s="9"/>
      <c r="S790" s="9"/>
      <c r="T790" s="9"/>
      <c r="U790" s="9"/>
      <c r="V790" s="9"/>
      <c r="W790" s="9"/>
      <c r="X790" s="9"/>
      <c r="Y790" s="9"/>
      <c r="Z790" s="9"/>
      <c r="AA790" s="9"/>
      <c r="AB790" s="9"/>
      <c r="AC790" s="9"/>
      <c r="AD790" s="9"/>
    </row>
    <row r="791" spans="1:30" ht="13.5" customHeight="1">
      <c r="A791" s="2"/>
      <c r="B791" s="2"/>
      <c r="C791" s="2"/>
      <c r="D791" s="2"/>
      <c r="E791" s="2"/>
      <c r="F791" s="2"/>
      <c r="G791" s="2"/>
      <c r="H791" s="2"/>
      <c r="I791" s="2"/>
      <c r="J791" s="2"/>
      <c r="K791" s="2"/>
      <c r="L791" s="2"/>
      <c r="M791" s="2"/>
      <c r="N791" s="2"/>
      <c r="O791" s="2"/>
      <c r="P791" s="2"/>
      <c r="Q791" s="2"/>
      <c r="R791" s="9"/>
      <c r="S791" s="9"/>
      <c r="T791" s="9"/>
      <c r="U791" s="9"/>
      <c r="V791" s="9"/>
      <c r="W791" s="9"/>
      <c r="X791" s="9"/>
      <c r="Y791" s="9"/>
      <c r="Z791" s="9"/>
      <c r="AA791" s="9"/>
      <c r="AB791" s="9"/>
      <c r="AC791" s="9"/>
      <c r="AD791" s="9"/>
    </row>
    <row r="792" spans="1:30" ht="13.5" customHeight="1">
      <c r="A792" s="2"/>
      <c r="B792" s="2"/>
      <c r="C792" s="2"/>
      <c r="D792" s="2"/>
      <c r="E792" s="2"/>
      <c r="F792" s="2"/>
      <c r="G792" s="2"/>
      <c r="H792" s="2"/>
      <c r="I792" s="2"/>
      <c r="J792" s="2"/>
      <c r="K792" s="2"/>
      <c r="L792" s="2"/>
      <c r="M792" s="2"/>
      <c r="N792" s="2"/>
      <c r="O792" s="2"/>
      <c r="P792" s="2"/>
      <c r="Q792" s="2"/>
      <c r="R792" s="9"/>
      <c r="S792" s="9"/>
      <c r="T792" s="9"/>
      <c r="U792" s="9"/>
      <c r="V792" s="9"/>
      <c r="W792" s="9"/>
      <c r="X792" s="9"/>
      <c r="Y792" s="9"/>
      <c r="Z792" s="9"/>
      <c r="AA792" s="9"/>
      <c r="AB792" s="9"/>
      <c r="AC792" s="9"/>
      <c r="AD792" s="9"/>
    </row>
    <row r="793" spans="1:30" ht="13.5" customHeight="1">
      <c r="A793" s="2"/>
      <c r="B793" s="2"/>
      <c r="C793" s="2"/>
      <c r="D793" s="2"/>
      <c r="E793" s="2"/>
      <c r="F793" s="2"/>
      <c r="G793" s="2"/>
      <c r="H793" s="2"/>
      <c r="I793" s="2"/>
      <c r="J793" s="2"/>
      <c r="K793" s="2"/>
      <c r="L793" s="2"/>
      <c r="M793" s="2"/>
      <c r="N793" s="2"/>
      <c r="O793" s="2"/>
      <c r="P793" s="2"/>
      <c r="Q793" s="2"/>
      <c r="R793" s="9"/>
      <c r="S793" s="9"/>
      <c r="T793" s="9"/>
      <c r="U793" s="9"/>
      <c r="V793" s="9"/>
      <c r="W793" s="9"/>
      <c r="X793" s="9"/>
      <c r="Y793" s="9"/>
      <c r="Z793" s="9"/>
      <c r="AA793" s="9"/>
      <c r="AB793" s="9"/>
      <c r="AC793" s="9"/>
      <c r="AD793" s="9"/>
    </row>
    <row r="794" spans="1:30" ht="13.5" customHeight="1">
      <c r="A794" s="2"/>
      <c r="B794" s="2"/>
      <c r="C794" s="2"/>
      <c r="D794" s="2"/>
      <c r="E794" s="2"/>
      <c r="F794" s="2"/>
      <c r="G794" s="2"/>
      <c r="H794" s="2"/>
      <c r="I794" s="2"/>
      <c r="J794" s="2"/>
      <c r="K794" s="2"/>
      <c r="L794" s="2"/>
      <c r="M794" s="2"/>
      <c r="N794" s="2"/>
      <c r="O794" s="2"/>
      <c r="P794" s="2"/>
      <c r="Q794" s="2"/>
      <c r="R794" s="9"/>
      <c r="S794" s="9"/>
      <c r="T794" s="9"/>
      <c r="U794" s="9"/>
      <c r="V794" s="9"/>
      <c r="W794" s="9"/>
      <c r="X794" s="9"/>
      <c r="Y794" s="9"/>
      <c r="Z794" s="9"/>
      <c r="AA794" s="9"/>
      <c r="AB794" s="9"/>
      <c r="AC794" s="9"/>
      <c r="AD794" s="9"/>
    </row>
    <row r="795" spans="1:30" ht="13.5" customHeight="1">
      <c r="A795" s="2"/>
      <c r="B795" s="2"/>
      <c r="C795" s="2"/>
      <c r="D795" s="2"/>
      <c r="E795" s="2"/>
      <c r="F795" s="2"/>
      <c r="G795" s="2"/>
      <c r="H795" s="2"/>
      <c r="I795" s="2"/>
      <c r="J795" s="2"/>
      <c r="K795" s="2"/>
      <c r="L795" s="2"/>
      <c r="M795" s="2"/>
      <c r="N795" s="2"/>
      <c r="O795" s="2"/>
      <c r="P795" s="2"/>
      <c r="Q795" s="2"/>
      <c r="R795" s="9"/>
      <c r="S795" s="9"/>
      <c r="T795" s="9"/>
      <c r="U795" s="9"/>
      <c r="V795" s="9"/>
      <c r="W795" s="9"/>
      <c r="X795" s="9"/>
      <c r="Y795" s="9"/>
      <c r="Z795" s="9"/>
      <c r="AA795" s="9"/>
      <c r="AB795" s="9"/>
      <c r="AC795" s="9"/>
      <c r="AD795" s="9"/>
    </row>
    <row r="796" spans="1:30" ht="13.5" customHeight="1">
      <c r="A796" s="2"/>
      <c r="B796" s="2"/>
      <c r="C796" s="2"/>
      <c r="D796" s="2"/>
      <c r="E796" s="2"/>
      <c r="F796" s="2"/>
      <c r="G796" s="2"/>
      <c r="H796" s="2"/>
      <c r="I796" s="2"/>
      <c r="J796" s="2"/>
      <c r="K796" s="2"/>
      <c r="L796" s="2"/>
      <c r="M796" s="2"/>
      <c r="N796" s="2"/>
      <c r="O796" s="2"/>
      <c r="P796" s="2"/>
      <c r="Q796" s="2"/>
      <c r="R796" s="9"/>
      <c r="S796" s="9"/>
      <c r="T796" s="9"/>
      <c r="U796" s="9"/>
      <c r="V796" s="9"/>
      <c r="W796" s="9"/>
      <c r="X796" s="9"/>
      <c r="Y796" s="9"/>
      <c r="Z796" s="9"/>
      <c r="AA796" s="9"/>
      <c r="AB796" s="9"/>
      <c r="AC796" s="9"/>
      <c r="AD796" s="9"/>
    </row>
    <row r="797" spans="1:30" ht="13.5" customHeight="1">
      <c r="A797" s="2"/>
      <c r="B797" s="2"/>
      <c r="C797" s="2"/>
      <c r="D797" s="2"/>
      <c r="E797" s="2"/>
      <c r="F797" s="2"/>
      <c r="G797" s="2"/>
      <c r="H797" s="2"/>
      <c r="I797" s="2"/>
      <c r="J797" s="2"/>
      <c r="K797" s="2"/>
      <c r="L797" s="2"/>
      <c r="M797" s="2"/>
      <c r="N797" s="2"/>
      <c r="O797" s="2"/>
      <c r="P797" s="2"/>
      <c r="Q797" s="2"/>
      <c r="R797" s="9"/>
      <c r="S797" s="9"/>
      <c r="T797" s="9"/>
      <c r="U797" s="9"/>
      <c r="V797" s="9"/>
      <c r="W797" s="9"/>
      <c r="X797" s="9"/>
      <c r="Y797" s="9"/>
      <c r="Z797" s="9"/>
      <c r="AA797" s="9"/>
      <c r="AB797" s="9"/>
      <c r="AC797" s="9"/>
      <c r="AD797" s="9"/>
    </row>
    <row r="798" spans="1:30" ht="13.5" customHeight="1">
      <c r="A798" s="2"/>
      <c r="B798" s="2"/>
      <c r="C798" s="2"/>
      <c r="D798" s="2"/>
      <c r="E798" s="2"/>
      <c r="F798" s="2"/>
      <c r="G798" s="2"/>
      <c r="H798" s="2"/>
      <c r="I798" s="2"/>
      <c r="J798" s="2"/>
      <c r="K798" s="2"/>
      <c r="L798" s="2"/>
      <c r="M798" s="2"/>
      <c r="N798" s="2"/>
      <c r="O798" s="2"/>
      <c r="P798" s="2"/>
      <c r="Q798" s="2"/>
      <c r="R798" s="9"/>
      <c r="S798" s="9"/>
      <c r="T798" s="9"/>
      <c r="U798" s="9"/>
      <c r="V798" s="9"/>
      <c r="W798" s="9"/>
      <c r="X798" s="9"/>
      <c r="Y798" s="9"/>
      <c r="Z798" s="9"/>
      <c r="AA798" s="9"/>
      <c r="AB798" s="9"/>
      <c r="AC798" s="9"/>
      <c r="AD798" s="9"/>
    </row>
    <row r="799" spans="1:30" ht="13.5" customHeight="1">
      <c r="A799" s="2"/>
      <c r="B799" s="2"/>
      <c r="C799" s="2"/>
      <c r="D799" s="2"/>
      <c r="E799" s="2"/>
      <c r="F799" s="2"/>
      <c r="G799" s="2"/>
      <c r="H799" s="2"/>
      <c r="I799" s="2"/>
      <c r="J799" s="2"/>
      <c r="K799" s="2"/>
      <c r="L799" s="2"/>
      <c r="M799" s="2"/>
      <c r="N799" s="2"/>
      <c r="O799" s="2"/>
      <c r="P799" s="2"/>
      <c r="Q799" s="2"/>
      <c r="R799" s="9"/>
      <c r="S799" s="9"/>
      <c r="T799" s="9"/>
      <c r="U799" s="9"/>
      <c r="V799" s="9"/>
      <c r="W799" s="9"/>
      <c r="X799" s="9"/>
      <c r="Y799" s="9"/>
      <c r="Z799" s="9"/>
      <c r="AA799" s="9"/>
      <c r="AB799" s="9"/>
      <c r="AC799" s="9"/>
      <c r="AD799" s="9"/>
    </row>
    <row r="800" spans="1:30" ht="13.5" customHeight="1">
      <c r="A800" s="2"/>
      <c r="B800" s="2"/>
      <c r="C800" s="2"/>
      <c r="D800" s="2"/>
      <c r="E800" s="2"/>
      <c r="F800" s="2"/>
      <c r="G800" s="2"/>
      <c r="H800" s="2"/>
      <c r="I800" s="2"/>
      <c r="J800" s="2"/>
      <c r="K800" s="2"/>
      <c r="L800" s="2"/>
      <c r="M800" s="2"/>
      <c r="N800" s="2"/>
      <c r="O800" s="2"/>
      <c r="P800" s="2"/>
      <c r="Q800" s="2"/>
      <c r="R800" s="9"/>
      <c r="S800" s="9"/>
      <c r="T800" s="9"/>
      <c r="U800" s="9"/>
      <c r="V800" s="9"/>
      <c r="W800" s="9"/>
      <c r="X800" s="9"/>
      <c r="Y800" s="9"/>
      <c r="Z800" s="9"/>
      <c r="AA800" s="9"/>
      <c r="AB800" s="9"/>
      <c r="AC800" s="9"/>
      <c r="AD800" s="9"/>
    </row>
    <row r="801" spans="1:30" ht="13.5" customHeight="1">
      <c r="A801" s="2"/>
      <c r="B801" s="2"/>
      <c r="C801" s="2"/>
      <c r="D801" s="2"/>
      <c r="E801" s="2"/>
      <c r="F801" s="2"/>
      <c r="G801" s="2"/>
      <c r="H801" s="2"/>
      <c r="I801" s="2"/>
      <c r="J801" s="2"/>
      <c r="K801" s="2"/>
      <c r="L801" s="2"/>
      <c r="M801" s="2"/>
      <c r="N801" s="2"/>
      <c r="O801" s="2"/>
      <c r="P801" s="2"/>
      <c r="Q801" s="2"/>
      <c r="R801" s="9"/>
      <c r="S801" s="9"/>
      <c r="T801" s="9"/>
      <c r="U801" s="9"/>
      <c r="V801" s="9"/>
      <c r="W801" s="9"/>
      <c r="X801" s="9"/>
      <c r="Y801" s="9"/>
      <c r="Z801" s="9"/>
      <c r="AA801" s="9"/>
      <c r="AB801" s="9"/>
      <c r="AC801" s="9"/>
      <c r="AD801" s="9"/>
    </row>
    <row r="802" spans="1:30" ht="13.5" customHeight="1">
      <c r="A802" s="2"/>
      <c r="B802" s="2"/>
      <c r="C802" s="2"/>
      <c r="D802" s="2"/>
      <c r="E802" s="2"/>
      <c r="F802" s="2"/>
      <c r="G802" s="2"/>
      <c r="H802" s="2"/>
      <c r="I802" s="2"/>
      <c r="J802" s="2"/>
      <c r="K802" s="2"/>
      <c r="L802" s="2"/>
      <c r="M802" s="2"/>
      <c r="N802" s="2"/>
      <c r="O802" s="2"/>
      <c r="P802" s="2"/>
      <c r="Q802" s="2"/>
      <c r="R802" s="9"/>
      <c r="S802" s="9"/>
      <c r="T802" s="9"/>
      <c r="U802" s="9"/>
      <c r="V802" s="9"/>
      <c r="W802" s="9"/>
      <c r="X802" s="9"/>
      <c r="Y802" s="9"/>
      <c r="Z802" s="9"/>
      <c r="AA802" s="9"/>
      <c r="AB802" s="9"/>
      <c r="AC802" s="9"/>
      <c r="AD802" s="9"/>
    </row>
    <row r="803" spans="1:30" ht="13.5" customHeight="1">
      <c r="A803" s="2"/>
      <c r="B803" s="2"/>
      <c r="C803" s="2"/>
      <c r="D803" s="2"/>
      <c r="E803" s="2"/>
      <c r="F803" s="2"/>
      <c r="G803" s="2"/>
      <c r="H803" s="2"/>
      <c r="I803" s="2"/>
      <c r="J803" s="2"/>
      <c r="K803" s="2"/>
      <c r="L803" s="2"/>
      <c r="M803" s="2"/>
      <c r="N803" s="2"/>
      <c r="O803" s="2"/>
      <c r="P803" s="2"/>
      <c r="Q803" s="2"/>
      <c r="R803" s="9"/>
      <c r="S803" s="9"/>
      <c r="T803" s="9"/>
      <c r="U803" s="9"/>
      <c r="V803" s="9"/>
      <c r="W803" s="9"/>
      <c r="X803" s="9"/>
      <c r="Y803" s="9"/>
      <c r="Z803" s="9"/>
      <c r="AA803" s="9"/>
      <c r="AB803" s="9"/>
      <c r="AC803" s="9"/>
      <c r="AD803" s="9"/>
    </row>
    <row r="804" spans="1:30" ht="13.5" customHeight="1">
      <c r="A804" s="2"/>
      <c r="B804" s="2"/>
      <c r="C804" s="2"/>
      <c r="D804" s="2"/>
      <c r="E804" s="2"/>
      <c r="F804" s="2"/>
      <c r="G804" s="2"/>
      <c r="H804" s="2"/>
      <c r="I804" s="2"/>
      <c r="J804" s="2"/>
      <c r="K804" s="2"/>
      <c r="L804" s="2"/>
      <c r="M804" s="2"/>
      <c r="N804" s="2"/>
      <c r="O804" s="2"/>
      <c r="P804" s="2"/>
      <c r="Q804" s="2"/>
      <c r="R804" s="9"/>
      <c r="S804" s="9"/>
      <c r="T804" s="9"/>
      <c r="U804" s="9"/>
      <c r="V804" s="9"/>
      <c r="W804" s="9"/>
      <c r="X804" s="9"/>
      <c r="Y804" s="9"/>
      <c r="Z804" s="9"/>
      <c r="AA804" s="9"/>
      <c r="AB804" s="9"/>
      <c r="AC804" s="9"/>
      <c r="AD804" s="9"/>
    </row>
    <row r="805" spans="1:30" ht="13.5" customHeight="1">
      <c r="A805" s="2"/>
      <c r="B805" s="2"/>
      <c r="C805" s="2"/>
      <c r="D805" s="2"/>
      <c r="E805" s="2"/>
      <c r="F805" s="2"/>
      <c r="G805" s="2"/>
      <c r="H805" s="2"/>
      <c r="I805" s="2"/>
      <c r="J805" s="2"/>
      <c r="K805" s="2"/>
      <c r="L805" s="2"/>
      <c r="M805" s="2"/>
      <c r="N805" s="2"/>
      <c r="O805" s="2"/>
      <c r="P805" s="2"/>
      <c r="Q805" s="2"/>
      <c r="R805" s="9"/>
      <c r="S805" s="9"/>
      <c r="T805" s="9"/>
      <c r="U805" s="9"/>
      <c r="V805" s="9"/>
      <c r="W805" s="9"/>
      <c r="X805" s="9"/>
      <c r="Y805" s="9"/>
      <c r="Z805" s="9"/>
      <c r="AA805" s="9"/>
      <c r="AB805" s="9"/>
      <c r="AC805" s="9"/>
      <c r="AD805" s="9"/>
    </row>
    <row r="806" spans="1:30" ht="13.5" customHeight="1">
      <c r="A806" s="2"/>
      <c r="B806" s="2"/>
      <c r="C806" s="2"/>
      <c r="D806" s="2"/>
      <c r="E806" s="2"/>
      <c r="F806" s="2"/>
      <c r="G806" s="2"/>
      <c r="H806" s="2"/>
      <c r="I806" s="2"/>
      <c r="J806" s="2"/>
      <c r="K806" s="2"/>
      <c r="L806" s="2"/>
      <c r="M806" s="2"/>
      <c r="N806" s="2"/>
      <c r="O806" s="2"/>
      <c r="P806" s="2"/>
      <c r="Q806" s="2"/>
      <c r="R806" s="9"/>
      <c r="S806" s="9"/>
      <c r="T806" s="9"/>
      <c r="U806" s="9"/>
      <c r="V806" s="9"/>
      <c r="W806" s="9"/>
      <c r="X806" s="9"/>
      <c r="Y806" s="9"/>
      <c r="Z806" s="9"/>
      <c r="AA806" s="9"/>
      <c r="AB806" s="9"/>
      <c r="AC806" s="9"/>
      <c r="AD806" s="9"/>
    </row>
    <row r="807" spans="1:30" ht="13.5" customHeight="1">
      <c r="A807" s="2"/>
      <c r="B807" s="2"/>
      <c r="C807" s="2"/>
      <c r="D807" s="2"/>
      <c r="E807" s="2"/>
      <c r="F807" s="2"/>
      <c r="G807" s="2"/>
      <c r="H807" s="2"/>
      <c r="I807" s="2"/>
      <c r="J807" s="2"/>
      <c r="K807" s="2"/>
      <c r="L807" s="2"/>
      <c r="M807" s="2"/>
      <c r="N807" s="2"/>
      <c r="O807" s="2"/>
      <c r="P807" s="2"/>
      <c r="Q807" s="2"/>
      <c r="R807" s="9"/>
      <c r="S807" s="9"/>
      <c r="T807" s="9"/>
      <c r="U807" s="9"/>
      <c r="V807" s="9"/>
      <c r="W807" s="9"/>
      <c r="X807" s="9"/>
      <c r="Y807" s="9"/>
      <c r="Z807" s="9"/>
      <c r="AA807" s="9"/>
      <c r="AB807" s="9"/>
      <c r="AC807" s="9"/>
      <c r="AD807" s="9"/>
    </row>
    <row r="808" spans="1:30" ht="13.5" customHeight="1">
      <c r="A808" s="2"/>
      <c r="B808" s="2"/>
      <c r="C808" s="2"/>
      <c r="D808" s="2"/>
      <c r="E808" s="2"/>
      <c r="F808" s="2"/>
      <c r="G808" s="2"/>
      <c r="H808" s="2"/>
      <c r="I808" s="2"/>
      <c r="J808" s="2"/>
      <c r="K808" s="2"/>
      <c r="L808" s="2"/>
      <c r="M808" s="2"/>
      <c r="N808" s="2"/>
      <c r="O808" s="2"/>
      <c r="P808" s="2"/>
      <c r="Q808" s="2"/>
      <c r="R808" s="9"/>
      <c r="S808" s="9"/>
      <c r="T808" s="9"/>
      <c r="U808" s="9"/>
      <c r="V808" s="9"/>
      <c r="W808" s="9"/>
      <c r="X808" s="9"/>
      <c r="Y808" s="9"/>
      <c r="Z808" s="9"/>
      <c r="AA808" s="9"/>
      <c r="AB808" s="9"/>
      <c r="AC808" s="9"/>
      <c r="AD808" s="9"/>
    </row>
    <row r="809" spans="1:30" ht="13.5" customHeight="1">
      <c r="A809" s="2"/>
      <c r="B809" s="2"/>
      <c r="C809" s="2"/>
      <c r="D809" s="2"/>
      <c r="E809" s="2"/>
      <c r="F809" s="2"/>
      <c r="G809" s="2"/>
      <c r="H809" s="2"/>
      <c r="I809" s="2"/>
      <c r="J809" s="2"/>
      <c r="K809" s="2"/>
      <c r="L809" s="2"/>
      <c r="M809" s="2"/>
      <c r="N809" s="2"/>
      <c r="O809" s="2"/>
      <c r="P809" s="2"/>
      <c r="Q809" s="2"/>
      <c r="R809" s="9"/>
      <c r="S809" s="9"/>
      <c r="T809" s="9"/>
      <c r="U809" s="9"/>
      <c r="V809" s="9"/>
      <c r="W809" s="9"/>
      <c r="X809" s="9"/>
      <c r="Y809" s="9"/>
      <c r="Z809" s="9"/>
      <c r="AA809" s="9"/>
      <c r="AB809" s="9"/>
      <c r="AC809" s="9"/>
      <c r="AD809" s="9"/>
    </row>
    <row r="810" spans="1:30" ht="13.5" customHeight="1">
      <c r="A810" s="2"/>
      <c r="B810" s="2"/>
      <c r="C810" s="2"/>
      <c r="D810" s="2"/>
      <c r="E810" s="2"/>
      <c r="F810" s="2"/>
      <c r="G810" s="2"/>
      <c r="H810" s="2"/>
      <c r="I810" s="2"/>
      <c r="J810" s="2"/>
      <c r="K810" s="2"/>
      <c r="L810" s="2"/>
      <c r="M810" s="2"/>
      <c r="N810" s="2"/>
      <c r="O810" s="2"/>
      <c r="P810" s="2"/>
      <c r="Q810" s="2"/>
      <c r="R810" s="9"/>
      <c r="S810" s="9"/>
      <c r="T810" s="9"/>
      <c r="U810" s="9"/>
      <c r="V810" s="9"/>
      <c r="W810" s="9"/>
      <c r="X810" s="9"/>
      <c r="Y810" s="9"/>
      <c r="Z810" s="9"/>
      <c r="AA810" s="9"/>
      <c r="AB810" s="9"/>
      <c r="AC810" s="9"/>
      <c r="AD810" s="9"/>
    </row>
    <row r="811" spans="1:30" ht="13.5" customHeight="1">
      <c r="A811" s="2"/>
      <c r="B811" s="2"/>
      <c r="C811" s="2"/>
      <c r="D811" s="2"/>
      <c r="E811" s="2"/>
      <c r="F811" s="2"/>
      <c r="G811" s="2"/>
      <c r="H811" s="2"/>
      <c r="I811" s="2"/>
      <c r="J811" s="2"/>
      <c r="K811" s="2"/>
      <c r="L811" s="2"/>
      <c r="M811" s="2"/>
      <c r="N811" s="2"/>
      <c r="O811" s="2"/>
      <c r="P811" s="2"/>
      <c r="Q811" s="2"/>
      <c r="R811" s="9"/>
      <c r="S811" s="9"/>
      <c r="T811" s="9"/>
      <c r="U811" s="9"/>
      <c r="V811" s="9"/>
      <c r="W811" s="9"/>
      <c r="X811" s="9"/>
      <c r="Y811" s="9"/>
      <c r="Z811" s="9"/>
      <c r="AA811" s="9"/>
      <c r="AB811" s="9"/>
      <c r="AC811" s="9"/>
      <c r="AD811" s="9"/>
    </row>
    <row r="812" spans="1:30" ht="13.5" customHeight="1">
      <c r="A812" s="2"/>
      <c r="B812" s="2"/>
      <c r="C812" s="2"/>
      <c r="D812" s="2"/>
      <c r="E812" s="2"/>
      <c r="F812" s="2"/>
      <c r="G812" s="2"/>
      <c r="H812" s="2"/>
      <c r="I812" s="2"/>
      <c r="J812" s="2"/>
      <c r="K812" s="2"/>
      <c r="L812" s="2"/>
      <c r="M812" s="2"/>
      <c r="N812" s="2"/>
      <c r="O812" s="2"/>
      <c r="P812" s="2"/>
      <c r="Q812" s="2"/>
      <c r="R812" s="9"/>
      <c r="S812" s="9"/>
      <c r="T812" s="9"/>
      <c r="U812" s="9"/>
      <c r="V812" s="9"/>
      <c r="W812" s="9"/>
      <c r="X812" s="9"/>
      <c r="Y812" s="9"/>
      <c r="Z812" s="9"/>
      <c r="AA812" s="9"/>
      <c r="AB812" s="9"/>
      <c r="AC812" s="9"/>
      <c r="AD812" s="9"/>
    </row>
    <row r="813" spans="1:30" ht="13.5" customHeight="1">
      <c r="A813" s="2"/>
      <c r="B813" s="2"/>
      <c r="C813" s="2"/>
      <c r="D813" s="2"/>
      <c r="E813" s="2"/>
      <c r="F813" s="2"/>
      <c r="G813" s="2"/>
      <c r="H813" s="2"/>
      <c r="I813" s="2"/>
      <c r="J813" s="2"/>
      <c r="K813" s="2"/>
      <c r="L813" s="2"/>
      <c r="M813" s="2"/>
      <c r="N813" s="2"/>
      <c r="O813" s="2"/>
      <c r="P813" s="2"/>
      <c r="Q813" s="2"/>
      <c r="R813" s="9"/>
      <c r="S813" s="9"/>
      <c r="T813" s="9"/>
      <c r="U813" s="9"/>
      <c r="V813" s="9"/>
      <c r="W813" s="9"/>
      <c r="X813" s="9"/>
      <c r="Y813" s="9"/>
      <c r="Z813" s="9"/>
      <c r="AA813" s="9"/>
      <c r="AB813" s="9"/>
      <c r="AC813" s="9"/>
      <c r="AD813" s="9"/>
    </row>
    <row r="814" spans="1:30" ht="13.5" customHeight="1">
      <c r="A814" s="2"/>
      <c r="B814" s="2"/>
      <c r="C814" s="2"/>
      <c r="D814" s="2"/>
      <c r="E814" s="2"/>
      <c r="F814" s="2"/>
      <c r="G814" s="2"/>
      <c r="H814" s="2"/>
      <c r="I814" s="2"/>
      <c r="J814" s="2"/>
      <c r="K814" s="2"/>
      <c r="L814" s="2"/>
      <c r="M814" s="2"/>
      <c r="N814" s="2"/>
      <c r="O814" s="2"/>
      <c r="P814" s="2"/>
      <c r="Q814" s="2"/>
      <c r="R814" s="9"/>
      <c r="S814" s="9"/>
      <c r="T814" s="9"/>
      <c r="U814" s="9"/>
      <c r="V814" s="9"/>
      <c r="W814" s="9"/>
      <c r="X814" s="9"/>
      <c r="Y814" s="9"/>
      <c r="Z814" s="9"/>
      <c r="AA814" s="9"/>
      <c r="AB814" s="9"/>
      <c r="AC814" s="9"/>
      <c r="AD814" s="9"/>
    </row>
    <row r="815" spans="1:30" ht="13.5" customHeight="1">
      <c r="A815" s="2"/>
      <c r="B815" s="2"/>
      <c r="C815" s="2"/>
      <c r="D815" s="2"/>
      <c r="E815" s="2"/>
      <c r="F815" s="2"/>
      <c r="G815" s="2"/>
      <c r="H815" s="2"/>
      <c r="I815" s="2"/>
      <c r="J815" s="2"/>
      <c r="K815" s="2"/>
      <c r="L815" s="2"/>
      <c r="M815" s="2"/>
      <c r="N815" s="2"/>
      <c r="O815" s="2"/>
      <c r="P815" s="2"/>
      <c r="Q815" s="2"/>
      <c r="R815" s="9"/>
      <c r="S815" s="9"/>
      <c r="T815" s="9"/>
      <c r="U815" s="9"/>
      <c r="V815" s="9"/>
      <c r="W815" s="9"/>
      <c r="X815" s="9"/>
      <c r="Y815" s="9"/>
      <c r="Z815" s="9"/>
      <c r="AA815" s="9"/>
      <c r="AB815" s="9"/>
      <c r="AC815" s="9"/>
      <c r="AD815" s="9"/>
    </row>
    <row r="816" spans="1:30" ht="13.5" customHeight="1">
      <c r="A816" s="2"/>
      <c r="B816" s="2"/>
      <c r="C816" s="2"/>
      <c r="D816" s="2"/>
      <c r="E816" s="2"/>
      <c r="F816" s="2"/>
      <c r="G816" s="2"/>
      <c r="H816" s="2"/>
      <c r="I816" s="2"/>
      <c r="J816" s="2"/>
      <c r="K816" s="2"/>
      <c r="L816" s="2"/>
      <c r="M816" s="2"/>
      <c r="N816" s="2"/>
      <c r="O816" s="2"/>
      <c r="P816" s="2"/>
      <c r="Q816" s="2"/>
      <c r="R816" s="9"/>
      <c r="S816" s="9"/>
      <c r="T816" s="9"/>
      <c r="U816" s="9"/>
      <c r="V816" s="9"/>
      <c r="W816" s="9"/>
      <c r="X816" s="9"/>
      <c r="Y816" s="9"/>
      <c r="Z816" s="9"/>
      <c r="AA816" s="9"/>
      <c r="AB816" s="9"/>
      <c r="AC816" s="9"/>
      <c r="AD816" s="9"/>
    </row>
    <row r="817" spans="1:30" ht="13.5" customHeight="1">
      <c r="A817" s="2"/>
      <c r="B817" s="2"/>
      <c r="C817" s="2"/>
      <c r="D817" s="2"/>
      <c r="E817" s="2"/>
      <c r="F817" s="2"/>
      <c r="G817" s="2"/>
      <c r="H817" s="2"/>
      <c r="I817" s="2"/>
      <c r="J817" s="2"/>
      <c r="K817" s="2"/>
      <c r="L817" s="2"/>
      <c r="M817" s="2"/>
      <c r="N817" s="2"/>
      <c r="O817" s="2"/>
      <c r="P817" s="2"/>
      <c r="Q817" s="2"/>
      <c r="R817" s="9"/>
      <c r="S817" s="9"/>
      <c r="T817" s="9"/>
      <c r="U817" s="9"/>
      <c r="V817" s="9"/>
      <c r="W817" s="9"/>
      <c r="X817" s="9"/>
      <c r="Y817" s="9"/>
      <c r="Z817" s="9"/>
      <c r="AA817" s="9"/>
      <c r="AB817" s="9"/>
      <c r="AC817" s="9"/>
      <c r="AD817" s="9"/>
    </row>
    <row r="818" spans="1:30" ht="13.5" customHeight="1">
      <c r="A818" s="2"/>
      <c r="B818" s="2"/>
      <c r="C818" s="2"/>
      <c r="D818" s="2"/>
      <c r="E818" s="2"/>
      <c r="F818" s="2"/>
      <c r="G818" s="2"/>
      <c r="H818" s="2"/>
      <c r="I818" s="2"/>
      <c r="J818" s="2"/>
      <c r="K818" s="2"/>
      <c r="L818" s="2"/>
      <c r="M818" s="2"/>
      <c r="N818" s="2"/>
      <c r="O818" s="2"/>
      <c r="P818" s="2"/>
      <c r="Q818" s="2"/>
      <c r="R818" s="9"/>
      <c r="S818" s="9"/>
      <c r="T818" s="9"/>
      <c r="U818" s="9"/>
      <c r="V818" s="9"/>
      <c r="W818" s="9"/>
      <c r="X818" s="9"/>
      <c r="Y818" s="9"/>
      <c r="Z818" s="9"/>
      <c r="AA818" s="9"/>
      <c r="AB818" s="9"/>
      <c r="AC818" s="9"/>
      <c r="AD818" s="9"/>
    </row>
    <row r="819" spans="1:30" ht="13.5" customHeight="1">
      <c r="A819" s="2"/>
      <c r="B819" s="2"/>
      <c r="C819" s="2"/>
      <c r="D819" s="2"/>
      <c r="E819" s="2"/>
      <c r="F819" s="2"/>
      <c r="G819" s="2"/>
      <c r="H819" s="2"/>
      <c r="I819" s="2"/>
      <c r="J819" s="2"/>
      <c r="K819" s="2"/>
      <c r="L819" s="2"/>
      <c r="M819" s="2"/>
      <c r="N819" s="2"/>
      <c r="O819" s="2"/>
      <c r="P819" s="2"/>
      <c r="Q819" s="2"/>
      <c r="R819" s="9"/>
      <c r="S819" s="9"/>
      <c r="T819" s="9"/>
      <c r="U819" s="9"/>
      <c r="V819" s="9"/>
      <c r="W819" s="9"/>
      <c r="X819" s="9"/>
      <c r="Y819" s="9"/>
      <c r="Z819" s="9"/>
      <c r="AA819" s="9"/>
      <c r="AB819" s="9"/>
      <c r="AC819" s="9"/>
      <c r="AD819" s="9"/>
    </row>
    <row r="820" spans="1:30" ht="13.5" customHeight="1">
      <c r="A820" s="2"/>
      <c r="B820" s="2"/>
      <c r="C820" s="2"/>
      <c r="D820" s="2"/>
      <c r="E820" s="2"/>
      <c r="F820" s="2"/>
      <c r="G820" s="2"/>
      <c r="H820" s="2"/>
      <c r="I820" s="2"/>
      <c r="J820" s="2"/>
      <c r="K820" s="2"/>
      <c r="L820" s="2"/>
      <c r="M820" s="2"/>
      <c r="N820" s="2"/>
      <c r="O820" s="2"/>
      <c r="P820" s="2"/>
      <c r="Q820" s="2"/>
      <c r="R820" s="9"/>
      <c r="S820" s="9"/>
      <c r="T820" s="9"/>
      <c r="U820" s="9"/>
      <c r="V820" s="9"/>
      <c r="W820" s="9"/>
      <c r="X820" s="9"/>
      <c r="Y820" s="9"/>
      <c r="Z820" s="9"/>
      <c r="AA820" s="9"/>
      <c r="AB820" s="9"/>
      <c r="AC820" s="9"/>
      <c r="AD820" s="9"/>
    </row>
    <row r="821" spans="1:30" ht="13.5" customHeight="1">
      <c r="A821" s="2"/>
      <c r="B821" s="2"/>
      <c r="C821" s="2"/>
      <c r="D821" s="2"/>
      <c r="E821" s="2"/>
      <c r="F821" s="2"/>
      <c r="G821" s="2"/>
      <c r="H821" s="2"/>
      <c r="I821" s="2"/>
      <c r="J821" s="2"/>
      <c r="K821" s="2"/>
      <c r="L821" s="2"/>
      <c r="M821" s="2"/>
      <c r="N821" s="2"/>
      <c r="O821" s="2"/>
      <c r="P821" s="2"/>
      <c r="Q821" s="2"/>
      <c r="R821" s="9"/>
      <c r="S821" s="9"/>
      <c r="T821" s="9"/>
      <c r="U821" s="9"/>
      <c r="V821" s="9"/>
      <c r="W821" s="9"/>
      <c r="X821" s="9"/>
      <c r="Y821" s="9"/>
      <c r="Z821" s="9"/>
      <c r="AA821" s="9"/>
      <c r="AB821" s="9"/>
      <c r="AC821" s="9"/>
      <c r="AD821" s="9"/>
    </row>
    <row r="822" spans="1:30" ht="13.5" customHeight="1">
      <c r="A822" s="2"/>
      <c r="B822" s="2"/>
      <c r="C822" s="2"/>
      <c r="D822" s="2"/>
      <c r="E822" s="2"/>
      <c r="F822" s="2"/>
      <c r="G822" s="2"/>
      <c r="H822" s="2"/>
      <c r="I822" s="2"/>
      <c r="J822" s="2"/>
      <c r="K822" s="2"/>
      <c r="L822" s="2"/>
      <c r="M822" s="2"/>
      <c r="N822" s="2"/>
      <c r="O822" s="2"/>
      <c r="P822" s="2"/>
      <c r="Q822" s="2"/>
      <c r="R822" s="9"/>
      <c r="S822" s="9"/>
      <c r="T822" s="9"/>
      <c r="U822" s="9"/>
      <c r="V822" s="9"/>
      <c r="W822" s="9"/>
      <c r="X822" s="9"/>
      <c r="Y822" s="9"/>
      <c r="Z822" s="9"/>
      <c r="AA822" s="9"/>
      <c r="AB822" s="9"/>
      <c r="AC822" s="9"/>
      <c r="AD822" s="9"/>
    </row>
    <row r="823" spans="1:30" ht="13.5" customHeight="1">
      <c r="A823" s="2"/>
      <c r="B823" s="2"/>
      <c r="C823" s="2"/>
      <c r="D823" s="2"/>
      <c r="E823" s="2"/>
      <c r="F823" s="2"/>
      <c r="G823" s="2"/>
      <c r="H823" s="2"/>
      <c r="I823" s="2"/>
      <c r="J823" s="2"/>
      <c r="K823" s="2"/>
      <c r="L823" s="2"/>
      <c r="M823" s="2"/>
      <c r="N823" s="2"/>
      <c r="O823" s="2"/>
      <c r="P823" s="2"/>
      <c r="Q823" s="2"/>
      <c r="R823" s="9"/>
      <c r="S823" s="9"/>
      <c r="T823" s="9"/>
      <c r="U823" s="9"/>
      <c r="V823" s="9"/>
      <c r="W823" s="9"/>
      <c r="X823" s="9"/>
      <c r="Y823" s="9"/>
      <c r="Z823" s="9"/>
      <c r="AA823" s="9"/>
      <c r="AB823" s="9"/>
      <c r="AC823" s="9"/>
      <c r="AD823" s="9"/>
    </row>
    <row r="824" spans="1:30" ht="13.5" customHeight="1">
      <c r="A824" s="2"/>
      <c r="B824" s="2"/>
      <c r="C824" s="2"/>
      <c r="D824" s="2"/>
      <c r="E824" s="2"/>
      <c r="F824" s="2"/>
      <c r="G824" s="2"/>
      <c r="H824" s="2"/>
      <c r="I824" s="2"/>
      <c r="J824" s="2"/>
      <c r="K824" s="2"/>
      <c r="L824" s="2"/>
      <c r="M824" s="2"/>
      <c r="N824" s="2"/>
      <c r="O824" s="2"/>
      <c r="P824" s="2"/>
      <c r="Q824" s="2"/>
      <c r="R824" s="9"/>
      <c r="S824" s="9"/>
      <c r="T824" s="9"/>
      <c r="U824" s="9"/>
      <c r="V824" s="9"/>
      <c r="W824" s="9"/>
      <c r="X824" s="9"/>
      <c r="Y824" s="9"/>
      <c r="Z824" s="9"/>
      <c r="AA824" s="9"/>
      <c r="AB824" s="9"/>
      <c r="AC824" s="9"/>
      <c r="AD824" s="9"/>
    </row>
    <row r="825" spans="1:30" ht="13.5" customHeight="1">
      <c r="A825" s="2"/>
      <c r="B825" s="2"/>
      <c r="C825" s="2"/>
      <c r="D825" s="2"/>
      <c r="E825" s="2"/>
      <c r="F825" s="2"/>
      <c r="G825" s="2"/>
      <c r="H825" s="2"/>
      <c r="I825" s="2"/>
      <c r="J825" s="2"/>
      <c r="K825" s="2"/>
      <c r="L825" s="2"/>
      <c r="M825" s="2"/>
      <c r="N825" s="2"/>
      <c r="O825" s="2"/>
      <c r="P825" s="2"/>
      <c r="Q825" s="2"/>
      <c r="R825" s="9"/>
      <c r="S825" s="9"/>
      <c r="T825" s="9"/>
      <c r="U825" s="9"/>
      <c r="V825" s="9"/>
      <c r="W825" s="9"/>
      <c r="X825" s="9"/>
      <c r="Y825" s="9"/>
      <c r="Z825" s="9"/>
      <c r="AA825" s="9"/>
      <c r="AB825" s="9"/>
      <c r="AC825" s="9"/>
      <c r="AD825" s="9"/>
    </row>
    <row r="826" spans="1:30" ht="13.5" customHeight="1">
      <c r="A826" s="2"/>
      <c r="B826" s="2"/>
      <c r="C826" s="2"/>
      <c r="D826" s="2"/>
      <c r="E826" s="2"/>
      <c r="F826" s="2"/>
      <c r="G826" s="2"/>
      <c r="H826" s="2"/>
      <c r="I826" s="2"/>
      <c r="J826" s="2"/>
      <c r="K826" s="2"/>
      <c r="L826" s="2"/>
      <c r="M826" s="2"/>
      <c r="N826" s="2"/>
      <c r="O826" s="2"/>
      <c r="P826" s="2"/>
      <c r="Q826" s="2"/>
      <c r="R826" s="9"/>
      <c r="S826" s="9"/>
      <c r="T826" s="9"/>
      <c r="U826" s="9"/>
      <c r="V826" s="9"/>
      <c r="W826" s="9"/>
      <c r="X826" s="9"/>
      <c r="Y826" s="9"/>
      <c r="Z826" s="9"/>
      <c r="AA826" s="9"/>
      <c r="AB826" s="9"/>
      <c r="AC826" s="9"/>
      <c r="AD826" s="9"/>
    </row>
    <row r="827" spans="1:30" ht="13.5" customHeight="1">
      <c r="A827" s="2"/>
      <c r="B827" s="2"/>
      <c r="C827" s="2"/>
      <c r="D827" s="2"/>
      <c r="E827" s="2"/>
      <c r="F827" s="2"/>
      <c r="G827" s="2"/>
      <c r="H827" s="2"/>
      <c r="I827" s="2"/>
      <c r="J827" s="2"/>
      <c r="K827" s="2"/>
      <c r="L827" s="2"/>
      <c r="M827" s="2"/>
      <c r="N827" s="2"/>
      <c r="O827" s="2"/>
      <c r="P827" s="2"/>
      <c r="Q827" s="2"/>
      <c r="R827" s="9"/>
      <c r="S827" s="9"/>
      <c r="T827" s="9"/>
      <c r="U827" s="9"/>
      <c r="V827" s="9"/>
      <c r="W827" s="9"/>
      <c r="X827" s="9"/>
      <c r="Y827" s="9"/>
      <c r="Z827" s="9"/>
      <c r="AA827" s="9"/>
      <c r="AB827" s="9"/>
      <c r="AC827" s="9"/>
      <c r="AD827" s="9"/>
    </row>
    <row r="828" spans="1:30" ht="13.5" customHeight="1">
      <c r="A828" s="2"/>
      <c r="B828" s="2"/>
      <c r="C828" s="2"/>
      <c r="D828" s="2"/>
      <c r="E828" s="2"/>
      <c r="F828" s="2"/>
      <c r="G828" s="2"/>
      <c r="H828" s="2"/>
      <c r="I828" s="2"/>
      <c r="J828" s="2"/>
      <c r="K828" s="2"/>
      <c r="L828" s="2"/>
      <c r="M828" s="2"/>
      <c r="N828" s="2"/>
      <c r="O828" s="2"/>
      <c r="P828" s="2"/>
      <c r="Q828" s="2"/>
      <c r="R828" s="9"/>
      <c r="S828" s="9"/>
      <c r="T828" s="9"/>
      <c r="U828" s="9"/>
      <c r="V828" s="9"/>
      <c r="W828" s="9"/>
      <c r="X828" s="9"/>
      <c r="Y828" s="9"/>
      <c r="Z828" s="9"/>
      <c r="AA828" s="9"/>
      <c r="AB828" s="9"/>
      <c r="AC828" s="9"/>
      <c r="AD828" s="9"/>
    </row>
    <row r="829" spans="1:30" ht="13.5" customHeight="1">
      <c r="A829" s="2"/>
      <c r="B829" s="2"/>
      <c r="C829" s="2"/>
      <c r="D829" s="2"/>
      <c r="E829" s="2"/>
      <c r="F829" s="2"/>
      <c r="G829" s="2"/>
      <c r="H829" s="2"/>
      <c r="I829" s="2"/>
      <c r="J829" s="2"/>
      <c r="K829" s="2"/>
      <c r="L829" s="2"/>
      <c r="M829" s="2"/>
      <c r="N829" s="2"/>
      <c r="O829" s="2"/>
      <c r="P829" s="2"/>
      <c r="Q829" s="2"/>
      <c r="R829" s="9"/>
      <c r="S829" s="9"/>
      <c r="T829" s="9"/>
      <c r="U829" s="9"/>
      <c r="V829" s="9"/>
      <c r="W829" s="9"/>
      <c r="X829" s="9"/>
      <c r="Y829" s="9"/>
      <c r="Z829" s="9"/>
      <c r="AA829" s="9"/>
      <c r="AB829" s="9"/>
      <c r="AC829" s="9"/>
      <c r="AD829" s="9"/>
    </row>
    <row r="830" spans="1:30" ht="13.5" customHeight="1">
      <c r="A830" s="2"/>
      <c r="B830" s="2"/>
      <c r="C830" s="2"/>
      <c r="D830" s="2"/>
      <c r="E830" s="2"/>
      <c r="F830" s="2"/>
      <c r="G830" s="2"/>
      <c r="H830" s="2"/>
      <c r="I830" s="2"/>
      <c r="J830" s="2"/>
      <c r="K830" s="2"/>
      <c r="L830" s="2"/>
      <c r="M830" s="2"/>
      <c r="N830" s="2"/>
      <c r="O830" s="2"/>
      <c r="P830" s="2"/>
      <c r="Q830" s="2"/>
      <c r="R830" s="9"/>
      <c r="S830" s="9"/>
      <c r="T830" s="9"/>
      <c r="U830" s="9"/>
      <c r="V830" s="9"/>
      <c r="W830" s="9"/>
      <c r="X830" s="9"/>
      <c r="Y830" s="9"/>
      <c r="Z830" s="9"/>
      <c r="AA830" s="9"/>
      <c r="AB830" s="9"/>
      <c r="AC830" s="9"/>
      <c r="AD830" s="9"/>
    </row>
    <row r="831" spans="1:30" ht="13.5" customHeight="1">
      <c r="A831" s="2"/>
      <c r="B831" s="2"/>
      <c r="C831" s="2"/>
      <c r="D831" s="2"/>
      <c r="E831" s="2"/>
      <c r="F831" s="2"/>
      <c r="G831" s="2"/>
      <c r="H831" s="2"/>
      <c r="I831" s="2"/>
      <c r="J831" s="2"/>
      <c r="K831" s="2"/>
      <c r="L831" s="2"/>
      <c r="M831" s="2"/>
      <c r="N831" s="2"/>
      <c r="O831" s="2"/>
      <c r="P831" s="2"/>
      <c r="Q831" s="2"/>
      <c r="R831" s="9"/>
      <c r="S831" s="9"/>
      <c r="T831" s="9"/>
      <c r="U831" s="9"/>
      <c r="V831" s="9"/>
      <c r="W831" s="9"/>
      <c r="X831" s="9"/>
      <c r="Y831" s="9"/>
      <c r="Z831" s="9"/>
      <c r="AA831" s="9"/>
      <c r="AB831" s="9"/>
      <c r="AC831" s="9"/>
      <c r="AD831" s="9"/>
    </row>
    <row r="832" spans="1:30" ht="13.5" customHeight="1">
      <c r="A832" s="2"/>
      <c r="B832" s="2"/>
      <c r="C832" s="2"/>
      <c r="D832" s="2"/>
      <c r="E832" s="2"/>
      <c r="F832" s="2"/>
      <c r="G832" s="2"/>
      <c r="H832" s="2"/>
      <c r="I832" s="2"/>
      <c r="J832" s="2"/>
      <c r="K832" s="2"/>
      <c r="L832" s="2"/>
      <c r="M832" s="2"/>
      <c r="N832" s="2"/>
      <c r="O832" s="2"/>
      <c r="P832" s="2"/>
      <c r="Q832" s="2"/>
      <c r="R832" s="9"/>
      <c r="S832" s="9"/>
      <c r="T832" s="9"/>
      <c r="U832" s="9"/>
      <c r="V832" s="9"/>
      <c r="W832" s="9"/>
      <c r="X832" s="9"/>
      <c r="Y832" s="9"/>
      <c r="Z832" s="9"/>
      <c r="AA832" s="9"/>
      <c r="AB832" s="9"/>
      <c r="AC832" s="9"/>
      <c r="AD832" s="9"/>
    </row>
    <row r="833" spans="1:30" ht="13.5" customHeight="1">
      <c r="A833" s="2"/>
      <c r="B833" s="2"/>
      <c r="C833" s="2"/>
      <c r="D833" s="2"/>
      <c r="E833" s="2"/>
      <c r="F833" s="2"/>
      <c r="G833" s="2"/>
      <c r="H833" s="2"/>
      <c r="I833" s="2"/>
      <c r="J833" s="2"/>
      <c r="K833" s="2"/>
      <c r="L833" s="2"/>
      <c r="M833" s="2"/>
      <c r="N833" s="2"/>
      <c r="O833" s="2"/>
      <c r="P833" s="2"/>
      <c r="Q833" s="2"/>
      <c r="R833" s="9"/>
      <c r="S833" s="9"/>
      <c r="T833" s="9"/>
      <c r="U833" s="9"/>
      <c r="V833" s="9"/>
      <c r="W833" s="9"/>
      <c r="X833" s="9"/>
      <c r="Y833" s="9"/>
      <c r="Z833" s="9"/>
      <c r="AA833" s="9"/>
      <c r="AB833" s="9"/>
      <c r="AC833" s="9"/>
      <c r="AD833" s="9"/>
    </row>
    <row r="834" spans="1:30" ht="13.5" customHeight="1">
      <c r="A834" s="2"/>
      <c r="B834" s="2"/>
      <c r="C834" s="2"/>
      <c r="D834" s="2"/>
      <c r="E834" s="2"/>
      <c r="F834" s="2"/>
      <c r="G834" s="2"/>
      <c r="H834" s="2"/>
      <c r="I834" s="2"/>
      <c r="J834" s="2"/>
      <c r="K834" s="2"/>
      <c r="L834" s="2"/>
      <c r="M834" s="2"/>
      <c r="N834" s="2"/>
      <c r="O834" s="2"/>
      <c r="P834" s="2"/>
      <c r="Q834" s="2"/>
      <c r="R834" s="9"/>
      <c r="S834" s="9"/>
      <c r="T834" s="9"/>
      <c r="U834" s="9"/>
      <c r="V834" s="9"/>
      <c r="W834" s="9"/>
      <c r="X834" s="9"/>
      <c r="Y834" s="9"/>
      <c r="Z834" s="9"/>
      <c r="AA834" s="9"/>
      <c r="AB834" s="9"/>
      <c r="AC834" s="9"/>
      <c r="AD834" s="9"/>
    </row>
    <row r="835" spans="1:30" ht="13.5" customHeight="1">
      <c r="A835" s="2"/>
      <c r="B835" s="2"/>
      <c r="C835" s="2"/>
      <c r="D835" s="2"/>
      <c r="E835" s="2"/>
      <c r="F835" s="2"/>
      <c r="G835" s="2"/>
      <c r="H835" s="2"/>
      <c r="I835" s="2"/>
      <c r="J835" s="2"/>
      <c r="K835" s="2"/>
      <c r="L835" s="2"/>
      <c r="M835" s="2"/>
      <c r="N835" s="2"/>
      <c r="O835" s="2"/>
      <c r="P835" s="2"/>
      <c r="Q835" s="2"/>
      <c r="R835" s="9"/>
      <c r="S835" s="9"/>
      <c r="T835" s="9"/>
      <c r="U835" s="9"/>
      <c r="V835" s="9"/>
      <c r="W835" s="9"/>
      <c r="X835" s="9"/>
      <c r="Y835" s="9"/>
      <c r="Z835" s="9"/>
      <c r="AA835" s="9"/>
      <c r="AB835" s="9"/>
      <c r="AC835" s="9"/>
      <c r="AD835" s="9"/>
    </row>
    <row r="836" spans="1:30" ht="13.5" customHeight="1">
      <c r="A836" s="2"/>
      <c r="B836" s="2"/>
      <c r="C836" s="2"/>
      <c r="D836" s="2"/>
      <c r="E836" s="2"/>
      <c r="F836" s="2"/>
      <c r="G836" s="2"/>
      <c r="H836" s="2"/>
      <c r="I836" s="2"/>
      <c r="J836" s="2"/>
      <c r="K836" s="2"/>
      <c r="L836" s="2"/>
      <c r="M836" s="2"/>
      <c r="N836" s="2"/>
      <c r="O836" s="2"/>
      <c r="P836" s="2"/>
      <c r="Q836" s="2"/>
      <c r="R836" s="9"/>
      <c r="S836" s="9"/>
      <c r="T836" s="9"/>
      <c r="U836" s="9"/>
      <c r="V836" s="9"/>
      <c r="W836" s="9"/>
      <c r="X836" s="9"/>
      <c r="Y836" s="9"/>
      <c r="Z836" s="9"/>
      <c r="AA836" s="9"/>
      <c r="AB836" s="9"/>
      <c r="AC836" s="9"/>
      <c r="AD836" s="9"/>
    </row>
    <row r="837" spans="1:30" ht="13.5" customHeight="1">
      <c r="A837" s="2"/>
      <c r="B837" s="2"/>
      <c r="C837" s="2"/>
      <c r="D837" s="2"/>
      <c r="E837" s="2"/>
      <c r="F837" s="2"/>
      <c r="G837" s="2"/>
      <c r="H837" s="2"/>
      <c r="I837" s="2"/>
      <c r="J837" s="2"/>
      <c r="K837" s="2"/>
      <c r="L837" s="2"/>
      <c r="M837" s="2"/>
      <c r="N837" s="2"/>
      <c r="O837" s="2"/>
      <c r="P837" s="2"/>
      <c r="Q837" s="2"/>
      <c r="R837" s="9"/>
      <c r="S837" s="9"/>
      <c r="T837" s="9"/>
      <c r="U837" s="9"/>
      <c r="V837" s="9"/>
      <c r="W837" s="9"/>
      <c r="X837" s="9"/>
      <c r="Y837" s="9"/>
      <c r="Z837" s="9"/>
      <c r="AA837" s="9"/>
      <c r="AB837" s="9"/>
      <c r="AC837" s="9"/>
      <c r="AD837" s="9"/>
    </row>
    <row r="838" spans="1:30" ht="13.5" customHeight="1">
      <c r="A838" s="2"/>
      <c r="B838" s="2"/>
      <c r="C838" s="2"/>
      <c r="D838" s="2"/>
      <c r="E838" s="2"/>
      <c r="F838" s="2"/>
      <c r="G838" s="2"/>
      <c r="H838" s="2"/>
      <c r="I838" s="2"/>
      <c r="J838" s="2"/>
      <c r="K838" s="2"/>
      <c r="L838" s="2"/>
      <c r="M838" s="2"/>
      <c r="N838" s="2"/>
      <c r="O838" s="2"/>
      <c r="P838" s="2"/>
      <c r="Q838" s="2"/>
      <c r="R838" s="9"/>
      <c r="S838" s="9"/>
      <c r="T838" s="9"/>
      <c r="U838" s="9"/>
      <c r="V838" s="9"/>
      <c r="W838" s="9"/>
      <c r="X838" s="9"/>
      <c r="Y838" s="9"/>
      <c r="Z838" s="9"/>
      <c r="AA838" s="9"/>
      <c r="AB838" s="9"/>
      <c r="AC838" s="9"/>
      <c r="AD838" s="9"/>
    </row>
    <row r="839" spans="1:30" ht="13.5" customHeight="1">
      <c r="A839" s="2"/>
      <c r="B839" s="2"/>
      <c r="C839" s="2"/>
      <c r="D839" s="2"/>
      <c r="E839" s="2"/>
      <c r="F839" s="2"/>
      <c r="G839" s="2"/>
      <c r="H839" s="2"/>
      <c r="I839" s="2"/>
      <c r="J839" s="2"/>
      <c r="K839" s="2"/>
      <c r="L839" s="2"/>
      <c r="M839" s="2"/>
      <c r="N839" s="2"/>
      <c r="O839" s="2"/>
      <c r="P839" s="2"/>
      <c r="Q839" s="2"/>
      <c r="R839" s="9"/>
      <c r="S839" s="9"/>
      <c r="T839" s="9"/>
      <c r="U839" s="9"/>
      <c r="V839" s="9"/>
      <c r="W839" s="9"/>
      <c r="X839" s="9"/>
      <c r="Y839" s="9"/>
      <c r="Z839" s="9"/>
      <c r="AA839" s="9"/>
      <c r="AB839" s="9"/>
      <c r="AC839" s="9"/>
      <c r="AD839" s="9"/>
    </row>
    <row r="840" spans="1:30" ht="13.5" customHeight="1">
      <c r="A840" s="2"/>
      <c r="B840" s="2"/>
      <c r="C840" s="2"/>
      <c r="D840" s="2"/>
      <c r="E840" s="2"/>
      <c r="F840" s="2"/>
      <c r="G840" s="2"/>
      <c r="H840" s="2"/>
      <c r="I840" s="2"/>
      <c r="J840" s="2"/>
      <c r="K840" s="2"/>
      <c r="L840" s="2"/>
      <c r="M840" s="2"/>
      <c r="N840" s="2"/>
      <c r="O840" s="2"/>
      <c r="P840" s="2"/>
      <c r="Q840" s="2"/>
      <c r="R840" s="9"/>
      <c r="S840" s="9"/>
      <c r="T840" s="9"/>
      <c r="U840" s="9"/>
      <c r="V840" s="9"/>
      <c r="W840" s="9"/>
      <c r="X840" s="9"/>
      <c r="Y840" s="9"/>
      <c r="Z840" s="9"/>
      <c r="AA840" s="9"/>
      <c r="AB840" s="9"/>
      <c r="AC840" s="9"/>
      <c r="AD840" s="9"/>
    </row>
    <row r="841" spans="1:30" ht="13.5" customHeight="1">
      <c r="A841" s="2"/>
      <c r="B841" s="2"/>
      <c r="C841" s="2"/>
      <c r="D841" s="2"/>
      <c r="E841" s="2"/>
      <c r="F841" s="2"/>
      <c r="G841" s="2"/>
      <c r="H841" s="2"/>
      <c r="I841" s="2"/>
      <c r="J841" s="2"/>
      <c r="K841" s="2"/>
      <c r="L841" s="2"/>
      <c r="M841" s="2"/>
      <c r="N841" s="2"/>
      <c r="O841" s="2"/>
      <c r="P841" s="2"/>
      <c r="Q841" s="2"/>
      <c r="R841" s="9"/>
      <c r="S841" s="9"/>
      <c r="T841" s="9"/>
      <c r="U841" s="9"/>
      <c r="V841" s="9"/>
      <c r="W841" s="9"/>
      <c r="X841" s="9"/>
      <c r="Y841" s="9"/>
      <c r="Z841" s="9"/>
      <c r="AA841" s="9"/>
      <c r="AB841" s="9"/>
      <c r="AC841" s="9"/>
      <c r="AD841" s="9"/>
    </row>
    <row r="842" spans="1:30" ht="13.5" customHeight="1">
      <c r="A842" s="2"/>
      <c r="B842" s="2"/>
      <c r="C842" s="2"/>
      <c r="D842" s="2"/>
      <c r="E842" s="2"/>
      <c r="F842" s="2"/>
      <c r="G842" s="2"/>
      <c r="H842" s="2"/>
      <c r="I842" s="2"/>
      <c r="J842" s="2"/>
      <c r="K842" s="2"/>
      <c r="L842" s="2"/>
      <c r="M842" s="2"/>
      <c r="N842" s="2"/>
      <c r="O842" s="2"/>
      <c r="P842" s="2"/>
      <c r="Q842" s="2"/>
      <c r="R842" s="9"/>
      <c r="S842" s="9"/>
      <c r="T842" s="9"/>
      <c r="U842" s="9"/>
      <c r="V842" s="9"/>
      <c r="W842" s="9"/>
      <c r="X842" s="9"/>
      <c r="Y842" s="9"/>
      <c r="Z842" s="9"/>
      <c r="AA842" s="9"/>
      <c r="AB842" s="9"/>
      <c r="AC842" s="9"/>
      <c r="AD842" s="9"/>
    </row>
    <row r="843" spans="1:30" ht="13.5" customHeight="1">
      <c r="A843" s="2"/>
      <c r="B843" s="2"/>
      <c r="C843" s="2"/>
      <c r="D843" s="2"/>
      <c r="E843" s="2"/>
      <c r="F843" s="2"/>
      <c r="G843" s="2"/>
      <c r="H843" s="2"/>
      <c r="I843" s="2"/>
      <c r="J843" s="2"/>
      <c r="K843" s="2"/>
      <c r="L843" s="2"/>
      <c r="M843" s="2"/>
      <c r="N843" s="2"/>
      <c r="O843" s="2"/>
      <c r="P843" s="2"/>
      <c r="Q843" s="2"/>
      <c r="R843" s="9"/>
      <c r="S843" s="9"/>
      <c r="T843" s="9"/>
      <c r="U843" s="9"/>
      <c r="V843" s="9"/>
      <c r="W843" s="9"/>
      <c r="X843" s="9"/>
      <c r="Y843" s="9"/>
      <c r="Z843" s="9"/>
      <c r="AA843" s="9"/>
      <c r="AB843" s="9"/>
      <c r="AC843" s="9"/>
      <c r="AD843" s="9"/>
    </row>
    <row r="844" spans="1:30" ht="13.5" customHeight="1">
      <c r="A844" s="2"/>
      <c r="B844" s="2"/>
      <c r="C844" s="2"/>
      <c r="D844" s="2"/>
      <c r="E844" s="2"/>
      <c r="F844" s="2"/>
      <c r="G844" s="2"/>
      <c r="H844" s="2"/>
      <c r="I844" s="2"/>
      <c r="J844" s="2"/>
      <c r="K844" s="2"/>
      <c r="L844" s="2"/>
      <c r="M844" s="2"/>
      <c r="N844" s="2"/>
      <c r="O844" s="2"/>
      <c r="P844" s="2"/>
      <c r="Q844" s="2"/>
      <c r="R844" s="9"/>
      <c r="S844" s="9"/>
      <c r="T844" s="9"/>
      <c r="U844" s="9"/>
      <c r="V844" s="9"/>
      <c r="W844" s="9"/>
      <c r="X844" s="9"/>
      <c r="Y844" s="9"/>
      <c r="Z844" s="9"/>
      <c r="AA844" s="9"/>
      <c r="AB844" s="9"/>
      <c r="AC844" s="9"/>
      <c r="AD844" s="9"/>
    </row>
    <row r="845" spans="1:30" ht="13.5" customHeight="1">
      <c r="A845" s="2"/>
      <c r="B845" s="2"/>
      <c r="C845" s="2"/>
      <c r="D845" s="2"/>
      <c r="E845" s="2"/>
      <c r="F845" s="2"/>
      <c r="G845" s="2"/>
      <c r="H845" s="2"/>
      <c r="I845" s="2"/>
      <c r="J845" s="2"/>
      <c r="K845" s="2"/>
      <c r="L845" s="2"/>
      <c r="M845" s="2"/>
      <c r="N845" s="2"/>
      <c r="O845" s="2"/>
      <c r="P845" s="2"/>
      <c r="Q845" s="2"/>
      <c r="R845" s="9"/>
      <c r="S845" s="9"/>
      <c r="T845" s="9"/>
      <c r="U845" s="9"/>
      <c r="V845" s="9"/>
      <c r="W845" s="9"/>
      <c r="X845" s="9"/>
      <c r="Y845" s="9"/>
      <c r="Z845" s="9"/>
      <c r="AA845" s="9"/>
      <c r="AB845" s="9"/>
      <c r="AC845" s="9"/>
      <c r="AD845" s="9"/>
    </row>
    <row r="846" spans="1:30" ht="13.5" customHeight="1">
      <c r="A846" s="2"/>
      <c r="B846" s="2"/>
      <c r="C846" s="2"/>
      <c r="D846" s="2"/>
      <c r="E846" s="2"/>
      <c r="F846" s="2"/>
      <c r="G846" s="2"/>
      <c r="H846" s="2"/>
      <c r="I846" s="2"/>
      <c r="J846" s="2"/>
      <c r="K846" s="2"/>
      <c r="L846" s="2"/>
      <c r="M846" s="2"/>
      <c r="N846" s="2"/>
      <c r="O846" s="2"/>
      <c r="P846" s="2"/>
      <c r="Q846" s="2"/>
      <c r="R846" s="9"/>
      <c r="S846" s="9"/>
      <c r="T846" s="9"/>
      <c r="U846" s="9"/>
      <c r="V846" s="9"/>
      <c r="W846" s="9"/>
      <c r="X846" s="9"/>
      <c r="Y846" s="9"/>
      <c r="Z846" s="9"/>
      <c r="AA846" s="9"/>
      <c r="AB846" s="9"/>
      <c r="AC846" s="9"/>
      <c r="AD846" s="9"/>
    </row>
    <row r="847" spans="1:30" ht="13.5" customHeight="1">
      <c r="A847" s="2"/>
      <c r="B847" s="2"/>
      <c r="C847" s="2"/>
      <c r="D847" s="2"/>
      <c r="E847" s="2"/>
      <c r="F847" s="2"/>
      <c r="G847" s="2"/>
      <c r="H847" s="2"/>
      <c r="I847" s="2"/>
      <c r="J847" s="2"/>
      <c r="K847" s="2"/>
      <c r="L847" s="2"/>
      <c r="M847" s="2"/>
      <c r="N847" s="2"/>
      <c r="O847" s="2"/>
      <c r="P847" s="2"/>
      <c r="Q847" s="2"/>
      <c r="R847" s="9"/>
      <c r="S847" s="9"/>
      <c r="T847" s="9"/>
      <c r="U847" s="9"/>
      <c r="V847" s="9"/>
      <c r="W847" s="9"/>
      <c r="X847" s="9"/>
      <c r="Y847" s="9"/>
      <c r="Z847" s="9"/>
      <c r="AA847" s="9"/>
      <c r="AB847" s="9"/>
      <c r="AC847" s="9"/>
      <c r="AD847" s="9"/>
    </row>
    <row r="848" spans="1:30" ht="13.5" customHeight="1">
      <c r="A848" s="2"/>
      <c r="B848" s="2"/>
      <c r="C848" s="2"/>
      <c r="D848" s="2"/>
      <c r="E848" s="2"/>
      <c r="F848" s="2"/>
      <c r="G848" s="2"/>
      <c r="H848" s="2"/>
      <c r="I848" s="2"/>
      <c r="J848" s="2"/>
      <c r="K848" s="2"/>
      <c r="L848" s="2"/>
      <c r="M848" s="2"/>
      <c r="N848" s="2"/>
      <c r="O848" s="2"/>
      <c r="P848" s="2"/>
      <c r="Q848" s="2"/>
      <c r="R848" s="9"/>
      <c r="S848" s="9"/>
      <c r="T848" s="9"/>
      <c r="U848" s="9"/>
      <c r="V848" s="9"/>
      <c r="W848" s="9"/>
      <c r="X848" s="9"/>
      <c r="Y848" s="9"/>
      <c r="Z848" s="9"/>
      <c r="AA848" s="9"/>
      <c r="AB848" s="9"/>
      <c r="AC848" s="9"/>
      <c r="AD848" s="9"/>
    </row>
    <row r="849" spans="1:30" ht="13.5" customHeight="1">
      <c r="A849" s="2"/>
      <c r="B849" s="2"/>
      <c r="C849" s="2"/>
      <c r="D849" s="2"/>
      <c r="E849" s="2"/>
      <c r="F849" s="2"/>
      <c r="G849" s="2"/>
      <c r="H849" s="2"/>
      <c r="I849" s="2"/>
      <c r="J849" s="2"/>
      <c r="K849" s="2"/>
      <c r="L849" s="2"/>
      <c r="M849" s="2"/>
      <c r="N849" s="2"/>
      <c r="O849" s="2"/>
      <c r="P849" s="2"/>
      <c r="Q849" s="2"/>
      <c r="R849" s="9"/>
      <c r="S849" s="9"/>
      <c r="T849" s="9"/>
      <c r="U849" s="9"/>
      <c r="V849" s="9"/>
      <c r="W849" s="9"/>
      <c r="X849" s="9"/>
      <c r="Y849" s="9"/>
      <c r="Z849" s="9"/>
      <c r="AA849" s="9"/>
      <c r="AB849" s="9"/>
      <c r="AC849" s="9"/>
      <c r="AD849" s="9"/>
    </row>
    <row r="850" spans="1:30" ht="13.5" customHeight="1">
      <c r="A850" s="2"/>
      <c r="B850" s="2"/>
      <c r="C850" s="2"/>
      <c r="D850" s="2"/>
      <c r="E850" s="2"/>
      <c r="F850" s="2"/>
      <c r="G850" s="2"/>
      <c r="H850" s="2"/>
      <c r="I850" s="2"/>
      <c r="J850" s="2"/>
      <c r="K850" s="2"/>
      <c r="L850" s="2"/>
      <c r="M850" s="2"/>
      <c r="N850" s="2"/>
      <c r="O850" s="2"/>
      <c r="P850" s="2"/>
      <c r="Q850" s="2"/>
      <c r="R850" s="9"/>
      <c r="S850" s="9"/>
      <c r="T850" s="9"/>
      <c r="U850" s="9"/>
      <c r="V850" s="9"/>
      <c r="W850" s="9"/>
      <c r="X850" s="9"/>
      <c r="Y850" s="9"/>
      <c r="Z850" s="9"/>
      <c r="AA850" s="9"/>
      <c r="AB850" s="9"/>
      <c r="AC850" s="9"/>
      <c r="AD850" s="9"/>
    </row>
    <row r="851" spans="1:30" ht="13.5" customHeight="1">
      <c r="A851" s="2"/>
      <c r="B851" s="2"/>
      <c r="C851" s="2"/>
      <c r="D851" s="2"/>
      <c r="E851" s="2"/>
      <c r="F851" s="2"/>
      <c r="G851" s="2"/>
      <c r="H851" s="2"/>
      <c r="I851" s="2"/>
      <c r="J851" s="2"/>
      <c r="K851" s="2"/>
      <c r="L851" s="2"/>
      <c r="M851" s="2"/>
      <c r="N851" s="2"/>
      <c r="O851" s="2"/>
      <c r="P851" s="2"/>
      <c r="Q851" s="2"/>
      <c r="R851" s="9"/>
      <c r="S851" s="9"/>
      <c r="T851" s="9"/>
      <c r="U851" s="9"/>
      <c r="V851" s="9"/>
      <c r="W851" s="9"/>
      <c r="X851" s="9"/>
      <c r="Y851" s="9"/>
      <c r="Z851" s="9"/>
      <c r="AA851" s="9"/>
      <c r="AB851" s="9"/>
      <c r="AC851" s="9"/>
      <c r="AD851" s="9"/>
    </row>
    <row r="852" spans="1:30" ht="13.5" customHeight="1">
      <c r="A852" s="2"/>
      <c r="B852" s="2"/>
      <c r="C852" s="2"/>
      <c r="D852" s="2"/>
      <c r="E852" s="2"/>
      <c r="F852" s="2"/>
      <c r="G852" s="2"/>
      <c r="H852" s="2"/>
      <c r="I852" s="2"/>
      <c r="J852" s="2"/>
      <c r="K852" s="2"/>
      <c r="L852" s="2"/>
      <c r="M852" s="2"/>
      <c r="N852" s="2"/>
      <c r="O852" s="2"/>
      <c r="P852" s="2"/>
      <c r="Q852" s="2"/>
      <c r="R852" s="9"/>
      <c r="S852" s="9"/>
      <c r="T852" s="9"/>
      <c r="U852" s="9"/>
      <c r="V852" s="9"/>
      <c r="W852" s="9"/>
      <c r="X852" s="9"/>
      <c r="Y852" s="9"/>
      <c r="Z852" s="9"/>
      <c r="AA852" s="9"/>
      <c r="AB852" s="9"/>
      <c r="AC852" s="9"/>
      <c r="AD852" s="9"/>
    </row>
    <row r="853" spans="1:30" ht="13.5" customHeight="1">
      <c r="A853" s="2"/>
      <c r="B853" s="2"/>
      <c r="C853" s="2"/>
      <c r="D853" s="2"/>
      <c r="E853" s="2"/>
      <c r="F853" s="2"/>
      <c r="G853" s="2"/>
      <c r="H853" s="2"/>
      <c r="I853" s="2"/>
      <c r="J853" s="2"/>
      <c r="K853" s="2"/>
      <c r="L853" s="2"/>
      <c r="M853" s="2"/>
      <c r="N853" s="2"/>
      <c r="O853" s="2"/>
      <c r="P853" s="2"/>
      <c r="Q853" s="2"/>
      <c r="R853" s="9"/>
      <c r="S853" s="9"/>
      <c r="T853" s="9"/>
      <c r="U853" s="9"/>
      <c r="V853" s="9"/>
      <c r="W853" s="9"/>
      <c r="X853" s="9"/>
      <c r="Y853" s="9"/>
      <c r="Z853" s="9"/>
      <c r="AA853" s="9"/>
      <c r="AB853" s="9"/>
      <c r="AC853" s="9"/>
      <c r="AD853" s="9"/>
    </row>
    <row r="854" spans="1:30" ht="13.5" customHeight="1">
      <c r="A854" s="2"/>
      <c r="B854" s="2"/>
      <c r="C854" s="2"/>
      <c r="D854" s="2"/>
      <c r="E854" s="2"/>
      <c r="F854" s="2"/>
      <c r="G854" s="2"/>
      <c r="H854" s="2"/>
      <c r="I854" s="2"/>
      <c r="J854" s="2"/>
      <c r="K854" s="2"/>
      <c r="L854" s="2"/>
      <c r="M854" s="2"/>
      <c r="N854" s="2"/>
      <c r="O854" s="2"/>
      <c r="P854" s="2"/>
      <c r="Q854" s="2"/>
      <c r="R854" s="9"/>
      <c r="S854" s="9"/>
      <c r="T854" s="9"/>
      <c r="U854" s="9"/>
      <c r="V854" s="9"/>
      <c r="W854" s="9"/>
      <c r="X854" s="9"/>
      <c r="Y854" s="9"/>
      <c r="Z854" s="9"/>
      <c r="AA854" s="9"/>
      <c r="AB854" s="9"/>
      <c r="AC854" s="9"/>
      <c r="AD854" s="9"/>
    </row>
    <row r="855" spans="1:30" ht="13.5" customHeight="1">
      <c r="A855" s="2"/>
      <c r="B855" s="2"/>
      <c r="C855" s="2"/>
      <c r="D855" s="2"/>
      <c r="E855" s="2"/>
      <c r="F855" s="2"/>
      <c r="G855" s="2"/>
      <c r="H855" s="2"/>
      <c r="I855" s="2"/>
      <c r="J855" s="2"/>
      <c r="K855" s="2"/>
      <c r="L855" s="2"/>
      <c r="M855" s="2"/>
      <c r="N855" s="2"/>
      <c r="O855" s="2"/>
      <c r="P855" s="2"/>
      <c r="Q855" s="2"/>
      <c r="R855" s="9"/>
      <c r="S855" s="9"/>
      <c r="T855" s="9"/>
      <c r="U855" s="9"/>
      <c r="V855" s="9"/>
      <c r="W855" s="9"/>
      <c r="X855" s="9"/>
      <c r="Y855" s="9"/>
      <c r="Z855" s="9"/>
      <c r="AA855" s="9"/>
      <c r="AB855" s="9"/>
      <c r="AC855" s="9"/>
      <c r="AD855" s="9"/>
    </row>
    <row r="856" spans="1:30" ht="13.5" customHeight="1">
      <c r="A856" s="2"/>
      <c r="B856" s="2"/>
      <c r="C856" s="2"/>
      <c r="D856" s="2"/>
      <c r="E856" s="2"/>
      <c r="F856" s="2"/>
      <c r="G856" s="2"/>
      <c r="H856" s="2"/>
      <c r="I856" s="2"/>
      <c r="J856" s="2"/>
      <c r="K856" s="2"/>
      <c r="L856" s="2"/>
      <c r="M856" s="2"/>
      <c r="N856" s="2"/>
      <c r="O856" s="2"/>
      <c r="P856" s="2"/>
      <c r="Q856" s="2"/>
      <c r="R856" s="9"/>
      <c r="S856" s="9"/>
      <c r="T856" s="9"/>
      <c r="U856" s="9"/>
      <c r="V856" s="9"/>
      <c r="W856" s="9"/>
      <c r="X856" s="9"/>
      <c r="Y856" s="9"/>
      <c r="Z856" s="9"/>
      <c r="AA856" s="9"/>
      <c r="AB856" s="9"/>
      <c r="AC856" s="9"/>
      <c r="AD856" s="9"/>
    </row>
    <row r="857" spans="1:30" ht="13.5" customHeight="1">
      <c r="A857" s="2"/>
      <c r="B857" s="2"/>
      <c r="C857" s="2"/>
      <c r="D857" s="2"/>
      <c r="E857" s="2"/>
      <c r="F857" s="2"/>
      <c r="G857" s="2"/>
      <c r="H857" s="2"/>
      <c r="I857" s="2"/>
      <c r="J857" s="2"/>
      <c r="K857" s="2"/>
      <c r="L857" s="2"/>
      <c r="M857" s="2"/>
      <c r="N857" s="2"/>
      <c r="O857" s="2"/>
      <c r="P857" s="2"/>
      <c r="Q857" s="2"/>
      <c r="R857" s="9"/>
      <c r="S857" s="9"/>
      <c r="T857" s="9"/>
      <c r="U857" s="9"/>
      <c r="V857" s="9"/>
      <c r="W857" s="9"/>
      <c r="X857" s="9"/>
      <c r="Y857" s="9"/>
      <c r="Z857" s="9"/>
      <c r="AA857" s="9"/>
      <c r="AB857" s="9"/>
      <c r="AC857" s="9"/>
      <c r="AD857" s="9"/>
    </row>
    <row r="858" spans="1:30" ht="13.5" customHeight="1">
      <c r="A858" s="2"/>
      <c r="B858" s="2"/>
      <c r="C858" s="2"/>
      <c r="D858" s="2"/>
      <c r="E858" s="2"/>
      <c r="F858" s="2"/>
      <c r="G858" s="2"/>
      <c r="H858" s="2"/>
      <c r="I858" s="2"/>
      <c r="J858" s="2"/>
      <c r="K858" s="2"/>
      <c r="L858" s="2"/>
      <c r="M858" s="2"/>
      <c r="N858" s="2"/>
      <c r="O858" s="2"/>
      <c r="P858" s="2"/>
      <c r="Q858" s="2"/>
      <c r="R858" s="9"/>
      <c r="S858" s="9"/>
      <c r="T858" s="9"/>
      <c r="U858" s="9"/>
      <c r="V858" s="9"/>
      <c r="W858" s="9"/>
      <c r="X858" s="9"/>
      <c r="Y858" s="9"/>
      <c r="Z858" s="9"/>
      <c r="AA858" s="9"/>
      <c r="AB858" s="9"/>
      <c r="AC858" s="9"/>
      <c r="AD858" s="9"/>
    </row>
    <row r="859" spans="1:30" ht="13.5" customHeight="1">
      <c r="A859" s="2"/>
      <c r="B859" s="2"/>
      <c r="C859" s="2"/>
      <c r="D859" s="2"/>
      <c r="E859" s="2"/>
      <c r="F859" s="2"/>
      <c r="G859" s="2"/>
      <c r="H859" s="2"/>
      <c r="I859" s="2"/>
      <c r="J859" s="2"/>
      <c r="K859" s="2"/>
      <c r="L859" s="2"/>
      <c r="M859" s="2"/>
      <c r="N859" s="2"/>
      <c r="O859" s="2"/>
      <c r="P859" s="2"/>
      <c r="Q859" s="2"/>
      <c r="R859" s="9"/>
      <c r="S859" s="9"/>
      <c r="T859" s="9"/>
      <c r="U859" s="9"/>
      <c r="V859" s="9"/>
      <c r="W859" s="9"/>
      <c r="X859" s="9"/>
      <c r="Y859" s="9"/>
      <c r="Z859" s="9"/>
      <c r="AA859" s="9"/>
      <c r="AB859" s="9"/>
      <c r="AC859" s="9"/>
      <c r="AD859" s="9"/>
    </row>
    <row r="860" spans="1:30" ht="13.5" customHeight="1">
      <c r="A860" s="2"/>
      <c r="B860" s="2"/>
      <c r="C860" s="2"/>
      <c r="D860" s="2"/>
      <c r="E860" s="2"/>
      <c r="F860" s="2"/>
      <c r="G860" s="2"/>
      <c r="H860" s="2"/>
      <c r="I860" s="2"/>
      <c r="J860" s="2"/>
      <c r="K860" s="2"/>
      <c r="L860" s="2"/>
      <c r="M860" s="2"/>
      <c r="N860" s="2"/>
      <c r="O860" s="2"/>
      <c r="P860" s="2"/>
      <c r="Q860" s="2"/>
      <c r="R860" s="9"/>
      <c r="S860" s="9"/>
      <c r="T860" s="9"/>
      <c r="U860" s="9"/>
      <c r="V860" s="9"/>
      <c r="W860" s="9"/>
      <c r="X860" s="9"/>
      <c r="Y860" s="9"/>
      <c r="Z860" s="9"/>
      <c r="AA860" s="9"/>
      <c r="AB860" s="9"/>
      <c r="AC860" s="9"/>
      <c r="AD860" s="9"/>
    </row>
    <row r="861" spans="1:30" ht="13.5" customHeight="1">
      <c r="A861" s="2"/>
      <c r="B861" s="2"/>
      <c r="C861" s="2"/>
      <c r="D861" s="2"/>
      <c r="E861" s="2"/>
      <c r="F861" s="2"/>
      <c r="G861" s="2"/>
      <c r="H861" s="2"/>
      <c r="I861" s="2"/>
      <c r="J861" s="2"/>
      <c r="K861" s="2"/>
      <c r="L861" s="2"/>
      <c r="M861" s="2"/>
      <c r="N861" s="2"/>
      <c r="O861" s="2"/>
      <c r="P861" s="2"/>
      <c r="Q861" s="2"/>
      <c r="R861" s="9"/>
      <c r="S861" s="9"/>
      <c r="T861" s="9"/>
      <c r="U861" s="9"/>
      <c r="V861" s="9"/>
      <c r="W861" s="9"/>
      <c r="X861" s="9"/>
      <c r="Y861" s="9"/>
      <c r="Z861" s="9"/>
      <c r="AA861" s="9"/>
      <c r="AB861" s="9"/>
      <c r="AC861" s="9"/>
      <c r="AD861" s="9"/>
    </row>
    <row r="862" spans="1:30" ht="13.5" customHeight="1">
      <c r="A862" s="2"/>
      <c r="B862" s="2"/>
      <c r="C862" s="2"/>
      <c r="D862" s="2"/>
      <c r="E862" s="2"/>
      <c r="F862" s="2"/>
      <c r="G862" s="2"/>
      <c r="H862" s="2"/>
      <c r="I862" s="2"/>
      <c r="J862" s="2"/>
      <c r="K862" s="2"/>
      <c r="L862" s="2"/>
      <c r="M862" s="2"/>
      <c r="N862" s="2"/>
      <c r="O862" s="2"/>
      <c r="P862" s="2"/>
      <c r="Q862" s="2"/>
      <c r="R862" s="9"/>
      <c r="S862" s="9"/>
      <c r="T862" s="9"/>
      <c r="U862" s="9"/>
      <c r="V862" s="9"/>
      <c r="W862" s="9"/>
      <c r="X862" s="9"/>
      <c r="Y862" s="9"/>
      <c r="Z862" s="9"/>
      <c r="AA862" s="9"/>
      <c r="AB862" s="9"/>
      <c r="AC862" s="9"/>
      <c r="AD862" s="9"/>
    </row>
    <row r="863" spans="1:30" ht="13.5" customHeight="1">
      <c r="A863" s="2"/>
      <c r="B863" s="2"/>
      <c r="C863" s="2"/>
      <c r="D863" s="2"/>
      <c r="E863" s="2"/>
      <c r="F863" s="2"/>
      <c r="G863" s="2"/>
      <c r="H863" s="2"/>
      <c r="I863" s="2"/>
      <c r="J863" s="2"/>
      <c r="K863" s="2"/>
      <c r="L863" s="2"/>
      <c r="M863" s="2"/>
      <c r="N863" s="2"/>
      <c r="O863" s="2"/>
      <c r="P863" s="2"/>
      <c r="Q863" s="2"/>
      <c r="R863" s="9"/>
      <c r="S863" s="9"/>
      <c r="T863" s="9"/>
      <c r="U863" s="9"/>
      <c r="V863" s="9"/>
      <c r="W863" s="9"/>
      <c r="X863" s="9"/>
      <c r="Y863" s="9"/>
      <c r="Z863" s="9"/>
      <c r="AA863" s="9"/>
      <c r="AB863" s="9"/>
      <c r="AC863" s="9"/>
      <c r="AD863" s="9"/>
    </row>
    <row r="864" spans="1:30" ht="13.5" customHeight="1">
      <c r="A864" s="2"/>
      <c r="B864" s="2"/>
      <c r="C864" s="2"/>
      <c r="D864" s="2"/>
      <c r="E864" s="2"/>
      <c r="F864" s="2"/>
      <c r="G864" s="2"/>
      <c r="H864" s="2"/>
      <c r="I864" s="2"/>
      <c r="J864" s="2"/>
      <c r="K864" s="2"/>
      <c r="L864" s="2"/>
      <c r="M864" s="2"/>
      <c r="N864" s="2"/>
      <c r="O864" s="2"/>
      <c r="P864" s="2"/>
      <c r="Q864" s="2"/>
      <c r="R864" s="9"/>
      <c r="S864" s="9"/>
      <c r="T864" s="9"/>
      <c r="U864" s="9"/>
      <c r="V864" s="9"/>
      <c r="W864" s="9"/>
      <c r="X864" s="9"/>
      <c r="Y864" s="9"/>
      <c r="Z864" s="9"/>
      <c r="AA864" s="9"/>
      <c r="AB864" s="9"/>
      <c r="AC864" s="9"/>
      <c r="AD864" s="9"/>
    </row>
    <row r="865" spans="1:30" ht="13.5" customHeight="1">
      <c r="A865" s="2"/>
      <c r="B865" s="2"/>
      <c r="C865" s="2"/>
      <c r="D865" s="2"/>
      <c r="E865" s="2"/>
      <c r="F865" s="2"/>
      <c r="G865" s="2"/>
      <c r="H865" s="2"/>
      <c r="I865" s="2"/>
      <c r="J865" s="2"/>
      <c r="K865" s="2"/>
      <c r="L865" s="2"/>
      <c r="M865" s="2"/>
      <c r="N865" s="2"/>
      <c r="O865" s="2"/>
      <c r="P865" s="2"/>
      <c r="Q865" s="2"/>
      <c r="R865" s="9"/>
      <c r="S865" s="9"/>
      <c r="T865" s="9"/>
      <c r="U865" s="9"/>
      <c r="V865" s="9"/>
      <c r="W865" s="9"/>
      <c r="X865" s="9"/>
      <c r="Y865" s="9"/>
      <c r="Z865" s="9"/>
      <c r="AA865" s="9"/>
      <c r="AB865" s="9"/>
      <c r="AC865" s="9"/>
      <c r="AD865" s="9"/>
    </row>
    <row r="866" spans="1:30" ht="13.5" customHeight="1">
      <c r="A866" s="2"/>
      <c r="B866" s="2"/>
      <c r="C866" s="2"/>
      <c r="D866" s="2"/>
      <c r="E866" s="2"/>
      <c r="F866" s="2"/>
      <c r="G866" s="2"/>
      <c r="H866" s="2"/>
      <c r="I866" s="2"/>
      <c r="J866" s="2"/>
      <c r="K866" s="2"/>
      <c r="L866" s="2"/>
      <c r="M866" s="2"/>
      <c r="N866" s="2"/>
      <c r="O866" s="2"/>
      <c r="P866" s="2"/>
      <c r="Q866" s="2"/>
      <c r="R866" s="9"/>
      <c r="S866" s="9"/>
      <c r="T866" s="9"/>
      <c r="U866" s="9"/>
      <c r="V866" s="9"/>
      <c r="W866" s="9"/>
      <c r="X866" s="9"/>
      <c r="Y866" s="9"/>
      <c r="Z866" s="9"/>
      <c r="AA866" s="9"/>
      <c r="AB866" s="9"/>
      <c r="AC866" s="9"/>
      <c r="AD866" s="9"/>
    </row>
    <row r="867" spans="1:30" ht="13.5" customHeight="1">
      <c r="A867" s="2"/>
      <c r="B867" s="2"/>
      <c r="C867" s="2"/>
      <c r="D867" s="2"/>
      <c r="E867" s="2"/>
      <c r="F867" s="2"/>
      <c r="G867" s="2"/>
      <c r="H867" s="2"/>
      <c r="I867" s="2"/>
      <c r="J867" s="2"/>
      <c r="K867" s="2"/>
      <c r="L867" s="2"/>
      <c r="M867" s="2"/>
      <c r="N867" s="2"/>
      <c r="O867" s="2"/>
      <c r="P867" s="2"/>
      <c r="Q867" s="2"/>
      <c r="R867" s="9"/>
      <c r="S867" s="9"/>
      <c r="T867" s="9"/>
      <c r="U867" s="9"/>
      <c r="V867" s="9"/>
      <c r="W867" s="9"/>
      <c r="X867" s="9"/>
      <c r="Y867" s="9"/>
      <c r="Z867" s="9"/>
      <c r="AA867" s="9"/>
      <c r="AB867" s="9"/>
      <c r="AC867" s="9"/>
      <c r="AD867" s="9"/>
    </row>
    <row r="868" spans="1:30" ht="13.5" customHeight="1">
      <c r="A868" s="2"/>
      <c r="B868" s="2"/>
      <c r="C868" s="2"/>
      <c r="D868" s="2"/>
      <c r="E868" s="2"/>
      <c r="F868" s="2"/>
      <c r="G868" s="2"/>
      <c r="H868" s="2"/>
      <c r="I868" s="2"/>
      <c r="J868" s="2"/>
      <c r="K868" s="2"/>
      <c r="L868" s="2"/>
      <c r="M868" s="2"/>
      <c r="N868" s="2"/>
      <c r="O868" s="2"/>
      <c r="P868" s="2"/>
      <c r="Q868" s="2"/>
      <c r="R868" s="9"/>
      <c r="S868" s="9"/>
      <c r="T868" s="9"/>
      <c r="U868" s="9"/>
      <c r="V868" s="9"/>
      <c r="W868" s="9"/>
      <c r="X868" s="9"/>
      <c r="Y868" s="9"/>
      <c r="Z868" s="9"/>
      <c r="AA868" s="9"/>
      <c r="AB868" s="9"/>
      <c r="AC868" s="9"/>
      <c r="AD868" s="9"/>
    </row>
    <row r="869" spans="1:30" ht="13.5" customHeight="1">
      <c r="A869" s="2"/>
      <c r="B869" s="2"/>
      <c r="C869" s="2"/>
      <c r="D869" s="2"/>
      <c r="E869" s="2"/>
      <c r="F869" s="2"/>
      <c r="G869" s="2"/>
      <c r="H869" s="2"/>
      <c r="I869" s="2"/>
      <c r="J869" s="2"/>
      <c r="K869" s="2"/>
      <c r="L869" s="2"/>
      <c r="M869" s="2"/>
      <c r="N869" s="2"/>
      <c r="O869" s="2"/>
      <c r="P869" s="2"/>
      <c r="Q869" s="2"/>
      <c r="R869" s="9"/>
      <c r="S869" s="9"/>
      <c r="T869" s="9"/>
      <c r="U869" s="9"/>
      <c r="V869" s="9"/>
      <c r="W869" s="9"/>
      <c r="X869" s="9"/>
      <c r="Y869" s="9"/>
      <c r="Z869" s="9"/>
      <c r="AA869" s="9"/>
      <c r="AB869" s="9"/>
      <c r="AC869" s="9"/>
      <c r="AD869" s="9"/>
    </row>
    <row r="870" spans="1:30" ht="13.5" customHeight="1">
      <c r="A870" s="2"/>
      <c r="B870" s="2"/>
      <c r="C870" s="2"/>
      <c r="D870" s="2"/>
      <c r="E870" s="2"/>
      <c r="F870" s="2"/>
      <c r="G870" s="2"/>
      <c r="H870" s="2"/>
      <c r="I870" s="2"/>
      <c r="J870" s="2"/>
      <c r="K870" s="2"/>
      <c r="L870" s="2"/>
      <c r="M870" s="2"/>
      <c r="N870" s="2"/>
      <c r="O870" s="2"/>
      <c r="P870" s="2"/>
      <c r="Q870" s="2"/>
      <c r="R870" s="9"/>
      <c r="S870" s="9"/>
      <c r="T870" s="9"/>
      <c r="U870" s="9"/>
      <c r="V870" s="9"/>
      <c r="W870" s="9"/>
      <c r="X870" s="9"/>
      <c r="Y870" s="9"/>
      <c r="Z870" s="9"/>
      <c r="AA870" s="9"/>
      <c r="AB870" s="9"/>
      <c r="AC870" s="9"/>
      <c r="AD870" s="9"/>
    </row>
    <row r="871" spans="1:30" ht="13.5" customHeight="1">
      <c r="A871" s="2"/>
      <c r="B871" s="2"/>
      <c r="C871" s="2"/>
      <c r="D871" s="2"/>
      <c r="E871" s="2"/>
      <c r="F871" s="2"/>
      <c r="G871" s="2"/>
      <c r="H871" s="2"/>
      <c r="I871" s="2"/>
      <c r="J871" s="2"/>
      <c r="K871" s="2"/>
      <c r="L871" s="2"/>
      <c r="M871" s="2"/>
      <c r="N871" s="2"/>
      <c r="O871" s="2"/>
      <c r="P871" s="2"/>
      <c r="Q871" s="2"/>
      <c r="R871" s="9"/>
      <c r="S871" s="9"/>
      <c r="T871" s="9"/>
      <c r="U871" s="9"/>
      <c r="V871" s="9"/>
      <c r="W871" s="9"/>
      <c r="X871" s="9"/>
      <c r="Y871" s="9"/>
      <c r="Z871" s="9"/>
      <c r="AA871" s="9"/>
      <c r="AB871" s="9"/>
      <c r="AC871" s="9"/>
      <c r="AD871" s="9"/>
    </row>
    <row r="872" spans="1:30" ht="13.5" customHeight="1">
      <c r="A872" s="2"/>
      <c r="B872" s="2"/>
      <c r="C872" s="2"/>
      <c r="D872" s="2"/>
      <c r="E872" s="2"/>
      <c r="F872" s="2"/>
      <c r="G872" s="2"/>
      <c r="H872" s="2"/>
      <c r="I872" s="2"/>
      <c r="J872" s="2"/>
      <c r="K872" s="2"/>
      <c r="L872" s="2"/>
      <c r="M872" s="2"/>
      <c r="N872" s="2"/>
      <c r="O872" s="2"/>
      <c r="P872" s="2"/>
      <c r="Q872" s="2"/>
      <c r="R872" s="9"/>
      <c r="S872" s="9"/>
      <c r="T872" s="9"/>
      <c r="U872" s="9"/>
      <c r="V872" s="9"/>
      <c r="W872" s="9"/>
      <c r="X872" s="9"/>
      <c r="Y872" s="9"/>
      <c r="Z872" s="9"/>
      <c r="AA872" s="9"/>
      <c r="AB872" s="9"/>
      <c r="AC872" s="9"/>
      <c r="AD872" s="9"/>
    </row>
    <row r="873" spans="1:30" ht="13.5" customHeight="1">
      <c r="A873" s="2"/>
      <c r="B873" s="2"/>
      <c r="C873" s="2"/>
      <c r="D873" s="2"/>
      <c r="E873" s="2"/>
      <c r="F873" s="2"/>
      <c r="G873" s="2"/>
      <c r="H873" s="2"/>
      <c r="I873" s="2"/>
      <c r="J873" s="2"/>
      <c r="K873" s="2"/>
      <c r="L873" s="2"/>
      <c r="M873" s="2"/>
      <c r="N873" s="2"/>
      <c r="O873" s="2"/>
      <c r="P873" s="2"/>
      <c r="Q873" s="2"/>
      <c r="R873" s="9"/>
      <c r="S873" s="9"/>
      <c r="T873" s="9"/>
      <c r="U873" s="9"/>
      <c r="V873" s="9"/>
      <c r="W873" s="9"/>
      <c r="X873" s="9"/>
      <c r="Y873" s="9"/>
      <c r="Z873" s="9"/>
      <c r="AA873" s="9"/>
      <c r="AB873" s="9"/>
      <c r="AC873" s="9"/>
      <c r="AD873" s="9"/>
    </row>
    <row r="874" spans="1:30" ht="13.5" customHeight="1">
      <c r="A874" s="2"/>
      <c r="B874" s="2"/>
      <c r="C874" s="2"/>
      <c r="D874" s="2"/>
      <c r="E874" s="2"/>
      <c r="F874" s="2"/>
      <c r="G874" s="2"/>
      <c r="H874" s="2"/>
      <c r="I874" s="2"/>
      <c r="J874" s="2"/>
      <c r="K874" s="2"/>
      <c r="L874" s="2"/>
      <c r="M874" s="2"/>
      <c r="N874" s="2"/>
      <c r="O874" s="2"/>
      <c r="P874" s="2"/>
      <c r="Q874" s="2"/>
      <c r="R874" s="9"/>
      <c r="S874" s="9"/>
      <c r="T874" s="9"/>
      <c r="U874" s="9"/>
      <c r="V874" s="9"/>
      <c r="W874" s="9"/>
      <c r="X874" s="9"/>
      <c r="Y874" s="9"/>
      <c r="Z874" s="9"/>
      <c r="AA874" s="9"/>
      <c r="AB874" s="9"/>
      <c r="AC874" s="9"/>
      <c r="AD874" s="9"/>
    </row>
    <row r="875" spans="1:30" ht="13.5" customHeight="1">
      <c r="A875" s="2"/>
      <c r="B875" s="2"/>
      <c r="C875" s="2"/>
      <c r="D875" s="2"/>
      <c r="E875" s="2"/>
      <c r="F875" s="2"/>
      <c r="G875" s="2"/>
      <c r="H875" s="2"/>
      <c r="I875" s="2"/>
      <c r="J875" s="2"/>
      <c r="K875" s="2"/>
      <c r="L875" s="2"/>
      <c r="M875" s="2"/>
      <c r="N875" s="2"/>
      <c r="O875" s="2"/>
      <c r="P875" s="2"/>
      <c r="Q875" s="2"/>
      <c r="R875" s="9"/>
      <c r="S875" s="9"/>
      <c r="T875" s="9"/>
      <c r="U875" s="9"/>
      <c r="V875" s="9"/>
      <c r="W875" s="9"/>
      <c r="X875" s="9"/>
      <c r="Y875" s="9"/>
      <c r="Z875" s="9"/>
      <c r="AA875" s="9"/>
      <c r="AB875" s="9"/>
      <c r="AC875" s="9"/>
      <c r="AD875" s="9"/>
    </row>
    <row r="876" spans="1:30" ht="13.5" customHeight="1">
      <c r="A876" s="2"/>
      <c r="B876" s="2"/>
      <c r="C876" s="2"/>
      <c r="D876" s="2"/>
      <c r="E876" s="2"/>
      <c r="F876" s="2"/>
      <c r="G876" s="2"/>
      <c r="H876" s="2"/>
      <c r="I876" s="2"/>
      <c r="J876" s="2"/>
      <c r="K876" s="2"/>
      <c r="L876" s="2"/>
      <c r="M876" s="2"/>
      <c r="N876" s="2"/>
      <c r="O876" s="2"/>
      <c r="P876" s="2"/>
      <c r="Q876" s="2"/>
      <c r="R876" s="9"/>
      <c r="S876" s="9"/>
      <c r="T876" s="9"/>
      <c r="U876" s="9"/>
      <c r="V876" s="9"/>
      <c r="W876" s="9"/>
      <c r="X876" s="9"/>
      <c r="Y876" s="9"/>
      <c r="Z876" s="9"/>
      <c r="AA876" s="9"/>
      <c r="AB876" s="9"/>
      <c r="AC876" s="9"/>
      <c r="AD876" s="9"/>
    </row>
    <row r="877" spans="1:30" ht="13.5" customHeight="1">
      <c r="A877" s="2"/>
      <c r="B877" s="2"/>
      <c r="C877" s="2"/>
      <c r="D877" s="2"/>
      <c r="E877" s="2"/>
      <c r="F877" s="2"/>
      <c r="G877" s="2"/>
      <c r="H877" s="2"/>
      <c r="I877" s="2"/>
      <c r="J877" s="2"/>
      <c r="K877" s="2"/>
      <c r="L877" s="2"/>
      <c r="M877" s="2"/>
      <c r="N877" s="2"/>
      <c r="O877" s="2"/>
      <c r="P877" s="2"/>
      <c r="Q877" s="2"/>
      <c r="R877" s="9"/>
      <c r="S877" s="9"/>
      <c r="T877" s="9"/>
      <c r="U877" s="9"/>
      <c r="V877" s="9"/>
      <c r="W877" s="9"/>
      <c r="X877" s="9"/>
      <c r="Y877" s="9"/>
      <c r="Z877" s="9"/>
      <c r="AA877" s="9"/>
      <c r="AB877" s="9"/>
      <c r="AC877" s="9"/>
      <c r="AD877" s="9"/>
    </row>
    <row r="878" spans="1:30" ht="13.5" customHeight="1">
      <c r="A878" s="2"/>
      <c r="B878" s="2"/>
      <c r="C878" s="2"/>
      <c r="D878" s="2"/>
      <c r="E878" s="2"/>
      <c r="F878" s="2"/>
      <c r="G878" s="2"/>
      <c r="H878" s="2"/>
      <c r="I878" s="2"/>
      <c r="J878" s="2"/>
      <c r="K878" s="2"/>
      <c r="L878" s="2"/>
      <c r="M878" s="2"/>
      <c r="N878" s="2"/>
      <c r="O878" s="2"/>
      <c r="P878" s="2"/>
      <c r="Q878" s="2"/>
      <c r="R878" s="9"/>
      <c r="S878" s="9"/>
      <c r="T878" s="9"/>
      <c r="U878" s="9"/>
      <c r="V878" s="9"/>
      <c r="W878" s="9"/>
      <c r="X878" s="9"/>
      <c r="Y878" s="9"/>
      <c r="Z878" s="9"/>
      <c r="AA878" s="9"/>
      <c r="AB878" s="9"/>
      <c r="AC878" s="9"/>
      <c r="AD878" s="9"/>
    </row>
    <row r="879" spans="1:30" ht="13.5" customHeight="1">
      <c r="A879" s="2"/>
      <c r="B879" s="2"/>
      <c r="C879" s="2"/>
      <c r="D879" s="2"/>
      <c r="E879" s="2"/>
      <c r="F879" s="2"/>
      <c r="G879" s="2"/>
      <c r="H879" s="2"/>
      <c r="I879" s="2"/>
      <c r="J879" s="2"/>
      <c r="K879" s="2"/>
      <c r="L879" s="2"/>
      <c r="M879" s="2"/>
      <c r="N879" s="2"/>
      <c r="O879" s="2"/>
      <c r="P879" s="2"/>
      <c r="Q879" s="2"/>
      <c r="R879" s="9"/>
      <c r="S879" s="9"/>
      <c r="T879" s="9"/>
      <c r="U879" s="9"/>
      <c r="V879" s="9"/>
      <c r="W879" s="9"/>
      <c r="X879" s="9"/>
      <c r="Y879" s="9"/>
      <c r="Z879" s="9"/>
      <c r="AA879" s="9"/>
      <c r="AB879" s="9"/>
      <c r="AC879" s="9"/>
      <c r="AD879" s="9"/>
    </row>
    <row r="880" spans="1:30" ht="13.5" customHeight="1">
      <c r="A880" s="2"/>
      <c r="B880" s="2"/>
      <c r="C880" s="2"/>
      <c r="D880" s="2"/>
      <c r="E880" s="2"/>
      <c r="F880" s="2"/>
      <c r="G880" s="2"/>
      <c r="H880" s="2"/>
      <c r="I880" s="2"/>
      <c r="J880" s="2"/>
      <c r="K880" s="2"/>
      <c r="L880" s="2"/>
      <c r="M880" s="2"/>
      <c r="N880" s="2"/>
      <c r="O880" s="2"/>
      <c r="P880" s="2"/>
      <c r="Q880" s="2"/>
      <c r="R880" s="9"/>
      <c r="S880" s="9"/>
      <c r="T880" s="9"/>
      <c r="U880" s="9"/>
      <c r="V880" s="9"/>
      <c r="W880" s="9"/>
      <c r="X880" s="9"/>
      <c r="Y880" s="9"/>
      <c r="Z880" s="9"/>
      <c r="AA880" s="9"/>
      <c r="AB880" s="9"/>
      <c r="AC880" s="9"/>
      <c r="AD880" s="9"/>
    </row>
    <row r="881" spans="1:30" ht="13.5" customHeight="1">
      <c r="A881" s="2"/>
      <c r="B881" s="2"/>
      <c r="C881" s="2"/>
      <c r="D881" s="2"/>
      <c r="E881" s="2"/>
      <c r="F881" s="2"/>
      <c r="G881" s="2"/>
      <c r="H881" s="2"/>
      <c r="I881" s="2"/>
      <c r="J881" s="2"/>
      <c r="K881" s="2"/>
      <c r="L881" s="2"/>
      <c r="M881" s="2"/>
      <c r="N881" s="2"/>
      <c r="O881" s="2"/>
      <c r="P881" s="2"/>
      <c r="Q881" s="2"/>
      <c r="R881" s="9"/>
      <c r="S881" s="9"/>
      <c r="T881" s="9"/>
      <c r="U881" s="9"/>
      <c r="V881" s="9"/>
      <c r="W881" s="9"/>
      <c r="X881" s="9"/>
      <c r="Y881" s="9"/>
      <c r="Z881" s="9"/>
      <c r="AA881" s="9"/>
      <c r="AB881" s="9"/>
      <c r="AC881" s="9"/>
      <c r="AD881" s="9"/>
    </row>
    <row r="882" spans="1:30" ht="13.5" customHeight="1">
      <c r="A882" s="2"/>
      <c r="B882" s="2"/>
      <c r="C882" s="2"/>
      <c r="D882" s="2"/>
      <c r="E882" s="2"/>
      <c r="F882" s="2"/>
      <c r="G882" s="2"/>
      <c r="H882" s="2"/>
      <c r="I882" s="2"/>
      <c r="J882" s="2"/>
      <c r="K882" s="2"/>
      <c r="L882" s="2"/>
      <c r="M882" s="2"/>
      <c r="N882" s="2"/>
      <c r="O882" s="2"/>
      <c r="P882" s="2"/>
      <c r="Q882" s="2"/>
      <c r="R882" s="9"/>
      <c r="S882" s="9"/>
      <c r="T882" s="9"/>
      <c r="U882" s="9"/>
      <c r="V882" s="9"/>
      <c r="W882" s="9"/>
      <c r="X882" s="9"/>
      <c r="Y882" s="9"/>
      <c r="Z882" s="9"/>
      <c r="AA882" s="9"/>
      <c r="AB882" s="9"/>
      <c r="AC882" s="9"/>
      <c r="AD882" s="9"/>
    </row>
    <row r="883" spans="1:30" ht="13.5" customHeight="1">
      <c r="A883" s="2"/>
      <c r="B883" s="2"/>
      <c r="C883" s="2"/>
      <c r="D883" s="2"/>
      <c r="E883" s="2"/>
      <c r="F883" s="2"/>
      <c r="G883" s="2"/>
      <c r="H883" s="2"/>
      <c r="I883" s="2"/>
      <c r="J883" s="2"/>
      <c r="K883" s="2"/>
      <c r="L883" s="2"/>
      <c r="M883" s="2"/>
      <c r="N883" s="2"/>
      <c r="O883" s="2"/>
      <c r="P883" s="2"/>
      <c r="Q883" s="2"/>
      <c r="R883" s="9"/>
      <c r="S883" s="9"/>
      <c r="T883" s="9"/>
      <c r="U883" s="9"/>
      <c r="V883" s="9"/>
      <c r="W883" s="9"/>
      <c r="X883" s="9"/>
      <c r="Y883" s="9"/>
      <c r="Z883" s="9"/>
      <c r="AA883" s="9"/>
      <c r="AB883" s="9"/>
      <c r="AC883" s="9"/>
      <c r="AD883" s="9"/>
    </row>
    <row r="884" spans="1:30" ht="13.5" customHeight="1">
      <c r="A884" s="2"/>
      <c r="B884" s="2"/>
      <c r="C884" s="2"/>
      <c r="D884" s="2"/>
      <c r="E884" s="2"/>
      <c r="F884" s="2"/>
      <c r="G884" s="2"/>
      <c r="H884" s="2"/>
      <c r="I884" s="2"/>
      <c r="J884" s="2"/>
      <c r="K884" s="2"/>
      <c r="L884" s="2"/>
      <c r="M884" s="2"/>
      <c r="N884" s="2"/>
      <c r="O884" s="2"/>
      <c r="P884" s="2"/>
      <c r="Q884" s="2"/>
      <c r="R884" s="9"/>
      <c r="S884" s="9"/>
      <c r="T884" s="9"/>
      <c r="U884" s="9"/>
      <c r="V884" s="9"/>
      <c r="W884" s="9"/>
      <c r="X884" s="9"/>
      <c r="Y884" s="9"/>
      <c r="Z884" s="9"/>
      <c r="AA884" s="9"/>
      <c r="AB884" s="9"/>
      <c r="AC884" s="9"/>
      <c r="AD884" s="9"/>
    </row>
    <row r="885" spans="1:30" ht="13.5" customHeight="1">
      <c r="A885" s="2"/>
      <c r="B885" s="2"/>
      <c r="C885" s="2"/>
      <c r="D885" s="2"/>
      <c r="E885" s="2"/>
      <c r="F885" s="2"/>
      <c r="G885" s="2"/>
      <c r="H885" s="2"/>
      <c r="I885" s="2"/>
      <c r="J885" s="2"/>
      <c r="K885" s="2"/>
      <c r="L885" s="2"/>
      <c r="M885" s="2"/>
      <c r="N885" s="2"/>
      <c r="O885" s="2"/>
      <c r="P885" s="2"/>
      <c r="Q885" s="2"/>
      <c r="R885" s="9"/>
      <c r="S885" s="9"/>
      <c r="T885" s="9"/>
      <c r="U885" s="9"/>
      <c r="V885" s="9"/>
      <c r="W885" s="9"/>
      <c r="X885" s="9"/>
      <c r="Y885" s="9"/>
      <c r="Z885" s="9"/>
      <c r="AA885" s="9"/>
      <c r="AB885" s="9"/>
      <c r="AC885" s="9"/>
      <c r="AD885" s="9"/>
    </row>
    <row r="886" spans="1:30" ht="13.5" customHeight="1">
      <c r="A886" s="2"/>
      <c r="B886" s="2"/>
      <c r="C886" s="2"/>
      <c r="D886" s="2"/>
      <c r="E886" s="2"/>
      <c r="F886" s="2"/>
      <c r="G886" s="2"/>
      <c r="H886" s="2"/>
      <c r="I886" s="2"/>
      <c r="J886" s="2"/>
      <c r="K886" s="2"/>
      <c r="L886" s="2"/>
      <c r="M886" s="2"/>
      <c r="N886" s="2"/>
      <c r="O886" s="2"/>
      <c r="P886" s="2"/>
      <c r="Q886" s="2"/>
      <c r="R886" s="9"/>
      <c r="S886" s="9"/>
      <c r="T886" s="9"/>
      <c r="U886" s="9"/>
      <c r="V886" s="9"/>
      <c r="W886" s="9"/>
      <c r="X886" s="9"/>
      <c r="Y886" s="9"/>
      <c r="Z886" s="9"/>
      <c r="AA886" s="9"/>
      <c r="AB886" s="9"/>
      <c r="AC886" s="9"/>
      <c r="AD886" s="9"/>
    </row>
    <row r="887" spans="1:30" ht="13.5" customHeight="1">
      <c r="A887" s="2"/>
      <c r="B887" s="2"/>
      <c r="C887" s="2"/>
      <c r="D887" s="2"/>
      <c r="E887" s="2"/>
      <c r="F887" s="2"/>
      <c r="G887" s="2"/>
      <c r="H887" s="2"/>
      <c r="I887" s="2"/>
      <c r="J887" s="2"/>
      <c r="K887" s="2"/>
      <c r="L887" s="2"/>
      <c r="M887" s="2"/>
      <c r="N887" s="2"/>
      <c r="O887" s="2"/>
      <c r="P887" s="2"/>
      <c r="Q887" s="2"/>
      <c r="R887" s="9"/>
      <c r="S887" s="9"/>
      <c r="T887" s="9"/>
      <c r="U887" s="9"/>
      <c r="V887" s="9"/>
      <c r="W887" s="9"/>
      <c r="X887" s="9"/>
      <c r="Y887" s="9"/>
      <c r="Z887" s="9"/>
      <c r="AA887" s="9"/>
      <c r="AB887" s="9"/>
      <c r="AC887" s="9"/>
      <c r="AD887" s="9"/>
    </row>
    <row r="888" spans="1:30" ht="13.5" customHeight="1">
      <c r="A888" s="2"/>
      <c r="B888" s="2"/>
      <c r="C888" s="2"/>
      <c r="D888" s="2"/>
      <c r="E888" s="2"/>
      <c r="F888" s="2"/>
      <c r="G888" s="2"/>
      <c r="H888" s="2"/>
      <c r="I888" s="2"/>
      <c r="J888" s="2"/>
      <c r="K888" s="2"/>
      <c r="L888" s="2"/>
      <c r="M888" s="2"/>
      <c r="N888" s="2"/>
      <c r="O888" s="2"/>
      <c r="P888" s="2"/>
      <c r="Q888" s="2"/>
      <c r="R888" s="9"/>
      <c r="S888" s="9"/>
      <c r="T888" s="9"/>
      <c r="U888" s="9"/>
      <c r="V888" s="9"/>
      <c r="W888" s="9"/>
      <c r="X888" s="9"/>
      <c r="Y888" s="9"/>
      <c r="Z888" s="9"/>
      <c r="AA888" s="9"/>
      <c r="AB888" s="9"/>
      <c r="AC888" s="9"/>
      <c r="AD888" s="9"/>
    </row>
    <row r="889" spans="1:30" ht="13.5" customHeight="1">
      <c r="A889" s="2"/>
      <c r="B889" s="2"/>
      <c r="C889" s="2"/>
      <c r="D889" s="2"/>
      <c r="E889" s="2"/>
      <c r="F889" s="2"/>
      <c r="G889" s="2"/>
      <c r="H889" s="2"/>
      <c r="I889" s="2"/>
      <c r="J889" s="2"/>
      <c r="K889" s="2"/>
      <c r="L889" s="2"/>
      <c r="M889" s="2"/>
      <c r="N889" s="2"/>
      <c r="O889" s="2"/>
      <c r="P889" s="2"/>
      <c r="Q889" s="2"/>
      <c r="R889" s="9"/>
      <c r="S889" s="9"/>
      <c r="T889" s="9"/>
      <c r="U889" s="9"/>
      <c r="V889" s="9"/>
      <c r="W889" s="9"/>
      <c r="X889" s="9"/>
      <c r="Y889" s="9"/>
      <c r="Z889" s="9"/>
      <c r="AA889" s="9"/>
      <c r="AB889" s="9"/>
      <c r="AC889" s="9"/>
      <c r="AD889" s="9"/>
    </row>
    <row r="890" spans="1:30" ht="13.5" customHeight="1">
      <c r="A890" s="2"/>
      <c r="B890" s="2"/>
      <c r="C890" s="2"/>
      <c r="D890" s="2"/>
      <c r="E890" s="2"/>
      <c r="F890" s="2"/>
      <c r="G890" s="2"/>
      <c r="H890" s="2"/>
      <c r="I890" s="2"/>
      <c r="J890" s="2"/>
      <c r="K890" s="2"/>
      <c r="L890" s="2"/>
      <c r="M890" s="2"/>
      <c r="N890" s="2"/>
      <c r="O890" s="2"/>
      <c r="P890" s="2"/>
      <c r="Q890" s="2"/>
      <c r="R890" s="9"/>
      <c r="S890" s="9"/>
      <c r="T890" s="9"/>
      <c r="U890" s="9"/>
      <c r="V890" s="9"/>
      <c r="W890" s="9"/>
      <c r="X890" s="9"/>
      <c r="Y890" s="9"/>
      <c r="Z890" s="9"/>
      <c r="AA890" s="9"/>
      <c r="AB890" s="9"/>
      <c r="AC890" s="9"/>
      <c r="AD890" s="9"/>
    </row>
    <row r="891" spans="1:30" ht="13.5" customHeight="1">
      <c r="A891" s="2"/>
      <c r="B891" s="2"/>
      <c r="C891" s="2"/>
      <c r="D891" s="2"/>
      <c r="E891" s="2"/>
      <c r="F891" s="2"/>
      <c r="G891" s="2"/>
      <c r="H891" s="2"/>
      <c r="I891" s="2"/>
      <c r="J891" s="2"/>
      <c r="K891" s="2"/>
      <c r="L891" s="2"/>
      <c r="M891" s="2"/>
      <c r="N891" s="2"/>
      <c r="O891" s="2"/>
      <c r="P891" s="2"/>
      <c r="Q891" s="2"/>
      <c r="R891" s="9"/>
      <c r="S891" s="9"/>
      <c r="T891" s="9"/>
      <c r="U891" s="9"/>
      <c r="V891" s="9"/>
      <c r="W891" s="9"/>
      <c r="X891" s="9"/>
      <c r="Y891" s="9"/>
      <c r="Z891" s="9"/>
      <c r="AA891" s="9"/>
      <c r="AB891" s="9"/>
      <c r="AC891" s="9"/>
      <c r="AD891" s="9"/>
    </row>
    <row r="892" spans="1:30" ht="13.5" customHeight="1">
      <c r="A892" s="2"/>
      <c r="B892" s="2"/>
      <c r="C892" s="2"/>
      <c r="D892" s="2"/>
      <c r="E892" s="2"/>
      <c r="F892" s="2"/>
      <c r="G892" s="2"/>
      <c r="H892" s="2"/>
      <c r="I892" s="2"/>
      <c r="J892" s="2"/>
      <c r="K892" s="2"/>
      <c r="L892" s="2"/>
      <c r="M892" s="2"/>
      <c r="N892" s="2"/>
      <c r="O892" s="2"/>
      <c r="P892" s="2"/>
      <c r="Q892" s="2"/>
      <c r="R892" s="9"/>
      <c r="S892" s="9"/>
      <c r="T892" s="9"/>
      <c r="U892" s="9"/>
      <c r="V892" s="9"/>
      <c r="W892" s="9"/>
      <c r="X892" s="9"/>
      <c r="Y892" s="9"/>
      <c r="Z892" s="9"/>
      <c r="AA892" s="9"/>
      <c r="AB892" s="9"/>
      <c r="AC892" s="9"/>
      <c r="AD892" s="9"/>
    </row>
    <row r="893" spans="1:30" ht="13.5" customHeight="1">
      <c r="A893" s="2"/>
      <c r="B893" s="2"/>
      <c r="C893" s="2"/>
      <c r="D893" s="2"/>
      <c r="E893" s="2"/>
      <c r="F893" s="2"/>
      <c r="G893" s="2"/>
      <c r="H893" s="2"/>
      <c r="I893" s="2"/>
      <c r="J893" s="2"/>
      <c r="K893" s="2"/>
      <c r="L893" s="2"/>
      <c r="M893" s="2"/>
      <c r="N893" s="2"/>
      <c r="O893" s="2"/>
      <c r="P893" s="2"/>
      <c r="Q893" s="2"/>
      <c r="R893" s="9"/>
      <c r="S893" s="9"/>
      <c r="T893" s="9"/>
      <c r="U893" s="9"/>
      <c r="V893" s="9"/>
      <c r="W893" s="9"/>
      <c r="X893" s="9"/>
      <c r="Y893" s="9"/>
      <c r="Z893" s="9"/>
      <c r="AA893" s="9"/>
      <c r="AB893" s="9"/>
      <c r="AC893" s="9"/>
      <c r="AD893" s="9"/>
    </row>
    <row r="894" spans="1:30" ht="13.5" customHeight="1">
      <c r="A894" s="2"/>
      <c r="B894" s="2"/>
      <c r="C894" s="2"/>
      <c r="D894" s="2"/>
      <c r="E894" s="2"/>
      <c r="F894" s="2"/>
      <c r="G894" s="2"/>
      <c r="H894" s="2"/>
      <c r="I894" s="2"/>
      <c r="J894" s="2"/>
      <c r="K894" s="2"/>
      <c r="L894" s="2"/>
      <c r="M894" s="2"/>
      <c r="N894" s="2"/>
      <c r="O894" s="2"/>
      <c r="P894" s="2"/>
      <c r="Q894" s="2"/>
      <c r="R894" s="9"/>
      <c r="S894" s="9"/>
      <c r="T894" s="9"/>
      <c r="U894" s="9"/>
      <c r="V894" s="9"/>
      <c r="W894" s="9"/>
      <c r="X894" s="9"/>
      <c r="Y894" s="9"/>
      <c r="Z894" s="9"/>
      <c r="AA894" s="9"/>
      <c r="AB894" s="9"/>
      <c r="AC894" s="9"/>
      <c r="AD894" s="9"/>
    </row>
    <row r="895" spans="1:30" ht="13.5" customHeight="1">
      <c r="A895" s="2"/>
      <c r="B895" s="2"/>
      <c r="C895" s="2"/>
      <c r="D895" s="2"/>
      <c r="E895" s="2"/>
      <c r="F895" s="2"/>
      <c r="G895" s="2"/>
      <c r="H895" s="2"/>
      <c r="I895" s="2"/>
      <c r="J895" s="2"/>
      <c r="K895" s="2"/>
      <c r="L895" s="2"/>
      <c r="M895" s="2"/>
      <c r="N895" s="2"/>
      <c r="O895" s="2"/>
      <c r="P895" s="2"/>
      <c r="Q895" s="2"/>
      <c r="R895" s="9"/>
      <c r="S895" s="9"/>
      <c r="T895" s="9"/>
      <c r="U895" s="9"/>
      <c r="V895" s="9"/>
      <c r="W895" s="9"/>
      <c r="X895" s="9"/>
      <c r="Y895" s="9"/>
      <c r="Z895" s="9"/>
      <c r="AA895" s="9"/>
      <c r="AB895" s="9"/>
      <c r="AC895" s="9"/>
      <c r="AD895" s="9"/>
    </row>
    <row r="896" spans="1:30" ht="13.5" customHeight="1">
      <c r="A896" s="2"/>
      <c r="B896" s="2"/>
      <c r="C896" s="2"/>
      <c r="D896" s="2"/>
      <c r="E896" s="2"/>
      <c r="F896" s="2"/>
      <c r="G896" s="2"/>
      <c r="H896" s="2"/>
      <c r="I896" s="2"/>
      <c r="J896" s="2"/>
      <c r="K896" s="2"/>
      <c r="L896" s="2"/>
      <c r="M896" s="2"/>
      <c r="N896" s="2"/>
      <c r="O896" s="2"/>
      <c r="P896" s="2"/>
      <c r="Q896" s="2"/>
      <c r="R896" s="9"/>
      <c r="S896" s="9"/>
      <c r="T896" s="9"/>
      <c r="U896" s="9"/>
      <c r="V896" s="9"/>
      <c r="W896" s="9"/>
      <c r="X896" s="9"/>
      <c r="Y896" s="9"/>
      <c r="Z896" s="9"/>
      <c r="AA896" s="9"/>
      <c r="AB896" s="9"/>
      <c r="AC896" s="9"/>
      <c r="AD896" s="9"/>
    </row>
    <row r="897" spans="1:30" ht="13.5" customHeight="1">
      <c r="A897" s="2"/>
      <c r="B897" s="2"/>
      <c r="C897" s="2"/>
      <c r="D897" s="2"/>
      <c r="E897" s="2"/>
      <c r="F897" s="2"/>
      <c r="G897" s="2"/>
      <c r="H897" s="2"/>
      <c r="I897" s="2"/>
      <c r="J897" s="2"/>
      <c r="K897" s="2"/>
      <c r="L897" s="2"/>
      <c r="M897" s="2"/>
      <c r="N897" s="2"/>
      <c r="O897" s="2"/>
      <c r="P897" s="2"/>
      <c r="Q897" s="2"/>
      <c r="R897" s="9"/>
      <c r="S897" s="9"/>
      <c r="T897" s="9"/>
      <c r="U897" s="9"/>
      <c r="V897" s="9"/>
      <c r="W897" s="9"/>
      <c r="X897" s="9"/>
      <c r="Y897" s="9"/>
      <c r="Z897" s="9"/>
      <c r="AA897" s="9"/>
      <c r="AB897" s="9"/>
      <c r="AC897" s="9"/>
      <c r="AD897" s="9"/>
    </row>
    <row r="898" spans="1:30" ht="13.5" customHeight="1">
      <c r="A898" s="2"/>
      <c r="B898" s="2"/>
      <c r="C898" s="2"/>
      <c r="D898" s="2"/>
      <c r="E898" s="2"/>
      <c r="F898" s="2"/>
      <c r="G898" s="2"/>
      <c r="H898" s="2"/>
      <c r="I898" s="2"/>
      <c r="J898" s="2"/>
      <c r="K898" s="2"/>
      <c r="L898" s="2"/>
      <c r="M898" s="2"/>
      <c r="N898" s="2"/>
      <c r="O898" s="2"/>
      <c r="P898" s="2"/>
      <c r="Q898" s="2"/>
      <c r="R898" s="9"/>
      <c r="S898" s="9"/>
      <c r="T898" s="9"/>
      <c r="U898" s="9"/>
      <c r="V898" s="9"/>
      <c r="W898" s="9"/>
      <c r="X898" s="9"/>
      <c r="Y898" s="9"/>
      <c r="Z898" s="9"/>
      <c r="AA898" s="9"/>
      <c r="AB898" s="9"/>
      <c r="AC898" s="9"/>
      <c r="AD898" s="9"/>
    </row>
    <row r="899" spans="1:30" ht="13.5" customHeight="1">
      <c r="A899" s="2"/>
      <c r="B899" s="2"/>
      <c r="C899" s="2"/>
      <c r="D899" s="2"/>
      <c r="E899" s="2"/>
      <c r="F899" s="2"/>
      <c r="G899" s="2"/>
      <c r="H899" s="2"/>
      <c r="I899" s="2"/>
      <c r="J899" s="2"/>
      <c r="K899" s="2"/>
      <c r="L899" s="2"/>
      <c r="M899" s="2"/>
      <c r="N899" s="2"/>
      <c r="O899" s="2"/>
      <c r="P899" s="2"/>
      <c r="Q899" s="2"/>
      <c r="R899" s="9"/>
      <c r="S899" s="9"/>
      <c r="T899" s="9"/>
      <c r="U899" s="9"/>
      <c r="V899" s="9"/>
      <c r="W899" s="9"/>
      <c r="X899" s="9"/>
      <c r="Y899" s="9"/>
      <c r="Z899" s="9"/>
      <c r="AA899" s="9"/>
      <c r="AB899" s="9"/>
      <c r="AC899" s="9"/>
      <c r="AD899" s="9"/>
    </row>
    <row r="900" spans="1:30" ht="13.5" customHeight="1">
      <c r="A900" s="2"/>
      <c r="B900" s="2"/>
      <c r="C900" s="2"/>
      <c r="D900" s="2"/>
      <c r="E900" s="2"/>
      <c r="F900" s="2"/>
      <c r="G900" s="2"/>
      <c r="H900" s="2"/>
      <c r="I900" s="2"/>
      <c r="J900" s="2"/>
      <c r="K900" s="2"/>
      <c r="L900" s="2"/>
      <c r="M900" s="2"/>
      <c r="N900" s="2"/>
      <c r="O900" s="2"/>
      <c r="P900" s="2"/>
      <c r="Q900" s="2"/>
      <c r="R900" s="9"/>
      <c r="S900" s="9"/>
      <c r="T900" s="9"/>
      <c r="U900" s="9"/>
      <c r="V900" s="9"/>
      <c r="W900" s="9"/>
      <c r="X900" s="9"/>
      <c r="Y900" s="9"/>
      <c r="Z900" s="9"/>
      <c r="AA900" s="9"/>
      <c r="AB900" s="9"/>
      <c r="AC900" s="9"/>
      <c r="AD900" s="9"/>
    </row>
    <row r="901" spans="1:30" ht="13.5" customHeight="1">
      <c r="A901" s="2"/>
      <c r="B901" s="2"/>
      <c r="C901" s="2"/>
      <c r="D901" s="2"/>
      <c r="E901" s="2"/>
      <c r="F901" s="2"/>
      <c r="G901" s="2"/>
      <c r="H901" s="2"/>
      <c r="I901" s="2"/>
      <c r="J901" s="2"/>
      <c r="K901" s="2"/>
      <c r="L901" s="2"/>
      <c r="M901" s="2"/>
      <c r="N901" s="2"/>
      <c r="O901" s="2"/>
      <c r="P901" s="2"/>
      <c r="Q901" s="2"/>
      <c r="R901" s="9"/>
      <c r="S901" s="9"/>
      <c r="T901" s="9"/>
      <c r="U901" s="9"/>
      <c r="V901" s="9"/>
      <c r="W901" s="9"/>
      <c r="X901" s="9"/>
      <c r="Y901" s="9"/>
      <c r="Z901" s="9"/>
      <c r="AA901" s="9"/>
      <c r="AB901" s="9"/>
      <c r="AC901" s="9"/>
      <c r="AD901" s="9"/>
    </row>
    <row r="902" spans="1:30" ht="13.5" customHeight="1">
      <c r="A902" s="2"/>
      <c r="B902" s="2"/>
      <c r="C902" s="2"/>
      <c r="D902" s="2"/>
      <c r="E902" s="2"/>
      <c r="F902" s="2"/>
      <c r="G902" s="2"/>
      <c r="H902" s="2"/>
      <c r="I902" s="2"/>
      <c r="J902" s="2"/>
      <c r="K902" s="2"/>
      <c r="L902" s="2"/>
      <c r="M902" s="2"/>
      <c r="N902" s="2"/>
      <c r="O902" s="2"/>
      <c r="P902" s="2"/>
      <c r="Q902" s="2"/>
      <c r="R902" s="9"/>
      <c r="S902" s="9"/>
      <c r="T902" s="9"/>
      <c r="U902" s="9"/>
      <c r="V902" s="9"/>
      <c r="W902" s="9"/>
      <c r="X902" s="9"/>
      <c r="Y902" s="9"/>
      <c r="Z902" s="9"/>
      <c r="AA902" s="9"/>
      <c r="AB902" s="9"/>
      <c r="AC902" s="9"/>
      <c r="AD902" s="9"/>
    </row>
    <row r="903" spans="1:30" ht="13.5" customHeight="1">
      <c r="A903" s="2"/>
      <c r="B903" s="2"/>
      <c r="C903" s="2"/>
      <c r="D903" s="2"/>
      <c r="E903" s="2"/>
      <c r="F903" s="2"/>
      <c r="G903" s="2"/>
      <c r="H903" s="2"/>
      <c r="I903" s="2"/>
      <c r="J903" s="2"/>
      <c r="K903" s="2"/>
      <c r="L903" s="2"/>
      <c r="M903" s="2"/>
      <c r="N903" s="2"/>
      <c r="O903" s="2"/>
      <c r="P903" s="2"/>
      <c r="Q903" s="2"/>
      <c r="R903" s="9"/>
      <c r="S903" s="9"/>
      <c r="T903" s="9"/>
      <c r="U903" s="9"/>
      <c r="V903" s="9"/>
      <c r="W903" s="9"/>
      <c r="X903" s="9"/>
      <c r="Y903" s="9"/>
      <c r="Z903" s="9"/>
      <c r="AA903" s="9"/>
      <c r="AB903" s="9"/>
      <c r="AC903" s="9"/>
      <c r="AD903" s="9"/>
    </row>
    <row r="904" spans="1:30" ht="13.5" customHeight="1">
      <c r="A904" s="2"/>
      <c r="B904" s="2"/>
      <c r="C904" s="2"/>
      <c r="D904" s="2"/>
      <c r="E904" s="2"/>
      <c r="F904" s="2"/>
      <c r="G904" s="2"/>
      <c r="H904" s="2"/>
      <c r="I904" s="2"/>
      <c r="J904" s="2"/>
      <c r="K904" s="2"/>
      <c r="L904" s="2"/>
      <c r="M904" s="2"/>
      <c r="N904" s="2"/>
      <c r="O904" s="2"/>
      <c r="P904" s="2"/>
      <c r="Q904" s="2"/>
      <c r="R904" s="9"/>
      <c r="S904" s="9"/>
      <c r="T904" s="9"/>
      <c r="U904" s="9"/>
      <c r="V904" s="9"/>
      <c r="W904" s="9"/>
      <c r="X904" s="9"/>
      <c r="Y904" s="9"/>
      <c r="Z904" s="9"/>
      <c r="AA904" s="9"/>
      <c r="AB904" s="9"/>
      <c r="AC904" s="9"/>
      <c r="AD904" s="9"/>
    </row>
    <row r="905" spans="1:30" ht="13.5" customHeight="1">
      <c r="A905" s="2"/>
      <c r="B905" s="2"/>
      <c r="C905" s="2"/>
      <c r="D905" s="2"/>
      <c r="E905" s="2"/>
      <c r="F905" s="2"/>
      <c r="G905" s="2"/>
      <c r="H905" s="2"/>
      <c r="I905" s="2"/>
      <c r="J905" s="2"/>
      <c r="K905" s="2"/>
      <c r="L905" s="2"/>
      <c r="M905" s="2"/>
      <c r="N905" s="2"/>
      <c r="O905" s="2"/>
      <c r="P905" s="2"/>
      <c r="Q905" s="2"/>
      <c r="R905" s="9"/>
      <c r="S905" s="9"/>
      <c r="T905" s="9"/>
      <c r="U905" s="9"/>
      <c r="V905" s="9"/>
      <c r="W905" s="9"/>
      <c r="X905" s="9"/>
      <c r="Y905" s="9"/>
      <c r="Z905" s="9"/>
      <c r="AA905" s="9"/>
      <c r="AB905" s="9"/>
      <c r="AC905" s="9"/>
      <c r="AD905" s="9"/>
    </row>
    <row r="906" spans="1:30" ht="13.5" customHeight="1">
      <c r="A906" s="2"/>
      <c r="B906" s="2"/>
      <c r="C906" s="2"/>
      <c r="D906" s="2"/>
      <c r="E906" s="2"/>
      <c r="F906" s="2"/>
      <c r="G906" s="2"/>
      <c r="H906" s="2"/>
      <c r="I906" s="2"/>
      <c r="J906" s="2"/>
      <c r="K906" s="2"/>
      <c r="L906" s="2"/>
      <c r="M906" s="2"/>
      <c r="N906" s="2"/>
      <c r="O906" s="2"/>
      <c r="P906" s="2"/>
      <c r="Q906" s="2"/>
      <c r="R906" s="9"/>
      <c r="S906" s="9"/>
      <c r="T906" s="9"/>
      <c r="U906" s="9"/>
      <c r="V906" s="9"/>
      <c r="W906" s="9"/>
      <c r="X906" s="9"/>
      <c r="Y906" s="9"/>
      <c r="Z906" s="9"/>
      <c r="AA906" s="9"/>
      <c r="AB906" s="9"/>
      <c r="AC906" s="9"/>
      <c r="AD906" s="9"/>
    </row>
    <row r="907" spans="1:30" ht="13.5" customHeight="1">
      <c r="A907" s="2"/>
      <c r="B907" s="2"/>
      <c r="C907" s="2"/>
      <c r="D907" s="2"/>
      <c r="E907" s="2"/>
      <c r="F907" s="2"/>
      <c r="G907" s="2"/>
      <c r="H907" s="2"/>
      <c r="I907" s="2"/>
      <c r="J907" s="2"/>
      <c r="K907" s="2"/>
      <c r="L907" s="2"/>
      <c r="M907" s="2"/>
      <c r="N907" s="2"/>
      <c r="O907" s="2"/>
      <c r="P907" s="2"/>
      <c r="Q907" s="2"/>
      <c r="R907" s="9"/>
      <c r="S907" s="9"/>
      <c r="T907" s="9"/>
      <c r="U907" s="9"/>
      <c r="V907" s="9"/>
      <c r="W907" s="9"/>
      <c r="X907" s="9"/>
      <c r="Y907" s="9"/>
      <c r="Z907" s="9"/>
      <c r="AA907" s="9"/>
      <c r="AB907" s="9"/>
      <c r="AC907" s="9"/>
      <c r="AD907" s="9"/>
    </row>
    <row r="908" spans="1:30" ht="13.5" customHeight="1">
      <c r="A908" s="2"/>
      <c r="B908" s="2"/>
      <c r="C908" s="2"/>
      <c r="D908" s="2"/>
      <c r="E908" s="2"/>
      <c r="F908" s="2"/>
      <c r="G908" s="2"/>
      <c r="H908" s="2"/>
      <c r="I908" s="2"/>
      <c r="J908" s="2"/>
      <c r="K908" s="2"/>
      <c r="L908" s="2"/>
      <c r="M908" s="2"/>
      <c r="N908" s="2"/>
      <c r="O908" s="2"/>
      <c r="P908" s="2"/>
      <c r="Q908" s="2"/>
      <c r="R908" s="9"/>
      <c r="S908" s="9"/>
      <c r="T908" s="9"/>
      <c r="U908" s="9"/>
      <c r="V908" s="9"/>
      <c r="W908" s="9"/>
      <c r="X908" s="9"/>
      <c r="Y908" s="9"/>
      <c r="Z908" s="9"/>
      <c r="AA908" s="9"/>
      <c r="AB908" s="9"/>
      <c r="AC908" s="9"/>
      <c r="AD908" s="9"/>
    </row>
    <row r="909" spans="1:30" ht="13.5" customHeight="1">
      <c r="A909" s="2"/>
      <c r="B909" s="2"/>
      <c r="C909" s="2"/>
      <c r="D909" s="2"/>
      <c r="E909" s="2"/>
      <c r="F909" s="2"/>
      <c r="G909" s="2"/>
      <c r="H909" s="2"/>
      <c r="I909" s="2"/>
      <c r="J909" s="2"/>
      <c r="K909" s="2"/>
      <c r="L909" s="2"/>
      <c r="M909" s="2"/>
      <c r="N909" s="2"/>
      <c r="O909" s="2"/>
      <c r="P909" s="2"/>
      <c r="Q909" s="2"/>
      <c r="R909" s="9"/>
      <c r="S909" s="9"/>
      <c r="T909" s="9"/>
      <c r="U909" s="9"/>
      <c r="V909" s="9"/>
      <c r="W909" s="9"/>
      <c r="X909" s="9"/>
      <c r="Y909" s="9"/>
      <c r="Z909" s="9"/>
      <c r="AA909" s="9"/>
      <c r="AB909" s="9"/>
      <c r="AC909" s="9"/>
      <c r="AD909" s="9"/>
    </row>
    <row r="910" spans="1:30" ht="13.5" customHeight="1">
      <c r="A910" s="2"/>
      <c r="B910" s="2"/>
      <c r="C910" s="2"/>
      <c r="D910" s="2"/>
      <c r="E910" s="2"/>
      <c r="F910" s="2"/>
      <c r="G910" s="2"/>
      <c r="H910" s="2"/>
      <c r="I910" s="2"/>
      <c r="J910" s="2"/>
      <c r="K910" s="2"/>
      <c r="L910" s="2"/>
      <c r="M910" s="2"/>
      <c r="N910" s="2"/>
      <c r="O910" s="2"/>
      <c r="P910" s="2"/>
      <c r="Q910" s="2"/>
      <c r="R910" s="9"/>
      <c r="S910" s="9"/>
      <c r="T910" s="9"/>
      <c r="U910" s="9"/>
      <c r="V910" s="9"/>
      <c r="W910" s="9"/>
      <c r="X910" s="9"/>
      <c r="Y910" s="9"/>
      <c r="Z910" s="9"/>
      <c r="AA910" s="9"/>
      <c r="AB910" s="9"/>
      <c r="AC910" s="9"/>
      <c r="AD910" s="9"/>
    </row>
    <row r="911" spans="1:30" ht="13.5" customHeight="1">
      <c r="A911" s="2"/>
      <c r="B911" s="2"/>
      <c r="C911" s="2"/>
      <c r="D911" s="2"/>
      <c r="E911" s="2"/>
      <c r="F911" s="2"/>
      <c r="G911" s="2"/>
      <c r="H911" s="2"/>
      <c r="I911" s="2"/>
      <c r="J911" s="2"/>
      <c r="K911" s="2"/>
      <c r="L911" s="2"/>
      <c r="M911" s="2"/>
      <c r="N911" s="2"/>
      <c r="O911" s="2"/>
      <c r="P911" s="2"/>
      <c r="Q911" s="2"/>
      <c r="R911" s="9"/>
      <c r="S911" s="9"/>
      <c r="T911" s="9"/>
      <c r="U911" s="9"/>
      <c r="V911" s="9"/>
      <c r="W911" s="9"/>
      <c r="X911" s="9"/>
      <c r="Y911" s="9"/>
      <c r="Z911" s="9"/>
      <c r="AA911" s="9"/>
      <c r="AB911" s="9"/>
      <c r="AC911" s="9"/>
      <c r="AD911" s="9"/>
    </row>
    <row r="912" spans="1:30" ht="13.5" customHeight="1">
      <c r="A912" s="2"/>
      <c r="B912" s="2"/>
      <c r="C912" s="2"/>
      <c r="D912" s="2"/>
      <c r="E912" s="2"/>
      <c r="F912" s="2"/>
      <c r="G912" s="2"/>
      <c r="H912" s="2"/>
      <c r="I912" s="2"/>
      <c r="J912" s="2"/>
      <c r="K912" s="2"/>
      <c r="L912" s="2"/>
      <c r="M912" s="2"/>
      <c r="N912" s="2"/>
      <c r="O912" s="2"/>
      <c r="P912" s="2"/>
      <c r="Q912" s="2"/>
      <c r="R912" s="9"/>
      <c r="S912" s="9"/>
      <c r="T912" s="9"/>
      <c r="U912" s="9"/>
      <c r="V912" s="9"/>
      <c r="W912" s="9"/>
      <c r="X912" s="9"/>
      <c r="Y912" s="9"/>
      <c r="Z912" s="9"/>
      <c r="AA912" s="9"/>
      <c r="AB912" s="9"/>
      <c r="AC912" s="9"/>
      <c r="AD912" s="9"/>
    </row>
    <row r="913" spans="1:30" ht="13.5" customHeight="1">
      <c r="A913" s="2"/>
      <c r="B913" s="2"/>
      <c r="C913" s="2"/>
      <c r="D913" s="2"/>
      <c r="E913" s="2"/>
      <c r="F913" s="2"/>
      <c r="G913" s="2"/>
      <c r="H913" s="2"/>
      <c r="I913" s="2"/>
      <c r="J913" s="2"/>
      <c r="K913" s="2"/>
      <c r="L913" s="2"/>
      <c r="M913" s="2"/>
      <c r="N913" s="2"/>
      <c r="O913" s="2"/>
      <c r="P913" s="2"/>
      <c r="Q913" s="2"/>
      <c r="R913" s="9"/>
      <c r="S913" s="9"/>
      <c r="T913" s="9"/>
      <c r="U913" s="9"/>
      <c r="V913" s="9"/>
      <c r="W913" s="9"/>
      <c r="X913" s="9"/>
      <c r="Y913" s="9"/>
      <c r="Z913" s="9"/>
      <c r="AA913" s="9"/>
      <c r="AB913" s="9"/>
      <c r="AC913" s="9"/>
      <c r="AD913" s="9"/>
    </row>
    <row r="914" spans="1:30" ht="13.5" customHeight="1">
      <c r="A914" s="2"/>
      <c r="B914" s="2"/>
      <c r="C914" s="2"/>
      <c r="D914" s="2"/>
      <c r="E914" s="2"/>
      <c r="F914" s="2"/>
      <c r="G914" s="2"/>
      <c r="H914" s="2"/>
      <c r="I914" s="2"/>
      <c r="J914" s="2"/>
      <c r="K914" s="2"/>
      <c r="L914" s="2"/>
      <c r="M914" s="2"/>
      <c r="N914" s="2"/>
      <c r="O914" s="2"/>
      <c r="P914" s="2"/>
      <c r="Q914" s="2"/>
      <c r="R914" s="9"/>
      <c r="S914" s="9"/>
      <c r="T914" s="9"/>
      <c r="U914" s="9"/>
      <c r="V914" s="9"/>
      <c r="W914" s="9"/>
      <c r="X914" s="9"/>
      <c r="Y914" s="9"/>
      <c r="Z914" s="9"/>
      <c r="AA914" s="9"/>
      <c r="AB914" s="9"/>
      <c r="AC914" s="9"/>
      <c r="AD914" s="9"/>
    </row>
    <row r="915" spans="1:30" ht="13.5" customHeight="1">
      <c r="A915" s="2"/>
      <c r="B915" s="2"/>
      <c r="C915" s="2"/>
      <c r="D915" s="2"/>
      <c r="E915" s="2"/>
      <c r="F915" s="2"/>
      <c r="G915" s="2"/>
      <c r="H915" s="2"/>
      <c r="I915" s="2"/>
      <c r="J915" s="2"/>
      <c r="K915" s="2"/>
      <c r="L915" s="2"/>
      <c r="M915" s="2"/>
      <c r="N915" s="2"/>
      <c r="O915" s="2"/>
      <c r="P915" s="2"/>
      <c r="Q915" s="2"/>
      <c r="R915" s="9"/>
      <c r="S915" s="9"/>
      <c r="T915" s="9"/>
      <c r="U915" s="9"/>
      <c r="V915" s="9"/>
      <c r="W915" s="9"/>
      <c r="X915" s="9"/>
      <c r="Y915" s="9"/>
      <c r="Z915" s="9"/>
      <c r="AA915" s="9"/>
      <c r="AB915" s="9"/>
      <c r="AC915" s="9"/>
      <c r="AD915" s="9"/>
    </row>
    <row r="916" spans="1:30" ht="13.5" customHeight="1">
      <c r="A916" s="2"/>
      <c r="B916" s="2"/>
      <c r="C916" s="2"/>
      <c r="D916" s="2"/>
      <c r="E916" s="2"/>
      <c r="F916" s="2"/>
      <c r="G916" s="2"/>
      <c r="H916" s="2"/>
      <c r="I916" s="2"/>
      <c r="J916" s="2"/>
      <c r="K916" s="2"/>
      <c r="L916" s="2"/>
      <c r="M916" s="2"/>
      <c r="N916" s="2"/>
      <c r="O916" s="2"/>
      <c r="P916" s="2"/>
      <c r="Q916" s="2"/>
      <c r="R916" s="9"/>
      <c r="S916" s="9"/>
      <c r="T916" s="9"/>
      <c r="U916" s="9"/>
      <c r="V916" s="9"/>
      <c r="W916" s="9"/>
      <c r="X916" s="9"/>
      <c r="Y916" s="9"/>
      <c r="Z916" s="9"/>
      <c r="AA916" s="9"/>
      <c r="AB916" s="9"/>
      <c r="AC916" s="9"/>
      <c r="AD916" s="9"/>
    </row>
    <row r="917" spans="1:30" ht="13.5" customHeight="1">
      <c r="A917" s="2"/>
      <c r="B917" s="2"/>
      <c r="C917" s="2"/>
      <c r="D917" s="2"/>
      <c r="E917" s="2"/>
      <c r="F917" s="2"/>
      <c r="G917" s="2"/>
      <c r="H917" s="2"/>
      <c r="I917" s="2"/>
      <c r="J917" s="2"/>
      <c r="K917" s="2"/>
      <c r="L917" s="2"/>
      <c r="M917" s="2"/>
      <c r="N917" s="2"/>
      <c r="O917" s="2"/>
      <c r="P917" s="2"/>
      <c r="Q917" s="2"/>
      <c r="R917" s="9"/>
      <c r="S917" s="9"/>
      <c r="T917" s="9"/>
      <c r="U917" s="9"/>
      <c r="V917" s="9"/>
      <c r="W917" s="9"/>
      <c r="X917" s="9"/>
      <c r="Y917" s="9"/>
      <c r="Z917" s="9"/>
      <c r="AA917" s="9"/>
      <c r="AB917" s="9"/>
      <c r="AC917" s="9"/>
      <c r="AD917" s="9"/>
    </row>
    <row r="918" spans="1:30" ht="13.5" customHeight="1">
      <c r="A918" s="2"/>
      <c r="B918" s="2"/>
      <c r="C918" s="2"/>
      <c r="D918" s="2"/>
      <c r="E918" s="2"/>
      <c r="F918" s="2"/>
      <c r="G918" s="2"/>
      <c r="H918" s="2"/>
      <c r="I918" s="2"/>
      <c r="J918" s="2"/>
      <c r="K918" s="2"/>
      <c r="L918" s="2"/>
      <c r="M918" s="2"/>
      <c r="N918" s="2"/>
      <c r="O918" s="2"/>
      <c r="P918" s="2"/>
      <c r="Q918" s="2"/>
      <c r="R918" s="9"/>
      <c r="S918" s="9"/>
      <c r="T918" s="9"/>
      <c r="U918" s="9"/>
      <c r="V918" s="9"/>
      <c r="W918" s="9"/>
      <c r="X918" s="9"/>
      <c r="Y918" s="9"/>
      <c r="Z918" s="9"/>
      <c r="AA918" s="9"/>
      <c r="AB918" s="9"/>
      <c r="AC918" s="9"/>
      <c r="AD918" s="9"/>
    </row>
    <row r="919" spans="1:30" ht="13.5" customHeight="1">
      <c r="A919" s="2"/>
      <c r="B919" s="2"/>
      <c r="C919" s="2"/>
      <c r="D919" s="2"/>
      <c r="E919" s="2"/>
      <c r="F919" s="2"/>
      <c r="G919" s="2"/>
      <c r="H919" s="2"/>
      <c r="I919" s="2"/>
      <c r="J919" s="2"/>
      <c r="K919" s="2"/>
      <c r="L919" s="2"/>
      <c r="M919" s="2"/>
      <c r="N919" s="2"/>
      <c r="O919" s="2"/>
      <c r="P919" s="2"/>
      <c r="Q919" s="2"/>
      <c r="R919" s="9"/>
      <c r="S919" s="9"/>
      <c r="T919" s="9"/>
      <c r="U919" s="9"/>
      <c r="V919" s="9"/>
      <c r="W919" s="9"/>
      <c r="X919" s="9"/>
      <c r="Y919" s="9"/>
      <c r="Z919" s="9"/>
      <c r="AA919" s="9"/>
      <c r="AB919" s="9"/>
      <c r="AC919" s="9"/>
      <c r="AD919" s="9"/>
    </row>
    <row r="920" spans="1:30" ht="13.5" customHeight="1">
      <c r="A920" s="2"/>
      <c r="B920" s="2"/>
      <c r="C920" s="2"/>
      <c r="D920" s="2"/>
      <c r="E920" s="2"/>
      <c r="F920" s="2"/>
      <c r="G920" s="2"/>
      <c r="H920" s="2"/>
      <c r="I920" s="2"/>
      <c r="J920" s="2"/>
      <c r="K920" s="2"/>
      <c r="L920" s="2"/>
      <c r="M920" s="2"/>
      <c r="N920" s="2"/>
      <c r="O920" s="2"/>
      <c r="P920" s="2"/>
      <c r="Q920" s="2"/>
      <c r="R920" s="9"/>
      <c r="S920" s="9"/>
      <c r="T920" s="9"/>
      <c r="U920" s="9"/>
      <c r="V920" s="9"/>
      <c r="W920" s="9"/>
      <c r="X920" s="9"/>
      <c r="Y920" s="9"/>
      <c r="Z920" s="9"/>
      <c r="AA920" s="9"/>
      <c r="AB920" s="9"/>
      <c r="AC920" s="9"/>
      <c r="AD920" s="9"/>
    </row>
    <row r="921" spans="1:30" ht="13.5" customHeight="1">
      <c r="A921" s="2"/>
      <c r="B921" s="2"/>
      <c r="C921" s="2"/>
      <c r="D921" s="2"/>
      <c r="E921" s="2"/>
      <c r="F921" s="2"/>
      <c r="G921" s="2"/>
      <c r="H921" s="2"/>
      <c r="I921" s="2"/>
      <c r="J921" s="2"/>
      <c r="K921" s="2"/>
      <c r="L921" s="2"/>
      <c r="M921" s="2"/>
      <c r="N921" s="2"/>
      <c r="O921" s="2"/>
      <c r="P921" s="2"/>
      <c r="Q921" s="2"/>
      <c r="R921" s="9"/>
      <c r="S921" s="9"/>
      <c r="T921" s="9"/>
      <c r="U921" s="9"/>
      <c r="V921" s="9"/>
      <c r="W921" s="9"/>
      <c r="X921" s="9"/>
      <c r="Y921" s="9"/>
      <c r="Z921" s="9"/>
      <c r="AA921" s="9"/>
      <c r="AB921" s="9"/>
      <c r="AC921" s="9"/>
      <c r="AD921" s="9"/>
    </row>
    <row r="922" spans="1:30" ht="13.5" customHeight="1">
      <c r="A922" s="2"/>
      <c r="B922" s="2"/>
      <c r="C922" s="2"/>
      <c r="D922" s="2"/>
      <c r="E922" s="2"/>
      <c r="F922" s="2"/>
      <c r="G922" s="2"/>
      <c r="H922" s="2"/>
      <c r="I922" s="2"/>
      <c r="J922" s="2"/>
      <c r="K922" s="2"/>
      <c r="L922" s="2"/>
      <c r="M922" s="2"/>
      <c r="N922" s="2"/>
      <c r="O922" s="2"/>
      <c r="P922" s="2"/>
      <c r="Q922" s="2"/>
      <c r="R922" s="9"/>
      <c r="S922" s="9"/>
      <c r="T922" s="9"/>
      <c r="U922" s="9"/>
      <c r="V922" s="9"/>
      <c r="W922" s="9"/>
      <c r="X922" s="9"/>
      <c r="Y922" s="9"/>
      <c r="Z922" s="9"/>
      <c r="AA922" s="9"/>
      <c r="AB922" s="9"/>
      <c r="AC922" s="9"/>
      <c r="AD922" s="9"/>
    </row>
    <row r="923" spans="1:30" ht="13.5" customHeight="1">
      <c r="A923" s="2"/>
      <c r="B923" s="2"/>
      <c r="C923" s="2"/>
      <c r="D923" s="2"/>
      <c r="E923" s="2"/>
      <c r="F923" s="2"/>
      <c r="G923" s="2"/>
      <c r="H923" s="2"/>
      <c r="I923" s="2"/>
      <c r="J923" s="2"/>
      <c r="K923" s="2"/>
      <c r="L923" s="2"/>
      <c r="M923" s="2"/>
      <c r="N923" s="2"/>
      <c r="O923" s="2"/>
      <c r="P923" s="2"/>
      <c r="Q923" s="2"/>
      <c r="R923" s="9"/>
      <c r="S923" s="9"/>
      <c r="T923" s="9"/>
      <c r="U923" s="9"/>
      <c r="V923" s="9"/>
      <c r="W923" s="9"/>
      <c r="X923" s="9"/>
      <c r="Y923" s="9"/>
      <c r="Z923" s="9"/>
      <c r="AA923" s="9"/>
      <c r="AB923" s="9"/>
      <c r="AC923" s="9"/>
      <c r="AD923" s="9"/>
    </row>
    <row r="924" spans="1:30" ht="13.5" customHeight="1">
      <c r="A924" s="2"/>
      <c r="B924" s="2"/>
      <c r="C924" s="2"/>
      <c r="D924" s="2"/>
      <c r="E924" s="2"/>
      <c r="F924" s="2"/>
      <c r="G924" s="2"/>
      <c r="H924" s="2"/>
      <c r="I924" s="2"/>
      <c r="J924" s="2"/>
      <c r="K924" s="2"/>
      <c r="L924" s="2"/>
      <c r="M924" s="2"/>
      <c r="N924" s="2"/>
      <c r="O924" s="2"/>
      <c r="P924" s="2"/>
      <c r="Q924" s="2"/>
      <c r="R924" s="9"/>
      <c r="S924" s="9"/>
      <c r="T924" s="9"/>
      <c r="U924" s="9"/>
      <c r="V924" s="9"/>
      <c r="W924" s="9"/>
      <c r="X924" s="9"/>
      <c r="Y924" s="9"/>
      <c r="Z924" s="9"/>
      <c r="AA924" s="9"/>
      <c r="AB924" s="9"/>
      <c r="AC924" s="9"/>
      <c r="AD924" s="9"/>
    </row>
    <row r="925" spans="1:30" ht="13.5" customHeight="1">
      <c r="A925" s="2"/>
      <c r="B925" s="2"/>
      <c r="C925" s="2"/>
      <c r="D925" s="2"/>
      <c r="E925" s="2"/>
      <c r="F925" s="2"/>
      <c r="G925" s="2"/>
      <c r="H925" s="2"/>
      <c r="I925" s="2"/>
      <c r="J925" s="2"/>
      <c r="K925" s="2"/>
      <c r="L925" s="2"/>
      <c r="M925" s="2"/>
      <c r="N925" s="2"/>
      <c r="O925" s="2"/>
      <c r="P925" s="2"/>
      <c r="Q925" s="2"/>
      <c r="R925" s="9"/>
      <c r="S925" s="9"/>
      <c r="T925" s="9"/>
      <c r="U925" s="9"/>
      <c r="V925" s="9"/>
      <c r="W925" s="9"/>
      <c r="X925" s="9"/>
      <c r="Y925" s="9"/>
      <c r="Z925" s="9"/>
      <c r="AA925" s="9"/>
      <c r="AB925" s="9"/>
      <c r="AC925" s="9"/>
      <c r="AD925" s="9"/>
    </row>
    <row r="926" spans="1:30" ht="13.5" customHeight="1">
      <c r="A926" s="2"/>
      <c r="B926" s="2"/>
      <c r="C926" s="2"/>
      <c r="D926" s="2"/>
      <c r="E926" s="2"/>
      <c r="F926" s="2"/>
      <c r="G926" s="2"/>
      <c r="H926" s="2"/>
      <c r="I926" s="2"/>
      <c r="J926" s="2"/>
      <c r="K926" s="2"/>
      <c r="L926" s="2"/>
      <c r="M926" s="2"/>
      <c r="N926" s="2"/>
      <c r="O926" s="2"/>
      <c r="P926" s="2"/>
      <c r="Q926" s="2"/>
      <c r="R926" s="9"/>
      <c r="S926" s="9"/>
      <c r="T926" s="9"/>
      <c r="U926" s="9"/>
      <c r="V926" s="9"/>
      <c r="W926" s="9"/>
      <c r="X926" s="9"/>
      <c r="Y926" s="9"/>
      <c r="Z926" s="9"/>
      <c r="AA926" s="9"/>
      <c r="AB926" s="9"/>
      <c r="AC926" s="9"/>
      <c r="AD926" s="9"/>
    </row>
    <row r="927" spans="1:30" ht="13.5" customHeight="1">
      <c r="A927" s="2"/>
      <c r="B927" s="2"/>
      <c r="C927" s="2"/>
      <c r="D927" s="2"/>
      <c r="E927" s="2"/>
      <c r="F927" s="2"/>
      <c r="G927" s="2"/>
      <c r="H927" s="2"/>
      <c r="I927" s="2"/>
      <c r="J927" s="2"/>
      <c r="K927" s="2"/>
      <c r="L927" s="2"/>
      <c r="M927" s="2"/>
      <c r="N927" s="2"/>
      <c r="O927" s="2"/>
      <c r="P927" s="2"/>
      <c r="Q927" s="2"/>
      <c r="R927" s="9"/>
      <c r="S927" s="9"/>
      <c r="T927" s="9"/>
      <c r="U927" s="9"/>
      <c r="V927" s="9"/>
      <c r="W927" s="9"/>
      <c r="X927" s="9"/>
      <c r="Y927" s="9"/>
      <c r="Z927" s="9"/>
      <c r="AA927" s="9"/>
      <c r="AB927" s="9"/>
      <c r="AC927" s="9"/>
      <c r="AD927" s="9"/>
    </row>
    <row r="928" spans="1:30" ht="13.5" customHeight="1">
      <c r="A928" s="2"/>
      <c r="B928" s="2"/>
      <c r="C928" s="2"/>
      <c r="D928" s="2"/>
      <c r="E928" s="2"/>
      <c r="F928" s="2"/>
      <c r="G928" s="2"/>
      <c r="H928" s="2"/>
      <c r="I928" s="2"/>
      <c r="J928" s="2"/>
      <c r="K928" s="2"/>
      <c r="L928" s="2"/>
      <c r="M928" s="2"/>
      <c r="N928" s="2"/>
      <c r="O928" s="2"/>
      <c r="P928" s="2"/>
      <c r="Q928" s="2"/>
      <c r="R928" s="9"/>
      <c r="S928" s="9"/>
      <c r="T928" s="9"/>
      <c r="U928" s="9"/>
      <c r="V928" s="9"/>
      <c r="W928" s="9"/>
      <c r="X928" s="9"/>
      <c r="Y928" s="9"/>
      <c r="Z928" s="9"/>
      <c r="AA928" s="9"/>
      <c r="AB928" s="9"/>
      <c r="AC928" s="9"/>
      <c r="AD928" s="9"/>
    </row>
    <row r="929" spans="1:30" ht="13.5" customHeight="1">
      <c r="A929" s="2"/>
      <c r="B929" s="2"/>
      <c r="C929" s="2"/>
      <c r="D929" s="2"/>
      <c r="E929" s="2"/>
      <c r="F929" s="2"/>
      <c r="G929" s="2"/>
      <c r="H929" s="2"/>
      <c r="I929" s="2"/>
      <c r="J929" s="2"/>
      <c r="K929" s="2"/>
      <c r="L929" s="2"/>
      <c r="M929" s="2"/>
      <c r="N929" s="2"/>
      <c r="O929" s="2"/>
      <c r="P929" s="2"/>
      <c r="Q929" s="2"/>
      <c r="R929" s="9"/>
      <c r="S929" s="9"/>
      <c r="T929" s="9"/>
      <c r="U929" s="9"/>
      <c r="V929" s="9"/>
      <c r="W929" s="9"/>
      <c r="X929" s="9"/>
      <c r="Y929" s="9"/>
      <c r="Z929" s="9"/>
      <c r="AA929" s="9"/>
      <c r="AB929" s="9"/>
      <c r="AC929" s="9"/>
      <c r="AD929" s="9"/>
    </row>
    <row r="930" spans="1:30" ht="13.5" customHeight="1">
      <c r="A930" s="2"/>
      <c r="B930" s="2"/>
      <c r="C930" s="2"/>
      <c r="D930" s="2"/>
      <c r="E930" s="2"/>
      <c r="F930" s="2"/>
      <c r="G930" s="2"/>
      <c r="H930" s="2"/>
      <c r="I930" s="2"/>
      <c r="J930" s="2"/>
      <c r="K930" s="2"/>
      <c r="L930" s="2"/>
      <c r="M930" s="2"/>
      <c r="N930" s="2"/>
      <c r="O930" s="2"/>
      <c r="P930" s="2"/>
      <c r="Q930" s="2"/>
      <c r="R930" s="9"/>
      <c r="S930" s="9"/>
      <c r="T930" s="9"/>
      <c r="U930" s="9"/>
      <c r="V930" s="9"/>
      <c r="W930" s="9"/>
      <c r="X930" s="9"/>
      <c r="Y930" s="9"/>
      <c r="Z930" s="9"/>
      <c r="AA930" s="9"/>
      <c r="AB930" s="9"/>
      <c r="AC930" s="9"/>
      <c r="AD930" s="9"/>
    </row>
    <row r="931" spans="1:30" ht="13.5" customHeight="1">
      <c r="A931" s="2"/>
      <c r="B931" s="2"/>
      <c r="C931" s="2"/>
      <c r="D931" s="2"/>
      <c r="E931" s="2"/>
      <c r="F931" s="2"/>
      <c r="G931" s="2"/>
      <c r="H931" s="2"/>
      <c r="I931" s="2"/>
      <c r="J931" s="2"/>
      <c r="K931" s="2"/>
      <c r="L931" s="2"/>
      <c r="M931" s="2"/>
      <c r="N931" s="2"/>
      <c r="O931" s="2"/>
      <c r="P931" s="2"/>
      <c r="Q931" s="2"/>
      <c r="R931" s="9"/>
      <c r="S931" s="9"/>
      <c r="T931" s="9"/>
      <c r="U931" s="9"/>
      <c r="V931" s="9"/>
      <c r="W931" s="9"/>
      <c r="X931" s="9"/>
      <c r="Y931" s="9"/>
      <c r="Z931" s="9"/>
      <c r="AA931" s="9"/>
      <c r="AB931" s="9"/>
      <c r="AC931" s="9"/>
      <c r="AD931" s="9"/>
    </row>
    <row r="932" spans="1:30" ht="13.5" customHeight="1">
      <c r="A932" s="2"/>
      <c r="B932" s="2"/>
      <c r="C932" s="2"/>
      <c r="D932" s="2"/>
      <c r="E932" s="2"/>
      <c r="F932" s="2"/>
      <c r="G932" s="2"/>
      <c r="H932" s="2"/>
      <c r="I932" s="2"/>
      <c r="J932" s="2"/>
      <c r="K932" s="2"/>
      <c r="L932" s="2"/>
      <c r="M932" s="2"/>
      <c r="N932" s="2"/>
      <c r="O932" s="2"/>
      <c r="P932" s="2"/>
      <c r="Q932" s="2"/>
      <c r="R932" s="9"/>
      <c r="S932" s="9"/>
      <c r="T932" s="9"/>
      <c r="U932" s="9"/>
      <c r="V932" s="9"/>
      <c r="W932" s="9"/>
      <c r="X932" s="9"/>
      <c r="Y932" s="9"/>
      <c r="Z932" s="9"/>
      <c r="AA932" s="9"/>
      <c r="AB932" s="9"/>
      <c r="AC932" s="9"/>
      <c r="AD932" s="9"/>
    </row>
    <row r="933" spans="1:30" ht="13.5" customHeight="1">
      <c r="A933" s="2"/>
      <c r="B933" s="2"/>
      <c r="C933" s="2"/>
      <c r="D933" s="2"/>
      <c r="E933" s="2"/>
      <c r="F933" s="2"/>
      <c r="G933" s="2"/>
      <c r="H933" s="2"/>
      <c r="I933" s="2"/>
      <c r="J933" s="2"/>
      <c r="K933" s="2"/>
      <c r="L933" s="2"/>
      <c r="M933" s="2"/>
      <c r="N933" s="2"/>
      <c r="O933" s="2"/>
      <c r="P933" s="2"/>
      <c r="Q933" s="2"/>
      <c r="R933" s="9"/>
      <c r="S933" s="9"/>
      <c r="T933" s="9"/>
      <c r="U933" s="9"/>
      <c r="V933" s="9"/>
      <c r="W933" s="9"/>
      <c r="X933" s="9"/>
      <c r="Y933" s="9"/>
      <c r="Z933" s="9"/>
      <c r="AA933" s="9"/>
      <c r="AB933" s="9"/>
      <c r="AC933" s="9"/>
      <c r="AD933" s="9"/>
    </row>
    <row r="934" spans="1:30" ht="13.5" customHeight="1">
      <c r="A934" s="2"/>
      <c r="B934" s="2"/>
      <c r="C934" s="2"/>
      <c r="D934" s="2"/>
      <c r="E934" s="2"/>
      <c r="F934" s="2"/>
      <c r="G934" s="2"/>
      <c r="H934" s="2"/>
      <c r="I934" s="2"/>
      <c r="J934" s="2"/>
      <c r="K934" s="2"/>
      <c r="L934" s="2"/>
      <c r="M934" s="2"/>
      <c r="N934" s="2"/>
      <c r="O934" s="2"/>
      <c r="P934" s="2"/>
      <c r="Q934" s="2"/>
      <c r="R934" s="9"/>
      <c r="S934" s="9"/>
      <c r="T934" s="9"/>
      <c r="U934" s="9"/>
      <c r="V934" s="9"/>
      <c r="W934" s="9"/>
      <c r="X934" s="9"/>
      <c r="Y934" s="9"/>
      <c r="Z934" s="9"/>
      <c r="AA934" s="9"/>
      <c r="AB934" s="9"/>
      <c r="AC934" s="9"/>
      <c r="AD934" s="9"/>
    </row>
    <row r="935" spans="1:30" ht="13.5" customHeight="1">
      <c r="A935" s="2"/>
      <c r="B935" s="2"/>
      <c r="C935" s="2"/>
      <c r="D935" s="2"/>
      <c r="E935" s="2"/>
      <c r="F935" s="2"/>
      <c r="G935" s="2"/>
      <c r="H935" s="2"/>
      <c r="I935" s="2"/>
      <c r="J935" s="2"/>
      <c r="K935" s="2"/>
      <c r="L935" s="2"/>
      <c r="M935" s="2"/>
      <c r="N935" s="2"/>
      <c r="O935" s="2"/>
      <c r="P935" s="2"/>
      <c r="Q935" s="2"/>
      <c r="R935" s="9"/>
      <c r="S935" s="9"/>
      <c r="T935" s="9"/>
      <c r="U935" s="9"/>
      <c r="V935" s="9"/>
      <c r="W935" s="9"/>
      <c r="X935" s="9"/>
      <c r="Y935" s="9"/>
      <c r="Z935" s="9"/>
      <c r="AA935" s="9"/>
      <c r="AB935" s="9"/>
      <c r="AC935" s="9"/>
      <c r="AD935" s="9"/>
    </row>
    <row r="936" spans="1:30" ht="13.5" customHeight="1">
      <c r="A936" s="2"/>
      <c r="B936" s="2"/>
      <c r="C936" s="2"/>
      <c r="D936" s="2"/>
      <c r="E936" s="2"/>
      <c r="F936" s="2"/>
      <c r="G936" s="2"/>
      <c r="H936" s="2"/>
      <c r="I936" s="2"/>
      <c r="J936" s="2"/>
      <c r="K936" s="2"/>
      <c r="L936" s="2"/>
      <c r="M936" s="2"/>
      <c r="N936" s="2"/>
      <c r="O936" s="2"/>
      <c r="P936" s="2"/>
      <c r="Q936" s="2"/>
      <c r="R936" s="9"/>
      <c r="S936" s="9"/>
      <c r="T936" s="9"/>
      <c r="U936" s="9"/>
      <c r="V936" s="9"/>
      <c r="W936" s="9"/>
      <c r="X936" s="9"/>
      <c r="Y936" s="9"/>
      <c r="Z936" s="9"/>
      <c r="AA936" s="9"/>
      <c r="AB936" s="9"/>
      <c r="AC936" s="9"/>
      <c r="AD936" s="9"/>
    </row>
    <row r="937" spans="1:30" ht="13.5" customHeight="1">
      <c r="A937" s="2"/>
      <c r="B937" s="2"/>
      <c r="C937" s="2"/>
      <c r="D937" s="2"/>
      <c r="E937" s="2"/>
      <c r="F937" s="2"/>
      <c r="G937" s="2"/>
      <c r="H937" s="2"/>
      <c r="I937" s="2"/>
      <c r="J937" s="2"/>
      <c r="K937" s="2"/>
      <c r="L937" s="2"/>
      <c r="M937" s="2"/>
      <c r="N937" s="2"/>
      <c r="O937" s="2"/>
      <c r="P937" s="2"/>
      <c r="Q937" s="2"/>
      <c r="R937" s="9"/>
      <c r="S937" s="9"/>
      <c r="T937" s="9"/>
      <c r="U937" s="9"/>
      <c r="V937" s="9"/>
      <c r="W937" s="9"/>
      <c r="X937" s="9"/>
      <c r="Y937" s="9"/>
      <c r="Z937" s="9"/>
      <c r="AA937" s="9"/>
      <c r="AB937" s="9"/>
      <c r="AC937" s="9"/>
      <c r="AD937" s="9"/>
    </row>
    <row r="938" spans="1:30" ht="13.5" customHeight="1">
      <c r="A938" s="2"/>
      <c r="B938" s="2"/>
      <c r="C938" s="2"/>
      <c r="D938" s="2"/>
      <c r="E938" s="2"/>
      <c r="F938" s="2"/>
      <c r="G938" s="2"/>
      <c r="H938" s="2"/>
      <c r="I938" s="2"/>
      <c r="J938" s="2"/>
      <c r="K938" s="2"/>
      <c r="L938" s="2"/>
      <c r="M938" s="2"/>
      <c r="N938" s="2"/>
      <c r="O938" s="2"/>
      <c r="P938" s="2"/>
      <c r="Q938" s="2"/>
      <c r="R938" s="9"/>
      <c r="S938" s="9"/>
      <c r="T938" s="9"/>
      <c r="U938" s="9"/>
      <c r="V938" s="9"/>
      <c r="W938" s="9"/>
      <c r="X938" s="9"/>
      <c r="Y938" s="9"/>
      <c r="Z938" s="9"/>
      <c r="AA938" s="9"/>
      <c r="AB938" s="9"/>
      <c r="AC938" s="9"/>
      <c r="AD938" s="9"/>
    </row>
    <row r="939" spans="1:30" ht="13.5" customHeight="1">
      <c r="A939" s="2"/>
      <c r="B939" s="2"/>
      <c r="C939" s="2"/>
      <c r="D939" s="2"/>
      <c r="E939" s="2"/>
      <c r="F939" s="2"/>
      <c r="G939" s="2"/>
      <c r="H939" s="2"/>
      <c r="I939" s="2"/>
      <c r="J939" s="2"/>
      <c r="K939" s="2"/>
      <c r="L939" s="2"/>
      <c r="M939" s="2"/>
      <c r="N939" s="2"/>
      <c r="O939" s="2"/>
      <c r="P939" s="2"/>
      <c r="Q939" s="2"/>
      <c r="R939" s="9"/>
      <c r="S939" s="9"/>
      <c r="T939" s="9"/>
      <c r="U939" s="9"/>
      <c r="V939" s="9"/>
      <c r="W939" s="9"/>
      <c r="X939" s="9"/>
      <c r="Y939" s="9"/>
      <c r="Z939" s="9"/>
      <c r="AA939" s="9"/>
      <c r="AB939" s="9"/>
      <c r="AC939" s="9"/>
      <c r="AD939" s="9"/>
    </row>
    <row r="940" spans="1:30" ht="13.5" customHeight="1">
      <c r="A940" s="2"/>
      <c r="B940" s="2"/>
      <c r="C940" s="2"/>
      <c r="D940" s="2"/>
      <c r="E940" s="2"/>
      <c r="F940" s="2"/>
      <c r="G940" s="2"/>
      <c r="H940" s="2"/>
      <c r="I940" s="2"/>
      <c r="J940" s="2"/>
      <c r="K940" s="2"/>
      <c r="L940" s="2"/>
      <c r="M940" s="2"/>
      <c r="N940" s="2"/>
      <c r="O940" s="2"/>
      <c r="P940" s="2"/>
      <c r="Q940" s="2"/>
      <c r="R940" s="9"/>
      <c r="S940" s="9"/>
      <c r="T940" s="9"/>
      <c r="U940" s="9"/>
      <c r="V940" s="9"/>
      <c r="W940" s="9"/>
      <c r="X940" s="9"/>
      <c r="Y940" s="9"/>
      <c r="Z940" s="9"/>
      <c r="AA940" s="9"/>
      <c r="AB940" s="9"/>
      <c r="AC940" s="9"/>
      <c r="AD940" s="9"/>
    </row>
    <row r="941" spans="1:30" ht="13.5" customHeight="1">
      <c r="A941" s="2"/>
      <c r="B941" s="2"/>
      <c r="C941" s="2"/>
      <c r="D941" s="2"/>
      <c r="E941" s="2"/>
      <c r="F941" s="2"/>
      <c r="G941" s="2"/>
      <c r="H941" s="2"/>
      <c r="I941" s="2"/>
      <c r="J941" s="2"/>
      <c r="K941" s="2"/>
      <c r="L941" s="2"/>
      <c r="M941" s="2"/>
      <c r="N941" s="2"/>
      <c r="O941" s="2"/>
      <c r="P941" s="2"/>
      <c r="Q941" s="2"/>
      <c r="R941" s="9"/>
      <c r="S941" s="9"/>
      <c r="T941" s="9"/>
      <c r="U941" s="9"/>
      <c r="V941" s="9"/>
      <c r="W941" s="9"/>
      <c r="X941" s="9"/>
      <c r="Y941" s="9"/>
      <c r="Z941" s="9"/>
      <c r="AA941" s="9"/>
      <c r="AB941" s="9"/>
      <c r="AC941" s="9"/>
      <c r="AD941" s="9"/>
    </row>
    <row r="942" spans="1:30" ht="13.5" customHeight="1">
      <c r="A942" s="2"/>
      <c r="B942" s="2"/>
      <c r="C942" s="2"/>
      <c r="D942" s="2"/>
      <c r="E942" s="2"/>
      <c r="F942" s="2"/>
      <c r="G942" s="2"/>
      <c r="H942" s="2"/>
      <c r="I942" s="2"/>
      <c r="J942" s="2"/>
      <c r="K942" s="2"/>
      <c r="L942" s="2"/>
      <c r="M942" s="2"/>
      <c r="N942" s="2"/>
      <c r="O942" s="2"/>
      <c r="P942" s="2"/>
      <c r="Q942" s="2"/>
      <c r="R942" s="9"/>
      <c r="S942" s="9"/>
      <c r="T942" s="9"/>
      <c r="U942" s="9"/>
      <c r="V942" s="9"/>
      <c r="W942" s="9"/>
      <c r="X942" s="9"/>
      <c r="Y942" s="9"/>
      <c r="Z942" s="9"/>
      <c r="AA942" s="9"/>
      <c r="AB942" s="9"/>
      <c r="AC942" s="9"/>
      <c r="AD942" s="9"/>
    </row>
    <row r="943" spans="1:30" ht="13.5" customHeight="1">
      <c r="A943" s="2"/>
      <c r="B943" s="2"/>
      <c r="C943" s="2"/>
      <c r="D943" s="2"/>
      <c r="E943" s="2"/>
      <c r="F943" s="2"/>
      <c r="G943" s="2"/>
      <c r="H943" s="2"/>
      <c r="I943" s="2"/>
      <c r="J943" s="2"/>
      <c r="K943" s="2"/>
      <c r="L943" s="2"/>
      <c r="M943" s="2"/>
      <c r="N943" s="2"/>
      <c r="O943" s="2"/>
      <c r="P943" s="2"/>
      <c r="Q943" s="2"/>
      <c r="R943" s="9"/>
      <c r="S943" s="9"/>
      <c r="T943" s="9"/>
      <c r="U943" s="9"/>
      <c r="V943" s="9"/>
      <c r="W943" s="9"/>
      <c r="X943" s="9"/>
      <c r="Y943" s="9"/>
      <c r="Z943" s="9"/>
      <c r="AA943" s="9"/>
      <c r="AB943" s="9"/>
      <c r="AC943" s="9"/>
      <c r="AD943" s="9"/>
    </row>
    <row r="944" spans="1:30" ht="13.5" customHeight="1">
      <c r="A944" s="2"/>
      <c r="B944" s="2"/>
      <c r="C944" s="2"/>
      <c r="D944" s="2"/>
      <c r="E944" s="2"/>
      <c r="F944" s="2"/>
      <c r="G944" s="2"/>
      <c r="H944" s="2"/>
      <c r="I944" s="2"/>
      <c r="J944" s="2"/>
      <c r="K944" s="2"/>
      <c r="L944" s="2"/>
      <c r="M944" s="2"/>
      <c r="N944" s="2"/>
      <c r="O944" s="2"/>
      <c r="P944" s="2"/>
      <c r="Q944" s="2"/>
      <c r="R944" s="9"/>
      <c r="S944" s="9"/>
      <c r="T944" s="9"/>
      <c r="U944" s="9"/>
      <c r="V944" s="9"/>
      <c r="W944" s="9"/>
      <c r="X944" s="9"/>
      <c r="Y944" s="9"/>
      <c r="Z944" s="9"/>
      <c r="AA944" s="9"/>
      <c r="AB944" s="9"/>
      <c r="AC944" s="9"/>
      <c r="AD944" s="9"/>
    </row>
    <row r="945" spans="1:30" ht="13.5" customHeight="1">
      <c r="A945" s="2"/>
      <c r="B945" s="2"/>
      <c r="C945" s="2"/>
      <c r="D945" s="2"/>
      <c r="E945" s="2"/>
      <c r="F945" s="2"/>
      <c r="G945" s="2"/>
      <c r="H945" s="2"/>
      <c r="I945" s="2"/>
      <c r="J945" s="2"/>
      <c r="K945" s="2"/>
      <c r="L945" s="2"/>
      <c r="M945" s="2"/>
      <c r="N945" s="2"/>
      <c r="O945" s="2"/>
      <c r="P945" s="2"/>
      <c r="Q945" s="2"/>
      <c r="R945" s="9"/>
      <c r="S945" s="9"/>
      <c r="T945" s="9"/>
      <c r="U945" s="9"/>
      <c r="V945" s="9"/>
      <c r="W945" s="9"/>
      <c r="X945" s="9"/>
      <c r="Y945" s="9"/>
      <c r="Z945" s="9"/>
      <c r="AA945" s="9"/>
      <c r="AB945" s="9"/>
      <c r="AC945" s="9"/>
      <c r="AD945" s="9"/>
    </row>
    <row r="946" spans="1:30" ht="13.5" customHeight="1">
      <c r="A946" s="2"/>
      <c r="B946" s="2"/>
      <c r="C946" s="2"/>
      <c r="D946" s="2"/>
      <c r="E946" s="2"/>
      <c r="F946" s="2"/>
      <c r="G946" s="2"/>
      <c r="H946" s="2"/>
      <c r="I946" s="2"/>
      <c r="J946" s="2"/>
      <c r="K946" s="2"/>
      <c r="L946" s="2"/>
      <c r="M946" s="2"/>
      <c r="N946" s="2"/>
      <c r="O946" s="2"/>
      <c r="P946" s="2"/>
      <c r="Q946" s="2"/>
      <c r="R946" s="9"/>
      <c r="S946" s="9"/>
      <c r="T946" s="9"/>
      <c r="U946" s="9"/>
      <c r="V946" s="9"/>
      <c r="W946" s="9"/>
      <c r="X946" s="9"/>
      <c r="Y946" s="9"/>
      <c r="Z946" s="9"/>
      <c r="AA946" s="9"/>
      <c r="AB946" s="9"/>
      <c r="AC946" s="9"/>
      <c r="AD946" s="9"/>
    </row>
    <row r="947" spans="1:30" ht="13.5" customHeight="1">
      <c r="A947" s="2"/>
      <c r="B947" s="2"/>
      <c r="C947" s="2"/>
      <c r="D947" s="2"/>
      <c r="E947" s="2"/>
      <c r="F947" s="2"/>
      <c r="G947" s="2"/>
      <c r="H947" s="2"/>
      <c r="I947" s="2"/>
      <c r="J947" s="2"/>
      <c r="K947" s="2"/>
      <c r="L947" s="2"/>
      <c r="M947" s="2"/>
      <c r="N947" s="2"/>
      <c r="O947" s="2"/>
      <c r="P947" s="2"/>
      <c r="Q947" s="2"/>
      <c r="R947" s="9"/>
      <c r="S947" s="9"/>
      <c r="T947" s="9"/>
      <c r="U947" s="9"/>
      <c r="V947" s="9"/>
      <c r="W947" s="9"/>
      <c r="X947" s="9"/>
      <c r="Y947" s="9"/>
      <c r="Z947" s="9"/>
      <c r="AA947" s="9"/>
      <c r="AB947" s="9"/>
      <c r="AC947" s="9"/>
      <c r="AD947" s="9"/>
    </row>
    <row r="948" spans="1:30" ht="13.5" customHeight="1">
      <c r="A948" s="2"/>
      <c r="B948" s="2"/>
      <c r="C948" s="2"/>
      <c r="D948" s="2"/>
      <c r="E948" s="2"/>
      <c r="F948" s="2"/>
      <c r="G948" s="2"/>
      <c r="H948" s="2"/>
      <c r="I948" s="2"/>
      <c r="J948" s="2"/>
      <c r="K948" s="2"/>
      <c r="L948" s="2"/>
      <c r="M948" s="2"/>
      <c r="N948" s="2"/>
      <c r="O948" s="2"/>
      <c r="P948" s="2"/>
      <c r="Q948" s="2"/>
      <c r="R948" s="9"/>
      <c r="S948" s="9"/>
      <c r="T948" s="9"/>
      <c r="U948" s="9"/>
      <c r="V948" s="9"/>
      <c r="W948" s="9"/>
      <c r="X948" s="9"/>
      <c r="Y948" s="9"/>
      <c r="Z948" s="9"/>
      <c r="AA948" s="9"/>
      <c r="AB948" s="9"/>
      <c r="AC948" s="9"/>
      <c r="AD948" s="9"/>
    </row>
    <row r="949" spans="1:30" ht="13.5" customHeight="1">
      <c r="A949" s="2"/>
      <c r="B949" s="2"/>
      <c r="C949" s="2"/>
      <c r="D949" s="2"/>
      <c r="E949" s="2"/>
      <c r="F949" s="2"/>
      <c r="G949" s="2"/>
      <c r="H949" s="2"/>
      <c r="I949" s="2"/>
      <c r="J949" s="2"/>
      <c r="K949" s="2"/>
      <c r="L949" s="2"/>
      <c r="M949" s="2"/>
      <c r="N949" s="2"/>
      <c r="O949" s="2"/>
      <c r="P949" s="2"/>
      <c r="Q949" s="2"/>
      <c r="R949" s="9"/>
      <c r="S949" s="9"/>
      <c r="T949" s="9"/>
      <c r="U949" s="9"/>
      <c r="V949" s="9"/>
      <c r="W949" s="9"/>
      <c r="X949" s="9"/>
      <c r="Y949" s="9"/>
      <c r="Z949" s="9"/>
      <c r="AA949" s="9"/>
      <c r="AB949" s="9"/>
      <c r="AC949" s="9"/>
      <c r="AD949" s="9"/>
    </row>
    <row r="950" spans="1:30" ht="13.5" customHeight="1">
      <c r="A950" s="2"/>
      <c r="B950" s="2"/>
      <c r="C950" s="2"/>
      <c r="D950" s="2"/>
      <c r="E950" s="2"/>
      <c r="F950" s="2"/>
      <c r="G950" s="2"/>
      <c r="H950" s="2"/>
      <c r="I950" s="2"/>
      <c r="J950" s="2"/>
      <c r="K950" s="2"/>
      <c r="L950" s="2"/>
      <c r="M950" s="2"/>
      <c r="N950" s="2"/>
      <c r="O950" s="2"/>
      <c r="P950" s="2"/>
      <c r="Q950" s="2"/>
      <c r="R950" s="9"/>
      <c r="S950" s="9"/>
      <c r="T950" s="9"/>
      <c r="U950" s="9"/>
      <c r="V950" s="9"/>
      <c r="W950" s="9"/>
      <c r="X950" s="9"/>
      <c r="Y950" s="9"/>
      <c r="Z950" s="9"/>
      <c r="AA950" s="9"/>
      <c r="AB950" s="9"/>
      <c r="AC950" s="9"/>
      <c r="AD950" s="9"/>
    </row>
    <row r="951" spans="1:30" ht="13.5" customHeight="1">
      <c r="A951" s="2"/>
      <c r="B951" s="2"/>
      <c r="C951" s="2"/>
      <c r="D951" s="2"/>
      <c r="E951" s="2"/>
      <c r="F951" s="2"/>
      <c r="G951" s="2"/>
      <c r="H951" s="2"/>
      <c r="I951" s="2"/>
      <c r="J951" s="2"/>
      <c r="K951" s="2"/>
      <c r="L951" s="2"/>
      <c r="M951" s="2"/>
      <c r="N951" s="2"/>
      <c r="O951" s="2"/>
      <c r="P951" s="2"/>
      <c r="Q951" s="2"/>
      <c r="R951" s="9"/>
      <c r="S951" s="9"/>
      <c r="T951" s="9"/>
      <c r="U951" s="9"/>
      <c r="V951" s="9"/>
      <c r="W951" s="9"/>
      <c r="X951" s="9"/>
      <c r="Y951" s="9"/>
      <c r="Z951" s="9"/>
      <c r="AA951" s="9"/>
      <c r="AB951" s="9"/>
      <c r="AC951" s="9"/>
      <c r="AD951" s="9"/>
    </row>
    <row r="952" spans="1:30" ht="13.5" customHeight="1">
      <c r="A952" s="2"/>
      <c r="B952" s="2"/>
      <c r="C952" s="2"/>
      <c r="D952" s="2"/>
      <c r="E952" s="2"/>
      <c r="F952" s="2"/>
      <c r="G952" s="2"/>
      <c r="H952" s="2"/>
      <c r="I952" s="2"/>
      <c r="J952" s="2"/>
      <c r="K952" s="2"/>
      <c r="L952" s="2"/>
      <c r="M952" s="2"/>
      <c r="N952" s="2"/>
      <c r="O952" s="2"/>
      <c r="P952" s="2"/>
      <c r="Q952" s="2"/>
      <c r="R952" s="9"/>
      <c r="S952" s="9"/>
      <c r="T952" s="9"/>
      <c r="U952" s="9"/>
      <c r="V952" s="9"/>
      <c r="W952" s="9"/>
      <c r="X952" s="9"/>
      <c r="Y952" s="9"/>
      <c r="Z952" s="9"/>
      <c r="AA952" s="9"/>
      <c r="AB952" s="9"/>
      <c r="AC952" s="9"/>
      <c r="AD952" s="9"/>
    </row>
    <row r="953" spans="1:30" ht="13.5" customHeight="1">
      <c r="A953" s="2"/>
      <c r="B953" s="2"/>
      <c r="C953" s="2"/>
      <c r="D953" s="2"/>
      <c r="E953" s="2"/>
      <c r="F953" s="2"/>
      <c r="G953" s="2"/>
      <c r="H953" s="2"/>
      <c r="I953" s="2"/>
      <c r="J953" s="2"/>
      <c r="K953" s="2"/>
      <c r="L953" s="2"/>
      <c r="M953" s="2"/>
      <c r="N953" s="2"/>
      <c r="O953" s="2"/>
      <c r="P953" s="2"/>
      <c r="Q953" s="2"/>
      <c r="R953" s="9"/>
      <c r="S953" s="9"/>
      <c r="T953" s="9"/>
      <c r="U953" s="9"/>
      <c r="V953" s="9"/>
      <c r="W953" s="9"/>
      <c r="X953" s="9"/>
      <c r="Y953" s="9"/>
      <c r="Z953" s="9"/>
      <c r="AA953" s="9"/>
      <c r="AB953" s="9"/>
      <c r="AC953" s="9"/>
      <c r="AD953" s="9"/>
    </row>
    <row r="954" spans="1:30" ht="13.5" customHeight="1">
      <c r="A954" s="2"/>
      <c r="B954" s="2"/>
      <c r="C954" s="2"/>
      <c r="D954" s="2"/>
      <c r="E954" s="2"/>
      <c r="F954" s="2"/>
      <c r="G954" s="2"/>
      <c r="H954" s="2"/>
      <c r="I954" s="2"/>
      <c r="J954" s="2"/>
      <c r="K954" s="2"/>
      <c r="L954" s="2"/>
      <c r="M954" s="2"/>
      <c r="N954" s="2"/>
      <c r="O954" s="2"/>
      <c r="P954" s="2"/>
      <c r="Q954" s="2"/>
      <c r="R954" s="9"/>
      <c r="S954" s="9"/>
      <c r="T954" s="9"/>
      <c r="U954" s="9"/>
      <c r="V954" s="9"/>
      <c r="W954" s="9"/>
      <c r="X954" s="9"/>
      <c r="Y954" s="9"/>
      <c r="Z954" s="9"/>
      <c r="AA954" s="9"/>
      <c r="AB954" s="9"/>
      <c r="AC954" s="9"/>
      <c r="AD954" s="9"/>
    </row>
    <row r="955" spans="1:30" ht="13.5" customHeight="1">
      <c r="A955" s="2"/>
      <c r="B955" s="2"/>
      <c r="C955" s="2"/>
      <c r="D955" s="2"/>
      <c r="E955" s="2"/>
      <c r="F955" s="2"/>
      <c r="G955" s="2"/>
      <c r="H955" s="2"/>
      <c r="I955" s="2"/>
      <c r="J955" s="2"/>
      <c r="K955" s="2"/>
      <c r="L955" s="2"/>
      <c r="M955" s="2"/>
      <c r="N955" s="2"/>
      <c r="O955" s="2"/>
      <c r="P955" s="2"/>
      <c r="Q955" s="2"/>
      <c r="R955" s="9"/>
      <c r="S955" s="9"/>
      <c r="T955" s="9"/>
      <c r="U955" s="9"/>
      <c r="V955" s="9"/>
      <c r="W955" s="9"/>
      <c r="X955" s="9"/>
      <c r="Y955" s="9"/>
      <c r="Z955" s="9"/>
      <c r="AA955" s="9"/>
      <c r="AB955" s="9"/>
      <c r="AC955" s="9"/>
      <c r="AD955" s="9"/>
    </row>
    <row r="956" spans="1:30" ht="13.5" customHeight="1">
      <c r="A956" s="2"/>
      <c r="B956" s="2"/>
      <c r="C956" s="2"/>
      <c r="D956" s="2"/>
      <c r="E956" s="2"/>
      <c r="F956" s="2"/>
      <c r="G956" s="2"/>
      <c r="H956" s="2"/>
      <c r="I956" s="2"/>
      <c r="J956" s="2"/>
      <c r="K956" s="2"/>
      <c r="L956" s="2"/>
      <c r="M956" s="2"/>
      <c r="N956" s="2"/>
      <c r="O956" s="2"/>
      <c r="P956" s="2"/>
      <c r="Q956" s="2"/>
      <c r="R956" s="9"/>
      <c r="S956" s="9"/>
      <c r="T956" s="9"/>
      <c r="U956" s="9"/>
      <c r="V956" s="9"/>
      <c r="W956" s="9"/>
      <c r="X956" s="9"/>
      <c r="Y956" s="9"/>
      <c r="Z956" s="9"/>
      <c r="AA956" s="9"/>
      <c r="AB956" s="9"/>
      <c r="AC956" s="9"/>
      <c r="AD956" s="9"/>
    </row>
    <row r="957" spans="1:30" ht="13.5" customHeight="1">
      <c r="A957" s="2"/>
      <c r="B957" s="2"/>
      <c r="C957" s="2"/>
      <c r="D957" s="2"/>
      <c r="E957" s="2"/>
      <c r="F957" s="2"/>
      <c r="G957" s="2"/>
      <c r="H957" s="2"/>
      <c r="I957" s="2"/>
      <c r="J957" s="2"/>
      <c r="K957" s="2"/>
      <c r="L957" s="2"/>
      <c r="M957" s="2"/>
      <c r="N957" s="2"/>
      <c r="O957" s="2"/>
      <c r="P957" s="2"/>
      <c r="Q957" s="2"/>
      <c r="R957" s="9"/>
      <c r="S957" s="9"/>
      <c r="T957" s="9"/>
      <c r="U957" s="9"/>
      <c r="V957" s="9"/>
      <c r="W957" s="9"/>
      <c r="X957" s="9"/>
      <c r="Y957" s="9"/>
      <c r="Z957" s="9"/>
      <c r="AA957" s="9"/>
      <c r="AB957" s="9"/>
      <c r="AC957" s="9"/>
      <c r="AD957" s="9"/>
    </row>
    <row r="958" spans="1:30" ht="13.5" customHeight="1">
      <c r="A958" s="2"/>
      <c r="B958" s="2"/>
      <c r="C958" s="2"/>
      <c r="D958" s="2"/>
      <c r="E958" s="2"/>
      <c r="F958" s="2"/>
      <c r="G958" s="2"/>
      <c r="H958" s="2"/>
      <c r="I958" s="2"/>
      <c r="J958" s="2"/>
      <c r="K958" s="2"/>
      <c r="L958" s="2"/>
      <c r="M958" s="2"/>
      <c r="N958" s="2"/>
      <c r="O958" s="2"/>
      <c r="P958" s="2"/>
      <c r="Q958" s="2"/>
      <c r="R958" s="9"/>
      <c r="S958" s="9"/>
      <c r="T958" s="9"/>
      <c r="U958" s="9"/>
      <c r="V958" s="9"/>
      <c r="W958" s="9"/>
      <c r="X958" s="9"/>
      <c r="Y958" s="9"/>
      <c r="Z958" s="9"/>
      <c r="AA958" s="9"/>
      <c r="AB958" s="9"/>
      <c r="AC958" s="9"/>
      <c r="AD958" s="9"/>
    </row>
    <row r="959" spans="1:30" ht="13.5" customHeight="1">
      <c r="A959" s="2"/>
      <c r="B959" s="2"/>
      <c r="C959" s="2"/>
      <c r="D959" s="2"/>
      <c r="E959" s="2"/>
      <c r="F959" s="2"/>
      <c r="G959" s="2"/>
      <c r="H959" s="2"/>
      <c r="I959" s="2"/>
      <c r="J959" s="2"/>
      <c r="K959" s="2"/>
      <c r="L959" s="2"/>
      <c r="M959" s="2"/>
      <c r="N959" s="2"/>
      <c r="O959" s="2"/>
      <c r="P959" s="2"/>
      <c r="Q959" s="2"/>
      <c r="R959" s="9"/>
      <c r="S959" s="9"/>
      <c r="T959" s="9"/>
      <c r="U959" s="9"/>
      <c r="V959" s="9"/>
      <c r="W959" s="9"/>
      <c r="X959" s="9"/>
      <c r="Y959" s="9"/>
      <c r="Z959" s="9"/>
      <c r="AA959" s="9"/>
      <c r="AB959" s="9"/>
      <c r="AC959" s="9"/>
      <c r="AD959" s="9"/>
    </row>
    <row r="960" spans="1:30" ht="13.5" customHeight="1">
      <c r="A960" s="2"/>
      <c r="B960" s="2"/>
      <c r="C960" s="2"/>
      <c r="D960" s="2"/>
      <c r="E960" s="2"/>
      <c r="F960" s="2"/>
      <c r="G960" s="2"/>
      <c r="H960" s="2"/>
      <c r="I960" s="2"/>
      <c r="J960" s="2"/>
      <c r="K960" s="2"/>
      <c r="L960" s="2"/>
      <c r="M960" s="2"/>
      <c r="N960" s="2"/>
      <c r="O960" s="2"/>
      <c r="P960" s="2"/>
      <c r="Q960" s="2"/>
      <c r="R960" s="9"/>
      <c r="S960" s="9"/>
      <c r="T960" s="9"/>
      <c r="U960" s="9"/>
      <c r="V960" s="9"/>
      <c r="W960" s="9"/>
      <c r="X960" s="9"/>
      <c r="Y960" s="9"/>
      <c r="Z960" s="9"/>
      <c r="AA960" s="9"/>
      <c r="AB960" s="9"/>
      <c r="AC960" s="9"/>
      <c r="AD960" s="9"/>
    </row>
    <row r="961" spans="1:30" ht="13.5" customHeight="1">
      <c r="A961" s="2"/>
      <c r="B961" s="2"/>
      <c r="C961" s="2"/>
      <c r="D961" s="2"/>
      <c r="E961" s="2"/>
      <c r="F961" s="2"/>
      <c r="G961" s="2"/>
      <c r="H961" s="2"/>
      <c r="I961" s="2"/>
      <c r="J961" s="2"/>
      <c r="K961" s="2"/>
      <c r="L961" s="2"/>
      <c r="M961" s="2"/>
      <c r="N961" s="2"/>
      <c r="O961" s="2"/>
      <c r="P961" s="2"/>
      <c r="Q961" s="2"/>
      <c r="R961" s="9"/>
      <c r="S961" s="9"/>
      <c r="T961" s="9"/>
      <c r="U961" s="9"/>
      <c r="V961" s="9"/>
      <c r="W961" s="9"/>
      <c r="X961" s="9"/>
      <c r="Y961" s="9"/>
      <c r="Z961" s="9"/>
      <c r="AA961" s="9"/>
      <c r="AB961" s="9"/>
      <c r="AC961" s="9"/>
      <c r="AD961" s="9"/>
    </row>
    <row r="962" spans="1:30" ht="13.5" customHeight="1">
      <c r="A962" s="2"/>
      <c r="B962" s="2"/>
      <c r="C962" s="2"/>
      <c r="D962" s="2"/>
      <c r="E962" s="2"/>
      <c r="F962" s="2"/>
      <c r="G962" s="2"/>
      <c r="H962" s="2"/>
      <c r="I962" s="2"/>
      <c r="J962" s="2"/>
      <c r="K962" s="2"/>
      <c r="L962" s="2"/>
      <c r="M962" s="2"/>
      <c r="N962" s="2"/>
      <c r="O962" s="2"/>
      <c r="P962" s="2"/>
      <c r="Q962" s="2"/>
      <c r="R962" s="9"/>
      <c r="S962" s="9"/>
      <c r="T962" s="9"/>
      <c r="U962" s="9"/>
      <c r="V962" s="9"/>
      <c r="W962" s="9"/>
      <c r="X962" s="9"/>
      <c r="Y962" s="9"/>
      <c r="Z962" s="9"/>
      <c r="AA962" s="9"/>
      <c r="AB962" s="9"/>
      <c r="AC962" s="9"/>
      <c r="AD962" s="9"/>
    </row>
    <row r="963" spans="1:30" ht="13.5" customHeight="1">
      <c r="A963" s="2"/>
      <c r="B963" s="2"/>
      <c r="C963" s="2"/>
      <c r="D963" s="2"/>
      <c r="E963" s="2"/>
      <c r="F963" s="2"/>
      <c r="G963" s="2"/>
      <c r="H963" s="2"/>
      <c r="I963" s="2"/>
      <c r="J963" s="2"/>
      <c r="K963" s="2"/>
      <c r="L963" s="2"/>
      <c r="M963" s="2"/>
      <c r="N963" s="2"/>
      <c r="O963" s="2"/>
      <c r="P963" s="2"/>
      <c r="Q963" s="2"/>
      <c r="R963" s="9"/>
      <c r="S963" s="9"/>
      <c r="T963" s="9"/>
      <c r="U963" s="9"/>
      <c r="V963" s="9"/>
      <c r="W963" s="9"/>
      <c r="X963" s="9"/>
      <c r="Y963" s="9"/>
      <c r="Z963" s="9"/>
      <c r="AA963" s="9"/>
      <c r="AB963" s="9"/>
      <c r="AC963" s="9"/>
      <c r="AD963" s="9"/>
    </row>
    <row r="964" spans="1:30" ht="13.5" customHeight="1">
      <c r="A964" s="2"/>
      <c r="B964" s="2"/>
      <c r="C964" s="2"/>
      <c r="D964" s="2"/>
      <c r="E964" s="2"/>
      <c r="F964" s="2"/>
      <c r="G964" s="2"/>
      <c r="H964" s="2"/>
      <c r="I964" s="2"/>
      <c r="J964" s="2"/>
      <c r="K964" s="2"/>
      <c r="L964" s="2"/>
      <c r="M964" s="2"/>
      <c r="N964" s="2"/>
      <c r="O964" s="2"/>
      <c r="P964" s="2"/>
      <c r="Q964" s="2"/>
      <c r="R964" s="9"/>
      <c r="S964" s="9"/>
      <c r="T964" s="9"/>
      <c r="U964" s="9"/>
      <c r="V964" s="9"/>
      <c r="W964" s="9"/>
      <c r="X964" s="9"/>
      <c r="Y964" s="9"/>
      <c r="Z964" s="9"/>
      <c r="AA964" s="9"/>
      <c r="AB964" s="9"/>
      <c r="AC964" s="9"/>
      <c r="AD964" s="9"/>
    </row>
    <row r="965" spans="1:30" ht="13.5" customHeight="1">
      <c r="A965" s="2"/>
      <c r="B965" s="2"/>
      <c r="C965" s="2"/>
      <c r="D965" s="2"/>
      <c r="E965" s="2"/>
      <c r="F965" s="2"/>
      <c r="G965" s="2"/>
      <c r="H965" s="2"/>
      <c r="I965" s="2"/>
      <c r="J965" s="2"/>
      <c r="K965" s="2"/>
      <c r="L965" s="2"/>
      <c r="M965" s="2"/>
      <c r="N965" s="2"/>
      <c r="O965" s="2"/>
      <c r="P965" s="2"/>
      <c r="Q965" s="2"/>
      <c r="R965" s="9"/>
      <c r="S965" s="9"/>
      <c r="T965" s="9"/>
      <c r="U965" s="9"/>
      <c r="V965" s="9"/>
      <c r="W965" s="9"/>
      <c r="X965" s="9"/>
      <c r="Y965" s="9"/>
      <c r="Z965" s="9"/>
      <c r="AA965" s="9"/>
      <c r="AB965" s="9"/>
      <c r="AC965" s="9"/>
      <c r="AD965" s="9"/>
    </row>
    <row r="966" spans="1:30" ht="13.5" customHeight="1">
      <c r="A966" s="2"/>
      <c r="B966" s="2"/>
      <c r="C966" s="2"/>
      <c r="D966" s="2"/>
      <c r="E966" s="2"/>
      <c r="F966" s="2"/>
      <c r="G966" s="2"/>
      <c r="H966" s="2"/>
      <c r="I966" s="2"/>
      <c r="J966" s="2"/>
      <c r="K966" s="2"/>
      <c r="L966" s="2"/>
      <c r="M966" s="2"/>
      <c r="N966" s="2"/>
      <c r="O966" s="2"/>
      <c r="P966" s="2"/>
      <c r="Q966" s="2"/>
      <c r="R966" s="9"/>
      <c r="S966" s="9"/>
      <c r="T966" s="9"/>
      <c r="U966" s="9"/>
      <c r="V966" s="9"/>
      <c r="W966" s="9"/>
      <c r="X966" s="9"/>
      <c r="Y966" s="9"/>
      <c r="Z966" s="9"/>
      <c r="AA966" s="9"/>
      <c r="AB966" s="9"/>
      <c r="AC966" s="9"/>
      <c r="AD966" s="9"/>
    </row>
    <row r="967" spans="1:30" ht="13.5" customHeight="1">
      <c r="A967" s="2"/>
      <c r="B967" s="2"/>
      <c r="C967" s="2"/>
      <c r="D967" s="2"/>
      <c r="E967" s="2"/>
      <c r="F967" s="2"/>
      <c r="G967" s="2"/>
      <c r="H967" s="2"/>
      <c r="I967" s="2"/>
      <c r="J967" s="2"/>
      <c r="K967" s="2"/>
      <c r="L967" s="2"/>
      <c r="M967" s="2"/>
      <c r="N967" s="2"/>
      <c r="O967" s="2"/>
      <c r="P967" s="2"/>
      <c r="Q967" s="2"/>
      <c r="R967" s="9"/>
      <c r="S967" s="9"/>
      <c r="T967" s="9"/>
      <c r="U967" s="9"/>
      <c r="V967" s="9"/>
      <c r="W967" s="9"/>
      <c r="X967" s="9"/>
      <c r="Y967" s="9"/>
      <c r="Z967" s="9"/>
      <c r="AA967" s="9"/>
      <c r="AB967" s="9"/>
      <c r="AC967" s="9"/>
      <c r="AD967" s="9"/>
    </row>
    <row r="968" spans="1:30" ht="13.5" customHeight="1">
      <c r="A968" s="2"/>
      <c r="B968" s="2"/>
      <c r="C968" s="2"/>
      <c r="D968" s="2"/>
      <c r="E968" s="2"/>
      <c r="F968" s="2"/>
      <c r="G968" s="2"/>
      <c r="H968" s="2"/>
      <c r="I968" s="2"/>
      <c r="J968" s="2"/>
      <c r="K968" s="2"/>
      <c r="L968" s="2"/>
      <c r="M968" s="2"/>
      <c r="N968" s="2"/>
      <c r="O968" s="2"/>
      <c r="P968" s="2"/>
      <c r="Q968" s="2"/>
      <c r="R968" s="9"/>
      <c r="S968" s="9"/>
      <c r="T968" s="9"/>
      <c r="U968" s="9"/>
      <c r="V968" s="9"/>
      <c r="W968" s="9"/>
      <c r="X968" s="9"/>
      <c r="Y968" s="9"/>
      <c r="Z968" s="9"/>
      <c r="AA968" s="9"/>
      <c r="AB968" s="9"/>
      <c r="AC968" s="9"/>
      <c r="AD968" s="9"/>
    </row>
    <row r="969" spans="1:30" ht="13.5" customHeight="1">
      <c r="A969" s="2"/>
      <c r="B969" s="2"/>
      <c r="C969" s="2"/>
      <c r="D969" s="2"/>
      <c r="E969" s="2"/>
      <c r="F969" s="2"/>
      <c r="G969" s="2"/>
      <c r="H969" s="2"/>
      <c r="I969" s="2"/>
      <c r="J969" s="2"/>
      <c r="K969" s="2"/>
      <c r="L969" s="2"/>
      <c r="M969" s="2"/>
      <c r="N969" s="2"/>
      <c r="O969" s="2"/>
      <c r="P969" s="2"/>
      <c r="Q969" s="2"/>
      <c r="R969" s="9"/>
      <c r="S969" s="9"/>
      <c r="T969" s="9"/>
      <c r="U969" s="9"/>
      <c r="V969" s="9"/>
      <c r="W969" s="9"/>
      <c r="X969" s="9"/>
      <c r="Y969" s="9"/>
      <c r="Z969" s="9"/>
      <c r="AA969" s="9"/>
      <c r="AB969" s="9"/>
      <c r="AC969" s="9"/>
      <c r="AD969" s="9"/>
    </row>
    <row r="970" spans="1:30" ht="13.5" customHeight="1">
      <c r="A970" s="2"/>
      <c r="B970" s="2"/>
      <c r="C970" s="2"/>
      <c r="D970" s="2"/>
      <c r="E970" s="2"/>
      <c r="F970" s="2"/>
      <c r="G970" s="2"/>
      <c r="H970" s="2"/>
      <c r="I970" s="2"/>
      <c r="J970" s="2"/>
      <c r="K970" s="2"/>
      <c r="L970" s="2"/>
      <c r="M970" s="2"/>
      <c r="N970" s="2"/>
      <c r="O970" s="2"/>
      <c r="P970" s="2"/>
      <c r="Q970" s="2"/>
      <c r="R970" s="9"/>
      <c r="S970" s="9"/>
      <c r="T970" s="9"/>
      <c r="U970" s="9"/>
      <c r="V970" s="9"/>
      <c r="W970" s="9"/>
      <c r="X970" s="9"/>
      <c r="Y970" s="9"/>
      <c r="Z970" s="9"/>
      <c r="AA970" s="9"/>
      <c r="AB970" s="9"/>
      <c r="AC970" s="9"/>
      <c r="AD970" s="9"/>
    </row>
    <row r="971" spans="1:30" ht="13.5" customHeight="1">
      <c r="A971" s="2"/>
      <c r="B971" s="2"/>
      <c r="C971" s="2"/>
      <c r="D971" s="2"/>
      <c r="E971" s="2"/>
      <c r="F971" s="2"/>
      <c r="G971" s="2"/>
      <c r="H971" s="2"/>
      <c r="I971" s="2"/>
      <c r="J971" s="2"/>
      <c r="K971" s="2"/>
      <c r="L971" s="2"/>
      <c r="M971" s="2"/>
      <c r="N971" s="2"/>
      <c r="O971" s="2"/>
      <c r="P971" s="2"/>
      <c r="Q971" s="2"/>
      <c r="R971" s="9"/>
      <c r="S971" s="9"/>
      <c r="T971" s="9"/>
      <c r="U971" s="9"/>
      <c r="V971" s="9"/>
      <c r="W971" s="9"/>
      <c r="X971" s="9"/>
      <c r="Y971" s="9"/>
      <c r="Z971" s="9"/>
      <c r="AA971" s="9"/>
      <c r="AB971" s="9"/>
      <c r="AC971" s="9"/>
      <c r="AD971" s="9"/>
    </row>
    <row r="972" spans="1:30" ht="13.5" customHeight="1">
      <c r="A972" s="2"/>
      <c r="B972" s="2"/>
      <c r="C972" s="2"/>
      <c r="D972" s="2"/>
      <c r="E972" s="2"/>
      <c r="F972" s="2"/>
      <c r="G972" s="2"/>
      <c r="H972" s="2"/>
      <c r="I972" s="2"/>
      <c r="J972" s="2"/>
      <c r="K972" s="2"/>
      <c r="L972" s="2"/>
      <c r="M972" s="2"/>
      <c r="N972" s="2"/>
      <c r="O972" s="2"/>
      <c r="P972" s="2"/>
      <c r="Q972" s="2"/>
      <c r="R972" s="9"/>
      <c r="S972" s="9"/>
      <c r="T972" s="9"/>
      <c r="U972" s="9"/>
      <c r="V972" s="9"/>
      <c r="W972" s="9"/>
      <c r="X972" s="9"/>
      <c r="Y972" s="9"/>
      <c r="Z972" s="9"/>
      <c r="AA972" s="9"/>
      <c r="AB972" s="9"/>
      <c r="AC972" s="9"/>
      <c r="AD972" s="9"/>
    </row>
    <row r="973" spans="1:30" ht="13.5" customHeight="1">
      <c r="A973" s="2"/>
      <c r="B973" s="2"/>
      <c r="C973" s="2"/>
      <c r="D973" s="2"/>
      <c r="E973" s="2"/>
      <c r="F973" s="2"/>
      <c r="G973" s="2"/>
      <c r="H973" s="2"/>
      <c r="I973" s="2"/>
      <c r="J973" s="2"/>
      <c r="K973" s="2"/>
      <c r="L973" s="2"/>
      <c r="M973" s="2"/>
      <c r="N973" s="2"/>
      <c r="O973" s="2"/>
      <c r="P973" s="2"/>
      <c r="Q973" s="2"/>
      <c r="R973" s="9"/>
      <c r="S973" s="9"/>
      <c r="T973" s="9"/>
      <c r="U973" s="9"/>
      <c r="V973" s="9"/>
      <c r="W973" s="9"/>
      <c r="X973" s="9"/>
      <c r="Y973" s="9"/>
      <c r="Z973" s="9"/>
      <c r="AA973" s="9"/>
      <c r="AB973" s="9"/>
      <c r="AC973" s="9"/>
      <c r="AD973" s="9"/>
    </row>
    <row r="974" spans="1:30" ht="13.5" customHeight="1">
      <c r="A974" s="2"/>
      <c r="B974" s="2"/>
      <c r="C974" s="2"/>
      <c r="D974" s="2"/>
      <c r="E974" s="2"/>
      <c r="F974" s="2"/>
      <c r="G974" s="2"/>
      <c r="H974" s="2"/>
      <c r="I974" s="2"/>
      <c r="J974" s="2"/>
      <c r="K974" s="2"/>
      <c r="L974" s="2"/>
      <c r="M974" s="2"/>
      <c r="N974" s="2"/>
      <c r="O974" s="2"/>
      <c r="P974" s="2"/>
      <c r="Q974" s="2"/>
      <c r="R974" s="9"/>
      <c r="S974" s="9"/>
      <c r="T974" s="9"/>
      <c r="U974" s="9"/>
      <c r="V974" s="9"/>
      <c r="W974" s="9"/>
      <c r="X974" s="9"/>
      <c r="Y974" s="9"/>
      <c r="Z974" s="9"/>
      <c r="AA974" s="9"/>
      <c r="AB974" s="9"/>
      <c r="AC974" s="9"/>
      <c r="AD974" s="9"/>
    </row>
    <row r="975" spans="1:30" ht="13.5" customHeight="1">
      <c r="A975" s="2"/>
      <c r="B975" s="2"/>
      <c r="C975" s="2"/>
      <c r="D975" s="2"/>
      <c r="E975" s="2"/>
      <c r="F975" s="2"/>
      <c r="G975" s="2"/>
      <c r="H975" s="2"/>
      <c r="I975" s="2"/>
      <c r="J975" s="2"/>
      <c r="K975" s="2"/>
      <c r="L975" s="2"/>
      <c r="M975" s="2"/>
      <c r="N975" s="2"/>
      <c r="O975" s="2"/>
      <c r="P975" s="2"/>
      <c r="Q975" s="2"/>
      <c r="R975" s="9"/>
      <c r="S975" s="9"/>
      <c r="T975" s="9"/>
      <c r="U975" s="9"/>
      <c r="V975" s="9"/>
      <c r="W975" s="9"/>
      <c r="X975" s="9"/>
      <c r="Y975" s="9"/>
      <c r="Z975" s="9"/>
      <c r="AA975" s="9"/>
      <c r="AB975" s="9"/>
      <c r="AC975" s="9"/>
      <c r="AD975" s="9"/>
    </row>
    <row r="976" spans="1:30" ht="13.5" customHeight="1">
      <c r="A976" s="2"/>
      <c r="B976" s="2"/>
      <c r="C976" s="2"/>
      <c r="D976" s="2"/>
      <c r="E976" s="2"/>
      <c r="F976" s="2"/>
      <c r="G976" s="2"/>
      <c r="H976" s="2"/>
      <c r="I976" s="2"/>
      <c r="J976" s="2"/>
      <c r="K976" s="2"/>
      <c r="L976" s="2"/>
      <c r="M976" s="2"/>
      <c r="N976" s="2"/>
      <c r="O976" s="2"/>
      <c r="P976" s="2"/>
      <c r="Q976" s="2"/>
      <c r="R976" s="9"/>
      <c r="S976" s="9"/>
      <c r="T976" s="9"/>
      <c r="U976" s="9"/>
      <c r="V976" s="9"/>
      <c r="W976" s="9"/>
      <c r="X976" s="9"/>
      <c r="Y976" s="9"/>
      <c r="Z976" s="9"/>
      <c r="AA976" s="9"/>
      <c r="AB976" s="9"/>
      <c r="AC976" s="9"/>
      <c r="AD976" s="9"/>
    </row>
    <row r="977" spans="1:30" ht="13.5" customHeight="1">
      <c r="A977" s="2"/>
      <c r="B977" s="2"/>
      <c r="C977" s="2"/>
      <c r="D977" s="2"/>
      <c r="E977" s="2"/>
      <c r="F977" s="2"/>
      <c r="G977" s="2"/>
      <c r="H977" s="2"/>
      <c r="I977" s="2"/>
      <c r="J977" s="2"/>
      <c r="K977" s="2"/>
      <c r="L977" s="2"/>
      <c r="M977" s="2"/>
      <c r="N977" s="2"/>
      <c r="O977" s="2"/>
      <c r="P977" s="2"/>
      <c r="Q977" s="2"/>
      <c r="R977" s="9"/>
      <c r="S977" s="9"/>
      <c r="T977" s="9"/>
      <c r="U977" s="9"/>
      <c r="V977" s="9"/>
      <c r="W977" s="9"/>
      <c r="X977" s="9"/>
      <c r="Y977" s="9"/>
      <c r="Z977" s="9"/>
      <c r="AA977" s="9"/>
      <c r="AB977" s="9"/>
      <c r="AC977" s="9"/>
      <c r="AD977" s="9"/>
    </row>
    <row r="978" spans="1:30" ht="13.5" customHeight="1">
      <c r="A978" s="2"/>
      <c r="B978" s="2"/>
      <c r="C978" s="2"/>
      <c r="D978" s="2"/>
      <c r="E978" s="2"/>
      <c r="F978" s="2"/>
      <c r="G978" s="2"/>
      <c r="H978" s="2"/>
      <c r="I978" s="2"/>
      <c r="J978" s="2"/>
      <c r="K978" s="2"/>
      <c r="L978" s="2"/>
      <c r="M978" s="2"/>
      <c r="N978" s="2"/>
      <c r="O978" s="2"/>
      <c r="P978" s="2"/>
      <c r="Q978" s="2"/>
      <c r="R978" s="9"/>
      <c r="S978" s="9"/>
      <c r="T978" s="9"/>
      <c r="U978" s="9"/>
      <c r="V978" s="9"/>
      <c r="W978" s="9"/>
      <c r="X978" s="9"/>
      <c r="Y978" s="9"/>
      <c r="Z978" s="9"/>
      <c r="AA978" s="9"/>
      <c r="AB978" s="9"/>
      <c r="AC978" s="9"/>
      <c r="AD978" s="9"/>
    </row>
    <row r="979" spans="1:30" ht="13.5" customHeight="1">
      <c r="A979" s="2"/>
      <c r="B979" s="2"/>
      <c r="C979" s="2"/>
      <c r="D979" s="2"/>
      <c r="E979" s="2"/>
      <c r="F979" s="2"/>
      <c r="G979" s="2"/>
      <c r="H979" s="2"/>
      <c r="I979" s="2"/>
      <c r="J979" s="2"/>
      <c r="K979" s="2"/>
      <c r="L979" s="2"/>
      <c r="M979" s="2"/>
      <c r="N979" s="2"/>
      <c r="O979" s="2"/>
      <c r="P979" s="2"/>
      <c r="Q979" s="2"/>
      <c r="R979" s="9"/>
      <c r="S979" s="9"/>
      <c r="T979" s="9"/>
      <c r="U979" s="9"/>
      <c r="V979" s="9"/>
      <c r="W979" s="9"/>
      <c r="X979" s="9"/>
      <c r="Y979" s="9"/>
      <c r="Z979" s="9"/>
      <c r="AA979" s="9"/>
      <c r="AB979" s="9"/>
      <c r="AC979" s="9"/>
      <c r="AD979" s="9"/>
    </row>
    <row r="980" spans="1:30" ht="13.5" customHeight="1">
      <c r="A980" s="2"/>
      <c r="B980" s="2"/>
      <c r="C980" s="2"/>
      <c r="D980" s="2"/>
      <c r="E980" s="2"/>
      <c r="F980" s="2"/>
      <c r="G980" s="2"/>
      <c r="H980" s="2"/>
      <c r="I980" s="2"/>
      <c r="J980" s="2"/>
      <c r="K980" s="2"/>
      <c r="L980" s="2"/>
      <c r="M980" s="2"/>
      <c r="N980" s="2"/>
      <c r="O980" s="2"/>
      <c r="P980" s="2"/>
      <c r="Q980" s="2"/>
      <c r="R980" s="9"/>
      <c r="S980" s="9"/>
      <c r="T980" s="9"/>
      <c r="U980" s="9"/>
      <c r="V980" s="9"/>
      <c r="W980" s="9"/>
      <c r="X980" s="9"/>
      <c r="Y980" s="9"/>
      <c r="Z980" s="9"/>
      <c r="AA980" s="9"/>
      <c r="AB980" s="9"/>
      <c r="AC980" s="9"/>
      <c r="AD980" s="9"/>
    </row>
    <row r="981" spans="1:30" ht="13.5" customHeight="1">
      <c r="A981" s="2"/>
      <c r="B981" s="2"/>
      <c r="C981" s="2"/>
      <c r="D981" s="2"/>
      <c r="E981" s="2"/>
      <c r="F981" s="2"/>
      <c r="G981" s="2"/>
      <c r="H981" s="2"/>
      <c r="I981" s="2"/>
      <c r="J981" s="2"/>
      <c r="K981" s="2"/>
      <c r="L981" s="2"/>
      <c r="M981" s="2"/>
      <c r="N981" s="2"/>
      <c r="O981" s="2"/>
      <c r="P981" s="2"/>
      <c r="Q981" s="2"/>
      <c r="R981" s="9"/>
      <c r="S981" s="9"/>
      <c r="T981" s="9"/>
      <c r="U981" s="9"/>
      <c r="V981" s="9"/>
      <c r="W981" s="9"/>
      <c r="X981" s="9"/>
      <c r="Y981" s="9"/>
      <c r="Z981" s="9"/>
      <c r="AA981" s="9"/>
      <c r="AB981" s="9"/>
      <c r="AC981" s="9"/>
      <c r="AD981" s="9"/>
    </row>
    <row r="982" spans="1:30" ht="13.5" customHeight="1">
      <c r="A982" s="2"/>
      <c r="B982" s="2"/>
      <c r="C982" s="2"/>
      <c r="D982" s="2"/>
      <c r="E982" s="2"/>
      <c r="F982" s="2"/>
      <c r="G982" s="2"/>
      <c r="H982" s="2"/>
      <c r="I982" s="2"/>
      <c r="J982" s="2"/>
      <c r="K982" s="2"/>
      <c r="L982" s="2"/>
      <c r="M982" s="2"/>
      <c r="N982" s="2"/>
      <c r="O982" s="2"/>
      <c r="P982" s="2"/>
      <c r="Q982" s="2"/>
      <c r="R982" s="9"/>
      <c r="S982" s="9"/>
      <c r="T982" s="9"/>
      <c r="U982" s="9"/>
      <c r="V982" s="9"/>
      <c r="W982" s="9"/>
      <c r="X982" s="9"/>
      <c r="Y982" s="9"/>
      <c r="Z982" s="9"/>
      <c r="AA982" s="9"/>
      <c r="AB982" s="9"/>
      <c r="AC982" s="9"/>
      <c r="AD982" s="9"/>
    </row>
    <row r="983" spans="1:30" ht="13.5" customHeight="1">
      <c r="A983" s="2"/>
      <c r="B983" s="2"/>
      <c r="C983" s="2"/>
      <c r="D983" s="2"/>
      <c r="E983" s="2"/>
      <c r="F983" s="2"/>
      <c r="G983" s="2"/>
      <c r="H983" s="2"/>
      <c r="I983" s="2"/>
      <c r="J983" s="2"/>
      <c r="K983" s="2"/>
      <c r="L983" s="2"/>
      <c r="M983" s="2"/>
      <c r="N983" s="2"/>
      <c r="O983" s="2"/>
      <c r="P983" s="2"/>
      <c r="Q983" s="2"/>
      <c r="R983" s="9"/>
      <c r="S983" s="9"/>
      <c r="T983" s="9"/>
      <c r="U983" s="9"/>
      <c r="V983" s="9"/>
      <c r="W983" s="9"/>
      <c r="X983" s="9"/>
      <c r="Y983" s="9"/>
      <c r="Z983" s="9"/>
      <c r="AA983" s="9"/>
      <c r="AB983" s="9"/>
      <c r="AC983" s="9"/>
      <c r="AD983" s="9"/>
    </row>
    <row r="984" spans="1:30" ht="13.5" customHeight="1">
      <c r="A984" s="2"/>
      <c r="B984" s="2"/>
      <c r="C984" s="2"/>
      <c r="D984" s="2"/>
      <c r="E984" s="2"/>
      <c r="F984" s="2"/>
      <c r="G984" s="2"/>
      <c r="H984" s="2"/>
      <c r="I984" s="2"/>
      <c r="J984" s="2"/>
      <c r="K984" s="2"/>
      <c r="L984" s="2"/>
      <c r="M984" s="2"/>
      <c r="N984" s="2"/>
      <c r="O984" s="2"/>
      <c r="P984" s="2"/>
      <c r="Q984" s="2"/>
      <c r="R984" s="9"/>
      <c r="S984" s="9"/>
      <c r="T984" s="9"/>
      <c r="U984" s="9"/>
      <c r="V984" s="9"/>
      <c r="W984" s="9"/>
      <c r="X984" s="9"/>
      <c r="Y984" s="9"/>
      <c r="Z984" s="9"/>
      <c r="AA984" s="9"/>
      <c r="AB984" s="9"/>
      <c r="AC984" s="9"/>
      <c r="AD984" s="9"/>
    </row>
    <row r="985" spans="1:30" ht="13.5" customHeight="1">
      <c r="A985" s="2"/>
      <c r="B985" s="2"/>
      <c r="C985" s="2"/>
      <c r="D985" s="2"/>
      <c r="E985" s="2"/>
      <c r="F985" s="2"/>
      <c r="G985" s="2"/>
      <c r="H985" s="2"/>
      <c r="I985" s="2"/>
      <c r="J985" s="2"/>
      <c r="K985" s="2"/>
      <c r="L985" s="2"/>
      <c r="M985" s="2"/>
      <c r="N985" s="2"/>
      <c r="O985" s="2"/>
      <c r="P985" s="2"/>
      <c r="Q985" s="2"/>
      <c r="R985" s="9"/>
      <c r="S985" s="9"/>
      <c r="T985" s="9"/>
      <c r="U985" s="9"/>
      <c r="V985" s="9"/>
      <c r="W985" s="9"/>
      <c r="X985" s="9"/>
      <c r="Y985" s="9"/>
      <c r="Z985" s="9"/>
      <c r="AA985" s="9"/>
      <c r="AB985" s="9"/>
      <c r="AC985" s="9"/>
      <c r="AD985" s="9"/>
    </row>
    <row r="986" spans="1:30" ht="13.5" customHeight="1">
      <c r="A986" s="2"/>
      <c r="B986" s="2"/>
      <c r="C986" s="2"/>
      <c r="D986" s="2"/>
      <c r="E986" s="2"/>
      <c r="F986" s="2"/>
      <c r="G986" s="2"/>
      <c r="H986" s="2"/>
      <c r="I986" s="2"/>
      <c r="J986" s="2"/>
      <c r="K986" s="2"/>
      <c r="L986" s="2"/>
      <c r="M986" s="2"/>
      <c r="N986" s="2"/>
      <c r="O986" s="2"/>
      <c r="P986" s="2"/>
      <c r="Q986" s="2"/>
      <c r="R986" s="9"/>
      <c r="S986" s="9"/>
      <c r="T986" s="9"/>
      <c r="U986" s="9"/>
      <c r="V986" s="9"/>
      <c r="W986" s="9"/>
      <c r="X986" s="9"/>
      <c r="Y986" s="9"/>
      <c r="Z986" s="9"/>
      <c r="AA986" s="9"/>
      <c r="AB986" s="9"/>
      <c r="AC986" s="9"/>
      <c r="AD986" s="9"/>
    </row>
    <row r="987" spans="1:30" ht="13.5" customHeight="1">
      <c r="A987" s="2"/>
      <c r="B987" s="2"/>
      <c r="C987" s="2"/>
      <c r="D987" s="2"/>
      <c r="E987" s="2"/>
      <c r="F987" s="2"/>
      <c r="G987" s="2"/>
      <c r="H987" s="2"/>
      <c r="I987" s="2"/>
      <c r="J987" s="2"/>
      <c r="K987" s="2"/>
      <c r="L987" s="2"/>
      <c r="M987" s="2"/>
      <c r="N987" s="2"/>
      <c r="O987" s="2"/>
      <c r="P987" s="2"/>
      <c r="Q987" s="2"/>
      <c r="R987" s="9"/>
      <c r="S987" s="9"/>
      <c r="T987" s="9"/>
      <c r="U987" s="9"/>
      <c r="V987" s="9"/>
      <c r="W987" s="9"/>
      <c r="X987" s="9"/>
      <c r="Y987" s="9"/>
      <c r="Z987" s="9"/>
      <c r="AA987" s="9"/>
      <c r="AB987" s="9"/>
      <c r="AC987" s="9"/>
      <c r="AD987" s="9"/>
    </row>
    <row r="988" spans="1:30" ht="13.5" customHeight="1">
      <c r="A988" s="2"/>
      <c r="B988" s="2"/>
      <c r="C988" s="2"/>
      <c r="D988" s="2"/>
      <c r="E988" s="2"/>
      <c r="F988" s="2"/>
      <c r="G988" s="2"/>
      <c r="H988" s="2"/>
      <c r="I988" s="2"/>
      <c r="J988" s="2"/>
      <c r="K988" s="2"/>
      <c r="L988" s="2"/>
      <c r="M988" s="2"/>
      <c r="N988" s="2"/>
      <c r="O988" s="2"/>
      <c r="P988" s="2"/>
      <c r="Q988" s="2"/>
      <c r="R988" s="9"/>
      <c r="S988" s="9"/>
      <c r="T988" s="9"/>
      <c r="U988" s="9"/>
      <c r="V988" s="9"/>
      <c r="W988" s="9"/>
      <c r="X988" s="9"/>
      <c r="Y988" s="9"/>
      <c r="Z988" s="9"/>
      <c r="AA988" s="9"/>
      <c r="AB988" s="9"/>
      <c r="AC988" s="9"/>
      <c r="AD988" s="9"/>
    </row>
    <row r="989" spans="1:30" ht="13.5" customHeight="1">
      <c r="A989" s="2"/>
      <c r="B989" s="2"/>
      <c r="C989" s="2"/>
      <c r="D989" s="2"/>
      <c r="E989" s="2"/>
      <c r="F989" s="2"/>
      <c r="G989" s="2"/>
      <c r="H989" s="2"/>
      <c r="I989" s="2"/>
      <c r="J989" s="2"/>
      <c r="K989" s="2"/>
      <c r="L989" s="2"/>
      <c r="M989" s="2"/>
      <c r="N989" s="2"/>
      <c r="O989" s="2"/>
      <c r="P989" s="2"/>
      <c r="Q989" s="2"/>
      <c r="R989" s="9"/>
      <c r="S989" s="9"/>
      <c r="T989" s="9"/>
      <c r="U989" s="9"/>
      <c r="V989" s="9"/>
      <c r="W989" s="9"/>
      <c r="X989" s="9"/>
      <c r="Y989" s="9"/>
      <c r="Z989" s="9"/>
      <c r="AA989" s="9"/>
      <c r="AB989" s="9"/>
      <c r="AC989" s="9"/>
      <c r="AD989" s="9"/>
    </row>
    <row r="990" spans="1:30" ht="13.5" customHeight="1">
      <c r="A990" s="2"/>
      <c r="B990" s="2"/>
      <c r="C990" s="2"/>
      <c r="D990" s="2"/>
      <c r="E990" s="2"/>
      <c r="F990" s="2"/>
      <c r="G990" s="2"/>
      <c r="H990" s="2"/>
      <c r="I990" s="2"/>
      <c r="J990" s="2"/>
      <c r="K990" s="2"/>
      <c r="L990" s="2"/>
      <c r="M990" s="2"/>
      <c r="N990" s="2"/>
      <c r="O990" s="2"/>
      <c r="P990" s="2"/>
      <c r="Q990" s="2"/>
      <c r="R990" s="9"/>
      <c r="S990" s="9"/>
      <c r="T990" s="9"/>
      <c r="U990" s="9"/>
      <c r="V990" s="9"/>
      <c r="W990" s="9"/>
      <c r="X990" s="9"/>
      <c r="Y990" s="9"/>
      <c r="Z990" s="9"/>
      <c r="AA990" s="9"/>
      <c r="AB990" s="9"/>
      <c r="AC990" s="9"/>
      <c r="AD990" s="9"/>
    </row>
    <row r="991" spans="1:30" ht="13.5" customHeight="1">
      <c r="A991" s="2"/>
      <c r="B991" s="2"/>
      <c r="C991" s="2"/>
      <c r="D991" s="2"/>
      <c r="E991" s="2"/>
      <c r="F991" s="2"/>
      <c r="G991" s="2"/>
      <c r="H991" s="2"/>
      <c r="I991" s="2"/>
      <c r="J991" s="2"/>
      <c r="K991" s="2"/>
      <c r="L991" s="2"/>
      <c r="M991" s="2"/>
      <c r="N991" s="2"/>
      <c r="O991" s="2"/>
      <c r="P991" s="2"/>
      <c r="Q991" s="2"/>
      <c r="R991" s="9"/>
      <c r="S991" s="9"/>
      <c r="T991" s="9"/>
      <c r="U991" s="9"/>
      <c r="V991" s="9"/>
      <c r="W991" s="9"/>
      <c r="X991" s="9"/>
      <c r="Y991" s="9"/>
      <c r="Z991" s="9"/>
      <c r="AA991" s="9"/>
      <c r="AB991" s="9"/>
      <c r="AC991" s="9"/>
      <c r="AD991" s="9"/>
    </row>
    <row r="992" spans="1:30" ht="13.5" customHeight="1">
      <c r="A992" s="2"/>
      <c r="B992" s="2"/>
      <c r="C992" s="2"/>
      <c r="D992" s="2"/>
      <c r="E992" s="2"/>
      <c r="F992" s="2"/>
      <c r="G992" s="2"/>
      <c r="H992" s="2"/>
      <c r="I992" s="2"/>
      <c r="J992" s="2"/>
      <c r="K992" s="2"/>
      <c r="L992" s="2"/>
      <c r="M992" s="2"/>
      <c r="N992" s="2"/>
      <c r="O992" s="2"/>
      <c r="P992" s="2"/>
      <c r="Q992" s="2"/>
      <c r="R992" s="9"/>
      <c r="S992" s="9"/>
      <c r="T992" s="9"/>
      <c r="U992" s="9"/>
      <c r="V992" s="9"/>
      <c r="W992" s="9"/>
      <c r="X992" s="9"/>
      <c r="Y992" s="9"/>
      <c r="Z992" s="9"/>
      <c r="AA992" s="9"/>
      <c r="AB992" s="9"/>
      <c r="AC992" s="9"/>
      <c r="AD992" s="9"/>
    </row>
    <row r="993" spans="1:30" ht="13.5" customHeight="1">
      <c r="A993" s="2"/>
      <c r="B993" s="2"/>
      <c r="C993" s="2"/>
      <c r="D993" s="2"/>
      <c r="E993" s="2"/>
      <c r="F993" s="2"/>
      <c r="G993" s="2"/>
      <c r="H993" s="2"/>
      <c r="I993" s="2"/>
      <c r="J993" s="2"/>
      <c r="K993" s="2"/>
      <c r="L993" s="2"/>
      <c r="M993" s="2"/>
      <c r="N993" s="2"/>
      <c r="O993" s="2"/>
      <c r="P993" s="2"/>
      <c r="Q993" s="2"/>
      <c r="R993" s="9"/>
      <c r="S993" s="9"/>
      <c r="T993" s="9"/>
      <c r="U993" s="9"/>
      <c r="V993" s="9"/>
      <c r="W993" s="9"/>
      <c r="X993" s="9"/>
      <c r="Y993" s="9"/>
      <c r="Z993" s="9"/>
      <c r="AA993" s="9"/>
      <c r="AB993" s="9"/>
      <c r="AC993" s="9"/>
      <c r="AD993" s="9"/>
    </row>
    <row r="994" spans="1:30" ht="13.5" customHeight="1">
      <c r="A994" s="2"/>
      <c r="B994" s="2"/>
      <c r="C994" s="2"/>
      <c r="D994" s="2"/>
      <c r="E994" s="2"/>
      <c r="F994" s="2"/>
      <c r="G994" s="2"/>
      <c r="H994" s="2"/>
      <c r="I994" s="2"/>
      <c r="J994" s="2"/>
      <c r="K994" s="2"/>
      <c r="L994" s="2"/>
      <c r="M994" s="2"/>
      <c r="N994" s="2"/>
      <c r="O994" s="2"/>
      <c r="P994" s="2"/>
      <c r="Q994" s="2"/>
      <c r="R994" s="9"/>
      <c r="S994" s="9"/>
      <c r="T994" s="9"/>
      <c r="U994" s="9"/>
      <c r="V994" s="9"/>
      <c r="W994" s="9"/>
      <c r="X994" s="9"/>
      <c r="Y994" s="9"/>
      <c r="Z994" s="9"/>
      <c r="AA994" s="9"/>
      <c r="AB994" s="9"/>
      <c r="AC994" s="9"/>
      <c r="AD994" s="9"/>
    </row>
    <row r="995" spans="1:30" ht="13.5" customHeight="1">
      <c r="A995" s="2"/>
      <c r="B995" s="2"/>
      <c r="C995" s="2"/>
      <c r="D995" s="2"/>
      <c r="E995" s="2"/>
      <c r="F995" s="2"/>
      <c r="G995" s="2"/>
      <c r="H995" s="2"/>
      <c r="I995" s="2"/>
      <c r="J995" s="2"/>
      <c r="K995" s="2"/>
      <c r="L995" s="2"/>
      <c r="M995" s="2"/>
      <c r="N995" s="2"/>
      <c r="O995" s="2"/>
      <c r="P995" s="2"/>
      <c r="Q995" s="2"/>
      <c r="R995" s="9"/>
      <c r="S995" s="9"/>
      <c r="T995" s="9"/>
      <c r="U995" s="9"/>
      <c r="V995" s="9"/>
      <c r="W995" s="9"/>
      <c r="X995" s="9"/>
      <c r="Y995" s="9"/>
      <c r="Z995" s="9"/>
      <c r="AA995" s="9"/>
      <c r="AB995" s="9"/>
      <c r="AC995" s="9"/>
      <c r="AD995" s="9"/>
    </row>
    <row r="996" spans="1:30" ht="13.5" customHeight="1">
      <c r="A996" s="2"/>
      <c r="B996" s="2"/>
      <c r="C996" s="2"/>
      <c r="D996" s="2"/>
      <c r="E996" s="2"/>
      <c r="F996" s="2"/>
      <c r="G996" s="2"/>
      <c r="H996" s="2"/>
      <c r="I996" s="2"/>
      <c r="J996" s="2"/>
      <c r="K996" s="2"/>
      <c r="L996" s="2"/>
      <c r="M996" s="2"/>
      <c r="N996" s="2"/>
      <c r="O996" s="2"/>
      <c r="P996" s="2"/>
      <c r="Q996" s="2"/>
      <c r="R996" s="9"/>
      <c r="S996" s="9"/>
      <c r="T996" s="9"/>
      <c r="U996" s="9"/>
      <c r="V996" s="9"/>
      <c r="W996" s="9"/>
      <c r="X996" s="9"/>
      <c r="Y996" s="9"/>
      <c r="Z996" s="9"/>
      <c r="AA996" s="9"/>
      <c r="AB996" s="9"/>
      <c r="AC996" s="9"/>
      <c r="AD996" s="9"/>
    </row>
    <row r="997" spans="1:30" ht="13.5" customHeight="1">
      <c r="A997" s="2"/>
      <c r="B997" s="2"/>
      <c r="C997" s="2"/>
      <c r="D997" s="2"/>
      <c r="E997" s="2"/>
      <c r="F997" s="2"/>
      <c r="G997" s="2"/>
      <c r="H997" s="2"/>
      <c r="I997" s="2"/>
      <c r="J997" s="2"/>
      <c r="K997" s="2"/>
      <c r="L997" s="2"/>
      <c r="M997" s="2"/>
      <c r="N997" s="2"/>
      <c r="O997" s="2"/>
      <c r="P997" s="2"/>
      <c r="Q997" s="2"/>
      <c r="R997" s="9"/>
      <c r="S997" s="9"/>
      <c r="T997" s="9"/>
      <c r="U997" s="9"/>
      <c r="V997" s="9"/>
      <c r="W997" s="9"/>
      <c r="X997" s="9"/>
      <c r="Y997" s="9"/>
      <c r="Z997" s="9"/>
      <c r="AA997" s="9"/>
      <c r="AB997" s="9"/>
      <c r="AC997" s="9"/>
      <c r="AD997" s="9"/>
    </row>
    <row r="998" spans="1:30" ht="13.5" customHeight="1">
      <c r="A998" s="2"/>
      <c r="B998" s="2"/>
      <c r="C998" s="2"/>
      <c r="D998" s="2"/>
      <c r="E998" s="2"/>
      <c r="F998" s="2"/>
      <c r="G998" s="2"/>
      <c r="H998" s="2"/>
      <c r="I998" s="2"/>
      <c r="J998" s="2"/>
      <c r="K998" s="2"/>
      <c r="L998" s="2"/>
      <c r="M998" s="2"/>
      <c r="N998" s="2"/>
      <c r="O998" s="2"/>
      <c r="P998" s="2"/>
      <c r="Q998" s="2"/>
      <c r="R998" s="9"/>
      <c r="S998" s="9"/>
      <c r="T998" s="9"/>
      <c r="U998" s="9"/>
      <c r="V998" s="9"/>
      <c r="W998" s="9"/>
      <c r="X998" s="9"/>
      <c r="Y998" s="9"/>
      <c r="Z998" s="9"/>
      <c r="AA998" s="9"/>
      <c r="AB998" s="9"/>
      <c r="AC998" s="9"/>
      <c r="AD998" s="9"/>
    </row>
    <row r="999" spans="1:30" ht="13.5" customHeight="1">
      <c r="A999" s="2"/>
      <c r="B999" s="2"/>
      <c r="C999" s="2"/>
      <c r="D999" s="2"/>
      <c r="E999" s="2"/>
      <c r="F999" s="2"/>
      <c r="G999" s="2"/>
      <c r="H999" s="2"/>
      <c r="I999" s="2"/>
      <c r="J999" s="2"/>
      <c r="K999" s="2"/>
      <c r="L999" s="2"/>
      <c r="M999" s="2"/>
      <c r="N999" s="2"/>
      <c r="O999" s="2"/>
      <c r="P999" s="2"/>
      <c r="Q999" s="2"/>
      <c r="R999" s="9"/>
      <c r="S999" s="9"/>
      <c r="T999" s="9"/>
      <c r="U999" s="9"/>
      <c r="V999" s="9"/>
      <c r="W999" s="9"/>
      <c r="X999" s="9"/>
      <c r="Y999" s="9"/>
      <c r="Z999" s="9"/>
      <c r="AA999" s="9"/>
      <c r="AB999" s="9"/>
      <c r="AC999" s="9"/>
      <c r="AD999" s="9"/>
    </row>
    <row r="1000" spans="1:30" ht="13.5" customHeight="1">
      <c r="A1000" s="2"/>
      <c r="B1000" s="2"/>
      <c r="C1000" s="2"/>
      <c r="D1000" s="2"/>
      <c r="E1000" s="2"/>
      <c r="F1000" s="2"/>
      <c r="G1000" s="2"/>
      <c r="H1000" s="2"/>
      <c r="I1000" s="2"/>
      <c r="J1000" s="2"/>
      <c r="K1000" s="2"/>
      <c r="L1000" s="2"/>
      <c r="M1000" s="2"/>
      <c r="N1000" s="2"/>
      <c r="O1000" s="2"/>
      <c r="P1000" s="2"/>
      <c r="Q1000" s="2"/>
      <c r="R1000" s="9"/>
      <c r="S1000" s="9"/>
      <c r="T1000" s="9"/>
      <c r="U1000" s="9"/>
      <c r="V1000" s="9"/>
      <c r="W1000" s="9"/>
      <c r="X1000" s="9"/>
      <c r="Y1000" s="9"/>
      <c r="Z1000" s="9"/>
      <c r="AA1000" s="9"/>
      <c r="AB1000" s="9"/>
      <c r="AC1000" s="9"/>
      <c r="AD1000" s="9"/>
    </row>
  </sheetData>
  <mergeCells count="16">
    <mergeCell ref="N14:O14"/>
    <mergeCell ref="N15:O15"/>
    <mergeCell ref="N16:O16"/>
    <mergeCell ref="N7:O7"/>
    <mergeCell ref="N8:O8"/>
    <mergeCell ref="N9:O9"/>
    <mergeCell ref="N10:O10"/>
    <mergeCell ref="N13:O13"/>
    <mergeCell ref="I6:O6"/>
    <mergeCell ref="I4:O4"/>
    <mergeCell ref="I12:O12"/>
    <mergeCell ref="K1:M1"/>
    <mergeCell ref="N1:O1"/>
    <mergeCell ref="K2:N2"/>
    <mergeCell ref="K3:N3"/>
    <mergeCell ref="O3:P3"/>
  </mergeCells>
  <conditionalFormatting sqref="I6">
    <cfRule type="expression" dxfId="140" priority="10">
      <formula>$Q$2="Report"</formula>
    </cfRule>
    <cfRule type="expression" dxfId="139" priority="11">
      <formula>$P$2="Report"</formula>
    </cfRule>
  </conditionalFormatting>
  <conditionalFormatting sqref="I12">
    <cfRule type="expression" dxfId="138" priority="8">
      <formula>$Q$2="Report"</formula>
    </cfRule>
    <cfRule type="expression" dxfId="137" priority="9">
      <formula>$P$2="Report"</formula>
    </cfRule>
  </conditionalFormatting>
  <conditionalFormatting sqref="M21:M39">
    <cfRule type="containsText" dxfId="136" priority="7" operator="containsText" text="N/A">
      <formula>NOT(ISERROR(SEARCH("N/A",M21)))</formula>
    </cfRule>
  </conditionalFormatting>
  <conditionalFormatting sqref="M45:M59">
    <cfRule type="containsText" dxfId="135" priority="6" operator="containsText" text="N/A">
      <formula>NOT(ISERROR(SEARCH("N/A",M45)))</formula>
    </cfRule>
  </conditionalFormatting>
  <conditionalFormatting sqref="O21:O39">
    <cfRule type="containsText" dxfId="134" priority="4" operator="containsText" text="N/A">
      <formula>NOT(ISERROR(SEARCH("N/A",O21)))</formula>
    </cfRule>
  </conditionalFormatting>
  <conditionalFormatting sqref="O45:O59 M65:M66">
    <cfRule type="containsText" dxfId="133" priority="5" operator="containsText" text="N/A">
      <formula>NOT(ISERROR(SEARCH("N/A",M45)))</formula>
    </cfRule>
  </conditionalFormatting>
  <conditionalFormatting sqref="O65:O66">
    <cfRule type="containsText" dxfId="132" priority="3" operator="containsText" text="N/A">
      <formula>NOT(ISERROR(SEARCH("N/A",O65)))</formula>
    </cfRule>
  </conditionalFormatting>
  <conditionalFormatting sqref="S1">
    <cfRule type="containsText" dxfId="131" priority="12" operator="containsText" text="Check!">
      <formula>NOT(ISERROR(SEARCH("Check!",S1)))</formula>
    </cfRule>
  </conditionalFormatting>
  <dataValidations disablePrompts="1" count="1">
    <dataValidation type="list" allowBlank="1" showErrorMessage="1" sqref="S21" xr:uid="{00000000-0002-0000-0300-000000000000}">
      <formula1>$Y$1:$Y$2</formula1>
    </dataValidation>
  </dataValidations>
  <pageMargins left="1" right="1" top="1" bottom="1" header="0" footer="0"/>
  <pageSetup orientation="portrait"/>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000"/>
  </sheetPr>
  <dimension ref="A1:Z1000"/>
  <sheetViews>
    <sheetView showGridLines="0" zoomScale="80" zoomScaleNormal="80" workbookViewId="0">
      <pane ySplit="2" topLeftCell="A3" activePane="bottomLeft" state="frozen"/>
      <selection activeCell="X35" sqref="X35"/>
      <selection pane="bottomLeft"/>
    </sheetView>
  </sheetViews>
  <sheetFormatPr defaultColWidth="14.44140625" defaultRowHeight="15" customHeight="1"/>
  <cols>
    <col min="1" max="2" width="1.6640625" customWidth="1"/>
    <col min="3" max="13" width="10.5546875" customWidth="1"/>
    <col min="14" max="14" width="6.5546875" customWidth="1"/>
    <col min="15" max="22" width="11.6640625" customWidth="1"/>
    <col min="23" max="23" width="2.33203125" customWidth="1"/>
    <col min="24" max="26" width="8.6640625" customWidth="1"/>
  </cols>
  <sheetData>
    <row r="1" spans="1:26" ht="13.5" customHeight="1">
      <c r="A1" s="4"/>
      <c r="B1" s="4"/>
      <c r="C1" s="5" t="str">
        <f ca="1">Company_Name&amp;" - "&amp;MID(CELL("filename",A1),FIND("]",CELL("filename",A1))+1,255)&amp;": "&amp;Case_Scenario&amp;" Case"</f>
        <v>Hamilton Lane Inc. - Football Field: Base Case</v>
      </c>
      <c r="D1" s="4"/>
      <c r="E1" s="4"/>
      <c r="F1" s="4"/>
      <c r="G1" s="4"/>
      <c r="H1" s="4"/>
      <c r="I1" s="4"/>
      <c r="J1" s="4"/>
      <c r="K1" s="4"/>
      <c r="L1" s="4"/>
      <c r="M1" s="4"/>
      <c r="N1" s="4"/>
      <c r="O1" s="4"/>
      <c r="P1" s="4"/>
      <c r="Q1" s="4"/>
      <c r="R1" s="4"/>
      <c r="S1" s="4"/>
      <c r="T1" s="4"/>
      <c r="U1" s="4"/>
      <c r="V1" s="4"/>
      <c r="W1" s="930"/>
      <c r="X1" s="4"/>
      <c r="Y1" s="4"/>
      <c r="Z1" s="4"/>
    </row>
    <row r="2" spans="1:26" ht="13.5" customHeight="1">
      <c r="A2" s="9"/>
      <c r="B2" s="9"/>
      <c r="C2" s="7" t="str">
        <f>Cover!C2</f>
        <v>$ in Millions Except Per Share Data</v>
      </c>
      <c r="D2" s="9"/>
      <c r="E2" s="9"/>
      <c r="F2" s="9"/>
      <c r="G2" s="9"/>
      <c r="H2" s="9"/>
      <c r="I2" s="9"/>
      <c r="J2" s="9"/>
      <c r="K2" s="9"/>
      <c r="L2" s="9"/>
      <c r="M2" s="9"/>
      <c r="N2" s="9"/>
      <c r="O2" s="9"/>
      <c r="P2" s="9"/>
      <c r="Q2" s="9"/>
      <c r="R2" s="9"/>
      <c r="S2" s="9"/>
      <c r="T2" s="9"/>
      <c r="U2" s="9"/>
      <c r="V2" s="9"/>
      <c r="W2" s="64"/>
      <c r="X2" s="9"/>
      <c r="Y2" s="9"/>
      <c r="Z2" s="9"/>
    </row>
    <row r="3" spans="1:26" ht="13.5" customHeight="1">
      <c r="A3" s="931"/>
      <c r="B3" s="9"/>
      <c r="C3" s="9"/>
      <c r="D3" s="9"/>
      <c r="E3" s="9"/>
      <c r="F3" s="9"/>
      <c r="G3" s="9"/>
      <c r="H3" s="9"/>
      <c r="I3" s="9"/>
      <c r="J3" s="9"/>
      <c r="K3" s="9"/>
      <c r="L3" s="9"/>
      <c r="M3" s="9"/>
      <c r="N3" s="9"/>
      <c r="O3" s="9"/>
      <c r="P3" s="9"/>
      <c r="Q3" s="9"/>
      <c r="R3" s="9"/>
      <c r="S3" s="9"/>
      <c r="T3" s="9"/>
      <c r="U3" s="9"/>
      <c r="V3" s="9"/>
      <c r="W3" s="64"/>
      <c r="X3" s="9"/>
      <c r="Y3" s="9"/>
      <c r="Z3" s="9"/>
    </row>
    <row r="4" spans="1:26" ht="13.5" customHeight="1">
      <c r="A4" s="150" t="s">
        <v>0</v>
      </c>
      <c r="B4" s="9"/>
      <c r="C4" s="9"/>
      <c r="D4" s="9"/>
      <c r="E4" s="9"/>
      <c r="F4" s="9"/>
      <c r="G4" s="9"/>
      <c r="H4" s="9"/>
      <c r="I4" s="9"/>
      <c r="J4" s="9"/>
      <c r="K4" s="9"/>
      <c r="L4" s="9"/>
      <c r="M4" s="9"/>
      <c r="N4" s="9"/>
      <c r="O4" s="932" t="s">
        <v>152</v>
      </c>
      <c r="P4" s="932"/>
      <c r="Q4" s="932"/>
      <c r="R4" s="932"/>
      <c r="S4" s="932"/>
      <c r="T4" s="933" t="s">
        <v>153</v>
      </c>
      <c r="U4" s="934" t="s">
        <v>154</v>
      </c>
      <c r="V4" s="935" t="s">
        <v>155</v>
      </c>
      <c r="W4" s="151" t="s">
        <v>0</v>
      </c>
      <c r="X4" s="9"/>
      <c r="Y4" s="9"/>
      <c r="Z4" s="9"/>
    </row>
    <row r="5" spans="1:26" ht="13.5" customHeight="1">
      <c r="A5" s="9"/>
      <c r="B5" s="9"/>
      <c r="C5" s="9"/>
      <c r="D5" s="9"/>
      <c r="E5" s="9"/>
      <c r="F5" s="9"/>
      <c r="G5" s="9"/>
      <c r="H5" s="9"/>
      <c r="I5" s="9"/>
      <c r="J5" s="9"/>
      <c r="K5" s="9"/>
      <c r="L5" s="9"/>
      <c r="M5" s="9"/>
      <c r="N5" s="9"/>
      <c r="O5" s="9" t="str">
        <f>TEXT(Valuation!E108,"0.0%")&amp;" - "&amp;TEXT(Valuation!E110,"0.0%")&amp;" WACC"&amp;" &amp; "&amp;TEXT(Valuation!G106,"0.0%")&amp;" - "&amp;TEXT(Valuation!I106,"0.0%")&amp;" PGR"</f>
        <v>8.0% - 9.0% WACC &amp; 1.5% - 2.5% PGR</v>
      </c>
      <c r="P5" s="9"/>
      <c r="Q5" s="9"/>
      <c r="R5" s="9"/>
      <c r="S5" s="9"/>
      <c r="T5" s="152">
        <f>Valuation!G108</f>
        <v>195.04954830416227</v>
      </c>
      <c r="U5" s="153">
        <f>V5-T5</f>
        <v>20.38591593197205</v>
      </c>
      <c r="V5" s="152">
        <f>Valuation!I110</f>
        <v>215.43546423613432</v>
      </c>
      <c r="W5" s="64"/>
      <c r="X5" s="9"/>
      <c r="Y5" s="9"/>
      <c r="Z5" s="9"/>
    </row>
    <row r="6" spans="1:26" ht="13.5" customHeight="1">
      <c r="A6" s="9"/>
      <c r="B6" s="9"/>
      <c r="C6" s="9"/>
      <c r="D6" s="9"/>
      <c r="E6" s="9"/>
      <c r="F6" s="9"/>
      <c r="G6" s="9"/>
      <c r="H6" s="9"/>
      <c r="I6" s="9"/>
      <c r="J6" s="9"/>
      <c r="K6" s="9"/>
      <c r="L6" s="9"/>
      <c r="M6" s="9"/>
      <c r="N6" s="9"/>
      <c r="O6" s="9" t="str">
        <f>TEXT(Valuation!E100,"0.0%")&amp;" - "&amp;TEXT(Valuation!E102,"0.0%")&amp;" WACC"&amp;" &amp; "&amp;TEXT(Valuation!G98,"0.0x")&amp;" - "&amp;TEXT(Valuation!I98,"0.0x")&amp;" Exit Multiple"</f>
        <v>8.0% - 9.0% WACC &amp; 24.0x - 26.0x Exit Multiple</v>
      </c>
      <c r="P6" s="9"/>
      <c r="Q6" s="9"/>
      <c r="R6" s="9"/>
      <c r="S6" s="9"/>
      <c r="T6" s="47">
        <f>Valuation!G100</f>
        <v>250.78261834058881</v>
      </c>
      <c r="U6" s="107">
        <f>V6-T6</f>
        <v>27.264040885164633</v>
      </c>
      <c r="V6" s="47">
        <f>Valuation!I102</f>
        <v>278.04665922575344</v>
      </c>
      <c r="W6" s="64"/>
      <c r="X6" s="9"/>
      <c r="Y6" s="9"/>
      <c r="Z6" s="9"/>
    </row>
    <row r="7" spans="1:26" ht="13.5" customHeight="1">
      <c r="A7" s="9"/>
      <c r="B7" s="9"/>
      <c r="C7" s="9"/>
      <c r="D7" s="9"/>
      <c r="E7" s="9"/>
      <c r="F7" s="9"/>
      <c r="G7" s="9"/>
      <c r="H7" s="9"/>
      <c r="I7" s="9"/>
      <c r="J7" s="9"/>
      <c r="K7" s="9"/>
      <c r="L7" s="9"/>
      <c r="M7" s="9"/>
      <c r="N7" s="9"/>
      <c r="O7" s="9"/>
      <c r="P7" s="9"/>
      <c r="Q7" s="9"/>
      <c r="R7" s="9"/>
      <c r="S7" s="9"/>
      <c r="T7" s="107"/>
      <c r="U7" s="107"/>
      <c r="V7" s="107"/>
      <c r="W7" s="64"/>
      <c r="X7" s="9"/>
      <c r="Y7" s="9"/>
      <c r="Z7" s="9"/>
    </row>
    <row r="8" spans="1:26" ht="13.5" customHeight="1">
      <c r="A8" s="9"/>
      <c r="B8" s="9"/>
      <c r="C8" s="9"/>
      <c r="D8" s="9"/>
      <c r="E8" s="9"/>
      <c r="F8" s="9"/>
      <c r="G8" s="9"/>
      <c r="H8" s="9"/>
      <c r="I8" s="9"/>
      <c r="J8" s="9"/>
      <c r="K8" s="9"/>
      <c r="L8" s="9"/>
      <c r="M8" s="9"/>
      <c r="N8" s="9"/>
      <c r="O8" s="9" t="str">
        <f>Valuation!F184&amp;": "&amp;TEXT(Valuation!G185,"0.0x")&amp;" - "&amp;TEXT(Valuation!I185,"0.0x")</f>
        <v>NTM EV/EBITDA Spread to Comps: 29.3x - 31.3x</v>
      </c>
      <c r="P8" s="9"/>
      <c r="Q8" s="9"/>
      <c r="R8" s="9"/>
      <c r="S8" s="9"/>
      <c r="T8" s="47">
        <f>Valuation!G187</f>
        <v>209.23348011234188</v>
      </c>
      <c r="U8" s="107">
        <f>V8-T8</f>
        <v>100.49024724596924</v>
      </c>
      <c r="V8" s="47">
        <f>Valuation!I189</f>
        <v>309.72372735831112</v>
      </c>
      <c r="W8" s="64"/>
      <c r="X8" s="9"/>
      <c r="Y8" s="9"/>
      <c r="Z8" s="9"/>
    </row>
    <row r="9" spans="1:26" ht="13.5" customHeight="1">
      <c r="A9" s="9"/>
      <c r="B9" s="9"/>
      <c r="C9" s="9"/>
      <c r="D9" s="9"/>
      <c r="E9" s="9"/>
      <c r="F9" s="9"/>
      <c r="G9" s="9"/>
      <c r="H9" s="9"/>
      <c r="I9" s="9"/>
      <c r="J9" s="9"/>
      <c r="K9" s="9"/>
      <c r="L9" s="9"/>
      <c r="M9" s="9"/>
      <c r="N9" s="9"/>
      <c r="O9" s="9" t="str">
        <f>Valuation!F176&amp;": "&amp;TEXT(Valuation!G177,"0.0x")&amp;" - "&amp;TEXT(Valuation!I177,"0.0x")</f>
        <v>NTM EV/EBITDA: 21.5x - 23.5x</v>
      </c>
      <c r="P9" s="9"/>
      <c r="Q9" s="9"/>
      <c r="R9" s="9"/>
      <c r="S9" s="9"/>
      <c r="T9" s="47">
        <f>Valuation!G179</f>
        <v>197.97413940238593</v>
      </c>
      <c r="U9" s="107">
        <f>V9-T9</f>
        <v>97.988171532645737</v>
      </c>
      <c r="V9" s="47">
        <f>Valuation!I181</f>
        <v>295.96231093503167</v>
      </c>
      <c r="W9" s="64"/>
      <c r="X9" s="9"/>
      <c r="Y9" s="9"/>
      <c r="Z9" s="9"/>
    </row>
    <row r="10" spans="1:26" ht="13.5" customHeight="1">
      <c r="A10" s="9"/>
      <c r="B10" s="9"/>
      <c r="C10" s="9"/>
      <c r="D10" s="9"/>
      <c r="E10" s="9"/>
      <c r="F10" s="9"/>
      <c r="G10" s="9"/>
      <c r="H10" s="9"/>
      <c r="I10" s="9"/>
      <c r="J10" s="9"/>
      <c r="K10" s="9"/>
      <c r="L10" s="9"/>
      <c r="M10" s="9"/>
      <c r="N10" s="9"/>
      <c r="O10" s="9" t="str">
        <f>Valuation!F168&amp;": "&amp;TEXT(Valuation!G169,"0.0x")&amp;" - "&amp;TEXT(Valuation!I169,"0.0x")</f>
        <v>NTM P/E Spread to Comps: 33.2x - 35.2x</v>
      </c>
      <c r="P10" s="9"/>
      <c r="Q10" s="9"/>
      <c r="R10" s="9"/>
      <c r="S10" s="9"/>
      <c r="T10" s="47">
        <f>Valuation!G171</f>
        <v>241.42389782472316</v>
      </c>
      <c r="U10" s="107">
        <f>V10-T10</f>
        <v>85.926567263803122</v>
      </c>
      <c r="V10" s="47">
        <f>Valuation!I173</f>
        <v>327.35046508852628</v>
      </c>
      <c r="W10" s="64"/>
      <c r="X10" s="9"/>
      <c r="Y10" s="9"/>
      <c r="Z10" s="9"/>
    </row>
    <row r="11" spans="1:26" ht="13.5" customHeight="1">
      <c r="A11" s="9"/>
      <c r="B11" s="9"/>
      <c r="C11" s="9"/>
      <c r="D11" s="9"/>
      <c r="E11" s="9"/>
      <c r="F11" s="9"/>
      <c r="G11" s="9"/>
      <c r="H11" s="9"/>
      <c r="I11" s="9"/>
      <c r="J11" s="9"/>
      <c r="K11" s="9"/>
      <c r="L11" s="9"/>
      <c r="M11" s="9"/>
      <c r="N11" s="9"/>
      <c r="O11" s="9" t="str">
        <f>Valuation!F160&amp;": "&amp;TEXT(Valuation!G161,"0.0x")&amp;" - "&amp;TEXT(Valuation!I161,"0.0x")</f>
        <v>NTM P/E: 26.9x - 28.9x</v>
      </c>
      <c r="P11" s="9"/>
      <c r="Q11" s="9"/>
      <c r="R11" s="9"/>
      <c r="S11" s="9"/>
      <c r="T11" s="47">
        <f>Valuation!G163</f>
        <v>234.48845213961636</v>
      </c>
      <c r="U11" s="107">
        <f>V11-T11</f>
        <v>84.385357111557198</v>
      </c>
      <c r="V11" s="47">
        <f>Valuation!I165</f>
        <v>318.87380925117355</v>
      </c>
      <c r="W11" s="64"/>
      <c r="X11" s="9"/>
      <c r="Y11" s="9"/>
      <c r="Z11" s="9"/>
    </row>
    <row r="12" spans="1:26" ht="13.5" customHeight="1">
      <c r="A12" s="9"/>
      <c r="B12" s="9"/>
      <c r="C12" s="9"/>
      <c r="D12" s="9"/>
      <c r="E12" s="9"/>
      <c r="F12" s="9"/>
      <c r="G12" s="9"/>
      <c r="H12" s="9"/>
      <c r="I12" s="9"/>
      <c r="J12" s="9"/>
      <c r="K12" s="9"/>
      <c r="L12" s="9"/>
      <c r="M12" s="9"/>
      <c r="N12" s="9"/>
      <c r="O12" s="9"/>
      <c r="P12" s="9"/>
      <c r="Q12" s="9"/>
      <c r="R12" s="9"/>
      <c r="S12" s="9"/>
      <c r="T12" s="47"/>
      <c r="U12" s="107"/>
      <c r="V12" s="47"/>
      <c r="W12" s="64"/>
      <c r="X12" s="9"/>
      <c r="Y12" s="9"/>
      <c r="Z12" s="9"/>
    </row>
    <row r="13" spans="1:26" ht="13.5" customHeight="1">
      <c r="A13" s="9"/>
      <c r="B13" s="9"/>
      <c r="C13" s="9"/>
      <c r="D13" s="9"/>
      <c r="E13" s="9"/>
      <c r="F13" s="9"/>
      <c r="G13" s="9"/>
      <c r="H13" s="9"/>
      <c r="I13" s="9"/>
      <c r="J13" s="9"/>
      <c r="K13" s="9"/>
      <c r="L13" s="9"/>
      <c r="M13" s="9"/>
      <c r="N13" s="9"/>
      <c r="O13" s="9" t="str">
        <f>Valuation!F260&amp;": "&amp;TEXT(Valuation!G261,"0.0x")&amp;" - "&amp;TEXT(Valuation!I261,"0.0x")</f>
        <v>2009-2018 Early Cycle EV/EBITDA Spread to Comps: 17.7x - 19.7x</v>
      </c>
      <c r="P13" s="9"/>
      <c r="Q13" s="9"/>
      <c r="R13" s="9"/>
      <c r="S13" s="9"/>
      <c r="T13" s="47">
        <f>Valuation!G263</f>
        <v>202.21364140726214</v>
      </c>
      <c r="U13" s="107">
        <f>V13-T13</f>
        <v>39.300331499266292</v>
      </c>
      <c r="V13" s="47">
        <f>Valuation!I263</f>
        <v>241.51397290652844</v>
      </c>
      <c r="W13" s="64"/>
      <c r="X13" s="9"/>
      <c r="Y13" s="9"/>
      <c r="Z13" s="9"/>
    </row>
    <row r="14" spans="1:26" ht="13.5" customHeight="1">
      <c r="A14" s="9"/>
      <c r="B14" s="9"/>
      <c r="C14" s="9"/>
      <c r="D14" s="9"/>
      <c r="E14" s="9"/>
      <c r="F14" s="9"/>
      <c r="G14" s="9"/>
      <c r="H14" s="9"/>
      <c r="I14" s="9"/>
      <c r="J14" s="9"/>
      <c r="K14" s="9"/>
      <c r="L14" s="9"/>
      <c r="M14" s="9"/>
      <c r="N14" s="9"/>
      <c r="O14" s="9" t="str">
        <f>Valuation!F252&amp;": "&amp;TEXT(Valuation!G253,"0.0x")&amp;" - "&amp;TEXT(Valuation!I253,"0.0x")</f>
        <v>2009-2018 Early Cycle EV/EBITDA: 10.8x - 12.8x</v>
      </c>
      <c r="P14" s="9"/>
      <c r="Q14" s="9"/>
      <c r="R14" s="9"/>
      <c r="S14" s="9"/>
      <c r="T14" s="47">
        <f>Valuation!G255</f>
        <v>99.10310229774737</v>
      </c>
      <c r="U14" s="107">
        <f>V14-T14</f>
        <v>39.300331499266349</v>
      </c>
      <c r="V14" s="47">
        <f>Valuation!I255</f>
        <v>138.40343379701372</v>
      </c>
      <c r="W14" s="64"/>
      <c r="X14" s="9"/>
      <c r="Y14" s="9"/>
      <c r="Z14" s="9"/>
    </row>
    <row r="15" spans="1:26" ht="13.5" customHeight="1">
      <c r="A15" s="9"/>
      <c r="B15" s="9"/>
      <c r="C15" s="9"/>
      <c r="D15" s="9"/>
      <c r="E15" s="9"/>
      <c r="F15" s="9"/>
      <c r="G15" s="9"/>
      <c r="H15" s="9"/>
      <c r="I15" s="9"/>
      <c r="J15" s="9"/>
      <c r="K15" s="9"/>
      <c r="L15" s="9"/>
      <c r="M15" s="9"/>
      <c r="N15" s="9"/>
      <c r="O15" s="9" t="str">
        <f>Valuation!F244&amp;": "&amp;TEXT(Valuation!G245,"0.0x")&amp;" - "&amp;TEXT(Valuation!I245,"0.0x")</f>
        <v>2009-2018 Early Cycle P/E Spread to Comps: 42.9x - 44.9x</v>
      </c>
      <c r="P15" s="9"/>
      <c r="Q15" s="9"/>
      <c r="R15" s="9"/>
      <c r="S15" s="9"/>
      <c r="T15" s="47">
        <f>Valuation!G247</f>
        <v>267.04260782546874</v>
      </c>
      <c r="U15" s="107">
        <f>V15-T15</f>
        <v>26.408300884071082</v>
      </c>
      <c r="V15" s="47">
        <f>Valuation!I247</f>
        <v>293.45090870953982</v>
      </c>
      <c r="W15" s="64"/>
      <c r="X15" s="9"/>
      <c r="Y15" s="9"/>
      <c r="Z15" s="9"/>
    </row>
    <row r="16" spans="1:26" ht="13.5" customHeight="1">
      <c r="A16" s="9"/>
      <c r="B16" s="9"/>
      <c r="C16" s="9"/>
      <c r="D16" s="9"/>
      <c r="E16" s="9"/>
      <c r="F16" s="9"/>
      <c r="G16" s="9"/>
      <c r="H16" s="9"/>
      <c r="I16" s="9"/>
      <c r="J16" s="9"/>
      <c r="K16" s="9"/>
      <c r="L16" s="9"/>
      <c r="M16" s="9"/>
      <c r="N16" s="9"/>
      <c r="O16" s="9" t="str">
        <f>Valuation!F236&amp;": "&amp;TEXT(Valuation!G237,"0.0x")&amp;" - "&amp;TEXT(Valuation!I237,"0.0x")</f>
        <v>2009-2018 Early Cycle P/E: 19.7x - 21.7x</v>
      </c>
      <c r="P16" s="9"/>
      <c r="Q16" s="9"/>
      <c r="R16" s="9"/>
      <c r="S16" s="9"/>
      <c r="T16" s="47">
        <f>Valuation!G239</f>
        <v>205.30918954876387</v>
      </c>
      <c r="U16" s="107">
        <f>V16-T16</f>
        <v>26.40830088407111</v>
      </c>
      <c r="V16" s="47">
        <f>Valuation!I239</f>
        <v>231.71749043283498</v>
      </c>
      <c r="W16" s="64"/>
      <c r="X16" s="9"/>
      <c r="Y16" s="9"/>
      <c r="Z16" s="9"/>
    </row>
    <row r="17" spans="1:26" ht="13.5" customHeight="1">
      <c r="A17" s="9"/>
      <c r="B17" s="9"/>
      <c r="C17" s="9"/>
      <c r="D17" s="9"/>
      <c r="E17" s="9"/>
      <c r="F17" s="9"/>
      <c r="G17" s="9"/>
      <c r="H17" s="9"/>
      <c r="I17" s="9"/>
      <c r="J17" s="9"/>
      <c r="K17" s="9"/>
      <c r="L17" s="9"/>
      <c r="M17" s="9"/>
      <c r="N17" s="9"/>
      <c r="O17" s="9"/>
      <c r="P17" s="9"/>
      <c r="Q17" s="9"/>
      <c r="R17" s="9"/>
      <c r="S17" s="9"/>
      <c r="T17" s="107"/>
      <c r="U17" s="107"/>
      <c r="V17" s="107"/>
      <c r="W17" s="64"/>
      <c r="X17" s="9"/>
      <c r="Y17" s="9"/>
      <c r="Z17" s="9"/>
    </row>
    <row r="18" spans="1:26" ht="13.5" customHeight="1">
      <c r="A18" s="9"/>
      <c r="B18" s="9"/>
      <c r="C18" s="9"/>
      <c r="D18" s="9"/>
      <c r="E18" s="9"/>
      <c r="F18" s="9"/>
      <c r="G18" s="9"/>
      <c r="H18" s="9"/>
      <c r="I18" s="9"/>
      <c r="J18" s="9"/>
      <c r="K18" s="9"/>
      <c r="L18" s="9"/>
      <c r="M18" s="9"/>
      <c r="N18" s="9"/>
      <c r="O18" s="9" t="s">
        <v>156</v>
      </c>
      <c r="P18" s="9"/>
      <c r="Q18" s="9"/>
      <c r="R18" s="9"/>
      <c r="S18" s="9"/>
      <c r="T18" s="154">
        <f>Share_Price_Low</f>
        <v>124.1</v>
      </c>
      <c r="U18" s="155">
        <f>V18-T18</f>
        <v>79.62</v>
      </c>
      <c r="V18" s="156">
        <f>Share_Price_High</f>
        <v>203.72</v>
      </c>
      <c r="W18" s="64"/>
      <c r="X18" s="9"/>
      <c r="Y18" s="9"/>
      <c r="Z18" s="9"/>
    </row>
    <row r="19" spans="1:26" ht="13.5" customHeight="1">
      <c r="A19" s="9"/>
      <c r="B19" s="9"/>
      <c r="C19" s="9"/>
      <c r="D19" s="9"/>
      <c r="E19" s="9"/>
      <c r="F19" s="9"/>
      <c r="G19" s="9"/>
      <c r="H19" s="9"/>
      <c r="I19" s="9"/>
      <c r="J19" s="9"/>
      <c r="K19" s="9"/>
      <c r="L19" s="9"/>
      <c r="M19" s="9"/>
      <c r="N19" s="9"/>
      <c r="O19" s="936" t="s">
        <v>157</v>
      </c>
      <c r="P19" s="937"/>
      <c r="Q19" s="937"/>
      <c r="R19" s="937"/>
      <c r="S19" s="937"/>
      <c r="T19" s="938">
        <f>MEDIAN(T5:T18)</f>
        <v>205.30918954876387</v>
      </c>
      <c r="U19" s="938">
        <f>MEDIAN(U5:U18)</f>
        <v>39.300331499266349</v>
      </c>
      <c r="V19" s="939">
        <f>MEDIAN(V5:V18)</f>
        <v>278.04665922575344</v>
      </c>
      <c r="W19" s="64"/>
      <c r="X19" s="9"/>
      <c r="Y19" s="9"/>
      <c r="Z19" s="9"/>
    </row>
    <row r="20" spans="1:26" ht="13.5" customHeight="1">
      <c r="A20" s="150" t="s">
        <v>0</v>
      </c>
      <c r="B20" s="9"/>
      <c r="C20" s="9"/>
      <c r="D20" s="9"/>
      <c r="E20" s="9"/>
      <c r="F20" s="9"/>
      <c r="G20" s="9"/>
      <c r="H20" s="9"/>
      <c r="I20" s="9"/>
      <c r="J20" s="9"/>
      <c r="K20" s="9"/>
      <c r="L20" s="9"/>
      <c r="M20" s="9"/>
      <c r="N20" s="9"/>
      <c r="O20" s="902" t="s">
        <v>158</v>
      </c>
      <c r="P20" s="9"/>
      <c r="Q20" s="9"/>
      <c r="R20" s="9"/>
      <c r="S20" s="9"/>
      <c r="T20" s="85">
        <f>T19/Share_Price-1</f>
        <v>0.73608311811909233</v>
      </c>
      <c r="U20" s="85"/>
      <c r="V20" s="85">
        <f>V19/Share_Price-1</f>
        <v>1.3511471268878186</v>
      </c>
      <c r="W20" s="64"/>
      <c r="X20" s="9"/>
      <c r="Y20" s="9"/>
      <c r="Z20" s="9"/>
    </row>
    <row r="21" spans="1:26" ht="13.5" customHeight="1" thickBot="1">
      <c r="A21" s="9"/>
      <c r="B21" s="9"/>
      <c r="C21" s="9"/>
      <c r="D21" s="9"/>
      <c r="E21" s="9"/>
      <c r="F21" s="9"/>
      <c r="G21" s="9"/>
      <c r="H21" s="9"/>
      <c r="I21" s="9"/>
      <c r="J21" s="9"/>
      <c r="K21" s="9"/>
      <c r="L21" s="9"/>
      <c r="M21" s="9"/>
      <c r="N21" s="9"/>
      <c r="O21" s="9"/>
      <c r="P21" s="9"/>
      <c r="Q21" s="9"/>
      <c r="R21" s="9"/>
      <c r="S21" s="9"/>
      <c r="T21" s="9"/>
      <c r="U21" s="9"/>
      <c r="V21" s="9"/>
      <c r="W21" s="64"/>
      <c r="X21" s="9"/>
      <c r="Y21" s="9"/>
      <c r="Z21" s="9"/>
    </row>
    <row r="22" spans="1:26" ht="13.5" customHeight="1" thickBot="1">
      <c r="A22" s="9"/>
      <c r="B22" s="9"/>
      <c r="C22" s="9"/>
      <c r="D22" s="9"/>
      <c r="E22" s="9"/>
      <c r="F22" s="9"/>
      <c r="G22" s="9"/>
      <c r="H22" s="9"/>
      <c r="I22" s="9"/>
      <c r="J22" s="9"/>
      <c r="K22" s="9"/>
      <c r="L22" s="9"/>
      <c r="M22" s="9"/>
      <c r="N22" s="9"/>
      <c r="O22" s="9"/>
      <c r="P22" s="9"/>
      <c r="Q22" s="9"/>
      <c r="R22" s="9"/>
      <c r="S22" s="9"/>
      <c r="T22" s="940" t="s">
        <v>159</v>
      </c>
      <c r="U22" s="941"/>
      <c r="V22" s="942"/>
      <c r="W22" s="64"/>
      <c r="X22" s="9"/>
      <c r="Y22" s="9"/>
      <c r="Z22" s="9"/>
    </row>
    <row r="23" spans="1:26" ht="13.5" customHeight="1">
      <c r="A23" s="9"/>
      <c r="B23" s="9"/>
      <c r="C23" s="9"/>
      <c r="D23" s="9"/>
      <c r="E23" s="9"/>
      <c r="F23" s="9"/>
      <c r="G23" s="9"/>
      <c r="H23" s="9"/>
      <c r="I23" s="9"/>
      <c r="J23" s="9"/>
      <c r="K23" s="9"/>
      <c r="L23" s="9"/>
      <c r="M23" s="9"/>
      <c r="N23" s="9"/>
      <c r="O23" s="9"/>
      <c r="P23" s="9"/>
      <c r="Q23" s="9"/>
      <c r="R23" s="9"/>
      <c r="S23" s="9"/>
      <c r="T23" s="9"/>
      <c r="U23" s="9"/>
      <c r="V23" s="9"/>
      <c r="W23" s="64"/>
      <c r="X23" s="9"/>
      <c r="Y23" s="9"/>
      <c r="Z23" s="9"/>
    </row>
    <row r="24" spans="1:26" ht="13.5" customHeight="1">
      <c r="A24" s="9"/>
      <c r="B24" s="9"/>
      <c r="C24" s="9"/>
      <c r="D24" s="9"/>
      <c r="E24" s="9"/>
      <c r="F24" s="9"/>
      <c r="G24" s="9"/>
      <c r="H24" s="9"/>
      <c r="I24" s="9"/>
      <c r="J24" s="9"/>
      <c r="K24" s="9"/>
      <c r="L24" s="9"/>
      <c r="M24" s="9"/>
      <c r="N24" s="9"/>
      <c r="O24" s="9"/>
      <c r="P24" s="9"/>
      <c r="Q24" s="9"/>
      <c r="R24" s="9"/>
      <c r="S24" s="9"/>
      <c r="T24" s="64"/>
      <c r="U24" s="908" t="s">
        <v>160</v>
      </c>
      <c r="V24" s="9"/>
      <c r="W24" s="64"/>
      <c r="X24" s="9"/>
      <c r="Y24" s="9"/>
      <c r="Z24" s="9"/>
    </row>
    <row r="25" spans="1:26" ht="13.5" customHeight="1">
      <c r="A25" s="150" t="s">
        <v>0</v>
      </c>
      <c r="B25" s="9"/>
      <c r="C25" s="9"/>
      <c r="D25" s="9"/>
      <c r="E25" s="9"/>
      <c r="F25" s="9"/>
      <c r="G25" s="9"/>
      <c r="H25" s="9"/>
      <c r="I25" s="9"/>
      <c r="J25" s="9"/>
      <c r="K25" s="9"/>
      <c r="L25" s="9"/>
      <c r="M25" s="9"/>
      <c r="N25" s="9"/>
      <c r="O25" s="9"/>
      <c r="P25" s="9"/>
      <c r="Q25" s="9"/>
      <c r="R25" s="9"/>
      <c r="S25" s="9"/>
      <c r="T25" s="886" t="s">
        <v>161</v>
      </c>
      <c r="U25" s="152">
        <f>MAX(V5:V18)*1.1</f>
        <v>360.08551159737891</v>
      </c>
      <c r="V25" s="9"/>
      <c r="W25" s="151" t="s">
        <v>0</v>
      </c>
      <c r="X25" s="9"/>
      <c r="Y25" s="9"/>
      <c r="Z25" s="9"/>
    </row>
    <row r="26" spans="1:26" ht="13.5" customHeight="1">
      <c r="A26" s="150"/>
      <c r="B26" s="9"/>
      <c r="C26" s="9"/>
      <c r="D26" s="9"/>
      <c r="E26" s="9"/>
      <c r="F26" s="9"/>
      <c r="G26" s="9"/>
      <c r="H26" s="9"/>
      <c r="I26" s="9"/>
      <c r="J26" s="9"/>
      <c r="K26" s="9"/>
      <c r="L26" s="9"/>
      <c r="M26" s="9"/>
      <c r="N26" s="9"/>
      <c r="O26" s="9"/>
      <c r="P26" s="9"/>
      <c r="Q26" s="9"/>
      <c r="R26" s="9"/>
      <c r="S26" s="9"/>
      <c r="T26" s="886" t="s">
        <v>162</v>
      </c>
      <c r="U26" s="152">
        <f>MIN(T5:T18)*0.9</f>
        <v>89.192792067972633</v>
      </c>
      <c r="V26" s="9"/>
      <c r="W26" s="64"/>
      <c r="X26" s="9"/>
      <c r="Y26" s="9"/>
      <c r="Z26" s="9"/>
    </row>
    <row r="27" spans="1:26" ht="13.5" customHeight="1">
      <c r="A27" s="9"/>
      <c r="B27" s="9"/>
      <c r="C27" s="9"/>
      <c r="D27" s="9"/>
      <c r="E27" s="9"/>
      <c r="F27" s="9"/>
      <c r="G27" s="9"/>
      <c r="H27" s="9"/>
      <c r="I27" s="9"/>
      <c r="J27" s="9"/>
      <c r="K27" s="9"/>
      <c r="L27" s="9"/>
      <c r="M27" s="9"/>
      <c r="N27" s="9"/>
      <c r="O27" s="9"/>
      <c r="P27" s="9"/>
      <c r="Q27" s="9"/>
      <c r="R27" s="9"/>
      <c r="S27" s="9"/>
      <c r="T27" s="9"/>
      <c r="U27" s="9"/>
      <c r="V27" s="9"/>
      <c r="W27" s="64"/>
      <c r="X27" s="9"/>
      <c r="Y27" s="9"/>
      <c r="Z27" s="9"/>
    </row>
    <row r="28" spans="1:26" ht="13.5" customHeight="1">
      <c r="A28" s="9"/>
      <c r="B28" s="9"/>
      <c r="C28" s="9"/>
      <c r="D28" s="9"/>
      <c r="E28" s="9"/>
      <c r="F28" s="9"/>
      <c r="G28" s="9"/>
      <c r="H28" s="9"/>
      <c r="I28" s="9"/>
      <c r="J28" s="9"/>
      <c r="K28" s="9"/>
      <c r="L28" s="9"/>
      <c r="M28" s="9"/>
      <c r="N28" s="9"/>
      <c r="O28" s="9"/>
      <c r="P28" s="9"/>
      <c r="Q28" s="9"/>
      <c r="R28" s="9"/>
      <c r="S28" s="9"/>
      <c r="T28" s="9"/>
      <c r="U28" s="9"/>
      <c r="V28" s="9"/>
      <c r="W28" s="64"/>
      <c r="X28" s="9"/>
      <c r="Y28" s="9"/>
      <c r="Z28" s="9"/>
    </row>
    <row r="29" spans="1:26" ht="13.5" customHeight="1">
      <c r="A29" s="9"/>
      <c r="B29" s="9"/>
      <c r="C29" s="9"/>
      <c r="D29" s="9"/>
      <c r="E29" s="9"/>
      <c r="F29" s="9"/>
      <c r="G29" s="9"/>
      <c r="H29" s="9"/>
      <c r="I29" s="9"/>
      <c r="J29" s="9"/>
      <c r="K29" s="9"/>
      <c r="L29" s="9"/>
      <c r="M29" s="9"/>
      <c r="N29" s="9"/>
      <c r="O29" s="9"/>
      <c r="P29" s="9"/>
      <c r="Q29" s="9"/>
      <c r="R29" s="9"/>
      <c r="S29" s="9"/>
      <c r="T29" s="9"/>
      <c r="U29" s="9"/>
      <c r="V29" s="9"/>
      <c r="W29" s="64"/>
      <c r="X29" s="9"/>
      <c r="Y29" s="9"/>
      <c r="Z29" s="9"/>
    </row>
    <row r="30" spans="1:26" ht="13.5" customHeight="1">
      <c r="A30" s="150" t="s">
        <v>0</v>
      </c>
      <c r="B30" s="9"/>
      <c r="C30" s="9"/>
      <c r="D30" s="9"/>
      <c r="E30" s="9"/>
      <c r="F30" s="9"/>
      <c r="G30" s="9"/>
      <c r="H30" s="9"/>
      <c r="I30" s="9"/>
      <c r="J30" s="9"/>
      <c r="K30" s="9"/>
      <c r="L30" s="9"/>
      <c r="M30" s="9"/>
      <c r="N30" s="9"/>
      <c r="O30" s="9"/>
      <c r="P30" s="9"/>
      <c r="Q30" s="9"/>
      <c r="R30" s="9"/>
      <c r="S30" s="9"/>
      <c r="T30" s="9"/>
      <c r="U30" s="9"/>
      <c r="V30" s="9"/>
      <c r="W30" s="64"/>
      <c r="X30" s="9"/>
      <c r="Y30" s="9"/>
      <c r="Z30" s="9"/>
    </row>
    <row r="31" spans="1:26" ht="13.5" customHeight="1">
      <c r="A31" s="9"/>
      <c r="B31" s="9"/>
      <c r="C31" s="9"/>
      <c r="D31" s="9"/>
      <c r="E31" s="9"/>
      <c r="F31" s="9"/>
      <c r="G31" s="9"/>
      <c r="H31" s="9"/>
      <c r="I31" s="9"/>
      <c r="J31" s="9"/>
      <c r="K31" s="9"/>
      <c r="L31" s="9"/>
      <c r="M31" s="9"/>
      <c r="N31" s="9"/>
      <c r="O31" s="9"/>
      <c r="P31" s="9"/>
      <c r="Q31" s="9"/>
      <c r="R31" s="9"/>
      <c r="S31" s="9"/>
      <c r="T31" s="9"/>
      <c r="U31" s="9"/>
      <c r="V31" s="9"/>
      <c r="W31" s="64"/>
      <c r="X31" s="9"/>
      <c r="Y31" s="9"/>
      <c r="Z31" s="9"/>
    </row>
    <row r="32" spans="1:26" ht="13.5" customHeight="1">
      <c r="A32" s="2"/>
      <c r="B32" s="2"/>
      <c r="C32" s="2"/>
      <c r="D32" s="2"/>
      <c r="E32" s="2"/>
      <c r="F32" s="2"/>
      <c r="G32" s="2"/>
      <c r="H32" s="2"/>
      <c r="I32" s="2"/>
      <c r="J32" s="2"/>
      <c r="K32" s="2"/>
      <c r="L32" s="2"/>
      <c r="M32" s="2"/>
      <c r="N32" s="2"/>
      <c r="O32" s="2"/>
      <c r="P32" s="2"/>
      <c r="Q32" s="2"/>
      <c r="R32" s="2"/>
      <c r="S32" s="2"/>
      <c r="T32" s="2"/>
      <c r="U32" s="2"/>
      <c r="V32" s="2"/>
      <c r="W32" s="158"/>
      <c r="X32" s="2"/>
      <c r="Y32" s="2"/>
      <c r="Z32" s="2"/>
    </row>
    <row r="33" spans="1:26" ht="13.5" customHeight="1">
      <c r="A33" s="2"/>
      <c r="B33" s="2"/>
      <c r="C33" s="2"/>
      <c r="D33" s="2"/>
      <c r="E33" s="2"/>
      <c r="F33" s="2"/>
      <c r="G33" s="2"/>
      <c r="H33" s="2"/>
      <c r="I33" s="2"/>
      <c r="J33" s="2"/>
      <c r="K33" s="2"/>
      <c r="L33" s="2"/>
      <c r="M33" s="2"/>
      <c r="N33" s="2"/>
      <c r="O33" s="2"/>
      <c r="P33" s="2"/>
      <c r="Q33" s="2"/>
      <c r="R33" s="2"/>
      <c r="S33" s="2"/>
      <c r="T33" s="2"/>
      <c r="U33" s="2"/>
      <c r="V33" s="2"/>
      <c r="W33" s="158"/>
      <c r="X33" s="2"/>
      <c r="Y33" s="2"/>
      <c r="Z33" s="2"/>
    </row>
    <row r="34" spans="1:26" ht="13.5" customHeight="1">
      <c r="A34" s="2"/>
      <c r="B34" s="2"/>
      <c r="C34" s="2"/>
      <c r="D34" s="2"/>
      <c r="E34" s="2"/>
      <c r="F34" s="2"/>
      <c r="G34" s="2"/>
      <c r="H34" s="2"/>
      <c r="I34" s="2"/>
      <c r="J34" s="2"/>
      <c r="K34" s="2"/>
      <c r="L34" s="2"/>
      <c r="M34" s="2"/>
      <c r="N34" s="2"/>
      <c r="O34" s="2"/>
      <c r="P34" s="2"/>
      <c r="Q34" s="2"/>
      <c r="R34" s="2"/>
      <c r="S34" s="2"/>
      <c r="T34" s="2"/>
      <c r="U34" s="2"/>
      <c r="V34" s="2"/>
      <c r="W34" s="158"/>
      <c r="X34" s="2"/>
      <c r="Y34" s="2"/>
      <c r="Z34" s="2"/>
    </row>
    <row r="35" spans="1:26" ht="13.5" customHeight="1">
      <c r="A35" s="2"/>
      <c r="B35" s="2"/>
      <c r="C35" s="2"/>
      <c r="D35" s="2"/>
      <c r="E35" s="2"/>
      <c r="F35" s="2"/>
      <c r="G35" s="2"/>
      <c r="H35" s="2"/>
      <c r="I35" s="2"/>
      <c r="J35" s="2"/>
      <c r="K35" s="2"/>
      <c r="L35" s="2"/>
      <c r="M35" s="2"/>
      <c r="N35" s="2"/>
      <c r="O35" s="2"/>
      <c r="P35" s="2"/>
      <c r="Q35" s="2"/>
      <c r="R35" s="2"/>
      <c r="S35" s="2"/>
      <c r="T35" s="2"/>
      <c r="U35" s="2"/>
      <c r="V35" s="2"/>
      <c r="W35" s="158"/>
      <c r="X35" s="2"/>
      <c r="Y35" s="2"/>
      <c r="Z35" s="2"/>
    </row>
    <row r="36" spans="1:26" ht="13.5" customHeight="1">
      <c r="A36" s="2"/>
      <c r="B36" s="2"/>
      <c r="C36" s="2"/>
      <c r="D36" s="2"/>
      <c r="E36" s="2"/>
      <c r="F36" s="2"/>
      <c r="G36" s="2"/>
      <c r="H36" s="2"/>
      <c r="I36" s="2"/>
      <c r="J36" s="2"/>
      <c r="K36" s="2"/>
      <c r="L36" s="2"/>
      <c r="M36" s="2"/>
      <c r="N36" s="2"/>
      <c r="O36" s="2"/>
      <c r="P36" s="2"/>
      <c r="Q36" s="2"/>
      <c r="R36" s="2"/>
      <c r="S36" s="2"/>
      <c r="T36" s="2"/>
      <c r="U36" s="2"/>
      <c r="V36" s="2"/>
      <c r="W36" s="158"/>
      <c r="X36" s="2"/>
      <c r="Y36" s="2"/>
      <c r="Z36" s="2"/>
    </row>
    <row r="37" spans="1:26" ht="13.5" customHeight="1">
      <c r="A37" s="2"/>
      <c r="B37" s="2"/>
      <c r="C37" s="2"/>
      <c r="D37" s="2"/>
      <c r="E37" s="2"/>
      <c r="F37" s="2"/>
      <c r="G37" s="2"/>
      <c r="H37" s="2"/>
      <c r="I37" s="2"/>
      <c r="J37" s="2"/>
      <c r="K37" s="2"/>
      <c r="L37" s="2"/>
      <c r="M37" s="2"/>
      <c r="N37" s="2"/>
      <c r="O37" s="2"/>
      <c r="P37" s="2"/>
      <c r="Q37" s="2"/>
      <c r="R37" s="2"/>
      <c r="S37" s="2"/>
      <c r="T37" s="2"/>
      <c r="U37" s="2"/>
      <c r="V37" s="2"/>
      <c r="W37" s="158"/>
      <c r="X37" s="2"/>
      <c r="Y37" s="2"/>
      <c r="Z37" s="2"/>
    </row>
    <row r="38" spans="1:26" ht="13.5" customHeight="1">
      <c r="A38" s="2"/>
      <c r="B38" s="2"/>
      <c r="C38" s="2"/>
      <c r="D38" s="2"/>
      <c r="E38" s="2"/>
      <c r="F38" s="2"/>
      <c r="G38" s="2"/>
      <c r="H38" s="2"/>
      <c r="I38" s="2"/>
      <c r="J38" s="2"/>
      <c r="K38" s="2"/>
      <c r="L38" s="2"/>
      <c r="M38" s="2"/>
      <c r="N38" s="2"/>
      <c r="O38" s="2"/>
      <c r="P38" s="2"/>
      <c r="Q38" s="2"/>
      <c r="R38" s="2"/>
      <c r="S38" s="2"/>
      <c r="T38" s="2"/>
      <c r="U38" s="2"/>
      <c r="V38" s="2"/>
      <c r="W38" s="158"/>
      <c r="X38" s="2"/>
      <c r="Y38" s="2"/>
      <c r="Z38" s="2"/>
    </row>
    <row r="39" spans="1:26" ht="13.5" customHeight="1">
      <c r="A39" s="2"/>
      <c r="B39" s="2"/>
      <c r="C39" s="2"/>
      <c r="D39" s="2"/>
      <c r="E39" s="2"/>
      <c r="F39" s="2"/>
      <c r="G39" s="2"/>
      <c r="H39" s="2"/>
      <c r="I39" s="2"/>
      <c r="J39" s="2"/>
      <c r="K39" s="2"/>
      <c r="L39" s="2"/>
      <c r="M39" s="2"/>
      <c r="N39" s="2"/>
      <c r="O39" s="2"/>
      <c r="P39" s="2"/>
      <c r="Q39" s="2"/>
      <c r="R39" s="2"/>
      <c r="S39" s="2"/>
      <c r="T39" s="2"/>
      <c r="U39" s="2"/>
      <c r="V39" s="2"/>
      <c r="W39" s="158"/>
      <c r="X39" s="2"/>
      <c r="Y39" s="2"/>
      <c r="Z39" s="2"/>
    </row>
    <row r="40" spans="1:26" ht="13.5" customHeight="1">
      <c r="A40" s="2"/>
      <c r="B40" s="2"/>
      <c r="C40" s="2"/>
      <c r="D40" s="2"/>
      <c r="E40" s="2"/>
      <c r="F40" s="2"/>
      <c r="G40" s="2"/>
      <c r="H40" s="2"/>
      <c r="I40" s="2"/>
      <c r="J40" s="2"/>
      <c r="K40" s="2"/>
      <c r="L40" s="2"/>
      <c r="M40" s="2"/>
      <c r="N40" s="2"/>
      <c r="O40" s="2"/>
      <c r="P40" s="2"/>
      <c r="Q40" s="2"/>
      <c r="R40" s="2"/>
      <c r="S40" s="2"/>
      <c r="T40" s="2"/>
      <c r="U40" s="2"/>
      <c r="V40" s="2"/>
      <c r="W40" s="158"/>
      <c r="X40" s="2"/>
      <c r="Y40" s="2"/>
      <c r="Z40" s="2"/>
    </row>
    <row r="41" spans="1:26" ht="13.5" customHeight="1">
      <c r="A41" s="2"/>
      <c r="B41" s="2"/>
      <c r="C41" s="2"/>
      <c r="D41" s="2"/>
      <c r="E41" s="2"/>
      <c r="F41" s="2"/>
      <c r="G41" s="2"/>
      <c r="H41" s="2"/>
      <c r="I41" s="2"/>
      <c r="J41" s="2"/>
      <c r="K41" s="2"/>
      <c r="L41" s="2"/>
      <c r="M41" s="2"/>
      <c r="N41" s="2"/>
      <c r="O41" s="2"/>
      <c r="P41" s="2"/>
      <c r="Q41" s="2"/>
      <c r="R41" s="2"/>
      <c r="S41" s="2"/>
      <c r="T41" s="2"/>
      <c r="U41" s="2"/>
      <c r="V41" s="2"/>
      <c r="W41" s="158"/>
      <c r="X41" s="2"/>
      <c r="Y41" s="2"/>
      <c r="Z41" s="2"/>
    </row>
    <row r="42" spans="1:26" ht="13.5" customHeight="1">
      <c r="A42" s="2"/>
      <c r="B42" s="2"/>
      <c r="C42" s="2"/>
      <c r="D42" s="2"/>
      <c r="E42" s="2"/>
      <c r="F42" s="2"/>
      <c r="G42" s="2"/>
      <c r="H42" s="2"/>
      <c r="I42" s="2"/>
      <c r="J42" s="2"/>
      <c r="K42" s="2"/>
      <c r="L42" s="2"/>
      <c r="M42" s="2"/>
      <c r="N42" s="2"/>
      <c r="O42" s="2"/>
      <c r="P42" s="2"/>
      <c r="Q42" s="2"/>
      <c r="R42" s="2"/>
      <c r="S42" s="2"/>
      <c r="T42" s="2"/>
      <c r="U42" s="2"/>
      <c r="V42" s="2"/>
      <c r="W42" s="158"/>
      <c r="X42" s="2"/>
      <c r="Y42" s="2"/>
      <c r="Z42" s="2"/>
    </row>
    <row r="43" spans="1:26" ht="13.5" customHeight="1">
      <c r="A43" s="2"/>
      <c r="B43" s="2"/>
      <c r="C43" s="2"/>
      <c r="D43" s="2"/>
      <c r="E43" s="2"/>
      <c r="F43" s="2"/>
      <c r="G43" s="2"/>
      <c r="H43" s="2"/>
      <c r="I43" s="2"/>
      <c r="J43" s="2"/>
      <c r="K43" s="2"/>
      <c r="L43" s="2"/>
      <c r="M43" s="2"/>
      <c r="N43" s="2"/>
      <c r="O43" s="2"/>
      <c r="P43" s="2"/>
      <c r="Q43" s="2"/>
      <c r="R43" s="2"/>
      <c r="S43" s="2"/>
      <c r="T43" s="2"/>
      <c r="U43" s="2"/>
      <c r="V43" s="2"/>
      <c r="W43" s="158"/>
      <c r="X43" s="2"/>
      <c r="Y43" s="2"/>
      <c r="Z43" s="2"/>
    </row>
    <row r="44" spans="1:26" ht="13.5" customHeight="1">
      <c r="A44" s="2"/>
      <c r="B44" s="2"/>
      <c r="C44" s="2"/>
      <c r="D44" s="2"/>
      <c r="E44" s="2"/>
      <c r="F44" s="2"/>
      <c r="G44" s="2"/>
      <c r="H44" s="2"/>
      <c r="I44" s="2"/>
      <c r="J44" s="2"/>
      <c r="K44" s="2"/>
      <c r="L44" s="2"/>
      <c r="M44" s="2"/>
      <c r="N44" s="2"/>
      <c r="O44" s="2"/>
      <c r="P44" s="2"/>
      <c r="Q44" s="2"/>
      <c r="R44" s="2"/>
      <c r="S44" s="2"/>
      <c r="T44" s="2"/>
      <c r="U44" s="2"/>
      <c r="V44" s="2"/>
      <c r="W44" s="158"/>
      <c r="X44" s="2"/>
      <c r="Y44" s="2"/>
      <c r="Z44" s="2"/>
    </row>
    <row r="45" spans="1:26" ht="13.5" customHeight="1">
      <c r="A45" s="2"/>
      <c r="B45" s="2"/>
      <c r="C45" s="2"/>
      <c r="D45" s="2"/>
      <c r="E45" s="2"/>
      <c r="F45" s="2"/>
      <c r="G45" s="2"/>
      <c r="H45" s="2"/>
      <c r="I45" s="2"/>
      <c r="J45" s="2"/>
      <c r="K45" s="2"/>
      <c r="L45" s="2"/>
      <c r="M45" s="2"/>
      <c r="N45" s="2"/>
      <c r="O45" s="2"/>
      <c r="P45" s="2"/>
      <c r="Q45" s="2"/>
      <c r="R45" s="2"/>
      <c r="S45" s="2"/>
      <c r="T45" s="2"/>
      <c r="U45" s="2"/>
      <c r="V45" s="2"/>
      <c r="W45" s="158"/>
      <c r="X45" s="2"/>
      <c r="Y45" s="2"/>
      <c r="Z45" s="2"/>
    </row>
    <row r="46" spans="1:26" ht="13.5" customHeight="1">
      <c r="A46" s="2"/>
      <c r="B46" s="2"/>
      <c r="C46" s="2"/>
      <c r="D46" s="2"/>
      <c r="E46" s="2"/>
      <c r="F46" s="2"/>
      <c r="G46" s="2"/>
      <c r="H46" s="2"/>
      <c r="I46" s="2"/>
      <c r="J46" s="2"/>
      <c r="K46" s="2"/>
      <c r="L46" s="2"/>
      <c r="M46" s="2"/>
      <c r="N46" s="2"/>
      <c r="O46" s="2"/>
      <c r="P46" s="2"/>
      <c r="Q46" s="2"/>
      <c r="R46" s="2"/>
      <c r="S46" s="2"/>
      <c r="T46" s="2"/>
      <c r="U46" s="2"/>
      <c r="V46" s="2"/>
      <c r="W46" s="158"/>
      <c r="X46" s="2"/>
      <c r="Y46" s="2"/>
      <c r="Z46" s="2"/>
    </row>
    <row r="47" spans="1:26" ht="13.5" customHeight="1">
      <c r="A47" s="2"/>
      <c r="B47" s="2"/>
      <c r="C47" s="2"/>
      <c r="D47" s="2"/>
      <c r="E47" s="2"/>
      <c r="F47" s="2"/>
      <c r="G47" s="2"/>
      <c r="H47" s="2"/>
      <c r="I47" s="2"/>
      <c r="J47" s="2"/>
      <c r="K47" s="2"/>
      <c r="L47" s="2"/>
      <c r="M47" s="2"/>
      <c r="N47" s="2"/>
      <c r="O47" s="2"/>
      <c r="P47" s="2"/>
      <c r="Q47" s="2"/>
      <c r="R47" s="2"/>
      <c r="S47" s="2"/>
      <c r="T47" s="2"/>
      <c r="U47" s="2"/>
      <c r="V47" s="2"/>
      <c r="W47" s="158"/>
      <c r="X47" s="2"/>
      <c r="Y47" s="2"/>
      <c r="Z47" s="2"/>
    </row>
    <row r="48" spans="1:26" ht="13.5" customHeight="1">
      <c r="A48" s="2"/>
      <c r="B48" s="2"/>
      <c r="C48" s="2"/>
      <c r="D48" s="2"/>
      <c r="E48" s="2"/>
      <c r="F48" s="2"/>
      <c r="G48" s="2"/>
      <c r="H48" s="2"/>
      <c r="I48" s="2"/>
      <c r="J48" s="2"/>
      <c r="K48" s="2"/>
      <c r="L48" s="2"/>
      <c r="M48" s="2"/>
      <c r="N48" s="2"/>
      <c r="O48" s="2"/>
      <c r="P48" s="2"/>
      <c r="Q48" s="2"/>
      <c r="R48" s="2"/>
      <c r="S48" s="2"/>
      <c r="T48" s="2"/>
      <c r="U48" s="2"/>
      <c r="V48" s="2"/>
      <c r="W48" s="158"/>
      <c r="X48" s="2"/>
      <c r="Y48" s="2"/>
      <c r="Z48" s="2"/>
    </row>
    <row r="49" spans="1:26" ht="13.5" customHeight="1">
      <c r="A49" s="2"/>
      <c r="B49" s="2"/>
      <c r="C49" s="2"/>
      <c r="D49" s="2"/>
      <c r="E49" s="2"/>
      <c r="F49" s="2"/>
      <c r="G49" s="2"/>
      <c r="H49" s="2"/>
      <c r="I49" s="2"/>
      <c r="J49" s="2"/>
      <c r="K49" s="2"/>
      <c r="L49" s="2"/>
      <c r="M49" s="2"/>
      <c r="N49" s="2"/>
      <c r="O49" s="2"/>
      <c r="P49" s="2"/>
      <c r="Q49" s="2"/>
      <c r="R49" s="2"/>
      <c r="S49" s="2"/>
      <c r="T49" s="2"/>
      <c r="U49" s="2"/>
      <c r="V49" s="2"/>
      <c r="W49" s="158"/>
      <c r="X49" s="2"/>
      <c r="Y49" s="2"/>
      <c r="Z49" s="2"/>
    </row>
    <row r="50" spans="1:26" ht="13.5" customHeight="1">
      <c r="A50" s="2"/>
      <c r="B50" s="2"/>
      <c r="C50" s="2"/>
      <c r="D50" s="2"/>
      <c r="E50" s="2"/>
      <c r="F50" s="2"/>
      <c r="G50" s="2"/>
      <c r="H50" s="2"/>
      <c r="I50" s="2"/>
      <c r="J50" s="2"/>
      <c r="K50" s="2"/>
      <c r="L50" s="2"/>
      <c r="M50" s="2"/>
      <c r="N50" s="2"/>
      <c r="O50" s="2"/>
      <c r="P50" s="2"/>
      <c r="Q50" s="2"/>
      <c r="R50" s="2"/>
      <c r="S50" s="2"/>
      <c r="T50" s="2"/>
      <c r="U50" s="2"/>
      <c r="V50" s="2"/>
      <c r="W50" s="158"/>
      <c r="X50" s="2"/>
      <c r="Y50" s="2"/>
      <c r="Z50" s="2"/>
    </row>
    <row r="51" spans="1:26" ht="13.5" customHeight="1">
      <c r="A51" s="2"/>
      <c r="B51" s="2"/>
      <c r="C51" s="2"/>
      <c r="D51" s="2"/>
      <c r="E51" s="2"/>
      <c r="F51" s="2"/>
      <c r="G51" s="2"/>
      <c r="H51" s="2"/>
      <c r="I51" s="2"/>
      <c r="J51" s="2"/>
      <c r="K51" s="2"/>
      <c r="L51" s="2"/>
      <c r="M51" s="2"/>
      <c r="N51" s="2"/>
      <c r="O51" s="2"/>
      <c r="P51" s="2"/>
      <c r="Q51" s="2"/>
      <c r="R51" s="2"/>
      <c r="S51" s="2"/>
      <c r="T51" s="2"/>
      <c r="U51" s="2"/>
      <c r="V51" s="2"/>
      <c r="W51" s="158"/>
      <c r="X51" s="2"/>
      <c r="Y51" s="2"/>
      <c r="Z51" s="2"/>
    </row>
    <row r="52" spans="1:26" ht="13.5" customHeight="1">
      <c r="A52" s="2"/>
      <c r="B52" s="2"/>
      <c r="C52" s="2"/>
      <c r="D52" s="2"/>
      <c r="E52" s="2"/>
      <c r="F52" s="2"/>
      <c r="G52" s="2"/>
      <c r="H52" s="2"/>
      <c r="I52" s="2"/>
      <c r="J52" s="2"/>
      <c r="K52" s="2"/>
      <c r="L52" s="2"/>
      <c r="M52" s="2"/>
      <c r="N52" s="2"/>
      <c r="O52" s="2"/>
      <c r="P52" s="2"/>
      <c r="Q52" s="2"/>
      <c r="R52" s="2"/>
      <c r="S52" s="2"/>
      <c r="T52" s="2"/>
      <c r="U52" s="2"/>
      <c r="V52" s="2"/>
      <c r="W52" s="158"/>
      <c r="X52" s="2"/>
      <c r="Y52" s="2"/>
      <c r="Z52" s="2"/>
    </row>
    <row r="53" spans="1:26" ht="13.5" customHeight="1">
      <c r="A53" s="2"/>
      <c r="B53" s="2"/>
      <c r="C53" s="2"/>
      <c r="D53" s="2"/>
      <c r="E53" s="2"/>
      <c r="F53" s="2"/>
      <c r="G53" s="2"/>
      <c r="H53" s="2"/>
      <c r="I53" s="2"/>
      <c r="J53" s="2"/>
      <c r="K53" s="2"/>
      <c r="L53" s="2"/>
      <c r="M53" s="2"/>
      <c r="N53" s="2"/>
      <c r="O53" s="2"/>
      <c r="P53" s="2"/>
      <c r="Q53" s="2"/>
      <c r="R53" s="2"/>
      <c r="S53" s="2"/>
      <c r="T53" s="2"/>
      <c r="U53" s="2"/>
      <c r="V53" s="2"/>
      <c r="W53" s="158"/>
      <c r="X53" s="2"/>
      <c r="Y53" s="2"/>
      <c r="Z53" s="2"/>
    </row>
    <row r="54" spans="1:26" ht="13.5" customHeight="1">
      <c r="A54" s="2"/>
      <c r="B54" s="2"/>
      <c r="C54" s="2"/>
      <c r="D54" s="2"/>
      <c r="E54" s="2"/>
      <c r="F54" s="2"/>
      <c r="G54" s="2"/>
      <c r="H54" s="2"/>
      <c r="I54" s="2"/>
      <c r="J54" s="2"/>
      <c r="K54" s="2"/>
      <c r="L54" s="2"/>
      <c r="M54" s="2"/>
      <c r="N54" s="2"/>
      <c r="O54" s="2"/>
      <c r="P54" s="2"/>
      <c r="Q54" s="2"/>
      <c r="R54" s="2"/>
      <c r="S54" s="2"/>
      <c r="T54" s="2"/>
      <c r="U54" s="2"/>
      <c r="V54" s="2"/>
      <c r="W54" s="158"/>
      <c r="X54" s="2"/>
      <c r="Y54" s="2"/>
      <c r="Z54" s="2"/>
    </row>
    <row r="55" spans="1:26" ht="13.5" customHeight="1">
      <c r="A55" s="2"/>
      <c r="B55" s="2"/>
      <c r="C55" s="2"/>
      <c r="D55" s="2"/>
      <c r="E55" s="2"/>
      <c r="F55" s="2"/>
      <c r="G55" s="2"/>
      <c r="H55" s="2"/>
      <c r="I55" s="2"/>
      <c r="J55" s="2"/>
      <c r="K55" s="2"/>
      <c r="L55" s="2"/>
      <c r="M55" s="2"/>
      <c r="N55" s="2"/>
      <c r="O55" s="2"/>
      <c r="P55" s="2"/>
      <c r="Q55" s="2"/>
      <c r="R55" s="2"/>
      <c r="S55" s="2"/>
      <c r="T55" s="2"/>
      <c r="U55" s="2"/>
      <c r="V55" s="2"/>
      <c r="W55" s="158"/>
      <c r="X55" s="2"/>
      <c r="Y55" s="2"/>
      <c r="Z55" s="2"/>
    </row>
    <row r="56" spans="1:26" ht="13.5" customHeight="1">
      <c r="A56" s="2"/>
      <c r="B56" s="2"/>
      <c r="C56" s="2"/>
      <c r="D56" s="2"/>
      <c r="E56" s="2"/>
      <c r="F56" s="2"/>
      <c r="G56" s="2"/>
      <c r="H56" s="2"/>
      <c r="I56" s="2"/>
      <c r="J56" s="2"/>
      <c r="K56" s="2"/>
      <c r="L56" s="2"/>
      <c r="M56" s="2"/>
      <c r="N56" s="2"/>
      <c r="O56" s="2"/>
      <c r="P56" s="2"/>
      <c r="Q56" s="2"/>
      <c r="R56" s="2"/>
      <c r="S56" s="2"/>
      <c r="T56" s="2"/>
      <c r="U56" s="2"/>
      <c r="V56" s="2"/>
      <c r="W56" s="158"/>
      <c r="X56" s="2"/>
      <c r="Y56" s="2"/>
      <c r="Z56" s="2"/>
    </row>
    <row r="57" spans="1:26" ht="13.5" customHeight="1">
      <c r="A57" s="2"/>
      <c r="B57" s="2"/>
      <c r="C57" s="2"/>
      <c r="D57" s="2"/>
      <c r="E57" s="2"/>
      <c r="F57" s="2"/>
      <c r="G57" s="2"/>
      <c r="H57" s="2"/>
      <c r="I57" s="2"/>
      <c r="J57" s="2"/>
      <c r="K57" s="2"/>
      <c r="L57" s="2"/>
      <c r="M57" s="2"/>
      <c r="N57" s="2"/>
      <c r="O57" s="2"/>
      <c r="P57" s="2"/>
      <c r="Q57" s="2"/>
      <c r="R57" s="2"/>
      <c r="S57" s="2"/>
      <c r="T57" s="2"/>
      <c r="U57" s="2"/>
      <c r="V57" s="2"/>
      <c r="W57" s="158"/>
      <c r="X57" s="2"/>
      <c r="Y57" s="2"/>
      <c r="Z57" s="2"/>
    </row>
    <row r="58" spans="1:26" ht="13.5" customHeight="1">
      <c r="A58" s="2"/>
      <c r="B58" s="2"/>
      <c r="C58" s="2"/>
      <c r="D58" s="2"/>
      <c r="E58" s="2"/>
      <c r="F58" s="2"/>
      <c r="G58" s="2"/>
      <c r="H58" s="2"/>
      <c r="I58" s="2"/>
      <c r="J58" s="2"/>
      <c r="K58" s="2"/>
      <c r="L58" s="2"/>
      <c r="M58" s="2"/>
      <c r="N58" s="2"/>
      <c r="O58" s="2"/>
      <c r="P58" s="2"/>
      <c r="Q58" s="2"/>
      <c r="R58" s="2"/>
      <c r="S58" s="2"/>
      <c r="T58" s="2"/>
      <c r="U58" s="2"/>
      <c r="V58" s="2"/>
      <c r="W58" s="158"/>
      <c r="X58" s="2"/>
      <c r="Y58" s="2"/>
      <c r="Z58" s="2"/>
    </row>
    <row r="59" spans="1:26" ht="13.5" customHeight="1">
      <c r="A59" s="2"/>
      <c r="B59" s="2"/>
      <c r="C59" s="2"/>
      <c r="D59" s="2"/>
      <c r="E59" s="2"/>
      <c r="F59" s="2"/>
      <c r="G59" s="2"/>
      <c r="H59" s="2"/>
      <c r="I59" s="2"/>
      <c r="J59" s="2"/>
      <c r="K59" s="2"/>
      <c r="L59" s="2"/>
      <c r="M59" s="2"/>
      <c r="N59" s="2"/>
      <c r="O59" s="2"/>
      <c r="P59" s="2"/>
      <c r="Q59" s="2"/>
      <c r="R59" s="2"/>
      <c r="S59" s="2"/>
      <c r="T59" s="2"/>
      <c r="U59" s="2"/>
      <c r="V59" s="2"/>
      <c r="W59" s="158"/>
      <c r="X59" s="2"/>
      <c r="Y59" s="2"/>
      <c r="Z59" s="2"/>
    </row>
    <row r="60" spans="1:26" ht="13.5" customHeight="1">
      <c r="A60" s="2"/>
      <c r="B60" s="2"/>
      <c r="C60" s="2"/>
      <c r="D60" s="2"/>
      <c r="E60" s="2"/>
      <c r="F60" s="2"/>
      <c r="G60" s="2"/>
      <c r="H60" s="2"/>
      <c r="I60" s="2"/>
      <c r="J60" s="2"/>
      <c r="K60" s="2"/>
      <c r="L60" s="2"/>
      <c r="M60" s="2"/>
      <c r="N60" s="2"/>
      <c r="O60" s="2"/>
      <c r="P60" s="2"/>
      <c r="Q60" s="2"/>
      <c r="R60" s="2"/>
      <c r="S60" s="2"/>
      <c r="T60" s="2"/>
      <c r="U60" s="2"/>
      <c r="V60" s="2"/>
      <c r="W60" s="158"/>
      <c r="X60" s="2"/>
      <c r="Y60" s="2"/>
      <c r="Z60" s="2"/>
    </row>
    <row r="61" spans="1:26" ht="13.5" customHeight="1">
      <c r="A61" s="2"/>
      <c r="B61" s="2"/>
      <c r="C61" s="2"/>
      <c r="D61" s="2"/>
      <c r="E61" s="2"/>
      <c r="F61" s="2"/>
      <c r="G61" s="2"/>
      <c r="H61" s="2"/>
      <c r="I61" s="2"/>
      <c r="J61" s="2"/>
      <c r="K61" s="2"/>
      <c r="L61" s="2"/>
      <c r="M61" s="2"/>
      <c r="N61" s="2"/>
      <c r="O61" s="2"/>
      <c r="P61" s="2"/>
      <c r="Q61" s="2"/>
      <c r="R61" s="2"/>
      <c r="S61" s="2"/>
      <c r="T61" s="2"/>
      <c r="U61" s="2"/>
      <c r="V61" s="2"/>
      <c r="W61" s="158"/>
      <c r="X61" s="2"/>
      <c r="Y61" s="2"/>
      <c r="Z61" s="2"/>
    </row>
    <row r="62" spans="1:26" ht="13.5" customHeight="1">
      <c r="A62" s="2"/>
      <c r="B62" s="2"/>
      <c r="C62" s="2"/>
      <c r="D62" s="2"/>
      <c r="E62" s="2"/>
      <c r="F62" s="2"/>
      <c r="G62" s="2"/>
      <c r="H62" s="2"/>
      <c r="I62" s="2"/>
      <c r="J62" s="2"/>
      <c r="K62" s="2"/>
      <c r="L62" s="2"/>
      <c r="M62" s="2"/>
      <c r="N62" s="2"/>
      <c r="O62" s="2"/>
      <c r="P62" s="2"/>
      <c r="Q62" s="2"/>
      <c r="R62" s="2"/>
      <c r="S62" s="2"/>
      <c r="T62" s="2"/>
      <c r="U62" s="2"/>
      <c r="V62" s="2"/>
      <c r="W62" s="158"/>
      <c r="X62" s="2"/>
      <c r="Y62" s="2"/>
      <c r="Z62" s="2"/>
    </row>
    <row r="63" spans="1:26" ht="13.5" customHeight="1">
      <c r="A63" s="2"/>
      <c r="B63" s="2"/>
      <c r="C63" s="2"/>
      <c r="D63" s="2"/>
      <c r="E63" s="2"/>
      <c r="F63" s="2"/>
      <c r="G63" s="2"/>
      <c r="H63" s="2"/>
      <c r="I63" s="2"/>
      <c r="J63" s="2"/>
      <c r="K63" s="2"/>
      <c r="L63" s="2"/>
      <c r="M63" s="2"/>
      <c r="N63" s="2"/>
      <c r="O63" s="2"/>
      <c r="P63" s="2"/>
      <c r="Q63" s="2"/>
      <c r="R63" s="2"/>
      <c r="S63" s="2"/>
      <c r="T63" s="2"/>
      <c r="U63" s="2"/>
      <c r="V63" s="2"/>
      <c r="W63" s="158"/>
      <c r="X63" s="2"/>
      <c r="Y63" s="2"/>
      <c r="Z63" s="2"/>
    </row>
    <row r="64" spans="1:26" ht="13.5" customHeight="1">
      <c r="A64" s="2"/>
      <c r="B64" s="2"/>
      <c r="C64" s="2"/>
      <c r="D64" s="2"/>
      <c r="E64" s="2"/>
      <c r="F64" s="2"/>
      <c r="G64" s="2"/>
      <c r="H64" s="2"/>
      <c r="I64" s="2"/>
      <c r="J64" s="2"/>
      <c r="K64" s="2"/>
      <c r="L64" s="2"/>
      <c r="M64" s="2"/>
      <c r="N64" s="2"/>
      <c r="O64" s="2"/>
      <c r="P64" s="2"/>
      <c r="Q64" s="2"/>
      <c r="R64" s="2"/>
      <c r="S64" s="2"/>
      <c r="T64" s="2"/>
      <c r="U64" s="2"/>
      <c r="V64" s="2"/>
      <c r="W64" s="158"/>
      <c r="X64" s="2"/>
      <c r="Y64" s="2"/>
      <c r="Z64" s="2"/>
    </row>
    <row r="65" spans="1:26" ht="13.5" customHeight="1">
      <c r="A65" s="2"/>
      <c r="B65" s="2"/>
      <c r="C65" s="2"/>
      <c r="D65" s="2"/>
      <c r="E65" s="2"/>
      <c r="F65" s="2"/>
      <c r="G65" s="2"/>
      <c r="H65" s="2"/>
      <c r="I65" s="2"/>
      <c r="J65" s="2"/>
      <c r="K65" s="2"/>
      <c r="L65" s="2"/>
      <c r="M65" s="2"/>
      <c r="N65" s="2"/>
      <c r="O65" s="2"/>
      <c r="P65" s="2"/>
      <c r="Q65" s="2"/>
      <c r="R65" s="2"/>
      <c r="S65" s="2"/>
      <c r="T65" s="2"/>
      <c r="U65" s="2"/>
      <c r="V65" s="2"/>
      <c r="W65" s="158"/>
      <c r="X65" s="2"/>
      <c r="Y65" s="2"/>
      <c r="Z65" s="2"/>
    </row>
    <row r="66" spans="1:26" ht="13.5" customHeight="1">
      <c r="A66" s="2"/>
      <c r="B66" s="2"/>
      <c r="C66" s="2"/>
      <c r="D66" s="2"/>
      <c r="E66" s="2"/>
      <c r="F66" s="2"/>
      <c r="G66" s="2"/>
      <c r="H66" s="2"/>
      <c r="I66" s="2"/>
      <c r="J66" s="2"/>
      <c r="K66" s="2"/>
      <c r="L66" s="2"/>
      <c r="M66" s="2"/>
      <c r="N66" s="2"/>
      <c r="O66" s="2"/>
      <c r="P66" s="2"/>
      <c r="Q66" s="2"/>
      <c r="R66" s="2"/>
      <c r="S66" s="2"/>
      <c r="T66" s="2"/>
      <c r="U66" s="2"/>
      <c r="V66" s="2"/>
      <c r="W66" s="158"/>
      <c r="X66" s="2"/>
      <c r="Y66" s="2"/>
      <c r="Z66" s="2"/>
    </row>
    <row r="67" spans="1:26" ht="13.5" customHeight="1">
      <c r="A67" s="2"/>
      <c r="B67" s="2"/>
      <c r="C67" s="2"/>
      <c r="D67" s="2"/>
      <c r="E67" s="2"/>
      <c r="F67" s="2"/>
      <c r="G67" s="2"/>
      <c r="H67" s="2"/>
      <c r="I67" s="2"/>
      <c r="J67" s="2"/>
      <c r="K67" s="2"/>
      <c r="L67" s="2"/>
      <c r="M67" s="2"/>
      <c r="N67" s="2"/>
      <c r="O67" s="2"/>
      <c r="P67" s="2"/>
      <c r="Q67" s="2"/>
      <c r="R67" s="2"/>
      <c r="S67" s="2"/>
      <c r="T67" s="2"/>
      <c r="U67" s="2"/>
      <c r="V67" s="2"/>
      <c r="W67" s="158"/>
      <c r="X67" s="2"/>
      <c r="Y67" s="2"/>
      <c r="Z67" s="2"/>
    </row>
    <row r="68" spans="1:26" ht="13.5" customHeight="1">
      <c r="A68" s="2"/>
      <c r="B68" s="2"/>
      <c r="C68" s="2"/>
      <c r="D68" s="2"/>
      <c r="E68" s="2"/>
      <c r="F68" s="2"/>
      <c r="G68" s="2"/>
      <c r="H68" s="2"/>
      <c r="I68" s="2"/>
      <c r="J68" s="2"/>
      <c r="K68" s="2"/>
      <c r="L68" s="2"/>
      <c r="M68" s="2"/>
      <c r="N68" s="2"/>
      <c r="O68" s="2"/>
      <c r="P68" s="2"/>
      <c r="Q68" s="2"/>
      <c r="R68" s="2"/>
      <c r="S68" s="2"/>
      <c r="T68" s="2"/>
      <c r="U68" s="2"/>
      <c r="V68" s="2"/>
      <c r="W68" s="158"/>
      <c r="X68" s="2"/>
      <c r="Y68" s="2"/>
      <c r="Z68" s="2"/>
    </row>
    <row r="69" spans="1:26" ht="13.5" customHeight="1">
      <c r="A69" s="2"/>
      <c r="B69" s="2"/>
      <c r="C69" s="2"/>
      <c r="D69" s="2"/>
      <c r="E69" s="2"/>
      <c r="F69" s="2"/>
      <c r="G69" s="2"/>
      <c r="H69" s="2"/>
      <c r="I69" s="2"/>
      <c r="J69" s="2"/>
      <c r="K69" s="2"/>
      <c r="L69" s="2"/>
      <c r="M69" s="2"/>
      <c r="N69" s="2"/>
      <c r="O69" s="2"/>
      <c r="P69" s="2"/>
      <c r="Q69" s="2"/>
      <c r="R69" s="2"/>
      <c r="S69" s="2"/>
      <c r="T69" s="2"/>
      <c r="U69" s="2"/>
      <c r="V69" s="2"/>
      <c r="W69" s="158"/>
      <c r="X69" s="2"/>
      <c r="Y69" s="2"/>
      <c r="Z69" s="2"/>
    </row>
    <row r="70" spans="1:26" ht="13.5" customHeight="1">
      <c r="A70" s="2"/>
      <c r="B70" s="2"/>
      <c r="C70" s="2"/>
      <c r="D70" s="2"/>
      <c r="E70" s="2"/>
      <c r="F70" s="2"/>
      <c r="G70" s="2"/>
      <c r="H70" s="2"/>
      <c r="I70" s="2"/>
      <c r="J70" s="2"/>
      <c r="K70" s="2"/>
      <c r="L70" s="2"/>
      <c r="M70" s="2"/>
      <c r="N70" s="2"/>
      <c r="O70" s="2"/>
      <c r="P70" s="2"/>
      <c r="Q70" s="2"/>
      <c r="R70" s="2"/>
      <c r="S70" s="2"/>
      <c r="T70" s="2"/>
      <c r="U70" s="2"/>
      <c r="V70" s="2"/>
      <c r="W70" s="158"/>
      <c r="X70" s="2"/>
      <c r="Y70" s="2"/>
      <c r="Z70" s="2"/>
    </row>
    <row r="71" spans="1:26" ht="13.5" customHeight="1">
      <c r="A71" s="2"/>
      <c r="B71" s="2"/>
      <c r="C71" s="2"/>
      <c r="D71" s="2"/>
      <c r="E71" s="2"/>
      <c r="F71" s="2"/>
      <c r="G71" s="2"/>
      <c r="H71" s="2"/>
      <c r="I71" s="2"/>
      <c r="J71" s="2"/>
      <c r="K71" s="2"/>
      <c r="L71" s="2"/>
      <c r="M71" s="2"/>
      <c r="N71" s="2"/>
      <c r="O71" s="2"/>
      <c r="P71" s="2"/>
      <c r="Q71" s="2"/>
      <c r="R71" s="2"/>
      <c r="S71" s="2"/>
      <c r="T71" s="2"/>
      <c r="U71" s="2"/>
      <c r="V71" s="2"/>
      <c r="W71" s="158"/>
      <c r="X71" s="2"/>
      <c r="Y71" s="2"/>
      <c r="Z71" s="2"/>
    </row>
    <row r="72" spans="1:26" ht="13.5" customHeight="1">
      <c r="A72" s="2"/>
      <c r="B72" s="2"/>
      <c r="C72" s="2"/>
      <c r="D72" s="2"/>
      <c r="E72" s="2"/>
      <c r="F72" s="2"/>
      <c r="G72" s="2"/>
      <c r="H72" s="2"/>
      <c r="I72" s="2"/>
      <c r="J72" s="2"/>
      <c r="K72" s="2"/>
      <c r="L72" s="2"/>
      <c r="M72" s="2"/>
      <c r="N72" s="2"/>
      <c r="O72" s="2"/>
      <c r="P72" s="2"/>
      <c r="Q72" s="2"/>
      <c r="R72" s="2"/>
      <c r="S72" s="2"/>
      <c r="T72" s="2"/>
      <c r="U72" s="2"/>
      <c r="V72" s="2"/>
      <c r="W72" s="158"/>
      <c r="X72" s="2"/>
      <c r="Y72" s="2"/>
      <c r="Z72" s="2"/>
    </row>
    <row r="73" spans="1:26" ht="13.5" customHeight="1">
      <c r="A73" s="2"/>
      <c r="B73" s="2"/>
      <c r="C73" s="2"/>
      <c r="D73" s="2"/>
      <c r="E73" s="2"/>
      <c r="F73" s="2"/>
      <c r="G73" s="2"/>
      <c r="H73" s="2"/>
      <c r="I73" s="2"/>
      <c r="J73" s="2"/>
      <c r="K73" s="2"/>
      <c r="L73" s="2"/>
      <c r="M73" s="2"/>
      <c r="N73" s="2"/>
      <c r="O73" s="2"/>
      <c r="P73" s="2"/>
      <c r="Q73" s="2"/>
      <c r="R73" s="2"/>
      <c r="S73" s="2"/>
      <c r="T73" s="2"/>
      <c r="U73" s="2"/>
      <c r="V73" s="2"/>
      <c r="W73" s="158"/>
      <c r="X73" s="2"/>
      <c r="Y73" s="2"/>
      <c r="Z73" s="2"/>
    </row>
    <row r="74" spans="1:26" ht="13.5" customHeight="1">
      <c r="A74" s="2"/>
      <c r="B74" s="2"/>
      <c r="C74" s="2"/>
      <c r="D74" s="2"/>
      <c r="E74" s="2"/>
      <c r="F74" s="2"/>
      <c r="G74" s="2"/>
      <c r="H74" s="2"/>
      <c r="I74" s="2"/>
      <c r="J74" s="2"/>
      <c r="K74" s="2"/>
      <c r="L74" s="2"/>
      <c r="M74" s="2"/>
      <c r="N74" s="2"/>
      <c r="O74" s="2"/>
      <c r="P74" s="2"/>
      <c r="Q74" s="2"/>
      <c r="R74" s="2"/>
      <c r="S74" s="2"/>
      <c r="T74" s="2"/>
      <c r="U74" s="2"/>
      <c r="V74" s="2"/>
      <c r="W74" s="158"/>
      <c r="X74" s="2"/>
      <c r="Y74" s="2"/>
      <c r="Z74" s="2"/>
    </row>
    <row r="75" spans="1:26" ht="13.5" customHeight="1">
      <c r="A75" s="2"/>
      <c r="B75" s="2"/>
      <c r="C75" s="2"/>
      <c r="D75" s="2"/>
      <c r="E75" s="2"/>
      <c r="F75" s="2"/>
      <c r="G75" s="2"/>
      <c r="H75" s="2"/>
      <c r="I75" s="2"/>
      <c r="J75" s="2"/>
      <c r="K75" s="2"/>
      <c r="L75" s="2"/>
      <c r="M75" s="2"/>
      <c r="N75" s="2"/>
      <c r="O75" s="2"/>
      <c r="P75" s="2"/>
      <c r="Q75" s="2"/>
      <c r="R75" s="2"/>
      <c r="S75" s="2"/>
      <c r="T75" s="2"/>
      <c r="U75" s="2"/>
      <c r="V75" s="2"/>
      <c r="W75" s="158"/>
      <c r="X75" s="2"/>
      <c r="Y75" s="2"/>
      <c r="Z75" s="2"/>
    </row>
    <row r="76" spans="1:26" ht="13.5" customHeight="1">
      <c r="A76" s="2"/>
      <c r="B76" s="2"/>
      <c r="C76" s="2"/>
      <c r="D76" s="2"/>
      <c r="E76" s="2"/>
      <c r="F76" s="2"/>
      <c r="G76" s="2"/>
      <c r="H76" s="2"/>
      <c r="I76" s="2"/>
      <c r="J76" s="2"/>
      <c r="K76" s="2"/>
      <c r="L76" s="2"/>
      <c r="M76" s="2"/>
      <c r="N76" s="2"/>
      <c r="O76" s="2"/>
      <c r="P76" s="2"/>
      <c r="Q76" s="2"/>
      <c r="R76" s="2"/>
      <c r="S76" s="2"/>
      <c r="T76" s="2"/>
      <c r="U76" s="2"/>
      <c r="V76" s="2"/>
      <c r="W76" s="158"/>
      <c r="X76" s="2"/>
      <c r="Y76" s="2"/>
      <c r="Z76" s="2"/>
    </row>
    <row r="77" spans="1:26" ht="13.5" customHeight="1">
      <c r="A77" s="2"/>
      <c r="B77" s="2"/>
      <c r="C77" s="2"/>
      <c r="D77" s="2"/>
      <c r="E77" s="2"/>
      <c r="F77" s="2"/>
      <c r="G77" s="2"/>
      <c r="H77" s="2"/>
      <c r="I77" s="2"/>
      <c r="J77" s="2"/>
      <c r="K77" s="2"/>
      <c r="L77" s="2"/>
      <c r="M77" s="2"/>
      <c r="N77" s="2"/>
      <c r="O77" s="2"/>
      <c r="P77" s="2"/>
      <c r="Q77" s="2"/>
      <c r="R77" s="2"/>
      <c r="S77" s="2"/>
      <c r="T77" s="2"/>
      <c r="U77" s="2"/>
      <c r="V77" s="2"/>
      <c r="W77" s="158"/>
      <c r="X77" s="2"/>
      <c r="Y77" s="2"/>
      <c r="Z77" s="2"/>
    </row>
    <row r="78" spans="1:26" ht="13.5" customHeight="1">
      <c r="A78" s="2"/>
      <c r="B78" s="2"/>
      <c r="C78" s="2"/>
      <c r="D78" s="2"/>
      <c r="E78" s="2"/>
      <c r="F78" s="2"/>
      <c r="G78" s="2"/>
      <c r="H78" s="2"/>
      <c r="I78" s="2"/>
      <c r="J78" s="2"/>
      <c r="K78" s="2"/>
      <c r="L78" s="2"/>
      <c r="M78" s="2"/>
      <c r="N78" s="2"/>
      <c r="O78" s="2"/>
      <c r="P78" s="2"/>
      <c r="Q78" s="2"/>
      <c r="R78" s="2"/>
      <c r="S78" s="2"/>
      <c r="T78" s="2"/>
      <c r="U78" s="2"/>
      <c r="V78" s="2"/>
      <c r="W78" s="158"/>
      <c r="X78" s="2"/>
      <c r="Y78" s="2"/>
      <c r="Z78" s="2"/>
    </row>
    <row r="79" spans="1:26" ht="13.5" customHeight="1">
      <c r="A79" s="2"/>
      <c r="B79" s="2"/>
      <c r="C79" s="2"/>
      <c r="D79" s="2"/>
      <c r="E79" s="2"/>
      <c r="F79" s="2"/>
      <c r="G79" s="2"/>
      <c r="H79" s="2"/>
      <c r="I79" s="2"/>
      <c r="J79" s="2"/>
      <c r="K79" s="2"/>
      <c r="L79" s="2"/>
      <c r="M79" s="2"/>
      <c r="N79" s="2"/>
      <c r="O79" s="2"/>
      <c r="P79" s="2"/>
      <c r="Q79" s="2"/>
      <c r="R79" s="2"/>
      <c r="S79" s="2"/>
      <c r="T79" s="2"/>
      <c r="U79" s="2"/>
      <c r="V79" s="2"/>
      <c r="W79" s="158"/>
      <c r="X79" s="2"/>
      <c r="Y79" s="2"/>
      <c r="Z79" s="2"/>
    </row>
    <row r="80" spans="1:26" ht="13.5" customHeight="1">
      <c r="A80" s="2"/>
      <c r="B80" s="2"/>
      <c r="C80" s="2"/>
      <c r="D80" s="2"/>
      <c r="E80" s="2"/>
      <c r="F80" s="2"/>
      <c r="G80" s="2"/>
      <c r="H80" s="2"/>
      <c r="I80" s="2"/>
      <c r="J80" s="2"/>
      <c r="K80" s="2"/>
      <c r="L80" s="2"/>
      <c r="M80" s="2"/>
      <c r="N80" s="2"/>
      <c r="O80" s="2"/>
      <c r="P80" s="2"/>
      <c r="Q80" s="2"/>
      <c r="R80" s="2"/>
      <c r="S80" s="2"/>
      <c r="T80" s="2"/>
      <c r="U80" s="2"/>
      <c r="V80" s="2"/>
      <c r="W80" s="158"/>
      <c r="X80" s="2"/>
      <c r="Y80" s="2"/>
      <c r="Z80" s="2"/>
    </row>
    <row r="81" spans="1:26" ht="13.5" customHeight="1">
      <c r="A81" s="2"/>
      <c r="B81" s="2"/>
      <c r="C81" s="2"/>
      <c r="D81" s="2"/>
      <c r="E81" s="2"/>
      <c r="F81" s="2"/>
      <c r="G81" s="2"/>
      <c r="H81" s="2"/>
      <c r="I81" s="2"/>
      <c r="J81" s="2"/>
      <c r="K81" s="2"/>
      <c r="L81" s="2"/>
      <c r="M81" s="2"/>
      <c r="N81" s="2"/>
      <c r="O81" s="2"/>
      <c r="P81" s="2"/>
      <c r="Q81" s="2"/>
      <c r="R81" s="2"/>
      <c r="S81" s="2"/>
      <c r="T81" s="2"/>
      <c r="U81" s="2"/>
      <c r="V81" s="2"/>
      <c r="W81" s="158"/>
      <c r="X81" s="2"/>
      <c r="Y81" s="2"/>
      <c r="Z81" s="2"/>
    </row>
    <row r="82" spans="1:26" ht="13.5" customHeight="1">
      <c r="A82" s="2"/>
      <c r="B82" s="2"/>
      <c r="C82" s="2"/>
      <c r="D82" s="2"/>
      <c r="E82" s="2"/>
      <c r="F82" s="2"/>
      <c r="G82" s="2"/>
      <c r="H82" s="2"/>
      <c r="I82" s="2"/>
      <c r="J82" s="2"/>
      <c r="K82" s="2"/>
      <c r="L82" s="2"/>
      <c r="M82" s="2"/>
      <c r="N82" s="2"/>
      <c r="O82" s="2"/>
      <c r="P82" s="2"/>
      <c r="Q82" s="2"/>
      <c r="R82" s="2"/>
      <c r="S82" s="2"/>
      <c r="T82" s="2"/>
      <c r="U82" s="2"/>
      <c r="V82" s="2"/>
      <c r="W82" s="158"/>
      <c r="X82" s="2"/>
      <c r="Y82" s="2"/>
      <c r="Z82" s="2"/>
    </row>
    <row r="83" spans="1:26" ht="13.5" customHeight="1">
      <c r="A83" s="2"/>
      <c r="B83" s="2"/>
      <c r="C83" s="2"/>
      <c r="D83" s="2"/>
      <c r="E83" s="2"/>
      <c r="F83" s="2"/>
      <c r="G83" s="2"/>
      <c r="H83" s="2"/>
      <c r="I83" s="2"/>
      <c r="J83" s="2"/>
      <c r="K83" s="2"/>
      <c r="L83" s="2"/>
      <c r="M83" s="2"/>
      <c r="N83" s="2"/>
      <c r="O83" s="2"/>
      <c r="P83" s="2"/>
      <c r="Q83" s="2"/>
      <c r="R83" s="2"/>
      <c r="S83" s="2"/>
      <c r="T83" s="2"/>
      <c r="U83" s="2"/>
      <c r="V83" s="2"/>
      <c r="W83" s="158"/>
      <c r="X83" s="2"/>
      <c r="Y83" s="2"/>
      <c r="Z83" s="2"/>
    </row>
    <row r="84" spans="1:26" ht="13.5" customHeight="1">
      <c r="A84" s="2"/>
      <c r="B84" s="2"/>
      <c r="C84" s="2"/>
      <c r="D84" s="2"/>
      <c r="E84" s="2"/>
      <c r="F84" s="2"/>
      <c r="G84" s="2"/>
      <c r="H84" s="2"/>
      <c r="I84" s="2"/>
      <c r="J84" s="2"/>
      <c r="K84" s="2"/>
      <c r="L84" s="2"/>
      <c r="M84" s="2"/>
      <c r="N84" s="2"/>
      <c r="O84" s="2"/>
      <c r="P84" s="2"/>
      <c r="Q84" s="2"/>
      <c r="R84" s="2"/>
      <c r="S84" s="2"/>
      <c r="T84" s="2"/>
      <c r="U84" s="2"/>
      <c r="V84" s="2"/>
      <c r="W84" s="158"/>
      <c r="X84" s="2"/>
      <c r="Y84" s="2"/>
      <c r="Z84" s="2"/>
    </row>
    <row r="85" spans="1:26" ht="13.5" customHeight="1">
      <c r="A85" s="2"/>
      <c r="B85" s="2"/>
      <c r="C85" s="2"/>
      <c r="D85" s="2"/>
      <c r="E85" s="2"/>
      <c r="F85" s="2"/>
      <c r="G85" s="2"/>
      <c r="H85" s="2"/>
      <c r="I85" s="2"/>
      <c r="J85" s="2"/>
      <c r="K85" s="2"/>
      <c r="L85" s="2"/>
      <c r="M85" s="2"/>
      <c r="N85" s="2"/>
      <c r="O85" s="2"/>
      <c r="P85" s="2"/>
      <c r="Q85" s="2"/>
      <c r="R85" s="2"/>
      <c r="S85" s="2"/>
      <c r="T85" s="2"/>
      <c r="U85" s="2"/>
      <c r="V85" s="2"/>
      <c r="W85" s="158"/>
      <c r="X85" s="2"/>
      <c r="Y85" s="2"/>
      <c r="Z85" s="2"/>
    </row>
    <row r="86" spans="1:26" ht="13.5" customHeight="1">
      <c r="A86" s="2"/>
      <c r="B86" s="2"/>
      <c r="C86" s="2"/>
      <c r="D86" s="2"/>
      <c r="E86" s="2"/>
      <c r="F86" s="2"/>
      <c r="G86" s="2"/>
      <c r="H86" s="2"/>
      <c r="I86" s="2"/>
      <c r="J86" s="2"/>
      <c r="K86" s="2"/>
      <c r="L86" s="2"/>
      <c r="M86" s="2"/>
      <c r="N86" s="2"/>
      <c r="O86" s="2"/>
      <c r="P86" s="2"/>
      <c r="Q86" s="2"/>
      <c r="R86" s="2"/>
      <c r="S86" s="2"/>
      <c r="T86" s="2"/>
      <c r="U86" s="2"/>
      <c r="V86" s="2"/>
      <c r="W86" s="158"/>
      <c r="X86" s="2"/>
      <c r="Y86" s="2"/>
      <c r="Z86" s="2"/>
    </row>
    <row r="87" spans="1:26" ht="13.5" customHeight="1">
      <c r="A87" s="2"/>
      <c r="B87" s="2"/>
      <c r="C87" s="2"/>
      <c r="D87" s="2"/>
      <c r="E87" s="2"/>
      <c r="F87" s="2"/>
      <c r="G87" s="2"/>
      <c r="H87" s="2"/>
      <c r="I87" s="2"/>
      <c r="J87" s="2"/>
      <c r="K87" s="2"/>
      <c r="L87" s="2"/>
      <c r="M87" s="2"/>
      <c r="N87" s="2"/>
      <c r="O87" s="2"/>
      <c r="P87" s="2"/>
      <c r="Q87" s="2"/>
      <c r="R87" s="2"/>
      <c r="S87" s="2"/>
      <c r="T87" s="2"/>
      <c r="U87" s="2"/>
      <c r="V87" s="2"/>
      <c r="W87" s="158"/>
      <c r="X87" s="2"/>
      <c r="Y87" s="2"/>
      <c r="Z87" s="2"/>
    </row>
    <row r="88" spans="1:26" ht="13.5" customHeight="1">
      <c r="A88" s="2"/>
      <c r="B88" s="2"/>
      <c r="C88" s="2"/>
      <c r="D88" s="2"/>
      <c r="E88" s="2"/>
      <c r="F88" s="2"/>
      <c r="G88" s="2"/>
      <c r="H88" s="2"/>
      <c r="I88" s="2"/>
      <c r="J88" s="2"/>
      <c r="K88" s="2"/>
      <c r="L88" s="2"/>
      <c r="M88" s="2"/>
      <c r="N88" s="2"/>
      <c r="O88" s="2"/>
      <c r="P88" s="2"/>
      <c r="Q88" s="2"/>
      <c r="R88" s="2"/>
      <c r="S88" s="2"/>
      <c r="T88" s="2"/>
      <c r="U88" s="2"/>
      <c r="V88" s="2"/>
      <c r="W88" s="158"/>
      <c r="X88" s="2"/>
      <c r="Y88" s="2"/>
      <c r="Z88" s="2"/>
    </row>
    <row r="89" spans="1:26" ht="13.5" customHeight="1">
      <c r="A89" s="2"/>
      <c r="B89" s="2"/>
      <c r="C89" s="2"/>
      <c r="D89" s="2"/>
      <c r="E89" s="2"/>
      <c r="F89" s="2"/>
      <c r="G89" s="2"/>
      <c r="H89" s="2"/>
      <c r="I89" s="2"/>
      <c r="J89" s="2"/>
      <c r="K89" s="2"/>
      <c r="L89" s="2"/>
      <c r="M89" s="2"/>
      <c r="N89" s="2"/>
      <c r="O89" s="2"/>
      <c r="P89" s="2"/>
      <c r="Q89" s="2"/>
      <c r="R89" s="2"/>
      <c r="S89" s="2"/>
      <c r="T89" s="2"/>
      <c r="U89" s="2"/>
      <c r="V89" s="2"/>
      <c r="W89" s="158"/>
      <c r="X89" s="2"/>
      <c r="Y89" s="2"/>
      <c r="Z89" s="2"/>
    </row>
    <row r="90" spans="1:26" ht="13.5" customHeight="1">
      <c r="A90" s="2"/>
      <c r="B90" s="2"/>
      <c r="C90" s="2"/>
      <c r="D90" s="2"/>
      <c r="E90" s="2"/>
      <c r="F90" s="2"/>
      <c r="G90" s="2"/>
      <c r="H90" s="2"/>
      <c r="I90" s="2"/>
      <c r="J90" s="2"/>
      <c r="K90" s="2"/>
      <c r="L90" s="2"/>
      <c r="M90" s="2"/>
      <c r="N90" s="2"/>
      <c r="O90" s="2"/>
      <c r="P90" s="2"/>
      <c r="Q90" s="2"/>
      <c r="R90" s="2"/>
      <c r="S90" s="2"/>
      <c r="T90" s="2"/>
      <c r="U90" s="2"/>
      <c r="V90" s="2"/>
      <c r="W90" s="158"/>
      <c r="X90" s="2"/>
      <c r="Y90" s="2"/>
      <c r="Z90" s="2"/>
    </row>
    <row r="91" spans="1:26" ht="13.5" customHeight="1">
      <c r="A91" s="2"/>
      <c r="B91" s="2"/>
      <c r="C91" s="2"/>
      <c r="D91" s="2"/>
      <c r="E91" s="2"/>
      <c r="F91" s="2"/>
      <c r="G91" s="2"/>
      <c r="H91" s="2"/>
      <c r="I91" s="2"/>
      <c r="J91" s="2"/>
      <c r="K91" s="2"/>
      <c r="L91" s="2"/>
      <c r="M91" s="2"/>
      <c r="N91" s="2"/>
      <c r="O91" s="2"/>
      <c r="P91" s="2"/>
      <c r="Q91" s="2"/>
      <c r="R91" s="2"/>
      <c r="S91" s="2"/>
      <c r="T91" s="2"/>
      <c r="U91" s="2"/>
      <c r="V91" s="2"/>
      <c r="W91" s="158"/>
      <c r="X91" s="2"/>
      <c r="Y91" s="2"/>
      <c r="Z91" s="2"/>
    </row>
    <row r="92" spans="1:26" ht="13.5" customHeight="1">
      <c r="A92" s="2"/>
      <c r="B92" s="2"/>
      <c r="C92" s="2"/>
      <c r="D92" s="2"/>
      <c r="E92" s="2"/>
      <c r="F92" s="2"/>
      <c r="G92" s="2"/>
      <c r="H92" s="2"/>
      <c r="I92" s="2"/>
      <c r="J92" s="2"/>
      <c r="K92" s="2"/>
      <c r="L92" s="2"/>
      <c r="M92" s="2"/>
      <c r="N92" s="2"/>
      <c r="O92" s="2"/>
      <c r="P92" s="2"/>
      <c r="Q92" s="2"/>
      <c r="R92" s="2"/>
      <c r="S92" s="2"/>
      <c r="T92" s="2"/>
      <c r="U92" s="2"/>
      <c r="V92" s="2"/>
      <c r="W92" s="158"/>
      <c r="X92" s="2"/>
      <c r="Y92" s="2"/>
      <c r="Z92" s="2"/>
    </row>
    <row r="93" spans="1:26" ht="13.5" customHeight="1">
      <c r="A93" s="2"/>
      <c r="B93" s="2"/>
      <c r="C93" s="2"/>
      <c r="D93" s="2"/>
      <c r="E93" s="2"/>
      <c r="F93" s="2"/>
      <c r="G93" s="2"/>
      <c r="H93" s="2"/>
      <c r="I93" s="2"/>
      <c r="J93" s="2"/>
      <c r="K93" s="2"/>
      <c r="L93" s="2"/>
      <c r="M93" s="2"/>
      <c r="N93" s="2"/>
      <c r="O93" s="2"/>
      <c r="P93" s="2"/>
      <c r="Q93" s="2"/>
      <c r="R93" s="2"/>
      <c r="S93" s="2"/>
      <c r="T93" s="2"/>
      <c r="U93" s="2"/>
      <c r="V93" s="2"/>
      <c r="W93" s="158"/>
      <c r="X93" s="2"/>
      <c r="Y93" s="2"/>
      <c r="Z93" s="2"/>
    </row>
    <row r="94" spans="1:26" ht="13.5" customHeight="1">
      <c r="A94" s="2"/>
      <c r="B94" s="2"/>
      <c r="C94" s="2"/>
      <c r="D94" s="2"/>
      <c r="E94" s="2"/>
      <c r="F94" s="2"/>
      <c r="G94" s="2"/>
      <c r="H94" s="2"/>
      <c r="I94" s="2"/>
      <c r="J94" s="2"/>
      <c r="K94" s="2"/>
      <c r="L94" s="2"/>
      <c r="M94" s="2"/>
      <c r="N94" s="2"/>
      <c r="O94" s="2"/>
      <c r="P94" s="2"/>
      <c r="Q94" s="2"/>
      <c r="R94" s="2"/>
      <c r="S94" s="2"/>
      <c r="T94" s="2"/>
      <c r="U94" s="2"/>
      <c r="V94" s="2"/>
      <c r="W94" s="158"/>
      <c r="X94" s="2"/>
      <c r="Y94" s="2"/>
      <c r="Z94" s="2"/>
    </row>
    <row r="95" spans="1:26" ht="13.5" customHeight="1">
      <c r="A95" s="2"/>
      <c r="B95" s="2"/>
      <c r="C95" s="2"/>
      <c r="D95" s="2"/>
      <c r="E95" s="2"/>
      <c r="F95" s="2"/>
      <c r="G95" s="2"/>
      <c r="H95" s="2"/>
      <c r="I95" s="2"/>
      <c r="J95" s="2"/>
      <c r="K95" s="2"/>
      <c r="L95" s="2"/>
      <c r="M95" s="2"/>
      <c r="N95" s="2"/>
      <c r="O95" s="2"/>
      <c r="P95" s="2"/>
      <c r="Q95" s="2"/>
      <c r="R95" s="2"/>
      <c r="S95" s="2"/>
      <c r="T95" s="2"/>
      <c r="U95" s="2"/>
      <c r="V95" s="2"/>
      <c r="W95" s="158"/>
      <c r="X95" s="2"/>
      <c r="Y95" s="2"/>
      <c r="Z95" s="2"/>
    </row>
    <row r="96" spans="1:26" ht="13.5" customHeight="1">
      <c r="A96" s="2"/>
      <c r="B96" s="2"/>
      <c r="C96" s="2"/>
      <c r="D96" s="2"/>
      <c r="E96" s="2"/>
      <c r="F96" s="2"/>
      <c r="G96" s="2"/>
      <c r="H96" s="2"/>
      <c r="I96" s="2"/>
      <c r="J96" s="2"/>
      <c r="K96" s="2"/>
      <c r="L96" s="2"/>
      <c r="M96" s="2"/>
      <c r="N96" s="2"/>
      <c r="O96" s="2"/>
      <c r="P96" s="2"/>
      <c r="Q96" s="2"/>
      <c r="R96" s="2"/>
      <c r="S96" s="2"/>
      <c r="T96" s="2"/>
      <c r="U96" s="2"/>
      <c r="V96" s="2"/>
      <c r="W96" s="158"/>
      <c r="X96" s="2"/>
      <c r="Y96" s="2"/>
      <c r="Z96" s="2"/>
    </row>
    <row r="97" spans="1:26" ht="13.5" customHeight="1">
      <c r="A97" s="2"/>
      <c r="B97" s="2"/>
      <c r="C97" s="2"/>
      <c r="D97" s="2"/>
      <c r="E97" s="2"/>
      <c r="F97" s="2"/>
      <c r="G97" s="2"/>
      <c r="H97" s="2"/>
      <c r="I97" s="2"/>
      <c r="J97" s="2"/>
      <c r="K97" s="2"/>
      <c r="L97" s="2"/>
      <c r="M97" s="2"/>
      <c r="N97" s="2"/>
      <c r="O97" s="2"/>
      <c r="P97" s="2"/>
      <c r="Q97" s="2"/>
      <c r="R97" s="2"/>
      <c r="S97" s="2"/>
      <c r="T97" s="2"/>
      <c r="U97" s="2"/>
      <c r="V97" s="2"/>
      <c r="W97" s="158"/>
      <c r="X97" s="2"/>
      <c r="Y97" s="2"/>
      <c r="Z97" s="2"/>
    </row>
    <row r="98" spans="1:26" ht="13.5" customHeight="1">
      <c r="A98" s="2"/>
      <c r="B98" s="2"/>
      <c r="C98" s="2"/>
      <c r="D98" s="2"/>
      <c r="E98" s="2"/>
      <c r="F98" s="2"/>
      <c r="G98" s="2"/>
      <c r="H98" s="2"/>
      <c r="I98" s="2"/>
      <c r="J98" s="2"/>
      <c r="K98" s="2"/>
      <c r="L98" s="2"/>
      <c r="M98" s="2"/>
      <c r="N98" s="2"/>
      <c r="O98" s="2"/>
      <c r="P98" s="2"/>
      <c r="Q98" s="2"/>
      <c r="R98" s="2"/>
      <c r="S98" s="2"/>
      <c r="T98" s="2"/>
      <c r="U98" s="2"/>
      <c r="V98" s="2"/>
      <c r="W98" s="158"/>
      <c r="X98" s="2"/>
      <c r="Y98" s="2"/>
      <c r="Z98" s="2"/>
    </row>
    <row r="99" spans="1:26" ht="13.5" customHeight="1">
      <c r="A99" s="2"/>
      <c r="B99" s="2"/>
      <c r="C99" s="2"/>
      <c r="D99" s="2"/>
      <c r="E99" s="2"/>
      <c r="F99" s="2"/>
      <c r="G99" s="2"/>
      <c r="H99" s="2"/>
      <c r="I99" s="2"/>
      <c r="J99" s="2"/>
      <c r="K99" s="2"/>
      <c r="L99" s="2"/>
      <c r="M99" s="2"/>
      <c r="N99" s="2"/>
      <c r="O99" s="2"/>
      <c r="P99" s="2"/>
      <c r="Q99" s="2"/>
      <c r="R99" s="2"/>
      <c r="S99" s="2"/>
      <c r="T99" s="2"/>
      <c r="U99" s="2"/>
      <c r="V99" s="2"/>
      <c r="W99" s="158"/>
      <c r="X99" s="2"/>
      <c r="Y99" s="2"/>
      <c r="Z99" s="2"/>
    </row>
    <row r="100" spans="1:26" ht="13.5" customHeight="1">
      <c r="A100" s="2"/>
      <c r="B100" s="2"/>
      <c r="C100" s="2"/>
      <c r="D100" s="2"/>
      <c r="E100" s="2"/>
      <c r="F100" s="2"/>
      <c r="G100" s="2"/>
      <c r="H100" s="2"/>
      <c r="I100" s="2"/>
      <c r="J100" s="2"/>
      <c r="K100" s="2"/>
      <c r="L100" s="2"/>
      <c r="M100" s="2"/>
      <c r="N100" s="2"/>
      <c r="O100" s="2"/>
      <c r="P100" s="2"/>
      <c r="Q100" s="2"/>
      <c r="R100" s="2"/>
      <c r="S100" s="2"/>
      <c r="T100" s="2"/>
      <c r="U100" s="2"/>
      <c r="V100" s="2"/>
      <c r="W100" s="158"/>
      <c r="X100" s="2"/>
      <c r="Y100" s="2"/>
      <c r="Z100" s="2"/>
    </row>
    <row r="101" spans="1:26" ht="13.5" customHeight="1">
      <c r="A101" s="2"/>
      <c r="B101" s="2"/>
      <c r="C101" s="2"/>
      <c r="D101" s="2"/>
      <c r="E101" s="2"/>
      <c r="F101" s="2"/>
      <c r="G101" s="2"/>
      <c r="H101" s="2"/>
      <c r="I101" s="2"/>
      <c r="J101" s="2"/>
      <c r="K101" s="2"/>
      <c r="L101" s="2"/>
      <c r="M101" s="2"/>
      <c r="N101" s="2"/>
      <c r="O101" s="2"/>
      <c r="P101" s="2"/>
      <c r="Q101" s="2"/>
      <c r="R101" s="2"/>
      <c r="S101" s="2"/>
      <c r="T101" s="2"/>
      <c r="U101" s="2"/>
      <c r="V101" s="2"/>
      <c r="W101" s="158"/>
      <c r="X101" s="2"/>
      <c r="Y101" s="2"/>
      <c r="Z101" s="2"/>
    </row>
    <row r="102" spans="1:26" ht="13.5" customHeight="1">
      <c r="A102" s="2"/>
      <c r="B102" s="2"/>
      <c r="C102" s="2"/>
      <c r="D102" s="2"/>
      <c r="E102" s="2"/>
      <c r="F102" s="2"/>
      <c r="G102" s="2"/>
      <c r="H102" s="2"/>
      <c r="I102" s="2"/>
      <c r="J102" s="2"/>
      <c r="K102" s="2"/>
      <c r="L102" s="2"/>
      <c r="M102" s="2"/>
      <c r="N102" s="2"/>
      <c r="O102" s="2"/>
      <c r="P102" s="2"/>
      <c r="Q102" s="2"/>
      <c r="R102" s="2"/>
      <c r="S102" s="2"/>
      <c r="T102" s="2"/>
      <c r="U102" s="2"/>
      <c r="V102" s="2"/>
      <c r="W102" s="158"/>
      <c r="X102" s="2"/>
      <c r="Y102" s="2"/>
      <c r="Z102" s="2"/>
    </row>
    <row r="103" spans="1:26" ht="13.5" customHeight="1">
      <c r="A103" s="2"/>
      <c r="B103" s="2"/>
      <c r="C103" s="2"/>
      <c r="D103" s="2"/>
      <c r="E103" s="2"/>
      <c r="F103" s="2"/>
      <c r="G103" s="2"/>
      <c r="H103" s="2"/>
      <c r="I103" s="2"/>
      <c r="J103" s="2"/>
      <c r="K103" s="2"/>
      <c r="L103" s="2"/>
      <c r="M103" s="2"/>
      <c r="N103" s="2"/>
      <c r="O103" s="2"/>
      <c r="P103" s="2"/>
      <c r="Q103" s="2"/>
      <c r="R103" s="2"/>
      <c r="S103" s="2"/>
      <c r="T103" s="2"/>
      <c r="U103" s="2"/>
      <c r="V103" s="2"/>
      <c r="W103" s="158"/>
      <c r="X103" s="2"/>
      <c r="Y103" s="2"/>
      <c r="Z103" s="2"/>
    </row>
    <row r="104" spans="1:26" ht="13.5" customHeight="1">
      <c r="A104" s="2"/>
      <c r="B104" s="2"/>
      <c r="C104" s="2"/>
      <c r="D104" s="2"/>
      <c r="E104" s="2"/>
      <c r="F104" s="2"/>
      <c r="G104" s="2"/>
      <c r="H104" s="2"/>
      <c r="I104" s="2"/>
      <c r="J104" s="2"/>
      <c r="K104" s="2"/>
      <c r="L104" s="2"/>
      <c r="M104" s="2"/>
      <c r="N104" s="2"/>
      <c r="O104" s="2"/>
      <c r="P104" s="2"/>
      <c r="Q104" s="2"/>
      <c r="R104" s="2"/>
      <c r="S104" s="2"/>
      <c r="T104" s="2"/>
      <c r="U104" s="2"/>
      <c r="V104" s="2"/>
      <c r="W104" s="158"/>
      <c r="X104" s="2"/>
      <c r="Y104" s="2"/>
      <c r="Z104" s="2"/>
    </row>
    <row r="105" spans="1:26" ht="13.5" customHeight="1">
      <c r="A105" s="2"/>
      <c r="B105" s="2"/>
      <c r="C105" s="2"/>
      <c r="D105" s="2"/>
      <c r="E105" s="2"/>
      <c r="F105" s="2"/>
      <c r="G105" s="2"/>
      <c r="H105" s="2"/>
      <c r="I105" s="2"/>
      <c r="J105" s="2"/>
      <c r="K105" s="2"/>
      <c r="L105" s="2"/>
      <c r="M105" s="2"/>
      <c r="N105" s="2"/>
      <c r="O105" s="2"/>
      <c r="P105" s="2"/>
      <c r="Q105" s="2"/>
      <c r="R105" s="2"/>
      <c r="S105" s="2"/>
      <c r="T105" s="2"/>
      <c r="U105" s="2"/>
      <c r="V105" s="2"/>
      <c r="W105" s="158"/>
      <c r="X105" s="2"/>
      <c r="Y105" s="2"/>
      <c r="Z105" s="2"/>
    </row>
    <row r="106" spans="1:26" ht="13.5" customHeight="1">
      <c r="A106" s="2"/>
      <c r="B106" s="2"/>
      <c r="C106" s="2"/>
      <c r="D106" s="2"/>
      <c r="E106" s="2"/>
      <c r="F106" s="2"/>
      <c r="G106" s="2"/>
      <c r="H106" s="2"/>
      <c r="I106" s="2"/>
      <c r="J106" s="2"/>
      <c r="K106" s="2"/>
      <c r="L106" s="2"/>
      <c r="M106" s="2"/>
      <c r="N106" s="2"/>
      <c r="O106" s="2"/>
      <c r="P106" s="2"/>
      <c r="Q106" s="2"/>
      <c r="R106" s="2"/>
      <c r="S106" s="2"/>
      <c r="T106" s="2"/>
      <c r="U106" s="2"/>
      <c r="V106" s="2"/>
      <c r="W106" s="158"/>
      <c r="X106" s="2"/>
      <c r="Y106" s="2"/>
      <c r="Z106" s="2"/>
    </row>
    <row r="107" spans="1:26" ht="13.5" customHeight="1">
      <c r="A107" s="2"/>
      <c r="B107" s="2"/>
      <c r="C107" s="2"/>
      <c r="D107" s="2"/>
      <c r="E107" s="2"/>
      <c r="F107" s="2"/>
      <c r="G107" s="2"/>
      <c r="H107" s="2"/>
      <c r="I107" s="2"/>
      <c r="J107" s="2"/>
      <c r="K107" s="2"/>
      <c r="L107" s="2"/>
      <c r="M107" s="2"/>
      <c r="N107" s="2"/>
      <c r="O107" s="2"/>
      <c r="P107" s="2"/>
      <c r="Q107" s="2"/>
      <c r="R107" s="2"/>
      <c r="S107" s="2"/>
      <c r="T107" s="2"/>
      <c r="U107" s="2"/>
      <c r="V107" s="2"/>
      <c r="W107" s="158"/>
      <c r="X107" s="2"/>
      <c r="Y107" s="2"/>
      <c r="Z107" s="2"/>
    </row>
    <row r="108" spans="1:26" ht="13.5" customHeight="1">
      <c r="A108" s="2"/>
      <c r="B108" s="2"/>
      <c r="C108" s="2"/>
      <c r="D108" s="2"/>
      <c r="E108" s="2"/>
      <c r="F108" s="2"/>
      <c r="G108" s="2"/>
      <c r="H108" s="2"/>
      <c r="I108" s="2"/>
      <c r="J108" s="2"/>
      <c r="K108" s="2"/>
      <c r="L108" s="2"/>
      <c r="M108" s="2"/>
      <c r="N108" s="2"/>
      <c r="O108" s="2"/>
      <c r="P108" s="2"/>
      <c r="Q108" s="2"/>
      <c r="R108" s="2"/>
      <c r="S108" s="2"/>
      <c r="T108" s="2"/>
      <c r="U108" s="2"/>
      <c r="V108" s="2"/>
      <c r="W108" s="158"/>
      <c r="X108" s="2"/>
      <c r="Y108" s="2"/>
      <c r="Z108" s="2"/>
    </row>
    <row r="109" spans="1:26" ht="13.5" customHeight="1">
      <c r="A109" s="2"/>
      <c r="B109" s="2"/>
      <c r="C109" s="2"/>
      <c r="D109" s="2"/>
      <c r="E109" s="2"/>
      <c r="F109" s="2"/>
      <c r="G109" s="2"/>
      <c r="H109" s="2"/>
      <c r="I109" s="2"/>
      <c r="J109" s="2"/>
      <c r="K109" s="2"/>
      <c r="L109" s="2"/>
      <c r="M109" s="2"/>
      <c r="N109" s="2"/>
      <c r="O109" s="2"/>
      <c r="P109" s="2"/>
      <c r="Q109" s="2"/>
      <c r="R109" s="2"/>
      <c r="S109" s="2"/>
      <c r="T109" s="2"/>
      <c r="U109" s="2"/>
      <c r="V109" s="2"/>
      <c r="W109" s="158"/>
      <c r="X109" s="2"/>
      <c r="Y109" s="2"/>
      <c r="Z109" s="2"/>
    </row>
    <row r="110" spans="1:26" ht="13.5" customHeight="1">
      <c r="A110" s="2"/>
      <c r="B110" s="2"/>
      <c r="C110" s="2"/>
      <c r="D110" s="2"/>
      <c r="E110" s="2"/>
      <c r="F110" s="2"/>
      <c r="G110" s="2"/>
      <c r="H110" s="2"/>
      <c r="I110" s="2"/>
      <c r="J110" s="2"/>
      <c r="K110" s="2"/>
      <c r="L110" s="2"/>
      <c r="M110" s="2"/>
      <c r="N110" s="2"/>
      <c r="O110" s="2"/>
      <c r="P110" s="2"/>
      <c r="Q110" s="2"/>
      <c r="R110" s="2"/>
      <c r="S110" s="2"/>
      <c r="T110" s="2"/>
      <c r="U110" s="2"/>
      <c r="V110" s="2"/>
      <c r="W110" s="158"/>
      <c r="X110" s="2"/>
      <c r="Y110" s="2"/>
      <c r="Z110" s="2"/>
    </row>
    <row r="111" spans="1:26" ht="13.5" customHeight="1">
      <c r="A111" s="2"/>
      <c r="B111" s="2"/>
      <c r="C111" s="2"/>
      <c r="D111" s="2"/>
      <c r="E111" s="2"/>
      <c r="F111" s="2"/>
      <c r="G111" s="2"/>
      <c r="H111" s="2"/>
      <c r="I111" s="2"/>
      <c r="J111" s="2"/>
      <c r="K111" s="2"/>
      <c r="L111" s="2"/>
      <c r="M111" s="2"/>
      <c r="N111" s="2"/>
      <c r="O111" s="2"/>
      <c r="P111" s="2"/>
      <c r="Q111" s="2"/>
      <c r="R111" s="2"/>
      <c r="S111" s="2"/>
      <c r="T111" s="2"/>
      <c r="U111" s="2"/>
      <c r="V111" s="2"/>
      <c r="W111" s="158"/>
      <c r="X111" s="2"/>
      <c r="Y111" s="2"/>
      <c r="Z111" s="2"/>
    </row>
    <row r="112" spans="1:26" ht="13.5" customHeight="1">
      <c r="A112" s="2"/>
      <c r="B112" s="2"/>
      <c r="C112" s="2"/>
      <c r="D112" s="2"/>
      <c r="E112" s="2"/>
      <c r="F112" s="2"/>
      <c r="G112" s="2"/>
      <c r="H112" s="2"/>
      <c r="I112" s="2"/>
      <c r="J112" s="2"/>
      <c r="K112" s="2"/>
      <c r="L112" s="2"/>
      <c r="M112" s="2"/>
      <c r="N112" s="2"/>
      <c r="O112" s="2"/>
      <c r="P112" s="2"/>
      <c r="Q112" s="2"/>
      <c r="R112" s="2"/>
      <c r="S112" s="2"/>
      <c r="T112" s="2"/>
      <c r="U112" s="2"/>
      <c r="V112" s="2"/>
      <c r="W112" s="158"/>
      <c r="X112" s="2"/>
      <c r="Y112" s="2"/>
      <c r="Z112" s="2"/>
    </row>
    <row r="113" spans="1:26" ht="13.5" customHeight="1">
      <c r="A113" s="2"/>
      <c r="B113" s="2"/>
      <c r="C113" s="2"/>
      <c r="D113" s="2"/>
      <c r="E113" s="2"/>
      <c r="F113" s="2"/>
      <c r="G113" s="2"/>
      <c r="H113" s="2"/>
      <c r="I113" s="2"/>
      <c r="J113" s="2"/>
      <c r="K113" s="2"/>
      <c r="L113" s="2"/>
      <c r="M113" s="2"/>
      <c r="N113" s="2"/>
      <c r="O113" s="2"/>
      <c r="P113" s="2"/>
      <c r="Q113" s="2"/>
      <c r="R113" s="2"/>
      <c r="S113" s="2"/>
      <c r="T113" s="2"/>
      <c r="U113" s="2"/>
      <c r="V113" s="2"/>
      <c r="W113" s="158"/>
      <c r="X113" s="2"/>
      <c r="Y113" s="2"/>
      <c r="Z113" s="2"/>
    </row>
    <row r="114" spans="1:26" ht="13.5" customHeight="1">
      <c r="A114" s="2"/>
      <c r="B114" s="2"/>
      <c r="C114" s="2"/>
      <c r="D114" s="2"/>
      <c r="E114" s="2"/>
      <c r="F114" s="2"/>
      <c r="G114" s="2"/>
      <c r="H114" s="2"/>
      <c r="I114" s="2"/>
      <c r="J114" s="2"/>
      <c r="K114" s="2"/>
      <c r="L114" s="2"/>
      <c r="M114" s="2"/>
      <c r="N114" s="2"/>
      <c r="O114" s="2"/>
      <c r="P114" s="2"/>
      <c r="Q114" s="2"/>
      <c r="R114" s="2"/>
      <c r="S114" s="2"/>
      <c r="T114" s="2"/>
      <c r="U114" s="2"/>
      <c r="V114" s="2"/>
      <c r="W114" s="158"/>
      <c r="X114" s="2"/>
      <c r="Y114" s="2"/>
      <c r="Z114" s="2"/>
    </row>
    <row r="115" spans="1:26" ht="13.5" customHeight="1">
      <c r="A115" s="2"/>
      <c r="B115" s="2"/>
      <c r="C115" s="2"/>
      <c r="D115" s="2"/>
      <c r="E115" s="2"/>
      <c r="F115" s="2"/>
      <c r="G115" s="2"/>
      <c r="H115" s="2"/>
      <c r="I115" s="2"/>
      <c r="J115" s="2"/>
      <c r="K115" s="2"/>
      <c r="L115" s="2"/>
      <c r="M115" s="2"/>
      <c r="N115" s="2"/>
      <c r="O115" s="2"/>
      <c r="P115" s="2"/>
      <c r="Q115" s="2"/>
      <c r="R115" s="2"/>
      <c r="S115" s="2"/>
      <c r="T115" s="2"/>
      <c r="U115" s="2"/>
      <c r="V115" s="2"/>
      <c r="W115" s="158"/>
      <c r="X115" s="2"/>
      <c r="Y115" s="2"/>
      <c r="Z115" s="2"/>
    </row>
    <row r="116" spans="1:26" ht="13.5" customHeight="1">
      <c r="A116" s="2"/>
      <c r="B116" s="2"/>
      <c r="C116" s="2"/>
      <c r="D116" s="2"/>
      <c r="E116" s="2"/>
      <c r="F116" s="2"/>
      <c r="G116" s="2"/>
      <c r="H116" s="2"/>
      <c r="I116" s="2"/>
      <c r="J116" s="2"/>
      <c r="K116" s="2"/>
      <c r="L116" s="2"/>
      <c r="M116" s="2"/>
      <c r="N116" s="2"/>
      <c r="O116" s="2"/>
      <c r="P116" s="2"/>
      <c r="Q116" s="2"/>
      <c r="R116" s="2"/>
      <c r="S116" s="2"/>
      <c r="T116" s="2"/>
      <c r="U116" s="2"/>
      <c r="V116" s="2"/>
      <c r="W116" s="158"/>
      <c r="X116" s="2"/>
      <c r="Y116" s="2"/>
      <c r="Z116" s="2"/>
    </row>
    <row r="117" spans="1:26" ht="13.5" customHeight="1">
      <c r="A117" s="2"/>
      <c r="B117" s="2"/>
      <c r="C117" s="2"/>
      <c r="D117" s="2"/>
      <c r="E117" s="2"/>
      <c r="F117" s="2"/>
      <c r="G117" s="2"/>
      <c r="H117" s="2"/>
      <c r="I117" s="2"/>
      <c r="J117" s="2"/>
      <c r="K117" s="2"/>
      <c r="L117" s="2"/>
      <c r="M117" s="2"/>
      <c r="N117" s="2"/>
      <c r="O117" s="2"/>
      <c r="P117" s="2"/>
      <c r="Q117" s="2"/>
      <c r="R117" s="2"/>
      <c r="S117" s="2"/>
      <c r="T117" s="2"/>
      <c r="U117" s="2"/>
      <c r="V117" s="2"/>
      <c r="W117" s="158"/>
      <c r="X117" s="2"/>
      <c r="Y117" s="2"/>
      <c r="Z117" s="2"/>
    </row>
    <row r="118" spans="1:26" ht="13.5" customHeight="1">
      <c r="A118" s="2"/>
      <c r="B118" s="2"/>
      <c r="C118" s="2"/>
      <c r="D118" s="2"/>
      <c r="E118" s="2"/>
      <c r="F118" s="2"/>
      <c r="G118" s="2"/>
      <c r="H118" s="2"/>
      <c r="I118" s="2"/>
      <c r="J118" s="2"/>
      <c r="K118" s="2"/>
      <c r="L118" s="2"/>
      <c r="M118" s="2"/>
      <c r="N118" s="2"/>
      <c r="O118" s="2"/>
      <c r="P118" s="2"/>
      <c r="Q118" s="2"/>
      <c r="R118" s="2"/>
      <c r="S118" s="2"/>
      <c r="T118" s="2"/>
      <c r="U118" s="2"/>
      <c r="V118" s="2"/>
      <c r="W118" s="158"/>
      <c r="X118" s="2"/>
      <c r="Y118" s="2"/>
      <c r="Z118" s="2"/>
    </row>
    <row r="119" spans="1:26" ht="13.5" customHeight="1">
      <c r="A119" s="2"/>
      <c r="B119" s="2"/>
      <c r="C119" s="2"/>
      <c r="D119" s="2"/>
      <c r="E119" s="2"/>
      <c r="F119" s="2"/>
      <c r="G119" s="2"/>
      <c r="H119" s="2"/>
      <c r="I119" s="2"/>
      <c r="J119" s="2"/>
      <c r="K119" s="2"/>
      <c r="L119" s="2"/>
      <c r="M119" s="2"/>
      <c r="N119" s="2"/>
      <c r="O119" s="2"/>
      <c r="P119" s="2"/>
      <c r="Q119" s="2"/>
      <c r="R119" s="2"/>
      <c r="S119" s="2"/>
      <c r="T119" s="2"/>
      <c r="U119" s="2"/>
      <c r="V119" s="2"/>
      <c r="W119" s="158"/>
      <c r="X119" s="2"/>
      <c r="Y119" s="2"/>
      <c r="Z119" s="2"/>
    </row>
    <row r="120" spans="1:26" ht="13.5" customHeight="1">
      <c r="A120" s="2"/>
      <c r="B120" s="2"/>
      <c r="C120" s="2"/>
      <c r="D120" s="2"/>
      <c r="E120" s="2"/>
      <c r="F120" s="2"/>
      <c r="G120" s="2"/>
      <c r="H120" s="2"/>
      <c r="I120" s="2"/>
      <c r="J120" s="2"/>
      <c r="K120" s="2"/>
      <c r="L120" s="2"/>
      <c r="M120" s="2"/>
      <c r="N120" s="2"/>
      <c r="O120" s="2"/>
      <c r="P120" s="2"/>
      <c r="Q120" s="2"/>
      <c r="R120" s="2"/>
      <c r="S120" s="2"/>
      <c r="T120" s="2"/>
      <c r="U120" s="2"/>
      <c r="V120" s="2"/>
      <c r="W120" s="158"/>
      <c r="X120" s="2"/>
      <c r="Y120" s="2"/>
      <c r="Z120" s="2"/>
    </row>
    <row r="121" spans="1:26" ht="13.5" customHeight="1">
      <c r="A121" s="2"/>
      <c r="B121" s="2"/>
      <c r="C121" s="2"/>
      <c r="D121" s="2"/>
      <c r="E121" s="2"/>
      <c r="F121" s="2"/>
      <c r="G121" s="2"/>
      <c r="H121" s="2"/>
      <c r="I121" s="2"/>
      <c r="J121" s="2"/>
      <c r="K121" s="2"/>
      <c r="L121" s="2"/>
      <c r="M121" s="2"/>
      <c r="N121" s="2"/>
      <c r="O121" s="2"/>
      <c r="P121" s="2"/>
      <c r="Q121" s="2"/>
      <c r="R121" s="2"/>
      <c r="S121" s="2"/>
      <c r="T121" s="2"/>
      <c r="U121" s="2"/>
      <c r="V121" s="2"/>
      <c r="W121" s="158"/>
      <c r="X121" s="2"/>
      <c r="Y121" s="2"/>
      <c r="Z121" s="2"/>
    </row>
    <row r="122" spans="1:26" ht="13.5" customHeight="1">
      <c r="A122" s="2"/>
      <c r="B122" s="2"/>
      <c r="C122" s="2"/>
      <c r="D122" s="2"/>
      <c r="E122" s="2"/>
      <c r="F122" s="2"/>
      <c r="G122" s="2"/>
      <c r="H122" s="2"/>
      <c r="I122" s="2"/>
      <c r="J122" s="2"/>
      <c r="K122" s="2"/>
      <c r="L122" s="2"/>
      <c r="M122" s="2"/>
      <c r="N122" s="2"/>
      <c r="O122" s="2"/>
      <c r="P122" s="2"/>
      <c r="Q122" s="2"/>
      <c r="R122" s="2"/>
      <c r="S122" s="2"/>
      <c r="T122" s="2"/>
      <c r="U122" s="2"/>
      <c r="V122" s="2"/>
      <c r="W122" s="158"/>
      <c r="X122" s="2"/>
      <c r="Y122" s="2"/>
      <c r="Z122" s="2"/>
    </row>
    <row r="123" spans="1:26" ht="13.5" customHeight="1">
      <c r="A123" s="2"/>
      <c r="B123" s="2"/>
      <c r="C123" s="2"/>
      <c r="D123" s="2"/>
      <c r="E123" s="2"/>
      <c r="F123" s="2"/>
      <c r="G123" s="2"/>
      <c r="H123" s="2"/>
      <c r="I123" s="2"/>
      <c r="J123" s="2"/>
      <c r="K123" s="2"/>
      <c r="L123" s="2"/>
      <c r="M123" s="2"/>
      <c r="N123" s="2"/>
      <c r="O123" s="2"/>
      <c r="P123" s="2"/>
      <c r="Q123" s="2"/>
      <c r="R123" s="2"/>
      <c r="S123" s="2"/>
      <c r="T123" s="2"/>
      <c r="U123" s="2"/>
      <c r="V123" s="2"/>
      <c r="W123" s="158"/>
      <c r="X123" s="2"/>
      <c r="Y123" s="2"/>
      <c r="Z123" s="2"/>
    </row>
    <row r="124" spans="1:26" ht="13.5" customHeight="1">
      <c r="A124" s="2"/>
      <c r="B124" s="2"/>
      <c r="C124" s="2"/>
      <c r="D124" s="2"/>
      <c r="E124" s="2"/>
      <c r="F124" s="2"/>
      <c r="G124" s="2"/>
      <c r="H124" s="2"/>
      <c r="I124" s="2"/>
      <c r="J124" s="2"/>
      <c r="K124" s="2"/>
      <c r="L124" s="2"/>
      <c r="M124" s="2"/>
      <c r="N124" s="2"/>
      <c r="O124" s="2"/>
      <c r="P124" s="2"/>
      <c r="Q124" s="2"/>
      <c r="R124" s="2"/>
      <c r="S124" s="2"/>
      <c r="T124" s="2"/>
      <c r="U124" s="2"/>
      <c r="V124" s="2"/>
      <c r="W124" s="158"/>
      <c r="X124" s="2"/>
      <c r="Y124" s="2"/>
      <c r="Z124" s="2"/>
    </row>
    <row r="125" spans="1:26" ht="13.5" customHeight="1">
      <c r="A125" s="2"/>
      <c r="B125" s="2"/>
      <c r="C125" s="2"/>
      <c r="D125" s="2"/>
      <c r="E125" s="2"/>
      <c r="F125" s="2"/>
      <c r="G125" s="2"/>
      <c r="H125" s="2"/>
      <c r="I125" s="2"/>
      <c r="J125" s="2"/>
      <c r="K125" s="2"/>
      <c r="L125" s="2"/>
      <c r="M125" s="2"/>
      <c r="N125" s="2"/>
      <c r="O125" s="2"/>
      <c r="P125" s="2"/>
      <c r="Q125" s="2"/>
      <c r="R125" s="2"/>
      <c r="S125" s="2"/>
      <c r="T125" s="2"/>
      <c r="U125" s="2"/>
      <c r="V125" s="2"/>
      <c r="W125" s="158"/>
      <c r="X125" s="2"/>
      <c r="Y125" s="2"/>
      <c r="Z125" s="2"/>
    </row>
    <row r="126" spans="1:26" ht="13.5" customHeight="1">
      <c r="A126" s="2"/>
      <c r="B126" s="2"/>
      <c r="C126" s="2"/>
      <c r="D126" s="2"/>
      <c r="E126" s="2"/>
      <c r="F126" s="2"/>
      <c r="G126" s="2"/>
      <c r="H126" s="2"/>
      <c r="I126" s="2"/>
      <c r="J126" s="2"/>
      <c r="K126" s="2"/>
      <c r="L126" s="2"/>
      <c r="M126" s="2"/>
      <c r="N126" s="2"/>
      <c r="O126" s="2"/>
      <c r="P126" s="2"/>
      <c r="Q126" s="2"/>
      <c r="R126" s="2"/>
      <c r="S126" s="2"/>
      <c r="T126" s="2"/>
      <c r="U126" s="2"/>
      <c r="V126" s="2"/>
      <c r="W126" s="158"/>
      <c r="X126" s="2"/>
      <c r="Y126" s="2"/>
      <c r="Z126" s="2"/>
    </row>
    <row r="127" spans="1:26" ht="13.5" customHeight="1">
      <c r="A127" s="2"/>
      <c r="B127" s="2"/>
      <c r="C127" s="2"/>
      <c r="D127" s="2"/>
      <c r="E127" s="2"/>
      <c r="F127" s="2"/>
      <c r="G127" s="2"/>
      <c r="H127" s="2"/>
      <c r="I127" s="2"/>
      <c r="J127" s="2"/>
      <c r="K127" s="2"/>
      <c r="L127" s="2"/>
      <c r="M127" s="2"/>
      <c r="N127" s="2"/>
      <c r="O127" s="2"/>
      <c r="P127" s="2"/>
      <c r="Q127" s="2"/>
      <c r="R127" s="2"/>
      <c r="S127" s="2"/>
      <c r="T127" s="2"/>
      <c r="U127" s="2"/>
      <c r="V127" s="2"/>
      <c r="W127" s="158"/>
      <c r="X127" s="2"/>
      <c r="Y127" s="2"/>
      <c r="Z127" s="2"/>
    </row>
    <row r="128" spans="1:26" ht="13.5" customHeight="1">
      <c r="A128" s="2"/>
      <c r="B128" s="2"/>
      <c r="C128" s="2"/>
      <c r="D128" s="2"/>
      <c r="E128" s="2"/>
      <c r="F128" s="2"/>
      <c r="G128" s="2"/>
      <c r="H128" s="2"/>
      <c r="I128" s="2"/>
      <c r="J128" s="2"/>
      <c r="K128" s="2"/>
      <c r="L128" s="2"/>
      <c r="M128" s="2"/>
      <c r="N128" s="2"/>
      <c r="O128" s="2"/>
      <c r="P128" s="2"/>
      <c r="Q128" s="2"/>
      <c r="R128" s="2"/>
      <c r="S128" s="2"/>
      <c r="T128" s="2"/>
      <c r="U128" s="2"/>
      <c r="V128" s="2"/>
      <c r="W128" s="158"/>
      <c r="X128" s="2"/>
      <c r="Y128" s="2"/>
      <c r="Z128" s="2"/>
    </row>
    <row r="129" spans="1:26" ht="13.5" customHeight="1">
      <c r="A129" s="2"/>
      <c r="B129" s="2"/>
      <c r="C129" s="2"/>
      <c r="D129" s="2"/>
      <c r="E129" s="2"/>
      <c r="F129" s="2"/>
      <c r="G129" s="2"/>
      <c r="H129" s="2"/>
      <c r="I129" s="2"/>
      <c r="J129" s="2"/>
      <c r="K129" s="2"/>
      <c r="L129" s="2"/>
      <c r="M129" s="2"/>
      <c r="N129" s="2"/>
      <c r="O129" s="2"/>
      <c r="P129" s="2"/>
      <c r="Q129" s="2"/>
      <c r="R129" s="2"/>
      <c r="S129" s="2"/>
      <c r="T129" s="2"/>
      <c r="U129" s="2"/>
      <c r="V129" s="2"/>
      <c r="W129" s="158"/>
      <c r="X129" s="2"/>
      <c r="Y129" s="2"/>
      <c r="Z129" s="2"/>
    </row>
    <row r="130" spans="1:26" ht="13.5" customHeight="1">
      <c r="A130" s="2"/>
      <c r="B130" s="2"/>
      <c r="C130" s="2"/>
      <c r="D130" s="2"/>
      <c r="E130" s="2"/>
      <c r="F130" s="2"/>
      <c r="G130" s="2"/>
      <c r="H130" s="2"/>
      <c r="I130" s="2"/>
      <c r="J130" s="2"/>
      <c r="K130" s="2"/>
      <c r="L130" s="2"/>
      <c r="M130" s="2"/>
      <c r="N130" s="2"/>
      <c r="O130" s="2"/>
      <c r="P130" s="2"/>
      <c r="Q130" s="2"/>
      <c r="R130" s="2"/>
      <c r="S130" s="2"/>
      <c r="T130" s="2"/>
      <c r="U130" s="2"/>
      <c r="V130" s="2"/>
      <c r="W130" s="158"/>
      <c r="X130" s="2"/>
      <c r="Y130" s="2"/>
      <c r="Z130" s="2"/>
    </row>
    <row r="131" spans="1:26" ht="13.5" customHeight="1">
      <c r="A131" s="2"/>
      <c r="B131" s="2"/>
      <c r="C131" s="2"/>
      <c r="D131" s="2"/>
      <c r="E131" s="2"/>
      <c r="F131" s="2"/>
      <c r="G131" s="2"/>
      <c r="H131" s="2"/>
      <c r="I131" s="2"/>
      <c r="J131" s="2"/>
      <c r="K131" s="2"/>
      <c r="L131" s="2"/>
      <c r="M131" s="2"/>
      <c r="N131" s="2"/>
      <c r="O131" s="2"/>
      <c r="P131" s="2"/>
      <c r="Q131" s="2"/>
      <c r="R131" s="2"/>
      <c r="S131" s="2"/>
      <c r="T131" s="2"/>
      <c r="U131" s="2"/>
      <c r="V131" s="2"/>
      <c r="W131" s="158"/>
      <c r="X131" s="2"/>
      <c r="Y131" s="2"/>
      <c r="Z131" s="2"/>
    </row>
    <row r="132" spans="1:26" ht="13.5" customHeight="1">
      <c r="A132" s="2"/>
      <c r="B132" s="2"/>
      <c r="C132" s="2"/>
      <c r="D132" s="2"/>
      <c r="E132" s="2"/>
      <c r="F132" s="2"/>
      <c r="G132" s="2"/>
      <c r="H132" s="2"/>
      <c r="I132" s="2"/>
      <c r="J132" s="2"/>
      <c r="K132" s="2"/>
      <c r="L132" s="2"/>
      <c r="M132" s="2"/>
      <c r="N132" s="2"/>
      <c r="O132" s="2"/>
      <c r="P132" s="2"/>
      <c r="Q132" s="2"/>
      <c r="R132" s="2"/>
      <c r="S132" s="2"/>
      <c r="T132" s="2"/>
      <c r="U132" s="2"/>
      <c r="V132" s="2"/>
      <c r="W132" s="158"/>
      <c r="X132" s="2"/>
      <c r="Y132" s="2"/>
      <c r="Z132" s="2"/>
    </row>
    <row r="133" spans="1:26" ht="13.5" customHeight="1">
      <c r="A133" s="2"/>
      <c r="B133" s="2"/>
      <c r="C133" s="2"/>
      <c r="D133" s="2"/>
      <c r="E133" s="2"/>
      <c r="F133" s="2"/>
      <c r="G133" s="2"/>
      <c r="H133" s="2"/>
      <c r="I133" s="2"/>
      <c r="J133" s="2"/>
      <c r="K133" s="2"/>
      <c r="L133" s="2"/>
      <c r="M133" s="2"/>
      <c r="N133" s="2"/>
      <c r="O133" s="2"/>
      <c r="P133" s="2"/>
      <c r="Q133" s="2"/>
      <c r="R133" s="2"/>
      <c r="S133" s="2"/>
      <c r="T133" s="2"/>
      <c r="U133" s="2"/>
      <c r="V133" s="2"/>
      <c r="W133" s="158"/>
      <c r="X133" s="2"/>
      <c r="Y133" s="2"/>
      <c r="Z133" s="2"/>
    </row>
    <row r="134" spans="1:26" ht="13.5" customHeight="1">
      <c r="A134" s="2"/>
      <c r="B134" s="2"/>
      <c r="C134" s="2"/>
      <c r="D134" s="2"/>
      <c r="E134" s="2"/>
      <c r="F134" s="2"/>
      <c r="G134" s="2"/>
      <c r="H134" s="2"/>
      <c r="I134" s="2"/>
      <c r="J134" s="2"/>
      <c r="K134" s="2"/>
      <c r="L134" s="2"/>
      <c r="M134" s="2"/>
      <c r="N134" s="2"/>
      <c r="O134" s="2"/>
      <c r="P134" s="2"/>
      <c r="Q134" s="2"/>
      <c r="R134" s="2"/>
      <c r="S134" s="2"/>
      <c r="T134" s="2"/>
      <c r="U134" s="2"/>
      <c r="V134" s="2"/>
      <c r="W134" s="158"/>
      <c r="X134" s="2"/>
      <c r="Y134" s="2"/>
      <c r="Z134" s="2"/>
    </row>
    <row r="135" spans="1:26" ht="13.5" customHeight="1">
      <c r="A135" s="2"/>
      <c r="B135" s="2"/>
      <c r="C135" s="2"/>
      <c r="D135" s="2"/>
      <c r="E135" s="2"/>
      <c r="F135" s="2"/>
      <c r="G135" s="2"/>
      <c r="H135" s="2"/>
      <c r="I135" s="2"/>
      <c r="J135" s="2"/>
      <c r="K135" s="2"/>
      <c r="L135" s="2"/>
      <c r="M135" s="2"/>
      <c r="N135" s="2"/>
      <c r="O135" s="2"/>
      <c r="P135" s="2"/>
      <c r="Q135" s="2"/>
      <c r="R135" s="2"/>
      <c r="S135" s="2"/>
      <c r="T135" s="2"/>
      <c r="U135" s="2"/>
      <c r="V135" s="2"/>
      <c r="W135" s="158"/>
      <c r="X135" s="2"/>
      <c r="Y135" s="2"/>
      <c r="Z135" s="2"/>
    </row>
    <row r="136" spans="1:26" ht="13.5" customHeight="1">
      <c r="A136" s="2"/>
      <c r="B136" s="2"/>
      <c r="C136" s="2"/>
      <c r="D136" s="2"/>
      <c r="E136" s="2"/>
      <c r="F136" s="2"/>
      <c r="G136" s="2"/>
      <c r="H136" s="2"/>
      <c r="I136" s="2"/>
      <c r="J136" s="2"/>
      <c r="K136" s="2"/>
      <c r="L136" s="2"/>
      <c r="M136" s="2"/>
      <c r="N136" s="2"/>
      <c r="O136" s="2"/>
      <c r="P136" s="2"/>
      <c r="Q136" s="2"/>
      <c r="R136" s="2"/>
      <c r="S136" s="2"/>
      <c r="T136" s="2"/>
      <c r="U136" s="2"/>
      <c r="V136" s="2"/>
      <c r="W136" s="158"/>
      <c r="X136" s="2"/>
      <c r="Y136" s="2"/>
      <c r="Z136" s="2"/>
    </row>
    <row r="137" spans="1:26" ht="13.5" customHeight="1">
      <c r="A137" s="2"/>
      <c r="B137" s="2"/>
      <c r="C137" s="2"/>
      <c r="D137" s="2"/>
      <c r="E137" s="2"/>
      <c r="F137" s="2"/>
      <c r="G137" s="2"/>
      <c r="H137" s="2"/>
      <c r="I137" s="2"/>
      <c r="J137" s="2"/>
      <c r="K137" s="2"/>
      <c r="L137" s="2"/>
      <c r="M137" s="2"/>
      <c r="N137" s="2"/>
      <c r="O137" s="2"/>
      <c r="P137" s="2"/>
      <c r="Q137" s="2"/>
      <c r="R137" s="2"/>
      <c r="S137" s="2"/>
      <c r="T137" s="2"/>
      <c r="U137" s="2"/>
      <c r="V137" s="2"/>
      <c r="W137" s="158"/>
      <c r="X137" s="2"/>
      <c r="Y137" s="2"/>
      <c r="Z137" s="2"/>
    </row>
    <row r="138" spans="1:26" ht="13.5" customHeight="1">
      <c r="A138" s="2"/>
      <c r="B138" s="2"/>
      <c r="C138" s="2"/>
      <c r="D138" s="2"/>
      <c r="E138" s="2"/>
      <c r="F138" s="2"/>
      <c r="G138" s="2"/>
      <c r="H138" s="2"/>
      <c r="I138" s="2"/>
      <c r="J138" s="2"/>
      <c r="K138" s="2"/>
      <c r="L138" s="2"/>
      <c r="M138" s="2"/>
      <c r="N138" s="2"/>
      <c r="O138" s="2"/>
      <c r="P138" s="2"/>
      <c r="Q138" s="2"/>
      <c r="R138" s="2"/>
      <c r="S138" s="2"/>
      <c r="T138" s="2"/>
      <c r="U138" s="2"/>
      <c r="V138" s="2"/>
      <c r="W138" s="158"/>
      <c r="X138" s="2"/>
      <c r="Y138" s="2"/>
      <c r="Z138" s="2"/>
    </row>
    <row r="139" spans="1:26" ht="13.5" customHeight="1">
      <c r="A139" s="2"/>
      <c r="B139" s="2"/>
      <c r="C139" s="2"/>
      <c r="D139" s="2"/>
      <c r="E139" s="2"/>
      <c r="F139" s="2"/>
      <c r="G139" s="2"/>
      <c r="H139" s="2"/>
      <c r="I139" s="2"/>
      <c r="J139" s="2"/>
      <c r="K139" s="2"/>
      <c r="L139" s="2"/>
      <c r="M139" s="2"/>
      <c r="N139" s="2"/>
      <c r="O139" s="2"/>
      <c r="P139" s="2"/>
      <c r="Q139" s="2"/>
      <c r="R139" s="2"/>
      <c r="S139" s="2"/>
      <c r="T139" s="2"/>
      <c r="U139" s="2"/>
      <c r="V139" s="2"/>
      <c r="W139" s="158"/>
      <c r="X139" s="2"/>
      <c r="Y139" s="2"/>
      <c r="Z139" s="2"/>
    </row>
    <row r="140" spans="1:26" ht="13.5" customHeight="1">
      <c r="A140" s="2"/>
      <c r="B140" s="2"/>
      <c r="C140" s="2"/>
      <c r="D140" s="2"/>
      <c r="E140" s="2"/>
      <c r="F140" s="2"/>
      <c r="G140" s="2"/>
      <c r="H140" s="2"/>
      <c r="I140" s="2"/>
      <c r="J140" s="2"/>
      <c r="K140" s="2"/>
      <c r="L140" s="2"/>
      <c r="M140" s="2"/>
      <c r="N140" s="2"/>
      <c r="O140" s="2"/>
      <c r="P140" s="2"/>
      <c r="Q140" s="2"/>
      <c r="R140" s="2"/>
      <c r="S140" s="2"/>
      <c r="T140" s="2"/>
      <c r="U140" s="2"/>
      <c r="V140" s="2"/>
      <c r="W140" s="158"/>
      <c r="X140" s="2"/>
      <c r="Y140" s="2"/>
      <c r="Z140" s="2"/>
    </row>
    <row r="141" spans="1:26" ht="13.5" customHeight="1">
      <c r="A141" s="2"/>
      <c r="B141" s="2"/>
      <c r="C141" s="2"/>
      <c r="D141" s="2"/>
      <c r="E141" s="2"/>
      <c r="F141" s="2"/>
      <c r="G141" s="2"/>
      <c r="H141" s="2"/>
      <c r="I141" s="2"/>
      <c r="J141" s="2"/>
      <c r="K141" s="2"/>
      <c r="L141" s="2"/>
      <c r="M141" s="2"/>
      <c r="N141" s="2"/>
      <c r="O141" s="2"/>
      <c r="P141" s="2"/>
      <c r="Q141" s="2"/>
      <c r="R141" s="2"/>
      <c r="S141" s="2"/>
      <c r="T141" s="2"/>
      <c r="U141" s="2"/>
      <c r="V141" s="2"/>
      <c r="W141" s="158"/>
      <c r="X141" s="2"/>
      <c r="Y141" s="2"/>
      <c r="Z141" s="2"/>
    </row>
    <row r="142" spans="1:26" ht="13.5" customHeight="1">
      <c r="A142" s="2"/>
      <c r="B142" s="2"/>
      <c r="C142" s="2"/>
      <c r="D142" s="2"/>
      <c r="E142" s="2"/>
      <c r="F142" s="2"/>
      <c r="G142" s="2"/>
      <c r="H142" s="2"/>
      <c r="I142" s="2"/>
      <c r="J142" s="2"/>
      <c r="K142" s="2"/>
      <c r="L142" s="2"/>
      <c r="M142" s="2"/>
      <c r="N142" s="2"/>
      <c r="O142" s="2"/>
      <c r="P142" s="2"/>
      <c r="Q142" s="2"/>
      <c r="R142" s="2"/>
      <c r="S142" s="2"/>
      <c r="T142" s="2"/>
      <c r="U142" s="2"/>
      <c r="V142" s="2"/>
      <c r="W142" s="158"/>
      <c r="X142" s="2"/>
      <c r="Y142" s="2"/>
      <c r="Z142" s="2"/>
    </row>
    <row r="143" spans="1:26" ht="13.5" customHeight="1">
      <c r="A143" s="2"/>
      <c r="B143" s="2"/>
      <c r="C143" s="2"/>
      <c r="D143" s="2"/>
      <c r="E143" s="2"/>
      <c r="F143" s="2"/>
      <c r="G143" s="2"/>
      <c r="H143" s="2"/>
      <c r="I143" s="2"/>
      <c r="J143" s="2"/>
      <c r="K143" s="2"/>
      <c r="L143" s="2"/>
      <c r="M143" s="2"/>
      <c r="N143" s="2"/>
      <c r="O143" s="2"/>
      <c r="P143" s="2"/>
      <c r="Q143" s="2"/>
      <c r="R143" s="2"/>
      <c r="S143" s="2"/>
      <c r="T143" s="2"/>
      <c r="U143" s="2"/>
      <c r="V143" s="2"/>
      <c r="W143" s="158"/>
      <c r="X143" s="2"/>
      <c r="Y143" s="2"/>
      <c r="Z143" s="2"/>
    </row>
    <row r="144" spans="1:26" ht="13.5" customHeight="1">
      <c r="A144" s="2"/>
      <c r="B144" s="2"/>
      <c r="C144" s="2"/>
      <c r="D144" s="2"/>
      <c r="E144" s="2"/>
      <c r="F144" s="2"/>
      <c r="G144" s="2"/>
      <c r="H144" s="2"/>
      <c r="I144" s="2"/>
      <c r="J144" s="2"/>
      <c r="K144" s="2"/>
      <c r="L144" s="2"/>
      <c r="M144" s="2"/>
      <c r="N144" s="2"/>
      <c r="O144" s="2"/>
      <c r="P144" s="2"/>
      <c r="Q144" s="2"/>
      <c r="R144" s="2"/>
      <c r="S144" s="2"/>
      <c r="T144" s="2"/>
      <c r="U144" s="2"/>
      <c r="V144" s="2"/>
      <c r="W144" s="158"/>
      <c r="X144" s="2"/>
      <c r="Y144" s="2"/>
      <c r="Z144" s="2"/>
    </row>
    <row r="145" spans="1:26" ht="13.5" customHeight="1">
      <c r="A145" s="2"/>
      <c r="B145" s="2"/>
      <c r="C145" s="2"/>
      <c r="D145" s="2"/>
      <c r="E145" s="2"/>
      <c r="F145" s="2"/>
      <c r="G145" s="2"/>
      <c r="H145" s="2"/>
      <c r="I145" s="2"/>
      <c r="J145" s="2"/>
      <c r="K145" s="2"/>
      <c r="L145" s="2"/>
      <c r="M145" s="2"/>
      <c r="N145" s="2"/>
      <c r="O145" s="2"/>
      <c r="P145" s="2"/>
      <c r="Q145" s="2"/>
      <c r="R145" s="2"/>
      <c r="S145" s="2"/>
      <c r="T145" s="2"/>
      <c r="U145" s="2"/>
      <c r="V145" s="2"/>
      <c r="W145" s="158"/>
      <c r="X145" s="2"/>
      <c r="Y145" s="2"/>
      <c r="Z145" s="2"/>
    </row>
    <row r="146" spans="1:26" ht="13.5" customHeight="1">
      <c r="A146" s="2"/>
      <c r="B146" s="2"/>
      <c r="C146" s="2"/>
      <c r="D146" s="2"/>
      <c r="E146" s="2"/>
      <c r="F146" s="2"/>
      <c r="G146" s="2"/>
      <c r="H146" s="2"/>
      <c r="I146" s="2"/>
      <c r="J146" s="2"/>
      <c r="K146" s="2"/>
      <c r="L146" s="2"/>
      <c r="M146" s="2"/>
      <c r="N146" s="2"/>
      <c r="O146" s="2"/>
      <c r="P146" s="2"/>
      <c r="Q146" s="2"/>
      <c r="R146" s="2"/>
      <c r="S146" s="2"/>
      <c r="T146" s="2"/>
      <c r="U146" s="2"/>
      <c r="V146" s="2"/>
      <c r="W146" s="158"/>
      <c r="X146" s="2"/>
      <c r="Y146" s="2"/>
      <c r="Z146" s="2"/>
    </row>
    <row r="147" spans="1:26" ht="13.5" customHeight="1">
      <c r="A147" s="2"/>
      <c r="B147" s="2"/>
      <c r="C147" s="2"/>
      <c r="D147" s="2"/>
      <c r="E147" s="2"/>
      <c r="F147" s="2"/>
      <c r="G147" s="2"/>
      <c r="H147" s="2"/>
      <c r="I147" s="2"/>
      <c r="J147" s="2"/>
      <c r="K147" s="2"/>
      <c r="L147" s="2"/>
      <c r="M147" s="2"/>
      <c r="N147" s="2"/>
      <c r="O147" s="2"/>
      <c r="P147" s="2"/>
      <c r="Q147" s="2"/>
      <c r="R147" s="2"/>
      <c r="S147" s="2"/>
      <c r="T147" s="2"/>
      <c r="U147" s="2"/>
      <c r="V147" s="2"/>
      <c r="W147" s="158"/>
      <c r="X147" s="2"/>
      <c r="Y147" s="2"/>
      <c r="Z147" s="2"/>
    </row>
    <row r="148" spans="1:26" ht="13.5" customHeight="1">
      <c r="A148" s="2"/>
      <c r="B148" s="2"/>
      <c r="C148" s="2"/>
      <c r="D148" s="2"/>
      <c r="E148" s="2"/>
      <c r="F148" s="2"/>
      <c r="G148" s="2"/>
      <c r="H148" s="2"/>
      <c r="I148" s="2"/>
      <c r="J148" s="2"/>
      <c r="K148" s="2"/>
      <c r="L148" s="2"/>
      <c r="M148" s="2"/>
      <c r="N148" s="2"/>
      <c r="O148" s="2"/>
      <c r="P148" s="2"/>
      <c r="Q148" s="2"/>
      <c r="R148" s="2"/>
      <c r="S148" s="2"/>
      <c r="T148" s="2"/>
      <c r="U148" s="2"/>
      <c r="V148" s="2"/>
      <c r="W148" s="158"/>
      <c r="X148" s="2"/>
      <c r="Y148" s="2"/>
      <c r="Z148" s="2"/>
    </row>
    <row r="149" spans="1:26" ht="13.5" customHeight="1">
      <c r="A149" s="2"/>
      <c r="B149" s="2"/>
      <c r="C149" s="2"/>
      <c r="D149" s="2"/>
      <c r="E149" s="2"/>
      <c r="F149" s="2"/>
      <c r="G149" s="2"/>
      <c r="H149" s="2"/>
      <c r="I149" s="2"/>
      <c r="J149" s="2"/>
      <c r="K149" s="2"/>
      <c r="L149" s="2"/>
      <c r="M149" s="2"/>
      <c r="N149" s="2"/>
      <c r="O149" s="2"/>
      <c r="P149" s="2"/>
      <c r="Q149" s="2"/>
      <c r="R149" s="2"/>
      <c r="S149" s="2"/>
      <c r="T149" s="2"/>
      <c r="U149" s="2"/>
      <c r="V149" s="2"/>
      <c r="W149" s="158"/>
      <c r="X149" s="2"/>
      <c r="Y149" s="2"/>
      <c r="Z149" s="2"/>
    </row>
    <row r="150" spans="1:26" ht="13.5" customHeight="1">
      <c r="A150" s="2"/>
      <c r="B150" s="2"/>
      <c r="C150" s="2"/>
      <c r="D150" s="2"/>
      <c r="E150" s="2"/>
      <c r="F150" s="2"/>
      <c r="G150" s="2"/>
      <c r="H150" s="2"/>
      <c r="I150" s="2"/>
      <c r="J150" s="2"/>
      <c r="K150" s="2"/>
      <c r="L150" s="2"/>
      <c r="M150" s="2"/>
      <c r="N150" s="2"/>
      <c r="O150" s="2"/>
      <c r="P150" s="2"/>
      <c r="Q150" s="2"/>
      <c r="R150" s="2"/>
      <c r="S150" s="2"/>
      <c r="T150" s="2"/>
      <c r="U150" s="2"/>
      <c r="V150" s="2"/>
      <c r="W150" s="158"/>
      <c r="X150" s="2"/>
      <c r="Y150" s="2"/>
      <c r="Z150" s="2"/>
    </row>
    <row r="151" spans="1:26" ht="13.5" customHeight="1">
      <c r="A151" s="2"/>
      <c r="B151" s="2"/>
      <c r="C151" s="2"/>
      <c r="D151" s="2"/>
      <c r="E151" s="2"/>
      <c r="F151" s="2"/>
      <c r="G151" s="2"/>
      <c r="H151" s="2"/>
      <c r="I151" s="2"/>
      <c r="J151" s="2"/>
      <c r="K151" s="2"/>
      <c r="L151" s="2"/>
      <c r="M151" s="2"/>
      <c r="N151" s="2"/>
      <c r="O151" s="2"/>
      <c r="P151" s="2"/>
      <c r="Q151" s="2"/>
      <c r="R151" s="2"/>
      <c r="S151" s="2"/>
      <c r="T151" s="2"/>
      <c r="U151" s="2"/>
      <c r="V151" s="2"/>
      <c r="W151" s="158"/>
      <c r="X151" s="2"/>
      <c r="Y151" s="2"/>
      <c r="Z151" s="2"/>
    </row>
    <row r="152" spans="1:26" ht="13.5" customHeight="1">
      <c r="A152" s="2"/>
      <c r="B152" s="2"/>
      <c r="C152" s="2"/>
      <c r="D152" s="2"/>
      <c r="E152" s="2"/>
      <c r="F152" s="2"/>
      <c r="G152" s="2"/>
      <c r="H152" s="2"/>
      <c r="I152" s="2"/>
      <c r="J152" s="2"/>
      <c r="K152" s="2"/>
      <c r="L152" s="2"/>
      <c r="M152" s="2"/>
      <c r="N152" s="2"/>
      <c r="O152" s="2"/>
      <c r="P152" s="2"/>
      <c r="Q152" s="2"/>
      <c r="R152" s="2"/>
      <c r="S152" s="2"/>
      <c r="T152" s="2"/>
      <c r="U152" s="2"/>
      <c r="V152" s="2"/>
      <c r="W152" s="158"/>
      <c r="X152" s="2"/>
      <c r="Y152" s="2"/>
      <c r="Z152" s="2"/>
    </row>
    <row r="153" spans="1:26" ht="13.5" customHeight="1">
      <c r="A153" s="2"/>
      <c r="B153" s="2"/>
      <c r="C153" s="2"/>
      <c r="D153" s="2"/>
      <c r="E153" s="2"/>
      <c r="F153" s="2"/>
      <c r="G153" s="2"/>
      <c r="H153" s="2"/>
      <c r="I153" s="2"/>
      <c r="J153" s="2"/>
      <c r="K153" s="2"/>
      <c r="L153" s="2"/>
      <c r="M153" s="2"/>
      <c r="N153" s="2"/>
      <c r="O153" s="2"/>
      <c r="P153" s="2"/>
      <c r="Q153" s="2"/>
      <c r="R153" s="2"/>
      <c r="S153" s="2"/>
      <c r="T153" s="2"/>
      <c r="U153" s="2"/>
      <c r="V153" s="2"/>
      <c r="W153" s="158"/>
      <c r="X153" s="2"/>
      <c r="Y153" s="2"/>
      <c r="Z153" s="2"/>
    </row>
    <row r="154" spans="1:26" ht="13.5" customHeight="1">
      <c r="A154" s="2"/>
      <c r="B154" s="2"/>
      <c r="C154" s="2"/>
      <c r="D154" s="2"/>
      <c r="E154" s="2"/>
      <c r="F154" s="2"/>
      <c r="G154" s="2"/>
      <c r="H154" s="2"/>
      <c r="I154" s="2"/>
      <c r="J154" s="2"/>
      <c r="K154" s="2"/>
      <c r="L154" s="2"/>
      <c r="M154" s="2"/>
      <c r="N154" s="2"/>
      <c r="O154" s="2"/>
      <c r="P154" s="2"/>
      <c r="Q154" s="2"/>
      <c r="R154" s="2"/>
      <c r="S154" s="2"/>
      <c r="T154" s="2"/>
      <c r="U154" s="2"/>
      <c r="V154" s="2"/>
      <c r="W154" s="158"/>
      <c r="X154" s="2"/>
      <c r="Y154" s="2"/>
      <c r="Z154" s="2"/>
    </row>
    <row r="155" spans="1:26" ht="13.5" customHeight="1">
      <c r="A155" s="2"/>
      <c r="B155" s="2"/>
      <c r="C155" s="2"/>
      <c r="D155" s="2"/>
      <c r="E155" s="2"/>
      <c r="F155" s="2"/>
      <c r="G155" s="2"/>
      <c r="H155" s="2"/>
      <c r="I155" s="2"/>
      <c r="J155" s="2"/>
      <c r="K155" s="2"/>
      <c r="L155" s="2"/>
      <c r="M155" s="2"/>
      <c r="N155" s="2"/>
      <c r="O155" s="2"/>
      <c r="P155" s="2"/>
      <c r="Q155" s="2"/>
      <c r="R155" s="2"/>
      <c r="S155" s="2"/>
      <c r="T155" s="2"/>
      <c r="U155" s="2"/>
      <c r="V155" s="2"/>
      <c r="W155" s="158"/>
      <c r="X155" s="2"/>
      <c r="Y155" s="2"/>
      <c r="Z155" s="2"/>
    </row>
    <row r="156" spans="1:26" ht="13.5" customHeight="1">
      <c r="A156" s="2"/>
      <c r="B156" s="2"/>
      <c r="C156" s="2"/>
      <c r="D156" s="2"/>
      <c r="E156" s="2"/>
      <c r="F156" s="2"/>
      <c r="G156" s="2"/>
      <c r="H156" s="2"/>
      <c r="I156" s="2"/>
      <c r="J156" s="2"/>
      <c r="K156" s="2"/>
      <c r="L156" s="2"/>
      <c r="M156" s="2"/>
      <c r="N156" s="2"/>
      <c r="O156" s="2"/>
      <c r="P156" s="2"/>
      <c r="Q156" s="2"/>
      <c r="R156" s="2"/>
      <c r="S156" s="2"/>
      <c r="T156" s="2"/>
      <c r="U156" s="2"/>
      <c r="V156" s="2"/>
      <c r="W156" s="158"/>
      <c r="X156" s="2"/>
      <c r="Y156" s="2"/>
      <c r="Z156" s="2"/>
    </row>
    <row r="157" spans="1:26" ht="13.5" customHeight="1">
      <c r="A157" s="2"/>
      <c r="B157" s="2"/>
      <c r="C157" s="2"/>
      <c r="D157" s="2"/>
      <c r="E157" s="2"/>
      <c r="F157" s="2"/>
      <c r="G157" s="2"/>
      <c r="H157" s="2"/>
      <c r="I157" s="2"/>
      <c r="J157" s="2"/>
      <c r="K157" s="2"/>
      <c r="L157" s="2"/>
      <c r="M157" s="2"/>
      <c r="N157" s="2"/>
      <c r="O157" s="2"/>
      <c r="P157" s="2"/>
      <c r="Q157" s="2"/>
      <c r="R157" s="2"/>
      <c r="S157" s="2"/>
      <c r="T157" s="2"/>
      <c r="U157" s="2"/>
      <c r="V157" s="2"/>
      <c r="W157" s="158"/>
      <c r="X157" s="2"/>
      <c r="Y157" s="2"/>
      <c r="Z157" s="2"/>
    </row>
    <row r="158" spans="1:26" ht="13.5" customHeight="1">
      <c r="A158" s="2"/>
      <c r="B158" s="2"/>
      <c r="C158" s="2"/>
      <c r="D158" s="2"/>
      <c r="E158" s="2"/>
      <c r="F158" s="2"/>
      <c r="G158" s="2"/>
      <c r="H158" s="2"/>
      <c r="I158" s="2"/>
      <c r="J158" s="2"/>
      <c r="K158" s="2"/>
      <c r="L158" s="2"/>
      <c r="M158" s="2"/>
      <c r="N158" s="2"/>
      <c r="O158" s="2"/>
      <c r="P158" s="2"/>
      <c r="Q158" s="2"/>
      <c r="R158" s="2"/>
      <c r="S158" s="2"/>
      <c r="T158" s="2"/>
      <c r="U158" s="2"/>
      <c r="V158" s="2"/>
      <c r="W158" s="158"/>
      <c r="X158" s="2"/>
      <c r="Y158" s="2"/>
      <c r="Z158" s="2"/>
    </row>
    <row r="159" spans="1:26" ht="13.5" customHeight="1">
      <c r="A159" s="2"/>
      <c r="B159" s="2"/>
      <c r="C159" s="2"/>
      <c r="D159" s="2"/>
      <c r="E159" s="2"/>
      <c r="F159" s="2"/>
      <c r="G159" s="2"/>
      <c r="H159" s="2"/>
      <c r="I159" s="2"/>
      <c r="J159" s="2"/>
      <c r="K159" s="2"/>
      <c r="L159" s="2"/>
      <c r="M159" s="2"/>
      <c r="N159" s="2"/>
      <c r="O159" s="2"/>
      <c r="P159" s="2"/>
      <c r="Q159" s="2"/>
      <c r="R159" s="2"/>
      <c r="S159" s="2"/>
      <c r="T159" s="2"/>
      <c r="U159" s="2"/>
      <c r="V159" s="2"/>
      <c r="W159" s="158"/>
      <c r="X159" s="2"/>
      <c r="Y159" s="2"/>
      <c r="Z159" s="2"/>
    </row>
    <row r="160" spans="1:26" ht="13.5" customHeight="1">
      <c r="A160" s="2"/>
      <c r="B160" s="2"/>
      <c r="C160" s="2"/>
      <c r="D160" s="2"/>
      <c r="E160" s="2"/>
      <c r="F160" s="2"/>
      <c r="G160" s="2"/>
      <c r="H160" s="2"/>
      <c r="I160" s="2"/>
      <c r="J160" s="2"/>
      <c r="K160" s="2"/>
      <c r="L160" s="2"/>
      <c r="M160" s="2"/>
      <c r="N160" s="2"/>
      <c r="O160" s="2"/>
      <c r="P160" s="2"/>
      <c r="Q160" s="2"/>
      <c r="R160" s="2"/>
      <c r="S160" s="2"/>
      <c r="T160" s="2"/>
      <c r="U160" s="2"/>
      <c r="V160" s="2"/>
      <c r="W160" s="158"/>
      <c r="X160" s="2"/>
      <c r="Y160" s="2"/>
      <c r="Z160" s="2"/>
    </row>
    <row r="161" spans="1:26" ht="13.5" customHeight="1">
      <c r="A161" s="2"/>
      <c r="B161" s="2"/>
      <c r="C161" s="2"/>
      <c r="D161" s="2"/>
      <c r="E161" s="2"/>
      <c r="F161" s="2"/>
      <c r="G161" s="2"/>
      <c r="H161" s="2"/>
      <c r="I161" s="2"/>
      <c r="J161" s="2"/>
      <c r="K161" s="2"/>
      <c r="L161" s="2"/>
      <c r="M161" s="2"/>
      <c r="N161" s="2"/>
      <c r="O161" s="2"/>
      <c r="P161" s="2"/>
      <c r="Q161" s="2"/>
      <c r="R161" s="2"/>
      <c r="S161" s="2"/>
      <c r="T161" s="2"/>
      <c r="U161" s="2"/>
      <c r="V161" s="2"/>
      <c r="W161" s="158"/>
      <c r="X161" s="2"/>
      <c r="Y161" s="2"/>
      <c r="Z161" s="2"/>
    </row>
    <row r="162" spans="1:26" ht="13.5" customHeight="1">
      <c r="A162" s="2"/>
      <c r="B162" s="2"/>
      <c r="C162" s="2"/>
      <c r="D162" s="2"/>
      <c r="E162" s="2"/>
      <c r="F162" s="2"/>
      <c r="G162" s="2"/>
      <c r="H162" s="2"/>
      <c r="I162" s="2"/>
      <c r="J162" s="2"/>
      <c r="K162" s="2"/>
      <c r="L162" s="2"/>
      <c r="M162" s="2"/>
      <c r="N162" s="2"/>
      <c r="O162" s="2"/>
      <c r="P162" s="2"/>
      <c r="Q162" s="2"/>
      <c r="R162" s="2"/>
      <c r="S162" s="2"/>
      <c r="T162" s="2"/>
      <c r="U162" s="2"/>
      <c r="V162" s="2"/>
      <c r="W162" s="158"/>
      <c r="X162" s="2"/>
      <c r="Y162" s="2"/>
      <c r="Z162" s="2"/>
    </row>
    <row r="163" spans="1:26" ht="13.5" customHeight="1">
      <c r="A163" s="2"/>
      <c r="B163" s="2"/>
      <c r="C163" s="2"/>
      <c r="D163" s="2"/>
      <c r="E163" s="2"/>
      <c r="F163" s="2"/>
      <c r="G163" s="2"/>
      <c r="H163" s="2"/>
      <c r="I163" s="2"/>
      <c r="J163" s="2"/>
      <c r="K163" s="2"/>
      <c r="L163" s="2"/>
      <c r="M163" s="2"/>
      <c r="N163" s="2"/>
      <c r="O163" s="2"/>
      <c r="P163" s="2"/>
      <c r="Q163" s="2"/>
      <c r="R163" s="2"/>
      <c r="S163" s="2"/>
      <c r="T163" s="2"/>
      <c r="U163" s="2"/>
      <c r="V163" s="2"/>
      <c r="W163" s="158"/>
      <c r="X163" s="2"/>
      <c r="Y163" s="2"/>
      <c r="Z163" s="2"/>
    </row>
    <row r="164" spans="1:26" ht="13.5" customHeight="1">
      <c r="A164" s="2"/>
      <c r="B164" s="2"/>
      <c r="C164" s="2"/>
      <c r="D164" s="2"/>
      <c r="E164" s="2"/>
      <c r="F164" s="2"/>
      <c r="G164" s="2"/>
      <c r="H164" s="2"/>
      <c r="I164" s="2"/>
      <c r="J164" s="2"/>
      <c r="K164" s="2"/>
      <c r="L164" s="2"/>
      <c r="M164" s="2"/>
      <c r="N164" s="2"/>
      <c r="O164" s="2"/>
      <c r="P164" s="2"/>
      <c r="Q164" s="2"/>
      <c r="R164" s="2"/>
      <c r="S164" s="2"/>
      <c r="T164" s="2"/>
      <c r="U164" s="2"/>
      <c r="V164" s="2"/>
      <c r="W164" s="158"/>
      <c r="X164" s="2"/>
      <c r="Y164" s="2"/>
      <c r="Z164" s="2"/>
    </row>
    <row r="165" spans="1:26" ht="13.5" customHeight="1">
      <c r="A165" s="2"/>
      <c r="B165" s="2"/>
      <c r="C165" s="2"/>
      <c r="D165" s="2"/>
      <c r="E165" s="2"/>
      <c r="F165" s="2"/>
      <c r="G165" s="2"/>
      <c r="H165" s="2"/>
      <c r="I165" s="2"/>
      <c r="J165" s="2"/>
      <c r="K165" s="2"/>
      <c r="L165" s="2"/>
      <c r="M165" s="2"/>
      <c r="N165" s="2"/>
      <c r="O165" s="2"/>
      <c r="P165" s="2"/>
      <c r="Q165" s="2"/>
      <c r="R165" s="2"/>
      <c r="S165" s="2"/>
      <c r="T165" s="2"/>
      <c r="U165" s="2"/>
      <c r="V165" s="2"/>
      <c r="W165" s="158"/>
      <c r="X165" s="2"/>
      <c r="Y165" s="2"/>
      <c r="Z165" s="2"/>
    </row>
    <row r="166" spans="1:26" ht="13.5" customHeight="1">
      <c r="A166" s="2"/>
      <c r="B166" s="2"/>
      <c r="C166" s="2"/>
      <c r="D166" s="2"/>
      <c r="E166" s="2"/>
      <c r="F166" s="2"/>
      <c r="G166" s="2"/>
      <c r="H166" s="2"/>
      <c r="I166" s="2"/>
      <c r="J166" s="2"/>
      <c r="K166" s="2"/>
      <c r="L166" s="2"/>
      <c r="M166" s="2"/>
      <c r="N166" s="2"/>
      <c r="O166" s="2"/>
      <c r="P166" s="2"/>
      <c r="Q166" s="2"/>
      <c r="R166" s="2"/>
      <c r="S166" s="2"/>
      <c r="T166" s="2"/>
      <c r="U166" s="2"/>
      <c r="V166" s="2"/>
      <c r="W166" s="158"/>
      <c r="X166" s="2"/>
      <c r="Y166" s="2"/>
      <c r="Z166" s="2"/>
    </row>
    <row r="167" spans="1:26" ht="13.5" customHeight="1">
      <c r="A167" s="2"/>
      <c r="B167" s="2"/>
      <c r="C167" s="2"/>
      <c r="D167" s="2"/>
      <c r="E167" s="2"/>
      <c r="F167" s="2"/>
      <c r="G167" s="2"/>
      <c r="H167" s="2"/>
      <c r="I167" s="2"/>
      <c r="J167" s="2"/>
      <c r="K167" s="2"/>
      <c r="L167" s="2"/>
      <c r="M167" s="2"/>
      <c r="N167" s="2"/>
      <c r="O167" s="2"/>
      <c r="P167" s="2"/>
      <c r="Q167" s="2"/>
      <c r="R167" s="2"/>
      <c r="S167" s="2"/>
      <c r="T167" s="2"/>
      <c r="U167" s="2"/>
      <c r="V167" s="2"/>
      <c r="W167" s="158"/>
      <c r="X167" s="2"/>
      <c r="Y167" s="2"/>
      <c r="Z167" s="2"/>
    </row>
    <row r="168" spans="1:26" ht="13.5" customHeight="1">
      <c r="A168" s="2"/>
      <c r="B168" s="2"/>
      <c r="C168" s="2"/>
      <c r="D168" s="2"/>
      <c r="E168" s="2"/>
      <c r="F168" s="2"/>
      <c r="G168" s="2"/>
      <c r="H168" s="2"/>
      <c r="I168" s="2"/>
      <c r="J168" s="2"/>
      <c r="K168" s="2"/>
      <c r="L168" s="2"/>
      <c r="M168" s="2"/>
      <c r="N168" s="2"/>
      <c r="O168" s="2"/>
      <c r="P168" s="2"/>
      <c r="Q168" s="2"/>
      <c r="R168" s="2"/>
      <c r="S168" s="2"/>
      <c r="T168" s="2"/>
      <c r="U168" s="2"/>
      <c r="V168" s="2"/>
      <c r="W168" s="158"/>
      <c r="X168" s="2"/>
      <c r="Y168" s="2"/>
      <c r="Z168" s="2"/>
    </row>
    <row r="169" spans="1:26" ht="13.5" customHeight="1">
      <c r="A169" s="2"/>
      <c r="B169" s="2"/>
      <c r="C169" s="2"/>
      <c r="D169" s="2"/>
      <c r="E169" s="2"/>
      <c r="F169" s="2"/>
      <c r="G169" s="2"/>
      <c r="H169" s="2"/>
      <c r="I169" s="2"/>
      <c r="J169" s="2"/>
      <c r="K169" s="2"/>
      <c r="L169" s="2"/>
      <c r="M169" s="2"/>
      <c r="N169" s="2"/>
      <c r="O169" s="2"/>
      <c r="P169" s="2"/>
      <c r="Q169" s="2"/>
      <c r="R169" s="2"/>
      <c r="S169" s="2"/>
      <c r="T169" s="2"/>
      <c r="U169" s="2"/>
      <c r="V169" s="2"/>
      <c r="W169" s="158"/>
      <c r="X169" s="2"/>
      <c r="Y169" s="2"/>
      <c r="Z169" s="2"/>
    </row>
    <row r="170" spans="1:26" ht="13.5" customHeight="1">
      <c r="A170" s="2"/>
      <c r="B170" s="2"/>
      <c r="C170" s="2"/>
      <c r="D170" s="2"/>
      <c r="E170" s="2"/>
      <c r="F170" s="2"/>
      <c r="G170" s="2"/>
      <c r="H170" s="2"/>
      <c r="I170" s="2"/>
      <c r="J170" s="2"/>
      <c r="K170" s="2"/>
      <c r="L170" s="2"/>
      <c r="M170" s="2"/>
      <c r="N170" s="2"/>
      <c r="O170" s="2"/>
      <c r="P170" s="2"/>
      <c r="Q170" s="2"/>
      <c r="R170" s="2"/>
      <c r="S170" s="2"/>
      <c r="T170" s="2"/>
      <c r="U170" s="2"/>
      <c r="V170" s="2"/>
      <c r="W170" s="158"/>
      <c r="X170" s="2"/>
      <c r="Y170" s="2"/>
      <c r="Z170" s="2"/>
    </row>
    <row r="171" spans="1:26" ht="13.5" customHeight="1">
      <c r="A171" s="2"/>
      <c r="B171" s="2"/>
      <c r="C171" s="2"/>
      <c r="D171" s="2"/>
      <c r="E171" s="2"/>
      <c r="F171" s="2"/>
      <c r="G171" s="2"/>
      <c r="H171" s="2"/>
      <c r="I171" s="2"/>
      <c r="J171" s="2"/>
      <c r="K171" s="2"/>
      <c r="L171" s="2"/>
      <c r="M171" s="2"/>
      <c r="N171" s="2"/>
      <c r="O171" s="2"/>
      <c r="P171" s="2"/>
      <c r="Q171" s="2"/>
      <c r="R171" s="2"/>
      <c r="S171" s="2"/>
      <c r="T171" s="2"/>
      <c r="U171" s="2"/>
      <c r="V171" s="2"/>
      <c r="W171" s="158"/>
      <c r="X171" s="2"/>
      <c r="Y171" s="2"/>
      <c r="Z171" s="2"/>
    </row>
    <row r="172" spans="1:26" ht="13.5" customHeight="1">
      <c r="A172" s="2"/>
      <c r="B172" s="2"/>
      <c r="C172" s="2"/>
      <c r="D172" s="2"/>
      <c r="E172" s="2"/>
      <c r="F172" s="2"/>
      <c r="G172" s="2"/>
      <c r="H172" s="2"/>
      <c r="I172" s="2"/>
      <c r="J172" s="2"/>
      <c r="K172" s="2"/>
      <c r="L172" s="2"/>
      <c r="M172" s="2"/>
      <c r="N172" s="2"/>
      <c r="O172" s="2"/>
      <c r="P172" s="2"/>
      <c r="Q172" s="2"/>
      <c r="R172" s="2"/>
      <c r="S172" s="2"/>
      <c r="T172" s="2"/>
      <c r="U172" s="2"/>
      <c r="V172" s="2"/>
      <c r="W172" s="158"/>
      <c r="X172" s="2"/>
      <c r="Y172" s="2"/>
      <c r="Z172" s="2"/>
    </row>
    <row r="173" spans="1:26" ht="13.5" customHeight="1">
      <c r="A173" s="2"/>
      <c r="B173" s="2"/>
      <c r="C173" s="2"/>
      <c r="D173" s="2"/>
      <c r="E173" s="2"/>
      <c r="F173" s="2"/>
      <c r="G173" s="2"/>
      <c r="H173" s="2"/>
      <c r="I173" s="2"/>
      <c r="J173" s="2"/>
      <c r="K173" s="2"/>
      <c r="L173" s="2"/>
      <c r="M173" s="2"/>
      <c r="N173" s="2"/>
      <c r="O173" s="2"/>
      <c r="P173" s="2"/>
      <c r="Q173" s="2"/>
      <c r="R173" s="2"/>
      <c r="S173" s="2"/>
      <c r="T173" s="2"/>
      <c r="U173" s="2"/>
      <c r="V173" s="2"/>
      <c r="W173" s="158"/>
      <c r="X173" s="2"/>
      <c r="Y173" s="2"/>
      <c r="Z173" s="2"/>
    </row>
    <row r="174" spans="1:26" ht="13.5" customHeight="1">
      <c r="A174" s="2"/>
      <c r="B174" s="2"/>
      <c r="C174" s="2"/>
      <c r="D174" s="2"/>
      <c r="E174" s="2"/>
      <c r="F174" s="2"/>
      <c r="G174" s="2"/>
      <c r="H174" s="2"/>
      <c r="I174" s="2"/>
      <c r="J174" s="2"/>
      <c r="K174" s="2"/>
      <c r="L174" s="2"/>
      <c r="M174" s="2"/>
      <c r="N174" s="2"/>
      <c r="O174" s="2"/>
      <c r="P174" s="2"/>
      <c r="Q174" s="2"/>
      <c r="R174" s="2"/>
      <c r="S174" s="2"/>
      <c r="T174" s="2"/>
      <c r="U174" s="2"/>
      <c r="V174" s="2"/>
      <c r="W174" s="158"/>
      <c r="X174" s="2"/>
      <c r="Y174" s="2"/>
      <c r="Z174" s="2"/>
    </row>
    <row r="175" spans="1:26" ht="13.5" customHeight="1">
      <c r="A175" s="2"/>
      <c r="B175" s="2"/>
      <c r="C175" s="2"/>
      <c r="D175" s="2"/>
      <c r="E175" s="2"/>
      <c r="F175" s="2"/>
      <c r="G175" s="2"/>
      <c r="H175" s="2"/>
      <c r="I175" s="2"/>
      <c r="J175" s="2"/>
      <c r="K175" s="2"/>
      <c r="L175" s="2"/>
      <c r="M175" s="2"/>
      <c r="N175" s="2"/>
      <c r="O175" s="2"/>
      <c r="P175" s="2"/>
      <c r="Q175" s="2"/>
      <c r="R175" s="2"/>
      <c r="S175" s="2"/>
      <c r="T175" s="2"/>
      <c r="U175" s="2"/>
      <c r="V175" s="2"/>
      <c r="W175" s="158"/>
      <c r="X175" s="2"/>
      <c r="Y175" s="2"/>
      <c r="Z175" s="2"/>
    </row>
    <row r="176" spans="1:26" ht="13.5" customHeight="1">
      <c r="A176" s="2"/>
      <c r="B176" s="2"/>
      <c r="C176" s="2"/>
      <c r="D176" s="2"/>
      <c r="E176" s="2"/>
      <c r="F176" s="2"/>
      <c r="G176" s="2"/>
      <c r="H176" s="2"/>
      <c r="I176" s="2"/>
      <c r="J176" s="2"/>
      <c r="K176" s="2"/>
      <c r="L176" s="2"/>
      <c r="M176" s="2"/>
      <c r="N176" s="2"/>
      <c r="O176" s="2"/>
      <c r="P176" s="2"/>
      <c r="Q176" s="2"/>
      <c r="R176" s="2"/>
      <c r="S176" s="2"/>
      <c r="T176" s="2"/>
      <c r="U176" s="2"/>
      <c r="V176" s="2"/>
      <c r="W176" s="158"/>
      <c r="X176" s="2"/>
      <c r="Y176" s="2"/>
      <c r="Z176" s="2"/>
    </row>
    <row r="177" spans="1:26" ht="13.5" customHeight="1">
      <c r="A177" s="2"/>
      <c r="B177" s="2"/>
      <c r="C177" s="2"/>
      <c r="D177" s="2"/>
      <c r="E177" s="2"/>
      <c r="F177" s="2"/>
      <c r="G177" s="2"/>
      <c r="H177" s="2"/>
      <c r="I177" s="2"/>
      <c r="J177" s="2"/>
      <c r="K177" s="2"/>
      <c r="L177" s="2"/>
      <c r="M177" s="2"/>
      <c r="N177" s="2"/>
      <c r="O177" s="2"/>
      <c r="P177" s="2"/>
      <c r="Q177" s="2"/>
      <c r="R177" s="2"/>
      <c r="S177" s="2"/>
      <c r="T177" s="2"/>
      <c r="U177" s="2"/>
      <c r="V177" s="2"/>
      <c r="W177" s="158"/>
      <c r="X177" s="2"/>
      <c r="Y177" s="2"/>
      <c r="Z177" s="2"/>
    </row>
    <row r="178" spans="1:26" ht="13.5" customHeight="1">
      <c r="A178" s="2"/>
      <c r="B178" s="2"/>
      <c r="C178" s="2"/>
      <c r="D178" s="2"/>
      <c r="E178" s="2"/>
      <c r="F178" s="2"/>
      <c r="G178" s="2"/>
      <c r="H178" s="2"/>
      <c r="I178" s="2"/>
      <c r="J178" s="2"/>
      <c r="K178" s="2"/>
      <c r="L178" s="2"/>
      <c r="M178" s="2"/>
      <c r="N178" s="2"/>
      <c r="O178" s="2"/>
      <c r="P178" s="2"/>
      <c r="Q178" s="2"/>
      <c r="R178" s="2"/>
      <c r="S178" s="2"/>
      <c r="T178" s="2"/>
      <c r="U178" s="2"/>
      <c r="V178" s="2"/>
      <c r="W178" s="158"/>
      <c r="X178" s="2"/>
      <c r="Y178" s="2"/>
      <c r="Z178" s="2"/>
    </row>
    <row r="179" spans="1:26" ht="13.5" customHeight="1">
      <c r="A179" s="2"/>
      <c r="B179" s="2"/>
      <c r="C179" s="2"/>
      <c r="D179" s="2"/>
      <c r="E179" s="2"/>
      <c r="F179" s="2"/>
      <c r="G179" s="2"/>
      <c r="H179" s="2"/>
      <c r="I179" s="2"/>
      <c r="J179" s="2"/>
      <c r="K179" s="2"/>
      <c r="L179" s="2"/>
      <c r="M179" s="2"/>
      <c r="N179" s="2"/>
      <c r="O179" s="2"/>
      <c r="P179" s="2"/>
      <c r="Q179" s="2"/>
      <c r="R179" s="2"/>
      <c r="S179" s="2"/>
      <c r="T179" s="2"/>
      <c r="U179" s="2"/>
      <c r="V179" s="2"/>
      <c r="W179" s="158"/>
      <c r="X179" s="2"/>
      <c r="Y179" s="2"/>
      <c r="Z179" s="2"/>
    </row>
    <row r="180" spans="1:26" ht="13.5" customHeight="1">
      <c r="A180" s="2"/>
      <c r="B180" s="2"/>
      <c r="C180" s="2"/>
      <c r="D180" s="2"/>
      <c r="E180" s="2"/>
      <c r="F180" s="2"/>
      <c r="G180" s="2"/>
      <c r="H180" s="2"/>
      <c r="I180" s="2"/>
      <c r="J180" s="2"/>
      <c r="K180" s="2"/>
      <c r="L180" s="2"/>
      <c r="M180" s="2"/>
      <c r="N180" s="2"/>
      <c r="O180" s="2"/>
      <c r="P180" s="2"/>
      <c r="Q180" s="2"/>
      <c r="R180" s="2"/>
      <c r="S180" s="2"/>
      <c r="T180" s="2"/>
      <c r="U180" s="2"/>
      <c r="V180" s="2"/>
      <c r="W180" s="158"/>
      <c r="X180" s="2"/>
      <c r="Y180" s="2"/>
      <c r="Z180" s="2"/>
    </row>
    <row r="181" spans="1:26" ht="13.5" customHeight="1">
      <c r="A181" s="2"/>
      <c r="B181" s="2"/>
      <c r="C181" s="2"/>
      <c r="D181" s="2"/>
      <c r="E181" s="2"/>
      <c r="F181" s="2"/>
      <c r="G181" s="2"/>
      <c r="H181" s="2"/>
      <c r="I181" s="2"/>
      <c r="J181" s="2"/>
      <c r="K181" s="2"/>
      <c r="L181" s="2"/>
      <c r="M181" s="2"/>
      <c r="N181" s="2"/>
      <c r="O181" s="2"/>
      <c r="P181" s="2"/>
      <c r="Q181" s="2"/>
      <c r="R181" s="2"/>
      <c r="S181" s="2"/>
      <c r="T181" s="2"/>
      <c r="U181" s="2"/>
      <c r="V181" s="2"/>
      <c r="W181" s="158"/>
      <c r="X181" s="2"/>
      <c r="Y181" s="2"/>
      <c r="Z181" s="2"/>
    </row>
    <row r="182" spans="1:26" ht="13.5" customHeight="1">
      <c r="A182" s="2"/>
      <c r="B182" s="2"/>
      <c r="C182" s="2"/>
      <c r="D182" s="2"/>
      <c r="E182" s="2"/>
      <c r="F182" s="2"/>
      <c r="G182" s="2"/>
      <c r="H182" s="2"/>
      <c r="I182" s="2"/>
      <c r="J182" s="2"/>
      <c r="K182" s="2"/>
      <c r="L182" s="2"/>
      <c r="M182" s="2"/>
      <c r="N182" s="2"/>
      <c r="O182" s="2"/>
      <c r="P182" s="2"/>
      <c r="Q182" s="2"/>
      <c r="R182" s="2"/>
      <c r="S182" s="2"/>
      <c r="T182" s="2"/>
      <c r="U182" s="2"/>
      <c r="V182" s="2"/>
      <c r="W182" s="158"/>
      <c r="X182" s="2"/>
      <c r="Y182" s="2"/>
      <c r="Z182" s="2"/>
    </row>
    <row r="183" spans="1:26" ht="13.5" customHeight="1">
      <c r="A183" s="2"/>
      <c r="B183" s="2"/>
      <c r="C183" s="2"/>
      <c r="D183" s="2"/>
      <c r="E183" s="2"/>
      <c r="F183" s="2"/>
      <c r="G183" s="2"/>
      <c r="H183" s="2"/>
      <c r="I183" s="2"/>
      <c r="J183" s="2"/>
      <c r="K183" s="2"/>
      <c r="L183" s="2"/>
      <c r="M183" s="2"/>
      <c r="N183" s="2"/>
      <c r="O183" s="2"/>
      <c r="P183" s="2"/>
      <c r="Q183" s="2"/>
      <c r="R183" s="2"/>
      <c r="S183" s="2"/>
      <c r="T183" s="2"/>
      <c r="U183" s="2"/>
      <c r="V183" s="2"/>
      <c r="W183" s="158"/>
      <c r="X183" s="2"/>
      <c r="Y183" s="2"/>
      <c r="Z183" s="2"/>
    </row>
    <row r="184" spans="1:26" ht="13.5" customHeight="1">
      <c r="A184" s="2"/>
      <c r="B184" s="2"/>
      <c r="C184" s="2"/>
      <c r="D184" s="2"/>
      <c r="E184" s="2"/>
      <c r="F184" s="2"/>
      <c r="G184" s="2"/>
      <c r="H184" s="2"/>
      <c r="I184" s="2"/>
      <c r="J184" s="2"/>
      <c r="K184" s="2"/>
      <c r="L184" s="2"/>
      <c r="M184" s="2"/>
      <c r="N184" s="2"/>
      <c r="O184" s="2"/>
      <c r="P184" s="2"/>
      <c r="Q184" s="2"/>
      <c r="R184" s="2"/>
      <c r="S184" s="2"/>
      <c r="T184" s="2"/>
      <c r="U184" s="2"/>
      <c r="V184" s="2"/>
      <c r="W184" s="158"/>
      <c r="X184" s="2"/>
      <c r="Y184" s="2"/>
      <c r="Z184" s="2"/>
    </row>
    <row r="185" spans="1:26" ht="13.5" customHeight="1">
      <c r="A185" s="2"/>
      <c r="B185" s="2"/>
      <c r="C185" s="2"/>
      <c r="D185" s="2"/>
      <c r="E185" s="2"/>
      <c r="F185" s="2"/>
      <c r="G185" s="2"/>
      <c r="H185" s="2"/>
      <c r="I185" s="2"/>
      <c r="J185" s="2"/>
      <c r="K185" s="2"/>
      <c r="L185" s="2"/>
      <c r="M185" s="2"/>
      <c r="N185" s="2"/>
      <c r="O185" s="2"/>
      <c r="P185" s="2"/>
      <c r="Q185" s="2"/>
      <c r="R185" s="2"/>
      <c r="S185" s="2"/>
      <c r="T185" s="2"/>
      <c r="U185" s="2"/>
      <c r="V185" s="2"/>
      <c r="W185" s="158"/>
      <c r="X185" s="2"/>
      <c r="Y185" s="2"/>
      <c r="Z185" s="2"/>
    </row>
    <row r="186" spans="1:26" ht="13.5" customHeight="1">
      <c r="A186" s="2"/>
      <c r="B186" s="2"/>
      <c r="C186" s="2"/>
      <c r="D186" s="2"/>
      <c r="E186" s="2"/>
      <c r="F186" s="2"/>
      <c r="G186" s="2"/>
      <c r="H186" s="2"/>
      <c r="I186" s="2"/>
      <c r="J186" s="2"/>
      <c r="K186" s="2"/>
      <c r="L186" s="2"/>
      <c r="M186" s="2"/>
      <c r="N186" s="2"/>
      <c r="O186" s="2"/>
      <c r="P186" s="2"/>
      <c r="Q186" s="2"/>
      <c r="R186" s="2"/>
      <c r="S186" s="2"/>
      <c r="T186" s="2"/>
      <c r="U186" s="2"/>
      <c r="V186" s="2"/>
      <c r="W186" s="158"/>
      <c r="X186" s="2"/>
      <c r="Y186" s="2"/>
      <c r="Z186" s="2"/>
    </row>
    <row r="187" spans="1:26" ht="13.5" customHeight="1">
      <c r="A187" s="2"/>
      <c r="B187" s="2"/>
      <c r="C187" s="2"/>
      <c r="D187" s="2"/>
      <c r="E187" s="2"/>
      <c r="F187" s="2"/>
      <c r="G187" s="2"/>
      <c r="H187" s="2"/>
      <c r="I187" s="2"/>
      <c r="J187" s="2"/>
      <c r="K187" s="2"/>
      <c r="L187" s="2"/>
      <c r="M187" s="2"/>
      <c r="N187" s="2"/>
      <c r="O187" s="2"/>
      <c r="P187" s="2"/>
      <c r="Q187" s="2"/>
      <c r="R187" s="2"/>
      <c r="S187" s="2"/>
      <c r="T187" s="2"/>
      <c r="U187" s="2"/>
      <c r="V187" s="2"/>
      <c r="W187" s="158"/>
      <c r="X187" s="2"/>
      <c r="Y187" s="2"/>
      <c r="Z187" s="2"/>
    </row>
    <row r="188" spans="1:26" ht="13.5" customHeight="1">
      <c r="A188" s="2"/>
      <c r="B188" s="2"/>
      <c r="C188" s="2"/>
      <c r="D188" s="2"/>
      <c r="E188" s="2"/>
      <c r="F188" s="2"/>
      <c r="G188" s="2"/>
      <c r="H188" s="2"/>
      <c r="I188" s="2"/>
      <c r="J188" s="2"/>
      <c r="K188" s="2"/>
      <c r="L188" s="2"/>
      <c r="M188" s="2"/>
      <c r="N188" s="2"/>
      <c r="O188" s="2"/>
      <c r="P188" s="2"/>
      <c r="Q188" s="2"/>
      <c r="R188" s="2"/>
      <c r="S188" s="2"/>
      <c r="T188" s="2"/>
      <c r="U188" s="2"/>
      <c r="V188" s="2"/>
      <c r="W188" s="158"/>
      <c r="X188" s="2"/>
      <c r="Y188" s="2"/>
      <c r="Z188" s="2"/>
    </row>
    <row r="189" spans="1:26" ht="13.5" customHeight="1">
      <c r="A189" s="2"/>
      <c r="B189" s="2"/>
      <c r="C189" s="2"/>
      <c r="D189" s="2"/>
      <c r="E189" s="2"/>
      <c r="F189" s="2"/>
      <c r="G189" s="2"/>
      <c r="H189" s="2"/>
      <c r="I189" s="2"/>
      <c r="J189" s="2"/>
      <c r="K189" s="2"/>
      <c r="L189" s="2"/>
      <c r="M189" s="2"/>
      <c r="N189" s="2"/>
      <c r="O189" s="2"/>
      <c r="P189" s="2"/>
      <c r="Q189" s="2"/>
      <c r="R189" s="2"/>
      <c r="S189" s="2"/>
      <c r="T189" s="2"/>
      <c r="U189" s="2"/>
      <c r="V189" s="2"/>
      <c r="W189" s="158"/>
      <c r="X189" s="2"/>
      <c r="Y189" s="2"/>
      <c r="Z189" s="2"/>
    </row>
    <row r="190" spans="1:26" ht="13.5" customHeight="1">
      <c r="A190" s="2"/>
      <c r="B190" s="2"/>
      <c r="C190" s="2"/>
      <c r="D190" s="2"/>
      <c r="E190" s="2"/>
      <c r="F190" s="2"/>
      <c r="G190" s="2"/>
      <c r="H190" s="2"/>
      <c r="I190" s="2"/>
      <c r="J190" s="2"/>
      <c r="K190" s="2"/>
      <c r="L190" s="2"/>
      <c r="M190" s="2"/>
      <c r="N190" s="2"/>
      <c r="O190" s="2"/>
      <c r="P190" s="2"/>
      <c r="Q190" s="2"/>
      <c r="R190" s="2"/>
      <c r="S190" s="2"/>
      <c r="T190" s="2"/>
      <c r="U190" s="2"/>
      <c r="V190" s="2"/>
      <c r="W190" s="158"/>
      <c r="X190" s="2"/>
      <c r="Y190" s="2"/>
      <c r="Z190" s="2"/>
    </row>
    <row r="191" spans="1:26" ht="13.5" customHeight="1">
      <c r="A191" s="2"/>
      <c r="B191" s="2"/>
      <c r="C191" s="2"/>
      <c r="D191" s="2"/>
      <c r="E191" s="2"/>
      <c r="F191" s="2"/>
      <c r="G191" s="2"/>
      <c r="H191" s="2"/>
      <c r="I191" s="2"/>
      <c r="J191" s="2"/>
      <c r="K191" s="2"/>
      <c r="L191" s="2"/>
      <c r="M191" s="2"/>
      <c r="N191" s="2"/>
      <c r="O191" s="2"/>
      <c r="P191" s="2"/>
      <c r="Q191" s="2"/>
      <c r="R191" s="2"/>
      <c r="S191" s="2"/>
      <c r="T191" s="2"/>
      <c r="U191" s="2"/>
      <c r="V191" s="2"/>
      <c r="W191" s="158"/>
      <c r="X191" s="2"/>
      <c r="Y191" s="2"/>
      <c r="Z191" s="2"/>
    </row>
    <row r="192" spans="1:26" ht="13.5" customHeight="1">
      <c r="A192" s="2"/>
      <c r="B192" s="2"/>
      <c r="C192" s="2"/>
      <c r="D192" s="2"/>
      <c r="E192" s="2"/>
      <c r="F192" s="2"/>
      <c r="G192" s="2"/>
      <c r="H192" s="2"/>
      <c r="I192" s="2"/>
      <c r="J192" s="2"/>
      <c r="K192" s="2"/>
      <c r="L192" s="2"/>
      <c r="M192" s="2"/>
      <c r="N192" s="2"/>
      <c r="O192" s="2"/>
      <c r="P192" s="2"/>
      <c r="Q192" s="2"/>
      <c r="R192" s="2"/>
      <c r="S192" s="2"/>
      <c r="T192" s="2"/>
      <c r="U192" s="2"/>
      <c r="V192" s="2"/>
      <c r="W192" s="158"/>
      <c r="X192" s="2"/>
      <c r="Y192" s="2"/>
      <c r="Z192" s="2"/>
    </row>
    <row r="193" spans="1:26" ht="13.5" customHeight="1">
      <c r="A193" s="2"/>
      <c r="B193" s="2"/>
      <c r="C193" s="2"/>
      <c r="D193" s="2"/>
      <c r="E193" s="2"/>
      <c r="F193" s="2"/>
      <c r="G193" s="2"/>
      <c r="H193" s="2"/>
      <c r="I193" s="2"/>
      <c r="J193" s="2"/>
      <c r="K193" s="2"/>
      <c r="L193" s="2"/>
      <c r="M193" s="2"/>
      <c r="N193" s="2"/>
      <c r="O193" s="2"/>
      <c r="P193" s="2"/>
      <c r="Q193" s="2"/>
      <c r="R193" s="2"/>
      <c r="S193" s="2"/>
      <c r="T193" s="2"/>
      <c r="U193" s="2"/>
      <c r="V193" s="2"/>
      <c r="W193" s="158"/>
      <c r="X193" s="2"/>
      <c r="Y193" s="2"/>
      <c r="Z193" s="2"/>
    </row>
    <row r="194" spans="1:26" ht="13.5" customHeight="1">
      <c r="A194" s="2"/>
      <c r="B194" s="2"/>
      <c r="C194" s="2"/>
      <c r="D194" s="2"/>
      <c r="E194" s="2"/>
      <c r="F194" s="2"/>
      <c r="G194" s="2"/>
      <c r="H194" s="2"/>
      <c r="I194" s="2"/>
      <c r="J194" s="2"/>
      <c r="K194" s="2"/>
      <c r="L194" s="2"/>
      <c r="M194" s="2"/>
      <c r="N194" s="2"/>
      <c r="O194" s="2"/>
      <c r="P194" s="2"/>
      <c r="Q194" s="2"/>
      <c r="R194" s="2"/>
      <c r="S194" s="2"/>
      <c r="T194" s="2"/>
      <c r="U194" s="2"/>
      <c r="V194" s="2"/>
      <c r="W194" s="158"/>
      <c r="X194" s="2"/>
      <c r="Y194" s="2"/>
      <c r="Z194" s="2"/>
    </row>
    <row r="195" spans="1:26" ht="13.5" customHeight="1">
      <c r="A195" s="2"/>
      <c r="B195" s="2"/>
      <c r="C195" s="2"/>
      <c r="D195" s="2"/>
      <c r="E195" s="2"/>
      <c r="F195" s="2"/>
      <c r="G195" s="2"/>
      <c r="H195" s="2"/>
      <c r="I195" s="2"/>
      <c r="J195" s="2"/>
      <c r="K195" s="2"/>
      <c r="L195" s="2"/>
      <c r="M195" s="2"/>
      <c r="N195" s="2"/>
      <c r="O195" s="2"/>
      <c r="P195" s="2"/>
      <c r="Q195" s="2"/>
      <c r="R195" s="2"/>
      <c r="S195" s="2"/>
      <c r="T195" s="2"/>
      <c r="U195" s="2"/>
      <c r="V195" s="2"/>
      <c r="W195" s="158"/>
      <c r="X195" s="2"/>
      <c r="Y195" s="2"/>
      <c r="Z195" s="2"/>
    </row>
    <row r="196" spans="1:26" ht="13.5" customHeight="1">
      <c r="A196" s="2"/>
      <c r="B196" s="2"/>
      <c r="C196" s="2"/>
      <c r="D196" s="2"/>
      <c r="E196" s="2"/>
      <c r="F196" s="2"/>
      <c r="G196" s="2"/>
      <c r="H196" s="2"/>
      <c r="I196" s="2"/>
      <c r="J196" s="2"/>
      <c r="K196" s="2"/>
      <c r="L196" s="2"/>
      <c r="M196" s="2"/>
      <c r="N196" s="2"/>
      <c r="O196" s="2"/>
      <c r="P196" s="2"/>
      <c r="Q196" s="2"/>
      <c r="R196" s="2"/>
      <c r="S196" s="2"/>
      <c r="T196" s="2"/>
      <c r="U196" s="2"/>
      <c r="V196" s="2"/>
      <c r="W196" s="158"/>
      <c r="X196" s="2"/>
      <c r="Y196" s="2"/>
      <c r="Z196" s="2"/>
    </row>
    <row r="197" spans="1:26" ht="13.5" customHeight="1">
      <c r="A197" s="2"/>
      <c r="B197" s="2"/>
      <c r="C197" s="2"/>
      <c r="D197" s="2"/>
      <c r="E197" s="2"/>
      <c r="F197" s="2"/>
      <c r="G197" s="2"/>
      <c r="H197" s="2"/>
      <c r="I197" s="2"/>
      <c r="J197" s="2"/>
      <c r="K197" s="2"/>
      <c r="L197" s="2"/>
      <c r="M197" s="2"/>
      <c r="N197" s="2"/>
      <c r="O197" s="2"/>
      <c r="P197" s="2"/>
      <c r="Q197" s="2"/>
      <c r="R197" s="2"/>
      <c r="S197" s="2"/>
      <c r="T197" s="2"/>
      <c r="U197" s="2"/>
      <c r="V197" s="2"/>
      <c r="W197" s="158"/>
      <c r="X197" s="2"/>
      <c r="Y197" s="2"/>
      <c r="Z197" s="2"/>
    </row>
    <row r="198" spans="1:26" ht="13.5" customHeight="1">
      <c r="A198" s="2"/>
      <c r="B198" s="2"/>
      <c r="C198" s="2"/>
      <c r="D198" s="2"/>
      <c r="E198" s="2"/>
      <c r="F198" s="2"/>
      <c r="G198" s="2"/>
      <c r="H198" s="2"/>
      <c r="I198" s="2"/>
      <c r="J198" s="2"/>
      <c r="K198" s="2"/>
      <c r="L198" s="2"/>
      <c r="M198" s="2"/>
      <c r="N198" s="2"/>
      <c r="O198" s="2"/>
      <c r="P198" s="2"/>
      <c r="Q198" s="2"/>
      <c r="R198" s="2"/>
      <c r="S198" s="2"/>
      <c r="T198" s="2"/>
      <c r="U198" s="2"/>
      <c r="V198" s="2"/>
      <c r="W198" s="158"/>
      <c r="X198" s="2"/>
      <c r="Y198" s="2"/>
      <c r="Z198" s="2"/>
    </row>
    <row r="199" spans="1:26" ht="13.5" customHeight="1">
      <c r="A199" s="2"/>
      <c r="B199" s="2"/>
      <c r="C199" s="2"/>
      <c r="D199" s="2"/>
      <c r="E199" s="2"/>
      <c r="F199" s="2"/>
      <c r="G199" s="2"/>
      <c r="H199" s="2"/>
      <c r="I199" s="2"/>
      <c r="J199" s="2"/>
      <c r="K199" s="2"/>
      <c r="L199" s="2"/>
      <c r="M199" s="2"/>
      <c r="N199" s="2"/>
      <c r="O199" s="2"/>
      <c r="P199" s="2"/>
      <c r="Q199" s="2"/>
      <c r="R199" s="2"/>
      <c r="S199" s="2"/>
      <c r="T199" s="2"/>
      <c r="U199" s="2"/>
      <c r="V199" s="2"/>
      <c r="W199" s="158"/>
      <c r="X199" s="2"/>
      <c r="Y199" s="2"/>
      <c r="Z199" s="2"/>
    </row>
    <row r="200" spans="1:26" ht="13.5" customHeight="1">
      <c r="A200" s="2"/>
      <c r="B200" s="2"/>
      <c r="C200" s="2"/>
      <c r="D200" s="2"/>
      <c r="E200" s="2"/>
      <c r="F200" s="2"/>
      <c r="G200" s="2"/>
      <c r="H200" s="2"/>
      <c r="I200" s="2"/>
      <c r="J200" s="2"/>
      <c r="K200" s="2"/>
      <c r="L200" s="2"/>
      <c r="M200" s="2"/>
      <c r="N200" s="2"/>
      <c r="O200" s="2"/>
      <c r="P200" s="2"/>
      <c r="Q200" s="2"/>
      <c r="R200" s="2"/>
      <c r="S200" s="2"/>
      <c r="T200" s="2"/>
      <c r="U200" s="2"/>
      <c r="V200" s="2"/>
      <c r="W200" s="158"/>
      <c r="X200" s="2"/>
      <c r="Y200" s="2"/>
      <c r="Z200" s="2"/>
    </row>
    <row r="201" spans="1:26" ht="13.5" customHeight="1">
      <c r="A201" s="2"/>
      <c r="B201" s="2"/>
      <c r="C201" s="2"/>
      <c r="D201" s="2"/>
      <c r="E201" s="2"/>
      <c r="F201" s="2"/>
      <c r="G201" s="2"/>
      <c r="H201" s="2"/>
      <c r="I201" s="2"/>
      <c r="J201" s="2"/>
      <c r="K201" s="2"/>
      <c r="L201" s="2"/>
      <c r="M201" s="2"/>
      <c r="N201" s="2"/>
      <c r="O201" s="2"/>
      <c r="P201" s="2"/>
      <c r="Q201" s="2"/>
      <c r="R201" s="2"/>
      <c r="S201" s="2"/>
      <c r="T201" s="2"/>
      <c r="U201" s="2"/>
      <c r="V201" s="2"/>
      <c r="W201" s="158"/>
      <c r="X201" s="2"/>
      <c r="Y201" s="2"/>
      <c r="Z201" s="2"/>
    </row>
    <row r="202" spans="1:26" ht="13.5" customHeight="1">
      <c r="A202" s="2"/>
      <c r="B202" s="2"/>
      <c r="C202" s="2"/>
      <c r="D202" s="2"/>
      <c r="E202" s="2"/>
      <c r="F202" s="2"/>
      <c r="G202" s="2"/>
      <c r="H202" s="2"/>
      <c r="I202" s="2"/>
      <c r="J202" s="2"/>
      <c r="K202" s="2"/>
      <c r="L202" s="2"/>
      <c r="M202" s="2"/>
      <c r="N202" s="2"/>
      <c r="O202" s="2"/>
      <c r="P202" s="2"/>
      <c r="Q202" s="2"/>
      <c r="R202" s="2"/>
      <c r="S202" s="2"/>
      <c r="T202" s="2"/>
      <c r="U202" s="2"/>
      <c r="V202" s="2"/>
      <c r="W202" s="158"/>
      <c r="X202" s="2"/>
      <c r="Y202" s="2"/>
      <c r="Z202" s="2"/>
    </row>
    <row r="203" spans="1:26" ht="13.5" customHeight="1">
      <c r="A203" s="2"/>
      <c r="B203" s="2"/>
      <c r="C203" s="2"/>
      <c r="D203" s="2"/>
      <c r="E203" s="2"/>
      <c r="F203" s="2"/>
      <c r="G203" s="2"/>
      <c r="H203" s="2"/>
      <c r="I203" s="2"/>
      <c r="J203" s="2"/>
      <c r="K203" s="2"/>
      <c r="L203" s="2"/>
      <c r="M203" s="2"/>
      <c r="N203" s="2"/>
      <c r="O203" s="2"/>
      <c r="P203" s="2"/>
      <c r="Q203" s="2"/>
      <c r="R203" s="2"/>
      <c r="S203" s="2"/>
      <c r="T203" s="2"/>
      <c r="U203" s="2"/>
      <c r="V203" s="2"/>
      <c r="W203" s="158"/>
      <c r="X203" s="2"/>
      <c r="Y203" s="2"/>
      <c r="Z203" s="2"/>
    </row>
    <row r="204" spans="1:26" ht="13.5" customHeight="1">
      <c r="A204" s="2"/>
      <c r="B204" s="2"/>
      <c r="C204" s="2"/>
      <c r="D204" s="2"/>
      <c r="E204" s="2"/>
      <c r="F204" s="2"/>
      <c r="G204" s="2"/>
      <c r="H204" s="2"/>
      <c r="I204" s="2"/>
      <c r="J204" s="2"/>
      <c r="K204" s="2"/>
      <c r="L204" s="2"/>
      <c r="M204" s="2"/>
      <c r="N204" s="2"/>
      <c r="O204" s="2"/>
      <c r="P204" s="2"/>
      <c r="Q204" s="2"/>
      <c r="R204" s="2"/>
      <c r="S204" s="2"/>
      <c r="T204" s="2"/>
      <c r="U204" s="2"/>
      <c r="V204" s="2"/>
      <c r="W204" s="158"/>
      <c r="X204" s="2"/>
      <c r="Y204" s="2"/>
      <c r="Z204" s="2"/>
    </row>
    <row r="205" spans="1:26" ht="13.5" customHeight="1">
      <c r="A205" s="2"/>
      <c r="B205" s="2"/>
      <c r="C205" s="2"/>
      <c r="D205" s="2"/>
      <c r="E205" s="2"/>
      <c r="F205" s="2"/>
      <c r="G205" s="2"/>
      <c r="H205" s="2"/>
      <c r="I205" s="2"/>
      <c r="J205" s="2"/>
      <c r="K205" s="2"/>
      <c r="L205" s="2"/>
      <c r="M205" s="2"/>
      <c r="N205" s="2"/>
      <c r="O205" s="2"/>
      <c r="P205" s="2"/>
      <c r="Q205" s="2"/>
      <c r="R205" s="2"/>
      <c r="S205" s="2"/>
      <c r="T205" s="2"/>
      <c r="U205" s="2"/>
      <c r="V205" s="2"/>
      <c r="W205" s="158"/>
      <c r="X205" s="2"/>
      <c r="Y205" s="2"/>
      <c r="Z205" s="2"/>
    </row>
    <row r="206" spans="1:26" ht="13.5" customHeight="1">
      <c r="A206" s="2"/>
      <c r="B206" s="2"/>
      <c r="C206" s="2"/>
      <c r="D206" s="2"/>
      <c r="E206" s="2"/>
      <c r="F206" s="2"/>
      <c r="G206" s="2"/>
      <c r="H206" s="2"/>
      <c r="I206" s="2"/>
      <c r="J206" s="2"/>
      <c r="K206" s="2"/>
      <c r="L206" s="2"/>
      <c r="M206" s="2"/>
      <c r="N206" s="2"/>
      <c r="O206" s="2"/>
      <c r="P206" s="2"/>
      <c r="Q206" s="2"/>
      <c r="R206" s="2"/>
      <c r="S206" s="2"/>
      <c r="T206" s="2"/>
      <c r="U206" s="2"/>
      <c r="V206" s="2"/>
      <c r="W206" s="158"/>
      <c r="X206" s="2"/>
      <c r="Y206" s="2"/>
      <c r="Z206" s="2"/>
    </row>
    <row r="207" spans="1:26" ht="13.5" customHeight="1">
      <c r="A207" s="2"/>
      <c r="B207" s="2"/>
      <c r="C207" s="2"/>
      <c r="D207" s="2"/>
      <c r="E207" s="2"/>
      <c r="F207" s="2"/>
      <c r="G207" s="2"/>
      <c r="H207" s="2"/>
      <c r="I207" s="2"/>
      <c r="J207" s="2"/>
      <c r="K207" s="2"/>
      <c r="L207" s="2"/>
      <c r="M207" s="2"/>
      <c r="N207" s="2"/>
      <c r="O207" s="2"/>
      <c r="P207" s="2"/>
      <c r="Q207" s="2"/>
      <c r="R207" s="2"/>
      <c r="S207" s="2"/>
      <c r="T207" s="2"/>
      <c r="U207" s="2"/>
      <c r="V207" s="2"/>
      <c r="W207" s="158"/>
      <c r="X207" s="2"/>
      <c r="Y207" s="2"/>
      <c r="Z207" s="2"/>
    </row>
    <row r="208" spans="1:26" ht="13.5" customHeight="1">
      <c r="A208" s="2"/>
      <c r="B208" s="2"/>
      <c r="C208" s="2"/>
      <c r="D208" s="2"/>
      <c r="E208" s="2"/>
      <c r="F208" s="2"/>
      <c r="G208" s="2"/>
      <c r="H208" s="2"/>
      <c r="I208" s="2"/>
      <c r="J208" s="2"/>
      <c r="K208" s="2"/>
      <c r="L208" s="2"/>
      <c r="M208" s="2"/>
      <c r="N208" s="2"/>
      <c r="O208" s="2"/>
      <c r="P208" s="2"/>
      <c r="Q208" s="2"/>
      <c r="R208" s="2"/>
      <c r="S208" s="2"/>
      <c r="T208" s="2"/>
      <c r="U208" s="2"/>
      <c r="V208" s="2"/>
      <c r="W208" s="158"/>
      <c r="X208" s="2"/>
      <c r="Y208" s="2"/>
      <c r="Z208" s="2"/>
    </row>
    <row r="209" spans="1:26" ht="13.5" customHeight="1">
      <c r="A209" s="2"/>
      <c r="B209" s="2"/>
      <c r="C209" s="2"/>
      <c r="D209" s="2"/>
      <c r="E209" s="2"/>
      <c r="F209" s="2"/>
      <c r="G209" s="2"/>
      <c r="H209" s="2"/>
      <c r="I209" s="2"/>
      <c r="J209" s="2"/>
      <c r="K209" s="2"/>
      <c r="L209" s="2"/>
      <c r="M209" s="2"/>
      <c r="N209" s="2"/>
      <c r="O209" s="2"/>
      <c r="P209" s="2"/>
      <c r="Q209" s="2"/>
      <c r="R209" s="2"/>
      <c r="S209" s="2"/>
      <c r="T209" s="2"/>
      <c r="U209" s="2"/>
      <c r="V209" s="2"/>
      <c r="W209" s="158"/>
      <c r="X209" s="2"/>
      <c r="Y209" s="2"/>
      <c r="Z209" s="2"/>
    </row>
    <row r="210" spans="1:26" ht="13.5" customHeight="1">
      <c r="A210" s="2"/>
      <c r="B210" s="2"/>
      <c r="C210" s="2"/>
      <c r="D210" s="2"/>
      <c r="E210" s="2"/>
      <c r="F210" s="2"/>
      <c r="G210" s="2"/>
      <c r="H210" s="2"/>
      <c r="I210" s="2"/>
      <c r="J210" s="2"/>
      <c r="K210" s="2"/>
      <c r="L210" s="2"/>
      <c r="M210" s="2"/>
      <c r="N210" s="2"/>
      <c r="O210" s="2"/>
      <c r="P210" s="2"/>
      <c r="Q210" s="2"/>
      <c r="R210" s="2"/>
      <c r="S210" s="2"/>
      <c r="T210" s="2"/>
      <c r="U210" s="2"/>
      <c r="V210" s="2"/>
      <c r="W210" s="158"/>
      <c r="X210" s="2"/>
      <c r="Y210" s="2"/>
      <c r="Z210" s="2"/>
    </row>
    <row r="211" spans="1:26" ht="13.5" customHeight="1">
      <c r="A211" s="2"/>
      <c r="B211" s="2"/>
      <c r="C211" s="2"/>
      <c r="D211" s="2"/>
      <c r="E211" s="2"/>
      <c r="F211" s="2"/>
      <c r="G211" s="2"/>
      <c r="H211" s="2"/>
      <c r="I211" s="2"/>
      <c r="J211" s="2"/>
      <c r="K211" s="2"/>
      <c r="L211" s="2"/>
      <c r="M211" s="2"/>
      <c r="N211" s="2"/>
      <c r="O211" s="2"/>
      <c r="P211" s="2"/>
      <c r="Q211" s="2"/>
      <c r="R211" s="2"/>
      <c r="S211" s="2"/>
      <c r="T211" s="2"/>
      <c r="U211" s="2"/>
      <c r="V211" s="2"/>
      <c r="W211" s="158"/>
      <c r="X211" s="2"/>
      <c r="Y211" s="2"/>
      <c r="Z211" s="2"/>
    </row>
    <row r="212" spans="1:26" ht="13.5" customHeight="1">
      <c r="A212" s="2"/>
      <c r="B212" s="2"/>
      <c r="C212" s="2"/>
      <c r="D212" s="2"/>
      <c r="E212" s="2"/>
      <c r="F212" s="2"/>
      <c r="G212" s="2"/>
      <c r="H212" s="2"/>
      <c r="I212" s="2"/>
      <c r="J212" s="2"/>
      <c r="K212" s="2"/>
      <c r="L212" s="2"/>
      <c r="M212" s="2"/>
      <c r="N212" s="2"/>
      <c r="O212" s="2"/>
      <c r="P212" s="2"/>
      <c r="Q212" s="2"/>
      <c r="R212" s="2"/>
      <c r="S212" s="2"/>
      <c r="T212" s="2"/>
      <c r="U212" s="2"/>
      <c r="V212" s="2"/>
      <c r="W212" s="158"/>
      <c r="X212" s="2"/>
      <c r="Y212" s="2"/>
      <c r="Z212" s="2"/>
    </row>
    <row r="213" spans="1:26" ht="13.5" customHeight="1">
      <c r="A213" s="2"/>
      <c r="B213" s="2"/>
      <c r="C213" s="2"/>
      <c r="D213" s="2"/>
      <c r="E213" s="2"/>
      <c r="F213" s="2"/>
      <c r="G213" s="2"/>
      <c r="H213" s="2"/>
      <c r="I213" s="2"/>
      <c r="J213" s="2"/>
      <c r="K213" s="2"/>
      <c r="L213" s="2"/>
      <c r="M213" s="2"/>
      <c r="N213" s="2"/>
      <c r="O213" s="2"/>
      <c r="P213" s="2"/>
      <c r="Q213" s="2"/>
      <c r="R213" s="2"/>
      <c r="S213" s="2"/>
      <c r="T213" s="2"/>
      <c r="U213" s="2"/>
      <c r="V213" s="2"/>
      <c r="W213" s="158"/>
      <c r="X213" s="2"/>
      <c r="Y213" s="2"/>
      <c r="Z213" s="2"/>
    </row>
    <row r="214" spans="1:26" ht="13.5" customHeight="1">
      <c r="A214" s="2"/>
      <c r="B214" s="2"/>
      <c r="C214" s="2"/>
      <c r="D214" s="2"/>
      <c r="E214" s="2"/>
      <c r="F214" s="2"/>
      <c r="G214" s="2"/>
      <c r="H214" s="2"/>
      <c r="I214" s="2"/>
      <c r="J214" s="2"/>
      <c r="K214" s="2"/>
      <c r="L214" s="2"/>
      <c r="M214" s="2"/>
      <c r="N214" s="2"/>
      <c r="O214" s="2"/>
      <c r="P214" s="2"/>
      <c r="Q214" s="2"/>
      <c r="R214" s="2"/>
      <c r="S214" s="2"/>
      <c r="T214" s="2"/>
      <c r="U214" s="2"/>
      <c r="V214" s="2"/>
      <c r="W214" s="158"/>
      <c r="X214" s="2"/>
      <c r="Y214" s="2"/>
      <c r="Z214" s="2"/>
    </row>
    <row r="215" spans="1:26" ht="13.5" customHeight="1">
      <c r="A215" s="2"/>
      <c r="B215" s="2"/>
      <c r="C215" s="2"/>
      <c r="D215" s="2"/>
      <c r="E215" s="2"/>
      <c r="F215" s="2"/>
      <c r="G215" s="2"/>
      <c r="H215" s="2"/>
      <c r="I215" s="2"/>
      <c r="J215" s="2"/>
      <c r="K215" s="2"/>
      <c r="L215" s="2"/>
      <c r="M215" s="2"/>
      <c r="N215" s="2"/>
      <c r="O215" s="2"/>
      <c r="P215" s="2"/>
      <c r="Q215" s="2"/>
      <c r="R215" s="2"/>
      <c r="S215" s="2"/>
      <c r="T215" s="2"/>
      <c r="U215" s="2"/>
      <c r="V215" s="2"/>
      <c r="W215" s="158"/>
      <c r="X215" s="2"/>
      <c r="Y215" s="2"/>
      <c r="Z215" s="2"/>
    </row>
    <row r="216" spans="1:26" ht="13.5" customHeight="1">
      <c r="A216" s="2"/>
      <c r="B216" s="2"/>
      <c r="C216" s="2"/>
      <c r="D216" s="2"/>
      <c r="E216" s="2"/>
      <c r="F216" s="2"/>
      <c r="G216" s="2"/>
      <c r="H216" s="2"/>
      <c r="I216" s="2"/>
      <c r="J216" s="2"/>
      <c r="K216" s="2"/>
      <c r="L216" s="2"/>
      <c r="M216" s="2"/>
      <c r="N216" s="2"/>
      <c r="O216" s="2"/>
      <c r="P216" s="2"/>
      <c r="Q216" s="2"/>
      <c r="R216" s="2"/>
      <c r="S216" s="2"/>
      <c r="T216" s="2"/>
      <c r="U216" s="2"/>
      <c r="V216" s="2"/>
      <c r="W216" s="158"/>
      <c r="X216" s="2"/>
      <c r="Y216" s="2"/>
      <c r="Z216" s="2"/>
    </row>
    <row r="217" spans="1:26" ht="13.5" customHeight="1">
      <c r="A217" s="2"/>
      <c r="B217" s="2"/>
      <c r="C217" s="2"/>
      <c r="D217" s="2"/>
      <c r="E217" s="2"/>
      <c r="F217" s="2"/>
      <c r="G217" s="2"/>
      <c r="H217" s="2"/>
      <c r="I217" s="2"/>
      <c r="J217" s="2"/>
      <c r="K217" s="2"/>
      <c r="L217" s="2"/>
      <c r="M217" s="2"/>
      <c r="N217" s="2"/>
      <c r="O217" s="2"/>
      <c r="P217" s="2"/>
      <c r="Q217" s="2"/>
      <c r="R217" s="2"/>
      <c r="S217" s="2"/>
      <c r="T217" s="2"/>
      <c r="U217" s="2"/>
      <c r="V217" s="2"/>
      <c r="W217" s="158"/>
      <c r="X217" s="2"/>
      <c r="Y217" s="2"/>
      <c r="Z217" s="2"/>
    </row>
    <row r="218" spans="1:26" ht="13.5" customHeight="1">
      <c r="A218" s="2"/>
      <c r="B218" s="2"/>
      <c r="C218" s="2"/>
      <c r="D218" s="2"/>
      <c r="E218" s="2"/>
      <c r="F218" s="2"/>
      <c r="G218" s="2"/>
      <c r="H218" s="2"/>
      <c r="I218" s="2"/>
      <c r="J218" s="2"/>
      <c r="K218" s="2"/>
      <c r="L218" s="2"/>
      <c r="M218" s="2"/>
      <c r="N218" s="2"/>
      <c r="O218" s="2"/>
      <c r="P218" s="2"/>
      <c r="Q218" s="2"/>
      <c r="R218" s="2"/>
      <c r="S218" s="2"/>
      <c r="T218" s="2"/>
      <c r="U218" s="2"/>
      <c r="V218" s="2"/>
      <c r="W218" s="158"/>
      <c r="X218" s="2"/>
      <c r="Y218" s="2"/>
      <c r="Z218" s="2"/>
    </row>
    <row r="219" spans="1:26" ht="13.5" customHeight="1">
      <c r="A219" s="2"/>
      <c r="B219" s="2"/>
      <c r="C219" s="2"/>
      <c r="D219" s="2"/>
      <c r="E219" s="2"/>
      <c r="F219" s="2"/>
      <c r="G219" s="2"/>
      <c r="H219" s="2"/>
      <c r="I219" s="2"/>
      <c r="J219" s="2"/>
      <c r="K219" s="2"/>
      <c r="L219" s="2"/>
      <c r="M219" s="2"/>
      <c r="N219" s="2"/>
      <c r="O219" s="2"/>
      <c r="P219" s="2"/>
      <c r="Q219" s="2"/>
      <c r="R219" s="2"/>
      <c r="S219" s="2"/>
      <c r="T219" s="2"/>
      <c r="U219" s="2"/>
      <c r="V219" s="2"/>
      <c r="W219" s="158"/>
      <c r="X219" s="2"/>
      <c r="Y219" s="2"/>
      <c r="Z219" s="2"/>
    </row>
    <row r="220" spans="1:26" ht="13.5" customHeight="1">
      <c r="A220" s="2"/>
      <c r="B220" s="2"/>
      <c r="C220" s="2"/>
      <c r="D220" s="2"/>
      <c r="E220" s="2"/>
      <c r="F220" s="2"/>
      <c r="G220" s="2"/>
      <c r="H220" s="2"/>
      <c r="I220" s="2"/>
      <c r="J220" s="2"/>
      <c r="K220" s="2"/>
      <c r="L220" s="2"/>
      <c r="M220" s="2"/>
      <c r="N220" s="2"/>
      <c r="O220" s="2"/>
      <c r="P220" s="2"/>
      <c r="Q220" s="2"/>
      <c r="R220" s="2"/>
      <c r="S220" s="2"/>
      <c r="T220" s="2"/>
      <c r="U220" s="2"/>
      <c r="V220" s="2"/>
      <c r="W220" s="158"/>
      <c r="X220" s="2"/>
      <c r="Y220" s="2"/>
      <c r="Z220" s="2"/>
    </row>
    <row r="221" spans="1:26" ht="13.5" customHeight="1">
      <c r="A221" s="2"/>
      <c r="B221" s="2"/>
      <c r="C221" s="2"/>
      <c r="D221" s="2"/>
      <c r="E221" s="2"/>
      <c r="F221" s="2"/>
      <c r="G221" s="2"/>
      <c r="H221" s="2"/>
      <c r="I221" s="2"/>
      <c r="J221" s="2"/>
      <c r="K221" s="2"/>
      <c r="L221" s="2"/>
      <c r="M221" s="2"/>
      <c r="N221" s="2"/>
      <c r="O221" s="2"/>
      <c r="P221" s="2"/>
      <c r="Q221" s="2"/>
      <c r="R221" s="2"/>
      <c r="S221" s="2"/>
      <c r="T221" s="2"/>
      <c r="U221" s="2"/>
      <c r="V221" s="2"/>
      <c r="W221" s="158"/>
      <c r="X221" s="2"/>
      <c r="Y221" s="2"/>
      <c r="Z221" s="2"/>
    </row>
    <row r="222" spans="1:26" ht="13.5" customHeight="1">
      <c r="A222" s="2"/>
      <c r="B222" s="2"/>
      <c r="C222" s="2"/>
      <c r="D222" s="2"/>
      <c r="E222" s="2"/>
      <c r="F222" s="2"/>
      <c r="G222" s="2"/>
      <c r="H222" s="2"/>
      <c r="I222" s="2"/>
      <c r="J222" s="2"/>
      <c r="K222" s="2"/>
      <c r="L222" s="2"/>
      <c r="M222" s="2"/>
      <c r="N222" s="2"/>
      <c r="O222" s="2"/>
      <c r="P222" s="2"/>
      <c r="Q222" s="2"/>
      <c r="R222" s="2"/>
      <c r="S222" s="2"/>
      <c r="T222" s="2"/>
      <c r="U222" s="2"/>
      <c r="V222" s="2"/>
      <c r="W222" s="158"/>
      <c r="X222" s="2"/>
      <c r="Y222" s="2"/>
      <c r="Z222" s="2"/>
    </row>
    <row r="223" spans="1:26" ht="13.5" customHeight="1">
      <c r="A223" s="2"/>
      <c r="B223" s="2"/>
      <c r="C223" s="2"/>
      <c r="D223" s="2"/>
      <c r="E223" s="2"/>
      <c r="F223" s="2"/>
      <c r="G223" s="2"/>
      <c r="H223" s="2"/>
      <c r="I223" s="2"/>
      <c r="J223" s="2"/>
      <c r="K223" s="2"/>
      <c r="L223" s="2"/>
      <c r="M223" s="2"/>
      <c r="N223" s="2"/>
      <c r="O223" s="2"/>
      <c r="P223" s="2"/>
      <c r="Q223" s="2"/>
      <c r="R223" s="2"/>
      <c r="S223" s="2"/>
      <c r="T223" s="2"/>
      <c r="U223" s="2"/>
      <c r="V223" s="2"/>
      <c r="W223" s="158"/>
      <c r="X223" s="2"/>
      <c r="Y223" s="2"/>
      <c r="Z223" s="2"/>
    </row>
    <row r="224" spans="1:26" ht="13.5" customHeight="1">
      <c r="A224" s="2"/>
      <c r="B224" s="2"/>
      <c r="C224" s="2"/>
      <c r="D224" s="2"/>
      <c r="E224" s="2"/>
      <c r="F224" s="2"/>
      <c r="G224" s="2"/>
      <c r="H224" s="2"/>
      <c r="I224" s="2"/>
      <c r="J224" s="2"/>
      <c r="K224" s="2"/>
      <c r="L224" s="2"/>
      <c r="M224" s="2"/>
      <c r="N224" s="2"/>
      <c r="O224" s="2"/>
      <c r="P224" s="2"/>
      <c r="Q224" s="2"/>
      <c r="R224" s="2"/>
      <c r="S224" s="2"/>
      <c r="T224" s="2"/>
      <c r="U224" s="2"/>
      <c r="V224" s="2"/>
      <c r="W224" s="158"/>
      <c r="X224" s="2"/>
      <c r="Y224" s="2"/>
      <c r="Z224" s="2"/>
    </row>
    <row r="225" spans="1:26" ht="13.5" customHeight="1">
      <c r="A225" s="2"/>
      <c r="B225" s="2"/>
      <c r="C225" s="2"/>
      <c r="D225" s="2"/>
      <c r="E225" s="2"/>
      <c r="F225" s="2"/>
      <c r="G225" s="2"/>
      <c r="H225" s="2"/>
      <c r="I225" s="2"/>
      <c r="J225" s="2"/>
      <c r="K225" s="2"/>
      <c r="L225" s="2"/>
      <c r="M225" s="2"/>
      <c r="N225" s="2"/>
      <c r="O225" s="2"/>
      <c r="P225" s="2"/>
      <c r="Q225" s="2"/>
      <c r="R225" s="2"/>
      <c r="S225" s="2"/>
      <c r="T225" s="2"/>
      <c r="U225" s="2"/>
      <c r="V225" s="2"/>
      <c r="W225" s="158"/>
      <c r="X225" s="2"/>
      <c r="Y225" s="2"/>
      <c r="Z225" s="2"/>
    </row>
    <row r="226" spans="1:26" ht="13.5" customHeight="1">
      <c r="A226" s="2"/>
      <c r="B226" s="2"/>
      <c r="C226" s="2"/>
      <c r="D226" s="2"/>
      <c r="E226" s="2"/>
      <c r="F226" s="2"/>
      <c r="G226" s="2"/>
      <c r="H226" s="2"/>
      <c r="I226" s="2"/>
      <c r="J226" s="2"/>
      <c r="K226" s="2"/>
      <c r="L226" s="2"/>
      <c r="M226" s="2"/>
      <c r="N226" s="2"/>
      <c r="O226" s="2"/>
      <c r="P226" s="2"/>
      <c r="Q226" s="2"/>
      <c r="R226" s="2"/>
      <c r="S226" s="2"/>
      <c r="T226" s="2"/>
      <c r="U226" s="2"/>
      <c r="V226" s="2"/>
      <c r="W226" s="158"/>
      <c r="X226" s="2"/>
      <c r="Y226" s="2"/>
      <c r="Z226" s="2"/>
    </row>
    <row r="227" spans="1:26" ht="13.5" customHeight="1">
      <c r="A227" s="2"/>
      <c r="B227" s="2"/>
      <c r="C227" s="2"/>
      <c r="D227" s="2"/>
      <c r="E227" s="2"/>
      <c r="F227" s="2"/>
      <c r="G227" s="2"/>
      <c r="H227" s="2"/>
      <c r="I227" s="2"/>
      <c r="J227" s="2"/>
      <c r="K227" s="2"/>
      <c r="L227" s="2"/>
      <c r="M227" s="2"/>
      <c r="N227" s="2"/>
      <c r="O227" s="2"/>
      <c r="P227" s="2"/>
      <c r="Q227" s="2"/>
      <c r="R227" s="2"/>
      <c r="S227" s="2"/>
      <c r="T227" s="2"/>
      <c r="U227" s="2"/>
      <c r="V227" s="2"/>
      <c r="W227" s="158"/>
      <c r="X227" s="2"/>
      <c r="Y227" s="2"/>
      <c r="Z227" s="2"/>
    </row>
    <row r="228" spans="1:26" ht="13.5" customHeight="1">
      <c r="A228" s="2"/>
      <c r="B228" s="2"/>
      <c r="C228" s="2"/>
      <c r="D228" s="2"/>
      <c r="E228" s="2"/>
      <c r="F228" s="2"/>
      <c r="G228" s="2"/>
      <c r="H228" s="2"/>
      <c r="I228" s="2"/>
      <c r="J228" s="2"/>
      <c r="K228" s="2"/>
      <c r="L228" s="2"/>
      <c r="M228" s="2"/>
      <c r="N228" s="2"/>
      <c r="O228" s="2"/>
      <c r="P228" s="2"/>
      <c r="Q228" s="2"/>
      <c r="R228" s="2"/>
      <c r="S228" s="2"/>
      <c r="T228" s="2"/>
      <c r="U228" s="2"/>
      <c r="V228" s="2"/>
      <c r="W228" s="158"/>
      <c r="X228" s="2"/>
      <c r="Y228" s="2"/>
      <c r="Z228" s="2"/>
    </row>
    <row r="229" spans="1:26" ht="13.5" customHeight="1">
      <c r="A229" s="2"/>
      <c r="B229" s="2"/>
      <c r="C229" s="2"/>
      <c r="D229" s="2"/>
      <c r="E229" s="2"/>
      <c r="F229" s="2"/>
      <c r="G229" s="2"/>
      <c r="H229" s="2"/>
      <c r="I229" s="2"/>
      <c r="J229" s="2"/>
      <c r="K229" s="2"/>
      <c r="L229" s="2"/>
      <c r="M229" s="2"/>
      <c r="N229" s="2"/>
      <c r="O229" s="2"/>
      <c r="P229" s="2"/>
      <c r="Q229" s="2"/>
      <c r="R229" s="2"/>
      <c r="S229" s="2"/>
      <c r="T229" s="2"/>
      <c r="U229" s="2"/>
      <c r="V229" s="2"/>
      <c r="W229" s="158"/>
      <c r="X229" s="2"/>
      <c r="Y229" s="2"/>
      <c r="Z229" s="2"/>
    </row>
    <row r="230" spans="1:26" ht="13.5" customHeight="1">
      <c r="A230" s="2"/>
      <c r="B230" s="2"/>
      <c r="C230" s="2"/>
      <c r="D230" s="2"/>
      <c r="E230" s="2"/>
      <c r="F230" s="2"/>
      <c r="G230" s="2"/>
      <c r="H230" s="2"/>
      <c r="I230" s="2"/>
      <c r="J230" s="2"/>
      <c r="K230" s="2"/>
      <c r="L230" s="2"/>
      <c r="M230" s="2"/>
      <c r="N230" s="2"/>
      <c r="O230" s="2"/>
      <c r="P230" s="2"/>
      <c r="Q230" s="2"/>
      <c r="R230" s="2"/>
      <c r="S230" s="2"/>
      <c r="T230" s="2"/>
      <c r="U230" s="2"/>
      <c r="V230" s="2"/>
      <c r="W230" s="158"/>
      <c r="X230" s="2"/>
      <c r="Y230" s="2"/>
      <c r="Z230" s="2"/>
    </row>
    <row r="231" spans="1:26" ht="13.5" customHeight="1">
      <c r="A231" s="2"/>
      <c r="B231" s="2"/>
      <c r="C231" s="2"/>
      <c r="D231" s="2"/>
      <c r="E231" s="2"/>
      <c r="F231" s="2"/>
      <c r="G231" s="2"/>
      <c r="H231" s="2"/>
      <c r="I231" s="2"/>
      <c r="J231" s="2"/>
      <c r="K231" s="2"/>
      <c r="L231" s="2"/>
      <c r="M231" s="2"/>
      <c r="N231" s="2"/>
      <c r="O231" s="2"/>
      <c r="P231" s="2"/>
      <c r="Q231" s="2"/>
      <c r="R231" s="2"/>
      <c r="S231" s="2"/>
      <c r="T231" s="2"/>
      <c r="U231" s="2"/>
      <c r="V231" s="2"/>
      <c r="W231" s="158"/>
      <c r="X231" s="2"/>
      <c r="Y231" s="2"/>
      <c r="Z231" s="2"/>
    </row>
    <row r="232" spans="1:26" ht="13.5" customHeight="1">
      <c r="A232" s="2"/>
      <c r="B232" s="2"/>
      <c r="C232" s="2"/>
      <c r="D232" s="2"/>
      <c r="E232" s="2"/>
      <c r="F232" s="2"/>
      <c r="G232" s="2"/>
      <c r="H232" s="2"/>
      <c r="I232" s="2"/>
      <c r="J232" s="2"/>
      <c r="K232" s="2"/>
      <c r="L232" s="2"/>
      <c r="M232" s="2"/>
      <c r="N232" s="2"/>
      <c r="O232" s="2"/>
      <c r="P232" s="2"/>
      <c r="Q232" s="2"/>
      <c r="R232" s="2"/>
      <c r="S232" s="2"/>
      <c r="T232" s="2"/>
      <c r="U232" s="2"/>
      <c r="V232" s="2"/>
      <c r="W232" s="158"/>
      <c r="X232" s="2"/>
      <c r="Y232" s="2"/>
      <c r="Z232" s="2"/>
    </row>
    <row r="233" spans="1:26" ht="13.5" customHeight="1">
      <c r="A233" s="2"/>
      <c r="B233" s="2"/>
      <c r="C233" s="2"/>
      <c r="D233" s="2"/>
      <c r="E233" s="2"/>
      <c r="F233" s="2"/>
      <c r="G233" s="2"/>
      <c r="H233" s="2"/>
      <c r="I233" s="2"/>
      <c r="J233" s="2"/>
      <c r="K233" s="2"/>
      <c r="L233" s="2"/>
      <c r="M233" s="2"/>
      <c r="N233" s="2"/>
      <c r="O233" s="2"/>
      <c r="P233" s="2"/>
      <c r="Q233" s="2"/>
      <c r="R233" s="2"/>
      <c r="S233" s="2"/>
      <c r="T233" s="2"/>
      <c r="U233" s="2"/>
      <c r="V233" s="2"/>
      <c r="W233" s="158"/>
      <c r="X233" s="2"/>
      <c r="Y233" s="2"/>
      <c r="Z233" s="2"/>
    </row>
    <row r="234" spans="1:26" ht="13.5" customHeight="1">
      <c r="A234" s="2"/>
      <c r="B234" s="2"/>
      <c r="C234" s="2"/>
      <c r="D234" s="2"/>
      <c r="E234" s="2"/>
      <c r="F234" s="2"/>
      <c r="G234" s="2"/>
      <c r="H234" s="2"/>
      <c r="I234" s="2"/>
      <c r="J234" s="2"/>
      <c r="K234" s="2"/>
      <c r="L234" s="2"/>
      <c r="M234" s="2"/>
      <c r="N234" s="2"/>
      <c r="O234" s="2"/>
      <c r="P234" s="2"/>
      <c r="Q234" s="2"/>
      <c r="R234" s="2"/>
      <c r="S234" s="2"/>
      <c r="T234" s="2"/>
      <c r="U234" s="2"/>
      <c r="V234" s="2"/>
      <c r="W234" s="158"/>
      <c r="X234" s="2"/>
      <c r="Y234" s="2"/>
      <c r="Z234" s="2"/>
    </row>
    <row r="235" spans="1:26" ht="13.5" customHeight="1">
      <c r="A235" s="2"/>
      <c r="B235" s="2"/>
      <c r="C235" s="2"/>
      <c r="D235" s="2"/>
      <c r="E235" s="2"/>
      <c r="F235" s="2"/>
      <c r="G235" s="2"/>
      <c r="H235" s="2"/>
      <c r="I235" s="2"/>
      <c r="J235" s="2"/>
      <c r="K235" s="2"/>
      <c r="L235" s="2"/>
      <c r="M235" s="2"/>
      <c r="N235" s="2"/>
      <c r="O235" s="2"/>
      <c r="P235" s="2"/>
      <c r="Q235" s="2"/>
      <c r="R235" s="2"/>
      <c r="S235" s="2"/>
      <c r="T235" s="2"/>
      <c r="U235" s="2"/>
      <c r="V235" s="2"/>
      <c r="W235" s="158"/>
      <c r="X235" s="2"/>
      <c r="Y235" s="2"/>
      <c r="Z235" s="2"/>
    </row>
    <row r="236" spans="1:26" ht="13.5" customHeight="1">
      <c r="A236" s="2"/>
      <c r="B236" s="2"/>
      <c r="C236" s="2"/>
      <c r="D236" s="2"/>
      <c r="E236" s="2"/>
      <c r="F236" s="2"/>
      <c r="G236" s="2"/>
      <c r="H236" s="2"/>
      <c r="I236" s="2"/>
      <c r="J236" s="2"/>
      <c r="K236" s="2"/>
      <c r="L236" s="2"/>
      <c r="M236" s="2"/>
      <c r="N236" s="2"/>
      <c r="O236" s="2"/>
      <c r="P236" s="2"/>
      <c r="Q236" s="2"/>
      <c r="R236" s="2"/>
      <c r="S236" s="2"/>
      <c r="T236" s="2"/>
      <c r="U236" s="2"/>
      <c r="V236" s="2"/>
      <c r="W236" s="158"/>
      <c r="X236" s="2"/>
      <c r="Y236" s="2"/>
      <c r="Z236" s="2"/>
    </row>
    <row r="237" spans="1:26" ht="13.5" customHeight="1">
      <c r="A237" s="2"/>
      <c r="B237" s="2"/>
      <c r="C237" s="2"/>
      <c r="D237" s="2"/>
      <c r="E237" s="2"/>
      <c r="F237" s="2"/>
      <c r="G237" s="2"/>
      <c r="H237" s="2"/>
      <c r="I237" s="2"/>
      <c r="J237" s="2"/>
      <c r="K237" s="2"/>
      <c r="L237" s="2"/>
      <c r="M237" s="2"/>
      <c r="N237" s="2"/>
      <c r="O237" s="2"/>
      <c r="P237" s="2"/>
      <c r="Q237" s="2"/>
      <c r="R237" s="2"/>
      <c r="S237" s="2"/>
      <c r="T237" s="2"/>
      <c r="U237" s="2"/>
      <c r="V237" s="2"/>
      <c r="W237" s="158"/>
      <c r="X237" s="2"/>
      <c r="Y237" s="2"/>
      <c r="Z237" s="2"/>
    </row>
    <row r="238" spans="1:26" ht="13.5" customHeight="1">
      <c r="A238" s="2"/>
      <c r="B238" s="2"/>
      <c r="C238" s="2"/>
      <c r="D238" s="2"/>
      <c r="E238" s="2"/>
      <c r="F238" s="2"/>
      <c r="G238" s="2"/>
      <c r="H238" s="2"/>
      <c r="I238" s="2"/>
      <c r="J238" s="2"/>
      <c r="K238" s="2"/>
      <c r="L238" s="2"/>
      <c r="M238" s="2"/>
      <c r="N238" s="2"/>
      <c r="O238" s="2"/>
      <c r="P238" s="2"/>
      <c r="Q238" s="2"/>
      <c r="R238" s="2"/>
      <c r="S238" s="2"/>
      <c r="T238" s="2"/>
      <c r="U238" s="2"/>
      <c r="V238" s="2"/>
      <c r="W238" s="158"/>
      <c r="X238" s="2"/>
      <c r="Y238" s="2"/>
      <c r="Z238" s="2"/>
    </row>
    <row r="239" spans="1:26" ht="13.5" customHeight="1">
      <c r="A239" s="2"/>
      <c r="B239" s="2"/>
      <c r="C239" s="2"/>
      <c r="D239" s="2"/>
      <c r="E239" s="2"/>
      <c r="F239" s="2"/>
      <c r="G239" s="2"/>
      <c r="H239" s="2"/>
      <c r="I239" s="2"/>
      <c r="J239" s="2"/>
      <c r="K239" s="2"/>
      <c r="L239" s="2"/>
      <c r="M239" s="2"/>
      <c r="N239" s="2"/>
      <c r="O239" s="2"/>
      <c r="P239" s="2"/>
      <c r="Q239" s="2"/>
      <c r="R239" s="2"/>
      <c r="S239" s="2"/>
      <c r="T239" s="2"/>
      <c r="U239" s="2"/>
      <c r="V239" s="2"/>
      <c r="W239" s="158"/>
      <c r="X239" s="2"/>
      <c r="Y239" s="2"/>
      <c r="Z239" s="2"/>
    </row>
    <row r="240" spans="1:26" ht="13.5" customHeight="1">
      <c r="A240" s="2"/>
      <c r="B240" s="2"/>
      <c r="C240" s="2"/>
      <c r="D240" s="2"/>
      <c r="E240" s="2"/>
      <c r="F240" s="2"/>
      <c r="G240" s="2"/>
      <c r="H240" s="2"/>
      <c r="I240" s="2"/>
      <c r="J240" s="2"/>
      <c r="K240" s="2"/>
      <c r="L240" s="2"/>
      <c r="M240" s="2"/>
      <c r="N240" s="2"/>
      <c r="O240" s="2"/>
      <c r="P240" s="2"/>
      <c r="Q240" s="2"/>
      <c r="R240" s="2"/>
      <c r="S240" s="2"/>
      <c r="T240" s="2"/>
      <c r="U240" s="2"/>
      <c r="V240" s="2"/>
      <c r="W240" s="158"/>
      <c r="X240" s="2"/>
      <c r="Y240" s="2"/>
      <c r="Z240" s="2"/>
    </row>
    <row r="241" spans="1:26" ht="13.5" customHeight="1">
      <c r="A241" s="2"/>
      <c r="B241" s="2"/>
      <c r="C241" s="2"/>
      <c r="D241" s="2"/>
      <c r="E241" s="2"/>
      <c r="F241" s="2"/>
      <c r="G241" s="2"/>
      <c r="H241" s="2"/>
      <c r="I241" s="2"/>
      <c r="J241" s="2"/>
      <c r="K241" s="2"/>
      <c r="L241" s="2"/>
      <c r="M241" s="2"/>
      <c r="N241" s="2"/>
      <c r="O241" s="2"/>
      <c r="P241" s="2"/>
      <c r="Q241" s="2"/>
      <c r="R241" s="2"/>
      <c r="S241" s="2"/>
      <c r="T241" s="2"/>
      <c r="U241" s="2"/>
      <c r="V241" s="2"/>
      <c r="W241" s="158"/>
      <c r="X241" s="2"/>
      <c r="Y241" s="2"/>
      <c r="Z241" s="2"/>
    </row>
    <row r="242" spans="1:26" ht="13.5" customHeight="1">
      <c r="A242" s="2"/>
      <c r="B242" s="2"/>
      <c r="C242" s="2"/>
      <c r="D242" s="2"/>
      <c r="E242" s="2"/>
      <c r="F242" s="2"/>
      <c r="G242" s="2"/>
      <c r="H242" s="2"/>
      <c r="I242" s="2"/>
      <c r="J242" s="2"/>
      <c r="K242" s="2"/>
      <c r="L242" s="2"/>
      <c r="M242" s="2"/>
      <c r="N242" s="2"/>
      <c r="O242" s="2"/>
      <c r="P242" s="2"/>
      <c r="Q242" s="2"/>
      <c r="R242" s="2"/>
      <c r="S242" s="2"/>
      <c r="T242" s="2"/>
      <c r="U242" s="2"/>
      <c r="V242" s="2"/>
      <c r="W242" s="158"/>
      <c r="X242" s="2"/>
      <c r="Y242" s="2"/>
      <c r="Z242" s="2"/>
    </row>
    <row r="243" spans="1:26" ht="13.5" customHeight="1">
      <c r="A243" s="2"/>
      <c r="B243" s="2"/>
      <c r="C243" s="2"/>
      <c r="D243" s="2"/>
      <c r="E243" s="2"/>
      <c r="F243" s="2"/>
      <c r="G243" s="2"/>
      <c r="H243" s="2"/>
      <c r="I243" s="2"/>
      <c r="J243" s="2"/>
      <c r="K243" s="2"/>
      <c r="L243" s="2"/>
      <c r="M243" s="2"/>
      <c r="N243" s="2"/>
      <c r="O243" s="2"/>
      <c r="P243" s="2"/>
      <c r="Q243" s="2"/>
      <c r="R243" s="2"/>
      <c r="S243" s="2"/>
      <c r="T243" s="2"/>
      <c r="U243" s="2"/>
      <c r="V243" s="2"/>
      <c r="W243" s="158"/>
      <c r="X243" s="2"/>
      <c r="Y243" s="2"/>
      <c r="Z243" s="2"/>
    </row>
    <row r="244" spans="1:26" ht="13.5" customHeight="1">
      <c r="A244" s="2"/>
      <c r="B244" s="2"/>
      <c r="C244" s="2"/>
      <c r="D244" s="2"/>
      <c r="E244" s="2"/>
      <c r="F244" s="2"/>
      <c r="G244" s="2"/>
      <c r="H244" s="2"/>
      <c r="I244" s="2"/>
      <c r="J244" s="2"/>
      <c r="K244" s="2"/>
      <c r="L244" s="2"/>
      <c r="M244" s="2"/>
      <c r="N244" s="2"/>
      <c r="O244" s="2"/>
      <c r="P244" s="2"/>
      <c r="Q244" s="2"/>
      <c r="R244" s="2"/>
      <c r="S244" s="2"/>
      <c r="T244" s="2"/>
      <c r="U244" s="2"/>
      <c r="V244" s="2"/>
      <c r="W244" s="158"/>
      <c r="X244" s="2"/>
      <c r="Y244" s="2"/>
      <c r="Z244" s="2"/>
    </row>
    <row r="245" spans="1:26" ht="13.5" customHeight="1">
      <c r="A245" s="2"/>
      <c r="B245" s="2"/>
      <c r="C245" s="2"/>
      <c r="D245" s="2"/>
      <c r="E245" s="2"/>
      <c r="F245" s="2"/>
      <c r="G245" s="2"/>
      <c r="H245" s="2"/>
      <c r="I245" s="2"/>
      <c r="J245" s="2"/>
      <c r="K245" s="2"/>
      <c r="L245" s="2"/>
      <c r="M245" s="2"/>
      <c r="N245" s="2"/>
      <c r="O245" s="2"/>
      <c r="P245" s="2"/>
      <c r="Q245" s="2"/>
      <c r="R245" s="2"/>
      <c r="S245" s="2"/>
      <c r="T245" s="2"/>
      <c r="U245" s="2"/>
      <c r="V245" s="2"/>
      <c r="W245" s="158"/>
      <c r="X245" s="2"/>
      <c r="Y245" s="2"/>
      <c r="Z245" s="2"/>
    </row>
    <row r="246" spans="1:26" ht="13.5" customHeight="1">
      <c r="A246" s="2"/>
      <c r="B246" s="2"/>
      <c r="C246" s="2"/>
      <c r="D246" s="2"/>
      <c r="E246" s="2"/>
      <c r="F246" s="2"/>
      <c r="G246" s="2"/>
      <c r="H246" s="2"/>
      <c r="I246" s="2"/>
      <c r="J246" s="2"/>
      <c r="K246" s="2"/>
      <c r="L246" s="2"/>
      <c r="M246" s="2"/>
      <c r="N246" s="2"/>
      <c r="O246" s="2"/>
      <c r="P246" s="2"/>
      <c r="Q246" s="2"/>
      <c r="R246" s="2"/>
      <c r="S246" s="2"/>
      <c r="T246" s="2"/>
      <c r="U246" s="2"/>
      <c r="V246" s="2"/>
      <c r="W246" s="158"/>
      <c r="X246" s="2"/>
      <c r="Y246" s="2"/>
      <c r="Z246" s="2"/>
    </row>
    <row r="247" spans="1:26" ht="13.5" customHeight="1">
      <c r="A247" s="2"/>
      <c r="B247" s="2"/>
      <c r="C247" s="2"/>
      <c r="D247" s="2"/>
      <c r="E247" s="2"/>
      <c r="F247" s="2"/>
      <c r="G247" s="2"/>
      <c r="H247" s="2"/>
      <c r="I247" s="2"/>
      <c r="J247" s="2"/>
      <c r="K247" s="2"/>
      <c r="L247" s="2"/>
      <c r="M247" s="2"/>
      <c r="N247" s="2"/>
      <c r="O247" s="2"/>
      <c r="P247" s="2"/>
      <c r="Q247" s="2"/>
      <c r="R247" s="2"/>
      <c r="S247" s="2"/>
      <c r="T247" s="2"/>
      <c r="U247" s="2"/>
      <c r="V247" s="2"/>
      <c r="W247" s="158"/>
      <c r="X247" s="2"/>
      <c r="Y247" s="2"/>
      <c r="Z247" s="2"/>
    </row>
    <row r="248" spans="1:26" ht="13.5" customHeight="1">
      <c r="A248" s="2"/>
      <c r="B248" s="2"/>
      <c r="C248" s="2"/>
      <c r="D248" s="2"/>
      <c r="E248" s="2"/>
      <c r="F248" s="2"/>
      <c r="G248" s="2"/>
      <c r="H248" s="2"/>
      <c r="I248" s="2"/>
      <c r="J248" s="2"/>
      <c r="K248" s="2"/>
      <c r="L248" s="2"/>
      <c r="M248" s="2"/>
      <c r="N248" s="2"/>
      <c r="O248" s="2"/>
      <c r="P248" s="2"/>
      <c r="Q248" s="2"/>
      <c r="R248" s="2"/>
      <c r="S248" s="2"/>
      <c r="T248" s="2"/>
      <c r="U248" s="2"/>
      <c r="V248" s="2"/>
      <c r="W248" s="158"/>
      <c r="X248" s="2"/>
      <c r="Y248" s="2"/>
      <c r="Z248" s="2"/>
    </row>
    <row r="249" spans="1:26" ht="13.5" customHeight="1">
      <c r="A249" s="2"/>
      <c r="B249" s="2"/>
      <c r="C249" s="2"/>
      <c r="D249" s="2"/>
      <c r="E249" s="2"/>
      <c r="F249" s="2"/>
      <c r="G249" s="2"/>
      <c r="H249" s="2"/>
      <c r="I249" s="2"/>
      <c r="J249" s="2"/>
      <c r="K249" s="2"/>
      <c r="L249" s="2"/>
      <c r="M249" s="2"/>
      <c r="N249" s="2"/>
      <c r="O249" s="2"/>
      <c r="P249" s="2"/>
      <c r="Q249" s="2"/>
      <c r="R249" s="2"/>
      <c r="S249" s="2"/>
      <c r="T249" s="2"/>
      <c r="U249" s="2"/>
      <c r="V249" s="2"/>
      <c r="W249" s="158"/>
      <c r="X249" s="2"/>
      <c r="Y249" s="2"/>
      <c r="Z249" s="2"/>
    </row>
    <row r="250" spans="1:26" ht="13.5" customHeight="1">
      <c r="A250" s="2"/>
      <c r="B250" s="2"/>
      <c r="C250" s="2"/>
      <c r="D250" s="2"/>
      <c r="E250" s="2"/>
      <c r="F250" s="2"/>
      <c r="G250" s="2"/>
      <c r="H250" s="2"/>
      <c r="I250" s="2"/>
      <c r="J250" s="2"/>
      <c r="K250" s="2"/>
      <c r="L250" s="2"/>
      <c r="M250" s="2"/>
      <c r="N250" s="2"/>
      <c r="O250" s="2"/>
      <c r="P250" s="2"/>
      <c r="Q250" s="2"/>
      <c r="R250" s="2"/>
      <c r="S250" s="2"/>
      <c r="T250" s="2"/>
      <c r="U250" s="2"/>
      <c r="V250" s="2"/>
      <c r="W250" s="158"/>
      <c r="X250" s="2"/>
      <c r="Y250" s="2"/>
      <c r="Z250" s="2"/>
    </row>
    <row r="251" spans="1:26" ht="13.5" customHeight="1">
      <c r="A251" s="2"/>
      <c r="B251" s="2"/>
      <c r="C251" s="2"/>
      <c r="D251" s="2"/>
      <c r="E251" s="2"/>
      <c r="F251" s="2"/>
      <c r="G251" s="2"/>
      <c r="H251" s="2"/>
      <c r="I251" s="2"/>
      <c r="J251" s="2"/>
      <c r="K251" s="2"/>
      <c r="L251" s="2"/>
      <c r="M251" s="2"/>
      <c r="N251" s="2"/>
      <c r="O251" s="2"/>
      <c r="P251" s="2"/>
      <c r="Q251" s="2"/>
      <c r="R251" s="2"/>
      <c r="S251" s="2"/>
      <c r="T251" s="2"/>
      <c r="U251" s="2"/>
      <c r="V251" s="2"/>
      <c r="W251" s="158"/>
      <c r="X251" s="2"/>
      <c r="Y251" s="2"/>
      <c r="Z251" s="2"/>
    </row>
    <row r="252" spans="1:26" ht="13.5" customHeight="1">
      <c r="A252" s="2"/>
      <c r="B252" s="2"/>
      <c r="C252" s="2"/>
      <c r="D252" s="2"/>
      <c r="E252" s="2"/>
      <c r="F252" s="2"/>
      <c r="G252" s="2"/>
      <c r="H252" s="2"/>
      <c r="I252" s="2"/>
      <c r="J252" s="2"/>
      <c r="K252" s="2"/>
      <c r="L252" s="2"/>
      <c r="M252" s="2"/>
      <c r="N252" s="2"/>
      <c r="O252" s="2"/>
      <c r="P252" s="2"/>
      <c r="Q252" s="2"/>
      <c r="R252" s="2"/>
      <c r="S252" s="2"/>
      <c r="T252" s="2"/>
      <c r="U252" s="2"/>
      <c r="V252" s="2"/>
      <c r="W252" s="158"/>
      <c r="X252" s="2"/>
      <c r="Y252" s="2"/>
      <c r="Z252" s="2"/>
    </row>
    <row r="253" spans="1:26" ht="13.5" customHeight="1">
      <c r="A253" s="2"/>
      <c r="B253" s="2"/>
      <c r="C253" s="2"/>
      <c r="D253" s="2"/>
      <c r="E253" s="2"/>
      <c r="F253" s="2"/>
      <c r="G253" s="2"/>
      <c r="H253" s="2"/>
      <c r="I253" s="2"/>
      <c r="J253" s="2"/>
      <c r="K253" s="2"/>
      <c r="L253" s="2"/>
      <c r="M253" s="2"/>
      <c r="N253" s="2"/>
      <c r="O253" s="2"/>
      <c r="P253" s="2"/>
      <c r="Q253" s="2"/>
      <c r="R253" s="2"/>
      <c r="S253" s="2"/>
      <c r="T253" s="2"/>
      <c r="U253" s="2"/>
      <c r="V253" s="2"/>
      <c r="W253" s="158"/>
      <c r="X253" s="2"/>
      <c r="Y253" s="2"/>
      <c r="Z253" s="2"/>
    </row>
    <row r="254" spans="1:26" ht="13.5" customHeight="1">
      <c r="A254" s="2"/>
      <c r="B254" s="2"/>
      <c r="C254" s="2"/>
      <c r="D254" s="2"/>
      <c r="E254" s="2"/>
      <c r="F254" s="2"/>
      <c r="G254" s="2"/>
      <c r="H254" s="2"/>
      <c r="I254" s="2"/>
      <c r="J254" s="2"/>
      <c r="K254" s="2"/>
      <c r="L254" s="2"/>
      <c r="M254" s="2"/>
      <c r="N254" s="2"/>
      <c r="O254" s="2"/>
      <c r="P254" s="2"/>
      <c r="Q254" s="2"/>
      <c r="R254" s="2"/>
      <c r="S254" s="2"/>
      <c r="T254" s="2"/>
      <c r="U254" s="2"/>
      <c r="V254" s="2"/>
      <c r="W254" s="158"/>
      <c r="X254" s="2"/>
      <c r="Y254" s="2"/>
      <c r="Z254" s="2"/>
    </row>
    <row r="255" spans="1:26" ht="13.5" customHeight="1">
      <c r="A255" s="2"/>
      <c r="B255" s="2"/>
      <c r="C255" s="2"/>
      <c r="D255" s="2"/>
      <c r="E255" s="2"/>
      <c r="F255" s="2"/>
      <c r="G255" s="2"/>
      <c r="H255" s="2"/>
      <c r="I255" s="2"/>
      <c r="J255" s="2"/>
      <c r="K255" s="2"/>
      <c r="L255" s="2"/>
      <c r="M255" s="2"/>
      <c r="N255" s="2"/>
      <c r="O255" s="2"/>
      <c r="P255" s="2"/>
      <c r="Q255" s="2"/>
      <c r="R255" s="2"/>
      <c r="S255" s="2"/>
      <c r="T255" s="2"/>
      <c r="U255" s="2"/>
      <c r="V255" s="2"/>
      <c r="W255" s="158"/>
      <c r="X255" s="2"/>
      <c r="Y255" s="2"/>
      <c r="Z255" s="2"/>
    </row>
    <row r="256" spans="1:26" ht="13.5" customHeight="1">
      <c r="A256" s="2"/>
      <c r="B256" s="2"/>
      <c r="C256" s="2"/>
      <c r="D256" s="2"/>
      <c r="E256" s="2"/>
      <c r="F256" s="2"/>
      <c r="G256" s="2"/>
      <c r="H256" s="2"/>
      <c r="I256" s="2"/>
      <c r="J256" s="2"/>
      <c r="K256" s="2"/>
      <c r="L256" s="2"/>
      <c r="M256" s="2"/>
      <c r="N256" s="2"/>
      <c r="O256" s="2"/>
      <c r="P256" s="2"/>
      <c r="Q256" s="2"/>
      <c r="R256" s="2"/>
      <c r="S256" s="2"/>
      <c r="T256" s="2"/>
      <c r="U256" s="2"/>
      <c r="V256" s="2"/>
      <c r="W256" s="158"/>
      <c r="X256" s="2"/>
      <c r="Y256" s="2"/>
      <c r="Z256" s="2"/>
    </row>
    <row r="257" spans="1:26" ht="13.5" customHeight="1">
      <c r="A257" s="2"/>
      <c r="B257" s="2"/>
      <c r="C257" s="2"/>
      <c r="D257" s="2"/>
      <c r="E257" s="2"/>
      <c r="F257" s="2"/>
      <c r="G257" s="2"/>
      <c r="H257" s="2"/>
      <c r="I257" s="2"/>
      <c r="J257" s="2"/>
      <c r="K257" s="2"/>
      <c r="L257" s="2"/>
      <c r="M257" s="2"/>
      <c r="N257" s="2"/>
      <c r="O257" s="2"/>
      <c r="P257" s="2"/>
      <c r="Q257" s="2"/>
      <c r="R257" s="2"/>
      <c r="S257" s="2"/>
      <c r="T257" s="2"/>
      <c r="U257" s="2"/>
      <c r="V257" s="2"/>
      <c r="W257" s="158"/>
      <c r="X257" s="2"/>
      <c r="Y257" s="2"/>
      <c r="Z257" s="2"/>
    </row>
    <row r="258" spans="1:26" ht="13.5" customHeight="1">
      <c r="A258" s="2"/>
      <c r="B258" s="2"/>
      <c r="C258" s="2"/>
      <c r="D258" s="2"/>
      <c r="E258" s="2"/>
      <c r="F258" s="2"/>
      <c r="G258" s="2"/>
      <c r="H258" s="2"/>
      <c r="I258" s="2"/>
      <c r="J258" s="2"/>
      <c r="K258" s="2"/>
      <c r="L258" s="2"/>
      <c r="M258" s="2"/>
      <c r="N258" s="2"/>
      <c r="O258" s="2"/>
      <c r="P258" s="2"/>
      <c r="Q258" s="2"/>
      <c r="R258" s="2"/>
      <c r="S258" s="2"/>
      <c r="T258" s="2"/>
      <c r="U258" s="2"/>
      <c r="V258" s="2"/>
      <c r="W258" s="158"/>
      <c r="X258" s="2"/>
      <c r="Y258" s="2"/>
      <c r="Z258" s="2"/>
    </row>
    <row r="259" spans="1:26" ht="13.5" customHeight="1">
      <c r="A259" s="2"/>
      <c r="B259" s="2"/>
      <c r="C259" s="2"/>
      <c r="D259" s="2"/>
      <c r="E259" s="2"/>
      <c r="F259" s="2"/>
      <c r="G259" s="2"/>
      <c r="H259" s="2"/>
      <c r="I259" s="2"/>
      <c r="J259" s="2"/>
      <c r="K259" s="2"/>
      <c r="L259" s="2"/>
      <c r="M259" s="2"/>
      <c r="N259" s="2"/>
      <c r="O259" s="2"/>
      <c r="P259" s="2"/>
      <c r="Q259" s="2"/>
      <c r="R259" s="2"/>
      <c r="S259" s="2"/>
      <c r="T259" s="2"/>
      <c r="U259" s="2"/>
      <c r="V259" s="2"/>
      <c r="W259" s="158"/>
      <c r="X259" s="2"/>
      <c r="Y259" s="2"/>
      <c r="Z259" s="2"/>
    </row>
    <row r="260" spans="1:26" ht="13.5" customHeight="1">
      <c r="A260" s="2"/>
      <c r="B260" s="2"/>
      <c r="C260" s="2"/>
      <c r="D260" s="2"/>
      <c r="E260" s="2"/>
      <c r="F260" s="2"/>
      <c r="G260" s="2"/>
      <c r="H260" s="2"/>
      <c r="I260" s="2"/>
      <c r="J260" s="2"/>
      <c r="K260" s="2"/>
      <c r="L260" s="2"/>
      <c r="M260" s="2"/>
      <c r="N260" s="2"/>
      <c r="O260" s="2"/>
      <c r="P260" s="2"/>
      <c r="Q260" s="2"/>
      <c r="R260" s="2"/>
      <c r="S260" s="2"/>
      <c r="T260" s="2"/>
      <c r="U260" s="2"/>
      <c r="V260" s="2"/>
      <c r="W260" s="158"/>
      <c r="X260" s="2"/>
      <c r="Y260" s="2"/>
      <c r="Z260" s="2"/>
    </row>
    <row r="261" spans="1:26" ht="13.5" customHeight="1">
      <c r="A261" s="2"/>
      <c r="B261" s="2"/>
      <c r="C261" s="2"/>
      <c r="D261" s="2"/>
      <c r="E261" s="2"/>
      <c r="F261" s="2"/>
      <c r="G261" s="2"/>
      <c r="H261" s="2"/>
      <c r="I261" s="2"/>
      <c r="J261" s="2"/>
      <c r="K261" s="2"/>
      <c r="L261" s="2"/>
      <c r="M261" s="2"/>
      <c r="N261" s="2"/>
      <c r="O261" s="2"/>
      <c r="P261" s="2"/>
      <c r="Q261" s="2"/>
      <c r="R261" s="2"/>
      <c r="S261" s="2"/>
      <c r="T261" s="2"/>
      <c r="U261" s="2"/>
      <c r="V261" s="2"/>
      <c r="W261" s="158"/>
      <c r="X261" s="2"/>
      <c r="Y261" s="2"/>
      <c r="Z261" s="2"/>
    </row>
    <row r="262" spans="1:26" ht="13.5" customHeight="1">
      <c r="A262" s="2"/>
      <c r="B262" s="2"/>
      <c r="C262" s="2"/>
      <c r="D262" s="2"/>
      <c r="E262" s="2"/>
      <c r="F262" s="2"/>
      <c r="G262" s="2"/>
      <c r="H262" s="2"/>
      <c r="I262" s="2"/>
      <c r="J262" s="2"/>
      <c r="K262" s="2"/>
      <c r="L262" s="2"/>
      <c r="M262" s="2"/>
      <c r="N262" s="2"/>
      <c r="O262" s="2"/>
      <c r="P262" s="2"/>
      <c r="Q262" s="2"/>
      <c r="R262" s="2"/>
      <c r="S262" s="2"/>
      <c r="T262" s="2"/>
      <c r="U262" s="2"/>
      <c r="V262" s="2"/>
      <c r="W262" s="158"/>
      <c r="X262" s="2"/>
      <c r="Y262" s="2"/>
      <c r="Z262" s="2"/>
    </row>
    <row r="263" spans="1:26" ht="13.5" customHeight="1">
      <c r="A263" s="2"/>
      <c r="B263" s="2"/>
      <c r="C263" s="2"/>
      <c r="D263" s="2"/>
      <c r="E263" s="2"/>
      <c r="F263" s="2"/>
      <c r="G263" s="2"/>
      <c r="H263" s="2"/>
      <c r="I263" s="2"/>
      <c r="J263" s="2"/>
      <c r="K263" s="2"/>
      <c r="L263" s="2"/>
      <c r="M263" s="2"/>
      <c r="N263" s="2"/>
      <c r="O263" s="2"/>
      <c r="P263" s="2"/>
      <c r="Q263" s="2"/>
      <c r="R263" s="2"/>
      <c r="S263" s="2"/>
      <c r="T263" s="2"/>
      <c r="U263" s="2"/>
      <c r="V263" s="2"/>
      <c r="W263" s="158"/>
      <c r="X263" s="2"/>
      <c r="Y263" s="2"/>
      <c r="Z263" s="2"/>
    </row>
    <row r="264" spans="1:26" ht="13.5" customHeight="1">
      <c r="A264" s="2"/>
      <c r="B264" s="2"/>
      <c r="C264" s="2"/>
      <c r="D264" s="2"/>
      <c r="E264" s="2"/>
      <c r="F264" s="2"/>
      <c r="G264" s="2"/>
      <c r="H264" s="2"/>
      <c r="I264" s="2"/>
      <c r="J264" s="2"/>
      <c r="K264" s="2"/>
      <c r="L264" s="2"/>
      <c r="M264" s="2"/>
      <c r="N264" s="2"/>
      <c r="O264" s="2"/>
      <c r="P264" s="2"/>
      <c r="Q264" s="2"/>
      <c r="R264" s="2"/>
      <c r="S264" s="2"/>
      <c r="T264" s="2"/>
      <c r="U264" s="2"/>
      <c r="V264" s="2"/>
      <c r="W264" s="158"/>
      <c r="X264" s="2"/>
      <c r="Y264" s="2"/>
      <c r="Z264" s="2"/>
    </row>
    <row r="265" spans="1:26" ht="13.5" customHeight="1">
      <c r="A265" s="2"/>
      <c r="B265" s="2"/>
      <c r="C265" s="2"/>
      <c r="D265" s="2"/>
      <c r="E265" s="2"/>
      <c r="F265" s="2"/>
      <c r="G265" s="2"/>
      <c r="H265" s="2"/>
      <c r="I265" s="2"/>
      <c r="J265" s="2"/>
      <c r="K265" s="2"/>
      <c r="L265" s="2"/>
      <c r="M265" s="2"/>
      <c r="N265" s="2"/>
      <c r="O265" s="2"/>
      <c r="P265" s="2"/>
      <c r="Q265" s="2"/>
      <c r="R265" s="2"/>
      <c r="S265" s="2"/>
      <c r="T265" s="2"/>
      <c r="U265" s="2"/>
      <c r="V265" s="2"/>
      <c r="W265" s="158"/>
      <c r="X265" s="2"/>
      <c r="Y265" s="2"/>
      <c r="Z265" s="2"/>
    </row>
    <row r="266" spans="1:26" ht="13.5" customHeight="1">
      <c r="A266" s="2"/>
      <c r="B266" s="2"/>
      <c r="C266" s="2"/>
      <c r="D266" s="2"/>
      <c r="E266" s="2"/>
      <c r="F266" s="2"/>
      <c r="G266" s="2"/>
      <c r="H266" s="2"/>
      <c r="I266" s="2"/>
      <c r="J266" s="2"/>
      <c r="K266" s="2"/>
      <c r="L266" s="2"/>
      <c r="M266" s="2"/>
      <c r="N266" s="2"/>
      <c r="O266" s="2"/>
      <c r="P266" s="2"/>
      <c r="Q266" s="2"/>
      <c r="R266" s="2"/>
      <c r="S266" s="2"/>
      <c r="T266" s="2"/>
      <c r="U266" s="2"/>
      <c r="V266" s="2"/>
      <c r="W266" s="158"/>
      <c r="X266" s="2"/>
      <c r="Y266" s="2"/>
      <c r="Z266" s="2"/>
    </row>
    <row r="267" spans="1:26" ht="13.5" customHeight="1">
      <c r="A267" s="2"/>
      <c r="B267" s="2"/>
      <c r="C267" s="2"/>
      <c r="D267" s="2"/>
      <c r="E267" s="2"/>
      <c r="F267" s="2"/>
      <c r="G267" s="2"/>
      <c r="H267" s="2"/>
      <c r="I267" s="2"/>
      <c r="J267" s="2"/>
      <c r="K267" s="2"/>
      <c r="L267" s="2"/>
      <c r="M267" s="2"/>
      <c r="N267" s="2"/>
      <c r="O267" s="2"/>
      <c r="P267" s="2"/>
      <c r="Q267" s="2"/>
      <c r="R267" s="2"/>
      <c r="S267" s="2"/>
      <c r="T267" s="2"/>
      <c r="U267" s="2"/>
      <c r="V267" s="2"/>
      <c r="W267" s="158"/>
      <c r="X267" s="2"/>
      <c r="Y267" s="2"/>
      <c r="Z267" s="2"/>
    </row>
    <row r="268" spans="1:26" ht="13.5" customHeight="1">
      <c r="A268" s="2"/>
      <c r="B268" s="2"/>
      <c r="C268" s="2"/>
      <c r="D268" s="2"/>
      <c r="E268" s="2"/>
      <c r="F268" s="2"/>
      <c r="G268" s="2"/>
      <c r="H268" s="2"/>
      <c r="I268" s="2"/>
      <c r="J268" s="2"/>
      <c r="K268" s="2"/>
      <c r="L268" s="2"/>
      <c r="M268" s="2"/>
      <c r="N268" s="2"/>
      <c r="O268" s="2"/>
      <c r="P268" s="2"/>
      <c r="Q268" s="2"/>
      <c r="R268" s="2"/>
      <c r="S268" s="2"/>
      <c r="T268" s="2"/>
      <c r="U268" s="2"/>
      <c r="V268" s="2"/>
      <c r="W268" s="158"/>
      <c r="X268" s="2"/>
      <c r="Y268" s="2"/>
      <c r="Z268" s="2"/>
    </row>
    <row r="269" spans="1:26" ht="13.5" customHeight="1">
      <c r="A269" s="2"/>
      <c r="B269" s="2"/>
      <c r="C269" s="2"/>
      <c r="D269" s="2"/>
      <c r="E269" s="2"/>
      <c r="F269" s="2"/>
      <c r="G269" s="2"/>
      <c r="H269" s="2"/>
      <c r="I269" s="2"/>
      <c r="J269" s="2"/>
      <c r="K269" s="2"/>
      <c r="L269" s="2"/>
      <c r="M269" s="2"/>
      <c r="N269" s="2"/>
      <c r="O269" s="2"/>
      <c r="P269" s="2"/>
      <c r="Q269" s="2"/>
      <c r="R269" s="2"/>
      <c r="S269" s="2"/>
      <c r="T269" s="2"/>
      <c r="U269" s="2"/>
      <c r="V269" s="2"/>
      <c r="W269" s="158"/>
      <c r="X269" s="2"/>
      <c r="Y269" s="2"/>
      <c r="Z269" s="2"/>
    </row>
    <row r="270" spans="1:26" ht="13.5" customHeight="1">
      <c r="A270" s="2"/>
      <c r="B270" s="2"/>
      <c r="C270" s="2"/>
      <c r="D270" s="2"/>
      <c r="E270" s="2"/>
      <c r="F270" s="2"/>
      <c r="G270" s="2"/>
      <c r="H270" s="2"/>
      <c r="I270" s="2"/>
      <c r="J270" s="2"/>
      <c r="K270" s="2"/>
      <c r="L270" s="2"/>
      <c r="M270" s="2"/>
      <c r="N270" s="2"/>
      <c r="O270" s="2"/>
      <c r="P270" s="2"/>
      <c r="Q270" s="2"/>
      <c r="R270" s="2"/>
      <c r="S270" s="2"/>
      <c r="T270" s="2"/>
      <c r="U270" s="2"/>
      <c r="V270" s="2"/>
      <c r="W270" s="158"/>
      <c r="X270" s="2"/>
      <c r="Y270" s="2"/>
      <c r="Z270" s="2"/>
    </row>
    <row r="271" spans="1:26" ht="13.5" customHeight="1">
      <c r="A271" s="2"/>
      <c r="B271" s="2"/>
      <c r="C271" s="2"/>
      <c r="D271" s="2"/>
      <c r="E271" s="2"/>
      <c r="F271" s="2"/>
      <c r="G271" s="2"/>
      <c r="H271" s="2"/>
      <c r="I271" s="2"/>
      <c r="J271" s="2"/>
      <c r="K271" s="2"/>
      <c r="L271" s="2"/>
      <c r="M271" s="2"/>
      <c r="N271" s="2"/>
      <c r="O271" s="2"/>
      <c r="P271" s="2"/>
      <c r="Q271" s="2"/>
      <c r="R271" s="2"/>
      <c r="S271" s="2"/>
      <c r="T271" s="2"/>
      <c r="U271" s="2"/>
      <c r="V271" s="2"/>
      <c r="W271" s="158"/>
      <c r="X271" s="2"/>
      <c r="Y271" s="2"/>
      <c r="Z271" s="2"/>
    </row>
    <row r="272" spans="1:26" ht="13.5" customHeight="1">
      <c r="A272" s="2"/>
      <c r="B272" s="2"/>
      <c r="C272" s="2"/>
      <c r="D272" s="2"/>
      <c r="E272" s="2"/>
      <c r="F272" s="2"/>
      <c r="G272" s="2"/>
      <c r="H272" s="2"/>
      <c r="I272" s="2"/>
      <c r="J272" s="2"/>
      <c r="K272" s="2"/>
      <c r="L272" s="2"/>
      <c r="M272" s="2"/>
      <c r="N272" s="2"/>
      <c r="O272" s="2"/>
      <c r="P272" s="2"/>
      <c r="Q272" s="2"/>
      <c r="R272" s="2"/>
      <c r="S272" s="2"/>
      <c r="T272" s="2"/>
      <c r="U272" s="2"/>
      <c r="V272" s="2"/>
      <c r="W272" s="158"/>
      <c r="X272" s="2"/>
      <c r="Y272" s="2"/>
      <c r="Z272" s="2"/>
    </row>
    <row r="273" spans="1:26" ht="13.5" customHeight="1">
      <c r="A273" s="2"/>
      <c r="B273" s="2"/>
      <c r="C273" s="2"/>
      <c r="D273" s="2"/>
      <c r="E273" s="2"/>
      <c r="F273" s="2"/>
      <c r="G273" s="2"/>
      <c r="H273" s="2"/>
      <c r="I273" s="2"/>
      <c r="J273" s="2"/>
      <c r="K273" s="2"/>
      <c r="L273" s="2"/>
      <c r="M273" s="2"/>
      <c r="N273" s="2"/>
      <c r="O273" s="2"/>
      <c r="P273" s="2"/>
      <c r="Q273" s="2"/>
      <c r="R273" s="2"/>
      <c r="S273" s="2"/>
      <c r="T273" s="2"/>
      <c r="U273" s="2"/>
      <c r="V273" s="2"/>
      <c r="W273" s="158"/>
      <c r="X273" s="2"/>
      <c r="Y273" s="2"/>
      <c r="Z273" s="2"/>
    </row>
    <row r="274" spans="1:26" ht="13.5" customHeight="1">
      <c r="A274" s="2"/>
      <c r="B274" s="2"/>
      <c r="C274" s="2"/>
      <c r="D274" s="2"/>
      <c r="E274" s="2"/>
      <c r="F274" s="2"/>
      <c r="G274" s="2"/>
      <c r="H274" s="2"/>
      <c r="I274" s="2"/>
      <c r="J274" s="2"/>
      <c r="K274" s="2"/>
      <c r="L274" s="2"/>
      <c r="M274" s="2"/>
      <c r="N274" s="2"/>
      <c r="O274" s="2"/>
      <c r="P274" s="2"/>
      <c r="Q274" s="2"/>
      <c r="R274" s="2"/>
      <c r="S274" s="2"/>
      <c r="T274" s="2"/>
      <c r="U274" s="2"/>
      <c r="V274" s="2"/>
      <c r="W274" s="158"/>
      <c r="X274" s="2"/>
      <c r="Y274" s="2"/>
      <c r="Z274" s="2"/>
    </row>
    <row r="275" spans="1:26" ht="13.5" customHeight="1">
      <c r="A275" s="2"/>
      <c r="B275" s="2"/>
      <c r="C275" s="2"/>
      <c r="D275" s="2"/>
      <c r="E275" s="2"/>
      <c r="F275" s="2"/>
      <c r="G275" s="2"/>
      <c r="H275" s="2"/>
      <c r="I275" s="2"/>
      <c r="J275" s="2"/>
      <c r="K275" s="2"/>
      <c r="L275" s="2"/>
      <c r="M275" s="2"/>
      <c r="N275" s="2"/>
      <c r="O275" s="2"/>
      <c r="P275" s="2"/>
      <c r="Q275" s="2"/>
      <c r="R275" s="2"/>
      <c r="S275" s="2"/>
      <c r="T275" s="2"/>
      <c r="U275" s="2"/>
      <c r="V275" s="2"/>
      <c r="W275" s="158"/>
      <c r="X275" s="2"/>
      <c r="Y275" s="2"/>
      <c r="Z275" s="2"/>
    </row>
    <row r="276" spans="1:26" ht="13.5" customHeight="1">
      <c r="A276" s="2"/>
      <c r="B276" s="2"/>
      <c r="C276" s="2"/>
      <c r="D276" s="2"/>
      <c r="E276" s="2"/>
      <c r="F276" s="2"/>
      <c r="G276" s="2"/>
      <c r="H276" s="2"/>
      <c r="I276" s="2"/>
      <c r="J276" s="2"/>
      <c r="K276" s="2"/>
      <c r="L276" s="2"/>
      <c r="M276" s="2"/>
      <c r="N276" s="2"/>
      <c r="O276" s="2"/>
      <c r="P276" s="2"/>
      <c r="Q276" s="2"/>
      <c r="R276" s="2"/>
      <c r="S276" s="2"/>
      <c r="T276" s="2"/>
      <c r="U276" s="2"/>
      <c r="V276" s="2"/>
      <c r="W276" s="158"/>
      <c r="X276" s="2"/>
      <c r="Y276" s="2"/>
      <c r="Z276" s="2"/>
    </row>
    <row r="277" spans="1:26" ht="13.5" customHeight="1">
      <c r="A277" s="2"/>
      <c r="B277" s="2"/>
      <c r="C277" s="2"/>
      <c r="D277" s="2"/>
      <c r="E277" s="2"/>
      <c r="F277" s="2"/>
      <c r="G277" s="2"/>
      <c r="H277" s="2"/>
      <c r="I277" s="2"/>
      <c r="J277" s="2"/>
      <c r="K277" s="2"/>
      <c r="L277" s="2"/>
      <c r="M277" s="2"/>
      <c r="N277" s="2"/>
      <c r="O277" s="2"/>
      <c r="P277" s="2"/>
      <c r="Q277" s="2"/>
      <c r="R277" s="2"/>
      <c r="S277" s="2"/>
      <c r="T277" s="2"/>
      <c r="U277" s="2"/>
      <c r="V277" s="2"/>
      <c r="W277" s="158"/>
      <c r="X277" s="2"/>
      <c r="Y277" s="2"/>
      <c r="Z277" s="2"/>
    </row>
    <row r="278" spans="1:26" ht="13.5" customHeight="1">
      <c r="A278" s="2"/>
      <c r="B278" s="2"/>
      <c r="C278" s="2"/>
      <c r="D278" s="2"/>
      <c r="E278" s="2"/>
      <c r="F278" s="2"/>
      <c r="G278" s="2"/>
      <c r="H278" s="2"/>
      <c r="I278" s="2"/>
      <c r="J278" s="2"/>
      <c r="K278" s="2"/>
      <c r="L278" s="2"/>
      <c r="M278" s="2"/>
      <c r="N278" s="2"/>
      <c r="O278" s="2"/>
      <c r="P278" s="2"/>
      <c r="Q278" s="2"/>
      <c r="R278" s="2"/>
      <c r="S278" s="2"/>
      <c r="T278" s="2"/>
      <c r="U278" s="2"/>
      <c r="V278" s="2"/>
      <c r="W278" s="158"/>
      <c r="X278" s="2"/>
      <c r="Y278" s="2"/>
      <c r="Z278" s="2"/>
    </row>
    <row r="279" spans="1:26" ht="13.5" customHeight="1">
      <c r="A279" s="2"/>
      <c r="B279" s="2"/>
      <c r="C279" s="2"/>
      <c r="D279" s="2"/>
      <c r="E279" s="2"/>
      <c r="F279" s="2"/>
      <c r="G279" s="2"/>
      <c r="H279" s="2"/>
      <c r="I279" s="2"/>
      <c r="J279" s="2"/>
      <c r="K279" s="2"/>
      <c r="L279" s="2"/>
      <c r="M279" s="2"/>
      <c r="N279" s="2"/>
      <c r="O279" s="2"/>
      <c r="P279" s="2"/>
      <c r="Q279" s="2"/>
      <c r="R279" s="2"/>
      <c r="S279" s="2"/>
      <c r="T279" s="2"/>
      <c r="U279" s="2"/>
      <c r="V279" s="2"/>
      <c r="W279" s="158"/>
      <c r="X279" s="2"/>
      <c r="Y279" s="2"/>
      <c r="Z279" s="2"/>
    </row>
    <row r="280" spans="1:26" ht="13.5" customHeight="1">
      <c r="A280" s="2"/>
      <c r="B280" s="2"/>
      <c r="C280" s="2"/>
      <c r="D280" s="2"/>
      <c r="E280" s="2"/>
      <c r="F280" s="2"/>
      <c r="G280" s="2"/>
      <c r="H280" s="2"/>
      <c r="I280" s="2"/>
      <c r="J280" s="2"/>
      <c r="K280" s="2"/>
      <c r="L280" s="2"/>
      <c r="M280" s="2"/>
      <c r="N280" s="2"/>
      <c r="O280" s="2"/>
      <c r="P280" s="2"/>
      <c r="Q280" s="2"/>
      <c r="R280" s="2"/>
      <c r="S280" s="2"/>
      <c r="T280" s="2"/>
      <c r="U280" s="2"/>
      <c r="V280" s="2"/>
      <c r="W280" s="158"/>
      <c r="X280" s="2"/>
      <c r="Y280" s="2"/>
      <c r="Z280" s="2"/>
    </row>
    <row r="281" spans="1:26" ht="13.5" customHeight="1">
      <c r="A281" s="2"/>
      <c r="B281" s="2"/>
      <c r="C281" s="2"/>
      <c r="D281" s="2"/>
      <c r="E281" s="2"/>
      <c r="F281" s="2"/>
      <c r="G281" s="2"/>
      <c r="H281" s="2"/>
      <c r="I281" s="2"/>
      <c r="J281" s="2"/>
      <c r="K281" s="2"/>
      <c r="L281" s="2"/>
      <c r="M281" s="2"/>
      <c r="N281" s="2"/>
      <c r="O281" s="2"/>
      <c r="P281" s="2"/>
      <c r="Q281" s="2"/>
      <c r="R281" s="2"/>
      <c r="S281" s="2"/>
      <c r="T281" s="2"/>
      <c r="U281" s="2"/>
      <c r="V281" s="2"/>
      <c r="W281" s="158"/>
      <c r="X281" s="2"/>
      <c r="Y281" s="2"/>
      <c r="Z281" s="2"/>
    </row>
    <row r="282" spans="1:26" ht="13.5" customHeight="1">
      <c r="A282" s="2"/>
      <c r="B282" s="2"/>
      <c r="C282" s="2"/>
      <c r="D282" s="2"/>
      <c r="E282" s="2"/>
      <c r="F282" s="2"/>
      <c r="G282" s="2"/>
      <c r="H282" s="2"/>
      <c r="I282" s="2"/>
      <c r="J282" s="2"/>
      <c r="K282" s="2"/>
      <c r="L282" s="2"/>
      <c r="M282" s="2"/>
      <c r="N282" s="2"/>
      <c r="O282" s="2"/>
      <c r="P282" s="2"/>
      <c r="Q282" s="2"/>
      <c r="R282" s="2"/>
      <c r="S282" s="2"/>
      <c r="T282" s="2"/>
      <c r="U282" s="2"/>
      <c r="V282" s="2"/>
      <c r="W282" s="158"/>
      <c r="X282" s="2"/>
      <c r="Y282" s="2"/>
      <c r="Z282" s="2"/>
    </row>
    <row r="283" spans="1:26" ht="13.5" customHeight="1">
      <c r="A283" s="2"/>
      <c r="B283" s="2"/>
      <c r="C283" s="2"/>
      <c r="D283" s="2"/>
      <c r="E283" s="2"/>
      <c r="F283" s="2"/>
      <c r="G283" s="2"/>
      <c r="H283" s="2"/>
      <c r="I283" s="2"/>
      <c r="J283" s="2"/>
      <c r="K283" s="2"/>
      <c r="L283" s="2"/>
      <c r="M283" s="2"/>
      <c r="N283" s="2"/>
      <c r="O283" s="2"/>
      <c r="P283" s="2"/>
      <c r="Q283" s="2"/>
      <c r="R283" s="2"/>
      <c r="S283" s="2"/>
      <c r="T283" s="2"/>
      <c r="U283" s="2"/>
      <c r="V283" s="2"/>
      <c r="W283" s="158"/>
      <c r="X283" s="2"/>
      <c r="Y283" s="2"/>
      <c r="Z283" s="2"/>
    </row>
    <row r="284" spans="1:26" ht="13.5" customHeight="1">
      <c r="A284" s="2"/>
      <c r="B284" s="2"/>
      <c r="C284" s="2"/>
      <c r="D284" s="2"/>
      <c r="E284" s="2"/>
      <c r="F284" s="2"/>
      <c r="G284" s="2"/>
      <c r="H284" s="2"/>
      <c r="I284" s="2"/>
      <c r="J284" s="2"/>
      <c r="K284" s="2"/>
      <c r="L284" s="2"/>
      <c r="M284" s="2"/>
      <c r="N284" s="2"/>
      <c r="O284" s="2"/>
      <c r="P284" s="2"/>
      <c r="Q284" s="2"/>
      <c r="R284" s="2"/>
      <c r="S284" s="2"/>
      <c r="T284" s="2"/>
      <c r="U284" s="2"/>
      <c r="V284" s="2"/>
      <c r="W284" s="158"/>
      <c r="X284" s="2"/>
      <c r="Y284" s="2"/>
      <c r="Z284" s="2"/>
    </row>
    <row r="285" spans="1:26" ht="13.5" customHeight="1">
      <c r="A285" s="2"/>
      <c r="B285" s="2"/>
      <c r="C285" s="2"/>
      <c r="D285" s="2"/>
      <c r="E285" s="2"/>
      <c r="F285" s="2"/>
      <c r="G285" s="2"/>
      <c r="H285" s="2"/>
      <c r="I285" s="2"/>
      <c r="J285" s="2"/>
      <c r="K285" s="2"/>
      <c r="L285" s="2"/>
      <c r="M285" s="2"/>
      <c r="N285" s="2"/>
      <c r="O285" s="2"/>
      <c r="P285" s="2"/>
      <c r="Q285" s="2"/>
      <c r="R285" s="2"/>
      <c r="S285" s="2"/>
      <c r="T285" s="2"/>
      <c r="U285" s="2"/>
      <c r="V285" s="2"/>
      <c r="W285" s="158"/>
      <c r="X285" s="2"/>
      <c r="Y285" s="2"/>
      <c r="Z285" s="2"/>
    </row>
    <row r="286" spans="1:26" ht="13.5" customHeight="1">
      <c r="A286" s="2"/>
      <c r="B286" s="2"/>
      <c r="C286" s="2"/>
      <c r="D286" s="2"/>
      <c r="E286" s="2"/>
      <c r="F286" s="2"/>
      <c r="G286" s="2"/>
      <c r="H286" s="2"/>
      <c r="I286" s="2"/>
      <c r="J286" s="2"/>
      <c r="K286" s="2"/>
      <c r="L286" s="2"/>
      <c r="M286" s="2"/>
      <c r="N286" s="2"/>
      <c r="O286" s="2"/>
      <c r="P286" s="2"/>
      <c r="Q286" s="2"/>
      <c r="R286" s="2"/>
      <c r="S286" s="2"/>
      <c r="T286" s="2"/>
      <c r="U286" s="2"/>
      <c r="V286" s="2"/>
      <c r="W286" s="158"/>
      <c r="X286" s="2"/>
      <c r="Y286" s="2"/>
      <c r="Z286" s="2"/>
    </row>
    <row r="287" spans="1:26" ht="13.5" customHeight="1">
      <c r="A287" s="2"/>
      <c r="B287" s="2"/>
      <c r="C287" s="2"/>
      <c r="D287" s="2"/>
      <c r="E287" s="2"/>
      <c r="F287" s="2"/>
      <c r="G287" s="2"/>
      <c r="H287" s="2"/>
      <c r="I287" s="2"/>
      <c r="J287" s="2"/>
      <c r="K287" s="2"/>
      <c r="L287" s="2"/>
      <c r="M287" s="2"/>
      <c r="N287" s="2"/>
      <c r="O287" s="2"/>
      <c r="P287" s="2"/>
      <c r="Q287" s="2"/>
      <c r="R287" s="2"/>
      <c r="S287" s="2"/>
      <c r="T287" s="2"/>
      <c r="U287" s="2"/>
      <c r="V287" s="2"/>
      <c r="W287" s="158"/>
      <c r="X287" s="2"/>
      <c r="Y287" s="2"/>
      <c r="Z287" s="2"/>
    </row>
    <row r="288" spans="1:26" ht="13.5" customHeight="1">
      <c r="A288" s="2"/>
      <c r="B288" s="2"/>
      <c r="C288" s="2"/>
      <c r="D288" s="2"/>
      <c r="E288" s="2"/>
      <c r="F288" s="2"/>
      <c r="G288" s="2"/>
      <c r="H288" s="2"/>
      <c r="I288" s="2"/>
      <c r="J288" s="2"/>
      <c r="K288" s="2"/>
      <c r="L288" s="2"/>
      <c r="M288" s="2"/>
      <c r="N288" s="2"/>
      <c r="O288" s="2"/>
      <c r="P288" s="2"/>
      <c r="Q288" s="2"/>
      <c r="R288" s="2"/>
      <c r="S288" s="2"/>
      <c r="T288" s="2"/>
      <c r="U288" s="2"/>
      <c r="V288" s="2"/>
      <c r="W288" s="158"/>
      <c r="X288" s="2"/>
      <c r="Y288" s="2"/>
      <c r="Z288" s="2"/>
    </row>
    <row r="289" spans="1:26" ht="13.5" customHeight="1">
      <c r="A289" s="2"/>
      <c r="B289" s="2"/>
      <c r="C289" s="2"/>
      <c r="D289" s="2"/>
      <c r="E289" s="2"/>
      <c r="F289" s="2"/>
      <c r="G289" s="2"/>
      <c r="H289" s="2"/>
      <c r="I289" s="2"/>
      <c r="J289" s="2"/>
      <c r="K289" s="2"/>
      <c r="L289" s="2"/>
      <c r="M289" s="2"/>
      <c r="N289" s="2"/>
      <c r="O289" s="2"/>
      <c r="P289" s="2"/>
      <c r="Q289" s="2"/>
      <c r="R289" s="2"/>
      <c r="S289" s="2"/>
      <c r="T289" s="2"/>
      <c r="U289" s="2"/>
      <c r="V289" s="2"/>
      <c r="W289" s="158"/>
      <c r="X289" s="2"/>
      <c r="Y289" s="2"/>
      <c r="Z289" s="2"/>
    </row>
    <row r="290" spans="1:26" ht="13.5" customHeight="1">
      <c r="A290" s="2"/>
      <c r="B290" s="2"/>
      <c r="C290" s="2"/>
      <c r="D290" s="2"/>
      <c r="E290" s="2"/>
      <c r="F290" s="2"/>
      <c r="G290" s="2"/>
      <c r="H290" s="2"/>
      <c r="I290" s="2"/>
      <c r="J290" s="2"/>
      <c r="K290" s="2"/>
      <c r="L290" s="2"/>
      <c r="M290" s="2"/>
      <c r="N290" s="2"/>
      <c r="O290" s="2"/>
      <c r="P290" s="2"/>
      <c r="Q290" s="2"/>
      <c r="R290" s="2"/>
      <c r="S290" s="2"/>
      <c r="T290" s="2"/>
      <c r="U290" s="2"/>
      <c r="V290" s="2"/>
      <c r="W290" s="158"/>
      <c r="X290" s="2"/>
      <c r="Y290" s="2"/>
      <c r="Z290" s="2"/>
    </row>
    <row r="291" spans="1:26" ht="13.5" customHeight="1">
      <c r="A291" s="2"/>
      <c r="B291" s="2"/>
      <c r="C291" s="2"/>
      <c r="D291" s="2"/>
      <c r="E291" s="2"/>
      <c r="F291" s="2"/>
      <c r="G291" s="2"/>
      <c r="H291" s="2"/>
      <c r="I291" s="2"/>
      <c r="J291" s="2"/>
      <c r="K291" s="2"/>
      <c r="L291" s="2"/>
      <c r="M291" s="2"/>
      <c r="N291" s="2"/>
      <c r="O291" s="2"/>
      <c r="P291" s="2"/>
      <c r="Q291" s="2"/>
      <c r="R291" s="2"/>
      <c r="S291" s="2"/>
      <c r="T291" s="2"/>
      <c r="U291" s="2"/>
      <c r="V291" s="2"/>
      <c r="W291" s="158"/>
      <c r="X291" s="2"/>
      <c r="Y291" s="2"/>
      <c r="Z291" s="2"/>
    </row>
    <row r="292" spans="1:26" ht="13.5" customHeight="1">
      <c r="A292" s="2"/>
      <c r="B292" s="2"/>
      <c r="C292" s="2"/>
      <c r="D292" s="2"/>
      <c r="E292" s="2"/>
      <c r="F292" s="2"/>
      <c r="G292" s="2"/>
      <c r="H292" s="2"/>
      <c r="I292" s="2"/>
      <c r="J292" s="2"/>
      <c r="K292" s="2"/>
      <c r="L292" s="2"/>
      <c r="M292" s="2"/>
      <c r="N292" s="2"/>
      <c r="O292" s="2"/>
      <c r="P292" s="2"/>
      <c r="Q292" s="2"/>
      <c r="R292" s="2"/>
      <c r="S292" s="2"/>
      <c r="T292" s="2"/>
      <c r="U292" s="2"/>
      <c r="V292" s="2"/>
      <c r="W292" s="158"/>
      <c r="X292" s="2"/>
      <c r="Y292" s="2"/>
      <c r="Z292" s="2"/>
    </row>
    <row r="293" spans="1:26" ht="13.5" customHeight="1">
      <c r="A293" s="2"/>
      <c r="B293" s="2"/>
      <c r="C293" s="2"/>
      <c r="D293" s="2"/>
      <c r="E293" s="2"/>
      <c r="F293" s="2"/>
      <c r="G293" s="2"/>
      <c r="H293" s="2"/>
      <c r="I293" s="2"/>
      <c r="J293" s="2"/>
      <c r="K293" s="2"/>
      <c r="L293" s="2"/>
      <c r="M293" s="2"/>
      <c r="N293" s="2"/>
      <c r="O293" s="2"/>
      <c r="P293" s="2"/>
      <c r="Q293" s="2"/>
      <c r="R293" s="2"/>
      <c r="S293" s="2"/>
      <c r="T293" s="2"/>
      <c r="U293" s="2"/>
      <c r="V293" s="2"/>
      <c r="W293" s="158"/>
      <c r="X293" s="2"/>
      <c r="Y293" s="2"/>
      <c r="Z293" s="2"/>
    </row>
    <row r="294" spans="1:26" ht="13.5" customHeight="1">
      <c r="A294" s="2"/>
      <c r="B294" s="2"/>
      <c r="C294" s="2"/>
      <c r="D294" s="2"/>
      <c r="E294" s="2"/>
      <c r="F294" s="2"/>
      <c r="G294" s="2"/>
      <c r="H294" s="2"/>
      <c r="I294" s="2"/>
      <c r="J294" s="2"/>
      <c r="K294" s="2"/>
      <c r="L294" s="2"/>
      <c r="M294" s="2"/>
      <c r="N294" s="2"/>
      <c r="O294" s="2"/>
      <c r="P294" s="2"/>
      <c r="Q294" s="2"/>
      <c r="R294" s="2"/>
      <c r="S294" s="2"/>
      <c r="T294" s="2"/>
      <c r="U294" s="2"/>
      <c r="V294" s="2"/>
      <c r="W294" s="158"/>
      <c r="X294" s="2"/>
      <c r="Y294" s="2"/>
      <c r="Z294" s="2"/>
    </row>
    <row r="295" spans="1:26" ht="13.5" customHeight="1">
      <c r="A295" s="2"/>
      <c r="B295" s="2"/>
      <c r="C295" s="2"/>
      <c r="D295" s="2"/>
      <c r="E295" s="2"/>
      <c r="F295" s="2"/>
      <c r="G295" s="2"/>
      <c r="H295" s="2"/>
      <c r="I295" s="2"/>
      <c r="J295" s="2"/>
      <c r="K295" s="2"/>
      <c r="L295" s="2"/>
      <c r="M295" s="2"/>
      <c r="N295" s="2"/>
      <c r="O295" s="2"/>
      <c r="P295" s="2"/>
      <c r="Q295" s="2"/>
      <c r="R295" s="2"/>
      <c r="S295" s="2"/>
      <c r="T295" s="2"/>
      <c r="U295" s="2"/>
      <c r="V295" s="2"/>
      <c r="W295" s="158"/>
      <c r="X295" s="2"/>
      <c r="Y295" s="2"/>
      <c r="Z295" s="2"/>
    </row>
    <row r="296" spans="1:26" ht="13.5" customHeight="1">
      <c r="A296" s="2"/>
      <c r="B296" s="2"/>
      <c r="C296" s="2"/>
      <c r="D296" s="2"/>
      <c r="E296" s="2"/>
      <c r="F296" s="2"/>
      <c r="G296" s="2"/>
      <c r="H296" s="2"/>
      <c r="I296" s="2"/>
      <c r="J296" s="2"/>
      <c r="K296" s="2"/>
      <c r="L296" s="2"/>
      <c r="M296" s="2"/>
      <c r="N296" s="2"/>
      <c r="O296" s="2"/>
      <c r="P296" s="2"/>
      <c r="Q296" s="2"/>
      <c r="R296" s="2"/>
      <c r="S296" s="2"/>
      <c r="T296" s="2"/>
      <c r="U296" s="2"/>
      <c r="V296" s="2"/>
      <c r="W296" s="158"/>
      <c r="X296" s="2"/>
      <c r="Y296" s="2"/>
      <c r="Z296" s="2"/>
    </row>
    <row r="297" spans="1:26" ht="13.5" customHeight="1">
      <c r="A297" s="2"/>
      <c r="B297" s="2"/>
      <c r="C297" s="2"/>
      <c r="D297" s="2"/>
      <c r="E297" s="2"/>
      <c r="F297" s="2"/>
      <c r="G297" s="2"/>
      <c r="H297" s="2"/>
      <c r="I297" s="2"/>
      <c r="J297" s="2"/>
      <c r="K297" s="2"/>
      <c r="L297" s="2"/>
      <c r="M297" s="2"/>
      <c r="N297" s="2"/>
      <c r="O297" s="2"/>
      <c r="P297" s="2"/>
      <c r="Q297" s="2"/>
      <c r="R297" s="2"/>
      <c r="S297" s="2"/>
      <c r="T297" s="2"/>
      <c r="U297" s="2"/>
      <c r="V297" s="2"/>
      <c r="W297" s="158"/>
      <c r="X297" s="2"/>
      <c r="Y297" s="2"/>
      <c r="Z297" s="2"/>
    </row>
    <row r="298" spans="1:26" ht="13.5" customHeight="1">
      <c r="A298" s="2"/>
      <c r="B298" s="2"/>
      <c r="C298" s="2"/>
      <c r="D298" s="2"/>
      <c r="E298" s="2"/>
      <c r="F298" s="2"/>
      <c r="G298" s="2"/>
      <c r="H298" s="2"/>
      <c r="I298" s="2"/>
      <c r="J298" s="2"/>
      <c r="K298" s="2"/>
      <c r="L298" s="2"/>
      <c r="M298" s="2"/>
      <c r="N298" s="2"/>
      <c r="O298" s="2"/>
      <c r="P298" s="2"/>
      <c r="Q298" s="2"/>
      <c r="R298" s="2"/>
      <c r="S298" s="2"/>
      <c r="T298" s="2"/>
      <c r="U298" s="2"/>
      <c r="V298" s="2"/>
      <c r="W298" s="158"/>
      <c r="X298" s="2"/>
      <c r="Y298" s="2"/>
      <c r="Z298" s="2"/>
    </row>
    <row r="299" spans="1:26" ht="13.5" customHeight="1">
      <c r="A299" s="2"/>
      <c r="B299" s="2"/>
      <c r="C299" s="2"/>
      <c r="D299" s="2"/>
      <c r="E299" s="2"/>
      <c r="F299" s="2"/>
      <c r="G299" s="2"/>
      <c r="H299" s="2"/>
      <c r="I299" s="2"/>
      <c r="J299" s="2"/>
      <c r="K299" s="2"/>
      <c r="L299" s="2"/>
      <c r="M299" s="2"/>
      <c r="N299" s="2"/>
      <c r="O299" s="2"/>
      <c r="P299" s="2"/>
      <c r="Q299" s="2"/>
      <c r="R299" s="2"/>
      <c r="S299" s="2"/>
      <c r="T299" s="2"/>
      <c r="U299" s="2"/>
      <c r="V299" s="2"/>
      <c r="W299" s="158"/>
      <c r="X299" s="2"/>
      <c r="Y299" s="2"/>
      <c r="Z299" s="2"/>
    </row>
    <row r="300" spans="1:26" ht="13.5" customHeight="1">
      <c r="A300" s="2"/>
      <c r="B300" s="2"/>
      <c r="C300" s="2"/>
      <c r="D300" s="2"/>
      <c r="E300" s="2"/>
      <c r="F300" s="2"/>
      <c r="G300" s="2"/>
      <c r="H300" s="2"/>
      <c r="I300" s="2"/>
      <c r="J300" s="2"/>
      <c r="K300" s="2"/>
      <c r="L300" s="2"/>
      <c r="M300" s="2"/>
      <c r="N300" s="2"/>
      <c r="O300" s="2"/>
      <c r="P300" s="2"/>
      <c r="Q300" s="2"/>
      <c r="R300" s="2"/>
      <c r="S300" s="2"/>
      <c r="T300" s="2"/>
      <c r="U300" s="2"/>
      <c r="V300" s="2"/>
      <c r="W300" s="158"/>
      <c r="X300" s="2"/>
      <c r="Y300" s="2"/>
      <c r="Z300" s="2"/>
    </row>
    <row r="301" spans="1:26" ht="13.5" customHeight="1">
      <c r="A301" s="2"/>
      <c r="B301" s="2"/>
      <c r="C301" s="2"/>
      <c r="D301" s="2"/>
      <c r="E301" s="2"/>
      <c r="F301" s="2"/>
      <c r="G301" s="2"/>
      <c r="H301" s="2"/>
      <c r="I301" s="2"/>
      <c r="J301" s="2"/>
      <c r="K301" s="2"/>
      <c r="L301" s="2"/>
      <c r="M301" s="2"/>
      <c r="N301" s="2"/>
      <c r="O301" s="2"/>
      <c r="P301" s="2"/>
      <c r="Q301" s="2"/>
      <c r="R301" s="2"/>
      <c r="S301" s="2"/>
      <c r="T301" s="2"/>
      <c r="U301" s="2"/>
      <c r="V301" s="2"/>
      <c r="W301" s="158"/>
      <c r="X301" s="2"/>
      <c r="Y301" s="2"/>
      <c r="Z301" s="2"/>
    </row>
    <row r="302" spans="1:26" ht="13.5" customHeight="1">
      <c r="A302" s="2"/>
      <c r="B302" s="2"/>
      <c r="C302" s="2"/>
      <c r="D302" s="2"/>
      <c r="E302" s="2"/>
      <c r="F302" s="2"/>
      <c r="G302" s="2"/>
      <c r="H302" s="2"/>
      <c r="I302" s="2"/>
      <c r="J302" s="2"/>
      <c r="K302" s="2"/>
      <c r="L302" s="2"/>
      <c r="M302" s="2"/>
      <c r="N302" s="2"/>
      <c r="O302" s="2"/>
      <c r="P302" s="2"/>
      <c r="Q302" s="2"/>
      <c r="R302" s="2"/>
      <c r="S302" s="2"/>
      <c r="T302" s="2"/>
      <c r="U302" s="2"/>
      <c r="V302" s="2"/>
      <c r="W302" s="158"/>
      <c r="X302" s="2"/>
      <c r="Y302" s="2"/>
      <c r="Z302" s="2"/>
    </row>
    <row r="303" spans="1:26" ht="13.5" customHeight="1">
      <c r="A303" s="2"/>
      <c r="B303" s="2"/>
      <c r="C303" s="2"/>
      <c r="D303" s="2"/>
      <c r="E303" s="2"/>
      <c r="F303" s="2"/>
      <c r="G303" s="2"/>
      <c r="H303" s="2"/>
      <c r="I303" s="2"/>
      <c r="J303" s="2"/>
      <c r="K303" s="2"/>
      <c r="L303" s="2"/>
      <c r="M303" s="2"/>
      <c r="N303" s="2"/>
      <c r="O303" s="2"/>
      <c r="P303" s="2"/>
      <c r="Q303" s="2"/>
      <c r="R303" s="2"/>
      <c r="S303" s="2"/>
      <c r="T303" s="2"/>
      <c r="U303" s="2"/>
      <c r="V303" s="2"/>
      <c r="W303" s="158"/>
      <c r="X303" s="2"/>
      <c r="Y303" s="2"/>
      <c r="Z303" s="2"/>
    </row>
    <row r="304" spans="1:26" ht="13.5" customHeight="1">
      <c r="A304" s="2"/>
      <c r="B304" s="2"/>
      <c r="C304" s="2"/>
      <c r="D304" s="2"/>
      <c r="E304" s="2"/>
      <c r="F304" s="2"/>
      <c r="G304" s="2"/>
      <c r="H304" s="2"/>
      <c r="I304" s="2"/>
      <c r="J304" s="2"/>
      <c r="K304" s="2"/>
      <c r="L304" s="2"/>
      <c r="M304" s="2"/>
      <c r="N304" s="2"/>
      <c r="O304" s="2"/>
      <c r="P304" s="2"/>
      <c r="Q304" s="2"/>
      <c r="R304" s="2"/>
      <c r="S304" s="2"/>
      <c r="T304" s="2"/>
      <c r="U304" s="2"/>
      <c r="V304" s="2"/>
      <c r="W304" s="158"/>
      <c r="X304" s="2"/>
      <c r="Y304" s="2"/>
      <c r="Z304" s="2"/>
    </row>
    <row r="305" spans="1:26" ht="13.5" customHeight="1">
      <c r="A305" s="2"/>
      <c r="B305" s="2"/>
      <c r="C305" s="2"/>
      <c r="D305" s="2"/>
      <c r="E305" s="2"/>
      <c r="F305" s="2"/>
      <c r="G305" s="2"/>
      <c r="H305" s="2"/>
      <c r="I305" s="2"/>
      <c r="J305" s="2"/>
      <c r="K305" s="2"/>
      <c r="L305" s="2"/>
      <c r="M305" s="2"/>
      <c r="N305" s="2"/>
      <c r="O305" s="2"/>
      <c r="P305" s="2"/>
      <c r="Q305" s="2"/>
      <c r="R305" s="2"/>
      <c r="S305" s="2"/>
      <c r="T305" s="2"/>
      <c r="U305" s="2"/>
      <c r="V305" s="2"/>
      <c r="W305" s="158"/>
      <c r="X305" s="2"/>
      <c r="Y305" s="2"/>
      <c r="Z305" s="2"/>
    </row>
    <row r="306" spans="1:26" ht="13.5" customHeight="1">
      <c r="A306" s="2"/>
      <c r="B306" s="2"/>
      <c r="C306" s="2"/>
      <c r="D306" s="2"/>
      <c r="E306" s="2"/>
      <c r="F306" s="2"/>
      <c r="G306" s="2"/>
      <c r="H306" s="2"/>
      <c r="I306" s="2"/>
      <c r="J306" s="2"/>
      <c r="K306" s="2"/>
      <c r="L306" s="2"/>
      <c r="M306" s="2"/>
      <c r="N306" s="2"/>
      <c r="O306" s="2"/>
      <c r="P306" s="2"/>
      <c r="Q306" s="2"/>
      <c r="R306" s="2"/>
      <c r="S306" s="2"/>
      <c r="T306" s="2"/>
      <c r="U306" s="2"/>
      <c r="V306" s="2"/>
      <c r="W306" s="158"/>
      <c r="X306" s="2"/>
      <c r="Y306" s="2"/>
      <c r="Z306" s="2"/>
    </row>
    <row r="307" spans="1:26" ht="13.5" customHeight="1">
      <c r="A307" s="2"/>
      <c r="B307" s="2"/>
      <c r="C307" s="2"/>
      <c r="D307" s="2"/>
      <c r="E307" s="2"/>
      <c r="F307" s="2"/>
      <c r="G307" s="2"/>
      <c r="H307" s="2"/>
      <c r="I307" s="2"/>
      <c r="J307" s="2"/>
      <c r="K307" s="2"/>
      <c r="L307" s="2"/>
      <c r="M307" s="2"/>
      <c r="N307" s="2"/>
      <c r="O307" s="2"/>
      <c r="P307" s="2"/>
      <c r="Q307" s="2"/>
      <c r="R307" s="2"/>
      <c r="S307" s="2"/>
      <c r="T307" s="2"/>
      <c r="U307" s="2"/>
      <c r="V307" s="2"/>
      <c r="W307" s="158"/>
      <c r="X307" s="2"/>
      <c r="Y307" s="2"/>
      <c r="Z307" s="2"/>
    </row>
    <row r="308" spans="1:26" ht="13.5" customHeight="1">
      <c r="A308" s="2"/>
      <c r="B308" s="2"/>
      <c r="C308" s="2"/>
      <c r="D308" s="2"/>
      <c r="E308" s="2"/>
      <c r="F308" s="2"/>
      <c r="G308" s="2"/>
      <c r="H308" s="2"/>
      <c r="I308" s="2"/>
      <c r="J308" s="2"/>
      <c r="K308" s="2"/>
      <c r="L308" s="2"/>
      <c r="M308" s="2"/>
      <c r="N308" s="2"/>
      <c r="O308" s="2"/>
      <c r="P308" s="2"/>
      <c r="Q308" s="2"/>
      <c r="R308" s="2"/>
      <c r="S308" s="2"/>
      <c r="T308" s="2"/>
      <c r="U308" s="2"/>
      <c r="V308" s="2"/>
      <c r="W308" s="158"/>
      <c r="X308" s="2"/>
      <c r="Y308" s="2"/>
      <c r="Z308" s="2"/>
    </row>
    <row r="309" spans="1:26" ht="13.5" customHeight="1">
      <c r="A309" s="2"/>
      <c r="B309" s="2"/>
      <c r="C309" s="2"/>
      <c r="D309" s="2"/>
      <c r="E309" s="2"/>
      <c r="F309" s="2"/>
      <c r="G309" s="2"/>
      <c r="H309" s="2"/>
      <c r="I309" s="2"/>
      <c r="J309" s="2"/>
      <c r="K309" s="2"/>
      <c r="L309" s="2"/>
      <c r="M309" s="2"/>
      <c r="N309" s="2"/>
      <c r="O309" s="2"/>
      <c r="P309" s="2"/>
      <c r="Q309" s="2"/>
      <c r="R309" s="2"/>
      <c r="S309" s="2"/>
      <c r="T309" s="2"/>
      <c r="U309" s="2"/>
      <c r="V309" s="2"/>
      <c r="W309" s="158"/>
      <c r="X309" s="2"/>
      <c r="Y309" s="2"/>
      <c r="Z309" s="2"/>
    </row>
    <row r="310" spans="1:26" ht="13.5" customHeight="1">
      <c r="A310" s="2"/>
      <c r="B310" s="2"/>
      <c r="C310" s="2"/>
      <c r="D310" s="2"/>
      <c r="E310" s="2"/>
      <c r="F310" s="2"/>
      <c r="G310" s="2"/>
      <c r="H310" s="2"/>
      <c r="I310" s="2"/>
      <c r="J310" s="2"/>
      <c r="K310" s="2"/>
      <c r="L310" s="2"/>
      <c r="M310" s="2"/>
      <c r="N310" s="2"/>
      <c r="O310" s="2"/>
      <c r="P310" s="2"/>
      <c r="Q310" s="2"/>
      <c r="R310" s="2"/>
      <c r="S310" s="2"/>
      <c r="T310" s="2"/>
      <c r="U310" s="2"/>
      <c r="V310" s="2"/>
      <c r="W310" s="158"/>
      <c r="X310" s="2"/>
      <c r="Y310" s="2"/>
      <c r="Z310" s="2"/>
    </row>
    <row r="311" spans="1:26" ht="13.5" customHeight="1">
      <c r="A311" s="2"/>
      <c r="B311" s="2"/>
      <c r="C311" s="2"/>
      <c r="D311" s="2"/>
      <c r="E311" s="2"/>
      <c r="F311" s="2"/>
      <c r="G311" s="2"/>
      <c r="H311" s="2"/>
      <c r="I311" s="2"/>
      <c r="J311" s="2"/>
      <c r="K311" s="2"/>
      <c r="L311" s="2"/>
      <c r="M311" s="2"/>
      <c r="N311" s="2"/>
      <c r="O311" s="2"/>
      <c r="P311" s="2"/>
      <c r="Q311" s="2"/>
      <c r="R311" s="2"/>
      <c r="S311" s="2"/>
      <c r="T311" s="2"/>
      <c r="U311" s="2"/>
      <c r="V311" s="2"/>
      <c r="W311" s="158"/>
      <c r="X311" s="2"/>
      <c r="Y311" s="2"/>
      <c r="Z311" s="2"/>
    </row>
    <row r="312" spans="1:26" ht="13.5" customHeight="1">
      <c r="A312" s="2"/>
      <c r="B312" s="2"/>
      <c r="C312" s="2"/>
      <c r="D312" s="2"/>
      <c r="E312" s="2"/>
      <c r="F312" s="2"/>
      <c r="G312" s="2"/>
      <c r="H312" s="2"/>
      <c r="I312" s="2"/>
      <c r="J312" s="2"/>
      <c r="K312" s="2"/>
      <c r="L312" s="2"/>
      <c r="M312" s="2"/>
      <c r="N312" s="2"/>
      <c r="O312" s="2"/>
      <c r="P312" s="2"/>
      <c r="Q312" s="2"/>
      <c r="R312" s="2"/>
      <c r="S312" s="2"/>
      <c r="T312" s="2"/>
      <c r="U312" s="2"/>
      <c r="V312" s="2"/>
      <c r="W312" s="158"/>
      <c r="X312" s="2"/>
      <c r="Y312" s="2"/>
      <c r="Z312" s="2"/>
    </row>
    <row r="313" spans="1:26" ht="13.5" customHeight="1">
      <c r="A313" s="2"/>
      <c r="B313" s="2"/>
      <c r="C313" s="2"/>
      <c r="D313" s="2"/>
      <c r="E313" s="2"/>
      <c r="F313" s="2"/>
      <c r="G313" s="2"/>
      <c r="H313" s="2"/>
      <c r="I313" s="2"/>
      <c r="J313" s="2"/>
      <c r="K313" s="2"/>
      <c r="L313" s="2"/>
      <c r="M313" s="2"/>
      <c r="N313" s="2"/>
      <c r="O313" s="2"/>
      <c r="P313" s="2"/>
      <c r="Q313" s="2"/>
      <c r="R313" s="2"/>
      <c r="S313" s="2"/>
      <c r="T313" s="2"/>
      <c r="U313" s="2"/>
      <c r="V313" s="2"/>
      <c r="W313" s="158"/>
      <c r="X313" s="2"/>
      <c r="Y313" s="2"/>
      <c r="Z313" s="2"/>
    </row>
    <row r="314" spans="1:26" ht="13.5" customHeight="1">
      <c r="A314" s="2"/>
      <c r="B314" s="2"/>
      <c r="C314" s="2"/>
      <c r="D314" s="2"/>
      <c r="E314" s="2"/>
      <c r="F314" s="2"/>
      <c r="G314" s="2"/>
      <c r="H314" s="2"/>
      <c r="I314" s="2"/>
      <c r="J314" s="2"/>
      <c r="K314" s="2"/>
      <c r="L314" s="2"/>
      <c r="M314" s="2"/>
      <c r="N314" s="2"/>
      <c r="O314" s="2"/>
      <c r="P314" s="2"/>
      <c r="Q314" s="2"/>
      <c r="R314" s="2"/>
      <c r="S314" s="2"/>
      <c r="T314" s="2"/>
      <c r="U314" s="2"/>
      <c r="V314" s="2"/>
      <c r="W314" s="158"/>
      <c r="X314" s="2"/>
      <c r="Y314" s="2"/>
      <c r="Z314" s="2"/>
    </row>
    <row r="315" spans="1:26" ht="13.5" customHeight="1">
      <c r="A315" s="2"/>
      <c r="B315" s="2"/>
      <c r="C315" s="2"/>
      <c r="D315" s="2"/>
      <c r="E315" s="2"/>
      <c r="F315" s="2"/>
      <c r="G315" s="2"/>
      <c r="H315" s="2"/>
      <c r="I315" s="2"/>
      <c r="J315" s="2"/>
      <c r="K315" s="2"/>
      <c r="L315" s="2"/>
      <c r="M315" s="2"/>
      <c r="N315" s="2"/>
      <c r="O315" s="2"/>
      <c r="P315" s="2"/>
      <c r="Q315" s="2"/>
      <c r="R315" s="2"/>
      <c r="S315" s="2"/>
      <c r="T315" s="2"/>
      <c r="U315" s="2"/>
      <c r="V315" s="2"/>
      <c r="W315" s="158"/>
      <c r="X315" s="2"/>
      <c r="Y315" s="2"/>
      <c r="Z315" s="2"/>
    </row>
    <row r="316" spans="1:26" ht="13.5" customHeight="1">
      <c r="A316" s="2"/>
      <c r="B316" s="2"/>
      <c r="C316" s="2"/>
      <c r="D316" s="2"/>
      <c r="E316" s="2"/>
      <c r="F316" s="2"/>
      <c r="G316" s="2"/>
      <c r="H316" s="2"/>
      <c r="I316" s="2"/>
      <c r="J316" s="2"/>
      <c r="K316" s="2"/>
      <c r="L316" s="2"/>
      <c r="M316" s="2"/>
      <c r="N316" s="2"/>
      <c r="O316" s="2"/>
      <c r="P316" s="2"/>
      <c r="Q316" s="2"/>
      <c r="R316" s="2"/>
      <c r="S316" s="2"/>
      <c r="T316" s="2"/>
      <c r="U316" s="2"/>
      <c r="V316" s="2"/>
      <c r="W316" s="158"/>
      <c r="X316" s="2"/>
      <c r="Y316" s="2"/>
      <c r="Z316" s="2"/>
    </row>
    <row r="317" spans="1:26" ht="13.5" customHeight="1">
      <c r="A317" s="2"/>
      <c r="B317" s="2"/>
      <c r="C317" s="2"/>
      <c r="D317" s="2"/>
      <c r="E317" s="2"/>
      <c r="F317" s="2"/>
      <c r="G317" s="2"/>
      <c r="H317" s="2"/>
      <c r="I317" s="2"/>
      <c r="J317" s="2"/>
      <c r="K317" s="2"/>
      <c r="L317" s="2"/>
      <c r="M317" s="2"/>
      <c r="N317" s="2"/>
      <c r="O317" s="2"/>
      <c r="P317" s="2"/>
      <c r="Q317" s="2"/>
      <c r="R317" s="2"/>
      <c r="S317" s="2"/>
      <c r="T317" s="2"/>
      <c r="U317" s="2"/>
      <c r="V317" s="2"/>
      <c r="W317" s="158"/>
      <c r="X317" s="2"/>
      <c r="Y317" s="2"/>
      <c r="Z317" s="2"/>
    </row>
    <row r="318" spans="1:26" ht="13.5" customHeight="1">
      <c r="A318" s="2"/>
      <c r="B318" s="2"/>
      <c r="C318" s="2"/>
      <c r="D318" s="2"/>
      <c r="E318" s="2"/>
      <c r="F318" s="2"/>
      <c r="G318" s="2"/>
      <c r="H318" s="2"/>
      <c r="I318" s="2"/>
      <c r="J318" s="2"/>
      <c r="K318" s="2"/>
      <c r="L318" s="2"/>
      <c r="M318" s="2"/>
      <c r="N318" s="2"/>
      <c r="O318" s="2"/>
      <c r="P318" s="2"/>
      <c r="Q318" s="2"/>
      <c r="R318" s="2"/>
      <c r="S318" s="2"/>
      <c r="T318" s="2"/>
      <c r="U318" s="2"/>
      <c r="V318" s="2"/>
      <c r="W318" s="158"/>
      <c r="X318" s="2"/>
      <c r="Y318" s="2"/>
      <c r="Z318" s="2"/>
    </row>
    <row r="319" spans="1:26" ht="13.5" customHeight="1">
      <c r="A319" s="2"/>
      <c r="B319" s="2"/>
      <c r="C319" s="2"/>
      <c r="D319" s="2"/>
      <c r="E319" s="2"/>
      <c r="F319" s="2"/>
      <c r="G319" s="2"/>
      <c r="H319" s="2"/>
      <c r="I319" s="2"/>
      <c r="J319" s="2"/>
      <c r="K319" s="2"/>
      <c r="L319" s="2"/>
      <c r="M319" s="2"/>
      <c r="N319" s="2"/>
      <c r="O319" s="2"/>
      <c r="P319" s="2"/>
      <c r="Q319" s="2"/>
      <c r="R319" s="2"/>
      <c r="S319" s="2"/>
      <c r="T319" s="2"/>
      <c r="U319" s="2"/>
      <c r="V319" s="2"/>
      <c r="W319" s="158"/>
      <c r="X319" s="2"/>
      <c r="Y319" s="2"/>
      <c r="Z319" s="2"/>
    </row>
    <row r="320" spans="1:26" ht="13.5" customHeight="1">
      <c r="A320" s="2"/>
      <c r="B320" s="2"/>
      <c r="C320" s="2"/>
      <c r="D320" s="2"/>
      <c r="E320" s="2"/>
      <c r="F320" s="2"/>
      <c r="G320" s="2"/>
      <c r="H320" s="2"/>
      <c r="I320" s="2"/>
      <c r="J320" s="2"/>
      <c r="K320" s="2"/>
      <c r="L320" s="2"/>
      <c r="M320" s="2"/>
      <c r="N320" s="2"/>
      <c r="O320" s="2"/>
      <c r="P320" s="2"/>
      <c r="Q320" s="2"/>
      <c r="R320" s="2"/>
      <c r="S320" s="2"/>
      <c r="T320" s="2"/>
      <c r="U320" s="2"/>
      <c r="V320" s="2"/>
      <c r="W320" s="158"/>
      <c r="X320" s="2"/>
      <c r="Y320" s="2"/>
      <c r="Z320" s="2"/>
    </row>
    <row r="321" spans="1:26" ht="13.5" customHeight="1">
      <c r="A321" s="2"/>
      <c r="B321" s="2"/>
      <c r="C321" s="2"/>
      <c r="D321" s="2"/>
      <c r="E321" s="2"/>
      <c r="F321" s="2"/>
      <c r="G321" s="2"/>
      <c r="H321" s="2"/>
      <c r="I321" s="2"/>
      <c r="J321" s="2"/>
      <c r="K321" s="2"/>
      <c r="L321" s="2"/>
      <c r="M321" s="2"/>
      <c r="N321" s="2"/>
      <c r="O321" s="2"/>
      <c r="P321" s="2"/>
      <c r="Q321" s="2"/>
      <c r="R321" s="2"/>
      <c r="S321" s="2"/>
      <c r="T321" s="2"/>
      <c r="U321" s="2"/>
      <c r="V321" s="2"/>
      <c r="W321" s="158"/>
      <c r="X321" s="2"/>
      <c r="Y321" s="2"/>
      <c r="Z321" s="2"/>
    </row>
    <row r="322" spans="1:26" ht="13.5" customHeight="1">
      <c r="A322" s="2"/>
      <c r="B322" s="2"/>
      <c r="C322" s="2"/>
      <c r="D322" s="2"/>
      <c r="E322" s="2"/>
      <c r="F322" s="2"/>
      <c r="G322" s="2"/>
      <c r="H322" s="2"/>
      <c r="I322" s="2"/>
      <c r="J322" s="2"/>
      <c r="K322" s="2"/>
      <c r="L322" s="2"/>
      <c r="M322" s="2"/>
      <c r="N322" s="2"/>
      <c r="O322" s="2"/>
      <c r="P322" s="2"/>
      <c r="Q322" s="2"/>
      <c r="R322" s="2"/>
      <c r="S322" s="2"/>
      <c r="T322" s="2"/>
      <c r="U322" s="2"/>
      <c r="V322" s="2"/>
      <c r="W322" s="158"/>
      <c r="X322" s="2"/>
      <c r="Y322" s="2"/>
      <c r="Z322" s="2"/>
    </row>
    <row r="323" spans="1:26" ht="13.5" customHeight="1">
      <c r="A323" s="2"/>
      <c r="B323" s="2"/>
      <c r="C323" s="2"/>
      <c r="D323" s="2"/>
      <c r="E323" s="2"/>
      <c r="F323" s="2"/>
      <c r="G323" s="2"/>
      <c r="H323" s="2"/>
      <c r="I323" s="2"/>
      <c r="J323" s="2"/>
      <c r="K323" s="2"/>
      <c r="L323" s="2"/>
      <c r="M323" s="2"/>
      <c r="N323" s="2"/>
      <c r="O323" s="2"/>
      <c r="P323" s="2"/>
      <c r="Q323" s="2"/>
      <c r="R323" s="2"/>
      <c r="S323" s="2"/>
      <c r="T323" s="2"/>
      <c r="U323" s="2"/>
      <c r="V323" s="2"/>
      <c r="W323" s="158"/>
      <c r="X323" s="2"/>
      <c r="Y323" s="2"/>
      <c r="Z323" s="2"/>
    </row>
    <row r="324" spans="1:26" ht="13.5" customHeight="1">
      <c r="A324" s="2"/>
      <c r="B324" s="2"/>
      <c r="C324" s="2"/>
      <c r="D324" s="2"/>
      <c r="E324" s="2"/>
      <c r="F324" s="2"/>
      <c r="G324" s="2"/>
      <c r="H324" s="2"/>
      <c r="I324" s="2"/>
      <c r="J324" s="2"/>
      <c r="K324" s="2"/>
      <c r="L324" s="2"/>
      <c r="M324" s="2"/>
      <c r="N324" s="2"/>
      <c r="O324" s="2"/>
      <c r="P324" s="2"/>
      <c r="Q324" s="2"/>
      <c r="R324" s="2"/>
      <c r="S324" s="2"/>
      <c r="T324" s="2"/>
      <c r="U324" s="2"/>
      <c r="V324" s="2"/>
      <c r="W324" s="158"/>
      <c r="X324" s="2"/>
      <c r="Y324" s="2"/>
      <c r="Z324" s="2"/>
    </row>
    <row r="325" spans="1:26" ht="13.5" customHeight="1">
      <c r="A325" s="2"/>
      <c r="B325" s="2"/>
      <c r="C325" s="2"/>
      <c r="D325" s="2"/>
      <c r="E325" s="2"/>
      <c r="F325" s="2"/>
      <c r="G325" s="2"/>
      <c r="H325" s="2"/>
      <c r="I325" s="2"/>
      <c r="J325" s="2"/>
      <c r="K325" s="2"/>
      <c r="L325" s="2"/>
      <c r="M325" s="2"/>
      <c r="N325" s="2"/>
      <c r="O325" s="2"/>
      <c r="P325" s="2"/>
      <c r="Q325" s="2"/>
      <c r="R325" s="2"/>
      <c r="S325" s="2"/>
      <c r="T325" s="2"/>
      <c r="U325" s="2"/>
      <c r="V325" s="2"/>
      <c r="W325" s="158"/>
      <c r="X325" s="2"/>
      <c r="Y325" s="2"/>
      <c r="Z325" s="2"/>
    </row>
    <row r="326" spans="1:26" ht="13.5" customHeight="1">
      <c r="A326" s="2"/>
      <c r="B326" s="2"/>
      <c r="C326" s="2"/>
      <c r="D326" s="2"/>
      <c r="E326" s="2"/>
      <c r="F326" s="2"/>
      <c r="G326" s="2"/>
      <c r="H326" s="2"/>
      <c r="I326" s="2"/>
      <c r="J326" s="2"/>
      <c r="K326" s="2"/>
      <c r="L326" s="2"/>
      <c r="M326" s="2"/>
      <c r="N326" s="2"/>
      <c r="O326" s="2"/>
      <c r="P326" s="2"/>
      <c r="Q326" s="2"/>
      <c r="R326" s="2"/>
      <c r="S326" s="2"/>
      <c r="T326" s="2"/>
      <c r="U326" s="2"/>
      <c r="V326" s="2"/>
      <c r="W326" s="158"/>
      <c r="X326" s="2"/>
      <c r="Y326" s="2"/>
      <c r="Z326" s="2"/>
    </row>
    <row r="327" spans="1:26" ht="13.5" customHeight="1">
      <c r="A327" s="2"/>
      <c r="B327" s="2"/>
      <c r="C327" s="2"/>
      <c r="D327" s="2"/>
      <c r="E327" s="2"/>
      <c r="F327" s="2"/>
      <c r="G327" s="2"/>
      <c r="H327" s="2"/>
      <c r="I327" s="2"/>
      <c r="J327" s="2"/>
      <c r="K327" s="2"/>
      <c r="L327" s="2"/>
      <c r="M327" s="2"/>
      <c r="N327" s="2"/>
      <c r="O327" s="2"/>
      <c r="P327" s="2"/>
      <c r="Q327" s="2"/>
      <c r="R327" s="2"/>
      <c r="S327" s="2"/>
      <c r="T327" s="2"/>
      <c r="U327" s="2"/>
      <c r="V327" s="2"/>
      <c r="W327" s="158"/>
      <c r="X327" s="2"/>
      <c r="Y327" s="2"/>
      <c r="Z327" s="2"/>
    </row>
    <row r="328" spans="1:26" ht="13.5" customHeight="1">
      <c r="A328" s="2"/>
      <c r="B328" s="2"/>
      <c r="C328" s="2"/>
      <c r="D328" s="2"/>
      <c r="E328" s="2"/>
      <c r="F328" s="2"/>
      <c r="G328" s="2"/>
      <c r="H328" s="2"/>
      <c r="I328" s="2"/>
      <c r="J328" s="2"/>
      <c r="K328" s="2"/>
      <c r="L328" s="2"/>
      <c r="M328" s="2"/>
      <c r="N328" s="2"/>
      <c r="O328" s="2"/>
      <c r="P328" s="2"/>
      <c r="Q328" s="2"/>
      <c r="R328" s="2"/>
      <c r="S328" s="2"/>
      <c r="T328" s="2"/>
      <c r="U328" s="2"/>
      <c r="V328" s="2"/>
      <c r="W328" s="158"/>
      <c r="X328" s="2"/>
      <c r="Y328" s="2"/>
      <c r="Z328" s="2"/>
    </row>
    <row r="329" spans="1:26" ht="13.5" customHeight="1">
      <c r="A329" s="2"/>
      <c r="B329" s="2"/>
      <c r="C329" s="2"/>
      <c r="D329" s="2"/>
      <c r="E329" s="2"/>
      <c r="F329" s="2"/>
      <c r="G329" s="2"/>
      <c r="H329" s="2"/>
      <c r="I329" s="2"/>
      <c r="J329" s="2"/>
      <c r="K329" s="2"/>
      <c r="L329" s="2"/>
      <c r="M329" s="2"/>
      <c r="N329" s="2"/>
      <c r="O329" s="2"/>
      <c r="P329" s="2"/>
      <c r="Q329" s="2"/>
      <c r="R329" s="2"/>
      <c r="S329" s="2"/>
      <c r="T329" s="2"/>
      <c r="U329" s="2"/>
      <c r="V329" s="2"/>
      <c r="W329" s="158"/>
      <c r="X329" s="2"/>
      <c r="Y329" s="2"/>
      <c r="Z329" s="2"/>
    </row>
    <row r="330" spans="1:26" ht="13.5" customHeight="1">
      <c r="A330" s="2"/>
      <c r="B330" s="2"/>
      <c r="C330" s="2"/>
      <c r="D330" s="2"/>
      <c r="E330" s="2"/>
      <c r="F330" s="2"/>
      <c r="G330" s="2"/>
      <c r="H330" s="2"/>
      <c r="I330" s="2"/>
      <c r="J330" s="2"/>
      <c r="K330" s="2"/>
      <c r="L330" s="2"/>
      <c r="M330" s="2"/>
      <c r="N330" s="2"/>
      <c r="O330" s="2"/>
      <c r="P330" s="2"/>
      <c r="Q330" s="2"/>
      <c r="R330" s="2"/>
      <c r="S330" s="2"/>
      <c r="T330" s="2"/>
      <c r="U330" s="2"/>
      <c r="V330" s="2"/>
      <c r="W330" s="158"/>
      <c r="X330" s="2"/>
      <c r="Y330" s="2"/>
      <c r="Z330" s="2"/>
    </row>
    <row r="331" spans="1:26" ht="13.5" customHeight="1">
      <c r="A331" s="2"/>
      <c r="B331" s="2"/>
      <c r="C331" s="2"/>
      <c r="D331" s="2"/>
      <c r="E331" s="2"/>
      <c r="F331" s="2"/>
      <c r="G331" s="2"/>
      <c r="H331" s="2"/>
      <c r="I331" s="2"/>
      <c r="J331" s="2"/>
      <c r="K331" s="2"/>
      <c r="L331" s="2"/>
      <c r="M331" s="2"/>
      <c r="N331" s="2"/>
      <c r="O331" s="2"/>
      <c r="P331" s="2"/>
      <c r="Q331" s="2"/>
      <c r="R331" s="2"/>
      <c r="S331" s="2"/>
      <c r="T331" s="2"/>
      <c r="U331" s="2"/>
      <c r="V331" s="2"/>
      <c r="W331" s="158"/>
      <c r="X331" s="2"/>
      <c r="Y331" s="2"/>
      <c r="Z331" s="2"/>
    </row>
    <row r="332" spans="1:26" ht="13.5" customHeight="1">
      <c r="A332" s="2"/>
      <c r="B332" s="2"/>
      <c r="C332" s="2"/>
      <c r="D332" s="2"/>
      <c r="E332" s="2"/>
      <c r="F332" s="2"/>
      <c r="G332" s="2"/>
      <c r="H332" s="2"/>
      <c r="I332" s="2"/>
      <c r="J332" s="2"/>
      <c r="K332" s="2"/>
      <c r="L332" s="2"/>
      <c r="M332" s="2"/>
      <c r="N332" s="2"/>
      <c r="O332" s="2"/>
      <c r="P332" s="2"/>
      <c r="Q332" s="2"/>
      <c r="R332" s="2"/>
      <c r="S332" s="2"/>
      <c r="T332" s="2"/>
      <c r="U332" s="2"/>
      <c r="V332" s="2"/>
      <c r="W332" s="158"/>
      <c r="X332" s="2"/>
      <c r="Y332" s="2"/>
      <c r="Z332" s="2"/>
    </row>
    <row r="333" spans="1:26" ht="13.5" customHeight="1">
      <c r="A333" s="2"/>
      <c r="B333" s="2"/>
      <c r="C333" s="2"/>
      <c r="D333" s="2"/>
      <c r="E333" s="2"/>
      <c r="F333" s="2"/>
      <c r="G333" s="2"/>
      <c r="H333" s="2"/>
      <c r="I333" s="2"/>
      <c r="J333" s="2"/>
      <c r="K333" s="2"/>
      <c r="L333" s="2"/>
      <c r="M333" s="2"/>
      <c r="N333" s="2"/>
      <c r="O333" s="2"/>
      <c r="P333" s="2"/>
      <c r="Q333" s="2"/>
      <c r="R333" s="2"/>
      <c r="S333" s="2"/>
      <c r="T333" s="2"/>
      <c r="U333" s="2"/>
      <c r="V333" s="2"/>
      <c r="W333" s="158"/>
      <c r="X333" s="2"/>
      <c r="Y333" s="2"/>
      <c r="Z333" s="2"/>
    </row>
    <row r="334" spans="1:26" ht="13.5" customHeight="1">
      <c r="A334" s="2"/>
      <c r="B334" s="2"/>
      <c r="C334" s="2"/>
      <c r="D334" s="2"/>
      <c r="E334" s="2"/>
      <c r="F334" s="2"/>
      <c r="G334" s="2"/>
      <c r="H334" s="2"/>
      <c r="I334" s="2"/>
      <c r="J334" s="2"/>
      <c r="K334" s="2"/>
      <c r="L334" s="2"/>
      <c r="M334" s="2"/>
      <c r="N334" s="2"/>
      <c r="O334" s="2"/>
      <c r="P334" s="2"/>
      <c r="Q334" s="2"/>
      <c r="R334" s="2"/>
      <c r="S334" s="2"/>
      <c r="T334" s="2"/>
      <c r="U334" s="2"/>
      <c r="V334" s="2"/>
      <c r="W334" s="158"/>
      <c r="X334" s="2"/>
      <c r="Y334" s="2"/>
      <c r="Z334" s="2"/>
    </row>
    <row r="335" spans="1:26" ht="13.5" customHeight="1">
      <c r="A335" s="2"/>
      <c r="B335" s="2"/>
      <c r="C335" s="2"/>
      <c r="D335" s="2"/>
      <c r="E335" s="2"/>
      <c r="F335" s="2"/>
      <c r="G335" s="2"/>
      <c r="H335" s="2"/>
      <c r="I335" s="2"/>
      <c r="J335" s="2"/>
      <c r="K335" s="2"/>
      <c r="L335" s="2"/>
      <c r="M335" s="2"/>
      <c r="N335" s="2"/>
      <c r="O335" s="2"/>
      <c r="P335" s="2"/>
      <c r="Q335" s="2"/>
      <c r="R335" s="2"/>
      <c r="S335" s="2"/>
      <c r="T335" s="2"/>
      <c r="U335" s="2"/>
      <c r="V335" s="2"/>
      <c r="W335" s="158"/>
      <c r="X335" s="2"/>
      <c r="Y335" s="2"/>
      <c r="Z335" s="2"/>
    </row>
    <row r="336" spans="1:26" ht="13.5" customHeight="1">
      <c r="A336" s="2"/>
      <c r="B336" s="2"/>
      <c r="C336" s="2"/>
      <c r="D336" s="2"/>
      <c r="E336" s="2"/>
      <c r="F336" s="2"/>
      <c r="G336" s="2"/>
      <c r="H336" s="2"/>
      <c r="I336" s="2"/>
      <c r="J336" s="2"/>
      <c r="K336" s="2"/>
      <c r="L336" s="2"/>
      <c r="M336" s="2"/>
      <c r="N336" s="2"/>
      <c r="O336" s="2"/>
      <c r="P336" s="2"/>
      <c r="Q336" s="2"/>
      <c r="R336" s="2"/>
      <c r="S336" s="2"/>
      <c r="T336" s="2"/>
      <c r="U336" s="2"/>
      <c r="V336" s="2"/>
      <c r="W336" s="158"/>
      <c r="X336" s="2"/>
      <c r="Y336" s="2"/>
      <c r="Z336" s="2"/>
    </row>
    <row r="337" spans="1:26" ht="13.5" customHeight="1">
      <c r="A337" s="2"/>
      <c r="B337" s="2"/>
      <c r="C337" s="2"/>
      <c r="D337" s="2"/>
      <c r="E337" s="2"/>
      <c r="F337" s="2"/>
      <c r="G337" s="2"/>
      <c r="H337" s="2"/>
      <c r="I337" s="2"/>
      <c r="J337" s="2"/>
      <c r="K337" s="2"/>
      <c r="L337" s="2"/>
      <c r="M337" s="2"/>
      <c r="N337" s="2"/>
      <c r="O337" s="2"/>
      <c r="P337" s="2"/>
      <c r="Q337" s="2"/>
      <c r="R337" s="2"/>
      <c r="S337" s="2"/>
      <c r="T337" s="2"/>
      <c r="U337" s="2"/>
      <c r="V337" s="2"/>
      <c r="W337" s="158"/>
      <c r="X337" s="2"/>
      <c r="Y337" s="2"/>
      <c r="Z337" s="2"/>
    </row>
    <row r="338" spans="1:26" ht="13.5" customHeight="1">
      <c r="A338" s="2"/>
      <c r="B338" s="2"/>
      <c r="C338" s="2"/>
      <c r="D338" s="2"/>
      <c r="E338" s="2"/>
      <c r="F338" s="2"/>
      <c r="G338" s="2"/>
      <c r="H338" s="2"/>
      <c r="I338" s="2"/>
      <c r="J338" s="2"/>
      <c r="K338" s="2"/>
      <c r="L338" s="2"/>
      <c r="M338" s="2"/>
      <c r="N338" s="2"/>
      <c r="O338" s="2"/>
      <c r="P338" s="2"/>
      <c r="Q338" s="2"/>
      <c r="R338" s="2"/>
      <c r="S338" s="2"/>
      <c r="T338" s="2"/>
      <c r="U338" s="2"/>
      <c r="V338" s="2"/>
      <c r="W338" s="158"/>
      <c r="X338" s="2"/>
      <c r="Y338" s="2"/>
      <c r="Z338" s="2"/>
    </row>
    <row r="339" spans="1:26" ht="13.5" customHeight="1">
      <c r="A339" s="2"/>
      <c r="B339" s="2"/>
      <c r="C339" s="2"/>
      <c r="D339" s="2"/>
      <c r="E339" s="2"/>
      <c r="F339" s="2"/>
      <c r="G339" s="2"/>
      <c r="H339" s="2"/>
      <c r="I339" s="2"/>
      <c r="J339" s="2"/>
      <c r="K339" s="2"/>
      <c r="L339" s="2"/>
      <c r="M339" s="2"/>
      <c r="N339" s="2"/>
      <c r="O339" s="2"/>
      <c r="P339" s="2"/>
      <c r="Q339" s="2"/>
      <c r="R339" s="2"/>
      <c r="S339" s="2"/>
      <c r="T339" s="2"/>
      <c r="U339" s="2"/>
      <c r="V339" s="2"/>
      <c r="W339" s="158"/>
      <c r="X339" s="2"/>
      <c r="Y339" s="2"/>
      <c r="Z339" s="2"/>
    </row>
    <row r="340" spans="1:26" ht="13.5" customHeight="1">
      <c r="A340" s="2"/>
      <c r="B340" s="2"/>
      <c r="C340" s="2"/>
      <c r="D340" s="2"/>
      <c r="E340" s="2"/>
      <c r="F340" s="2"/>
      <c r="G340" s="2"/>
      <c r="H340" s="2"/>
      <c r="I340" s="2"/>
      <c r="J340" s="2"/>
      <c r="K340" s="2"/>
      <c r="L340" s="2"/>
      <c r="M340" s="2"/>
      <c r="N340" s="2"/>
      <c r="O340" s="2"/>
      <c r="P340" s="2"/>
      <c r="Q340" s="2"/>
      <c r="R340" s="2"/>
      <c r="S340" s="2"/>
      <c r="T340" s="2"/>
      <c r="U340" s="2"/>
      <c r="V340" s="2"/>
      <c r="W340" s="158"/>
      <c r="X340" s="2"/>
      <c r="Y340" s="2"/>
      <c r="Z340" s="2"/>
    </row>
    <row r="341" spans="1:26" ht="13.5" customHeight="1">
      <c r="A341" s="2"/>
      <c r="B341" s="2"/>
      <c r="C341" s="2"/>
      <c r="D341" s="2"/>
      <c r="E341" s="2"/>
      <c r="F341" s="2"/>
      <c r="G341" s="2"/>
      <c r="H341" s="2"/>
      <c r="I341" s="2"/>
      <c r="J341" s="2"/>
      <c r="K341" s="2"/>
      <c r="L341" s="2"/>
      <c r="M341" s="2"/>
      <c r="N341" s="2"/>
      <c r="O341" s="2"/>
      <c r="P341" s="2"/>
      <c r="Q341" s="2"/>
      <c r="R341" s="2"/>
      <c r="S341" s="2"/>
      <c r="T341" s="2"/>
      <c r="U341" s="2"/>
      <c r="V341" s="2"/>
      <c r="W341" s="158"/>
      <c r="X341" s="2"/>
      <c r="Y341" s="2"/>
      <c r="Z341" s="2"/>
    </row>
    <row r="342" spans="1:26" ht="13.5" customHeight="1">
      <c r="A342" s="2"/>
      <c r="B342" s="2"/>
      <c r="C342" s="2"/>
      <c r="D342" s="2"/>
      <c r="E342" s="2"/>
      <c r="F342" s="2"/>
      <c r="G342" s="2"/>
      <c r="H342" s="2"/>
      <c r="I342" s="2"/>
      <c r="J342" s="2"/>
      <c r="K342" s="2"/>
      <c r="L342" s="2"/>
      <c r="M342" s="2"/>
      <c r="N342" s="2"/>
      <c r="O342" s="2"/>
      <c r="P342" s="2"/>
      <c r="Q342" s="2"/>
      <c r="R342" s="2"/>
      <c r="S342" s="2"/>
      <c r="T342" s="2"/>
      <c r="U342" s="2"/>
      <c r="V342" s="2"/>
      <c r="W342" s="158"/>
      <c r="X342" s="2"/>
      <c r="Y342" s="2"/>
      <c r="Z342" s="2"/>
    </row>
    <row r="343" spans="1:26" ht="13.5" customHeight="1">
      <c r="A343" s="2"/>
      <c r="B343" s="2"/>
      <c r="C343" s="2"/>
      <c r="D343" s="2"/>
      <c r="E343" s="2"/>
      <c r="F343" s="2"/>
      <c r="G343" s="2"/>
      <c r="H343" s="2"/>
      <c r="I343" s="2"/>
      <c r="J343" s="2"/>
      <c r="K343" s="2"/>
      <c r="L343" s="2"/>
      <c r="M343" s="2"/>
      <c r="N343" s="2"/>
      <c r="O343" s="2"/>
      <c r="P343" s="2"/>
      <c r="Q343" s="2"/>
      <c r="R343" s="2"/>
      <c r="S343" s="2"/>
      <c r="T343" s="2"/>
      <c r="U343" s="2"/>
      <c r="V343" s="2"/>
      <c r="W343" s="158"/>
      <c r="X343" s="2"/>
      <c r="Y343" s="2"/>
      <c r="Z343" s="2"/>
    </row>
    <row r="344" spans="1:26" ht="13.5" customHeight="1">
      <c r="A344" s="2"/>
      <c r="B344" s="2"/>
      <c r="C344" s="2"/>
      <c r="D344" s="2"/>
      <c r="E344" s="2"/>
      <c r="F344" s="2"/>
      <c r="G344" s="2"/>
      <c r="H344" s="2"/>
      <c r="I344" s="2"/>
      <c r="J344" s="2"/>
      <c r="K344" s="2"/>
      <c r="L344" s="2"/>
      <c r="M344" s="2"/>
      <c r="N344" s="2"/>
      <c r="O344" s="2"/>
      <c r="P344" s="2"/>
      <c r="Q344" s="2"/>
      <c r="R344" s="2"/>
      <c r="S344" s="2"/>
      <c r="T344" s="2"/>
      <c r="U344" s="2"/>
      <c r="V344" s="2"/>
      <c r="W344" s="158"/>
      <c r="X344" s="2"/>
      <c r="Y344" s="2"/>
      <c r="Z344" s="2"/>
    </row>
    <row r="345" spans="1:26" ht="13.5" customHeight="1">
      <c r="A345" s="2"/>
      <c r="B345" s="2"/>
      <c r="C345" s="2"/>
      <c r="D345" s="2"/>
      <c r="E345" s="2"/>
      <c r="F345" s="2"/>
      <c r="G345" s="2"/>
      <c r="H345" s="2"/>
      <c r="I345" s="2"/>
      <c r="J345" s="2"/>
      <c r="K345" s="2"/>
      <c r="L345" s="2"/>
      <c r="M345" s="2"/>
      <c r="N345" s="2"/>
      <c r="O345" s="2"/>
      <c r="P345" s="2"/>
      <c r="Q345" s="2"/>
      <c r="R345" s="2"/>
      <c r="S345" s="2"/>
      <c r="T345" s="2"/>
      <c r="U345" s="2"/>
      <c r="V345" s="2"/>
      <c r="W345" s="158"/>
      <c r="X345" s="2"/>
      <c r="Y345" s="2"/>
      <c r="Z345" s="2"/>
    </row>
    <row r="346" spans="1:26" ht="13.5" customHeight="1">
      <c r="A346" s="2"/>
      <c r="B346" s="2"/>
      <c r="C346" s="2"/>
      <c r="D346" s="2"/>
      <c r="E346" s="2"/>
      <c r="F346" s="2"/>
      <c r="G346" s="2"/>
      <c r="H346" s="2"/>
      <c r="I346" s="2"/>
      <c r="J346" s="2"/>
      <c r="K346" s="2"/>
      <c r="L346" s="2"/>
      <c r="M346" s="2"/>
      <c r="N346" s="2"/>
      <c r="O346" s="2"/>
      <c r="P346" s="2"/>
      <c r="Q346" s="2"/>
      <c r="R346" s="2"/>
      <c r="S346" s="2"/>
      <c r="T346" s="2"/>
      <c r="U346" s="2"/>
      <c r="V346" s="2"/>
      <c r="W346" s="158"/>
      <c r="X346" s="2"/>
      <c r="Y346" s="2"/>
      <c r="Z346" s="2"/>
    </row>
    <row r="347" spans="1:26" ht="13.5" customHeight="1">
      <c r="A347" s="2"/>
      <c r="B347" s="2"/>
      <c r="C347" s="2"/>
      <c r="D347" s="2"/>
      <c r="E347" s="2"/>
      <c r="F347" s="2"/>
      <c r="G347" s="2"/>
      <c r="H347" s="2"/>
      <c r="I347" s="2"/>
      <c r="J347" s="2"/>
      <c r="K347" s="2"/>
      <c r="L347" s="2"/>
      <c r="M347" s="2"/>
      <c r="N347" s="2"/>
      <c r="O347" s="2"/>
      <c r="P347" s="2"/>
      <c r="Q347" s="2"/>
      <c r="R347" s="2"/>
      <c r="S347" s="2"/>
      <c r="T347" s="2"/>
      <c r="U347" s="2"/>
      <c r="V347" s="2"/>
      <c r="W347" s="158"/>
      <c r="X347" s="2"/>
      <c r="Y347" s="2"/>
      <c r="Z347" s="2"/>
    </row>
    <row r="348" spans="1:26" ht="13.5" customHeight="1">
      <c r="A348" s="2"/>
      <c r="B348" s="2"/>
      <c r="C348" s="2"/>
      <c r="D348" s="2"/>
      <c r="E348" s="2"/>
      <c r="F348" s="2"/>
      <c r="G348" s="2"/>
      <c r="H348" s="2"/>
      <c r="I348" s="2"/>
      <c r="J348" s="2"/>
      <c r="K348" s="2"/>
      <c r="L348" s="2"/>
      <c r="M348" s="2"/>
      <c r="N348" s="2"/>
      <c r="O348" s="2"/>
      <c r="P348" s="2"/>
      <c r="Q348" s="2"/>
      <c r="R348" s="2"/>
      <c r="S348" s="2"/>
      <c r="T348" s="2"/>
      <c r="U348" s="2"/>
      <c r="V348" s="2"/>
      <c r="W348" s="158"/>
      <c r="X348" s="2"/>
      <c r="Y348" s="2"/>
      <c r="Z348" s="2"/>
    </row>
    <row r="349" spans="1:26" ht="13.5" customHeight="1">
      <c r="A349" s="2"/>
      <c r="B349" s="2"/>
      <c r="C349" s="2"/>
      <c r="D349" s="2"/>
      <c r="E349" s="2"/>
      <c r="F349" s="2"/>
      <c r="G349" s="2"/>
      <c r="H349" s="2"/>
      <c r="I349" s="2"/>
      <c r="J349" s="2"/>
      <c r="K349" s="2"/>
      <c r="L349" s="2"/>
      <c r="M349" s="2"/>
      <c r="N349" s="2"/>
      <c r="O349" s="2"/>
      <c r="P349" s="2"/>
      <c r="Q349" s="2"/>
      <c r="R349" s="2"/>
      <c r="S349" s="2"/>
      <c r="T349" s="2"/>
      <c r="U349" s="2"/>
      <c r="V349" s="2"/>
      <c r="W349" s="158"/>
      <c r="X349" s="2"/>
      <c r="Y349" s="2"/>
      <c r="Z349" s="2"/>
    </row>
    <row r="350" spans="1:26" ht="13.5" customHeight="1">
      <c r="A350" s="2"/>
      <c r="B350" s="2"/>
      <c r="C350" s="2"/>
      <c r="D350" s="2"/>
      <c r="E350" s="2"/>
      <c r="F350" s="2"/>
      <c r="G350" s="2"/>
      <c r="H350" s="2"/>
      <c r="I350" s="2"/>
      <c r="J350" s="2"/>
      <c r="K350" s="2"/>
      <c r="L350" s="2"/>
      <c r="M350" s="2"/>
      <c r="N350" s="2"/>
      <c r="O350" s="2"/>
      <c r="P350" s="2"/>
      <c r="Q350" s="2"/>
      <c r="R350" s="2"/>
      <c r="S350" s="2"/>
      <c r="T350" s="2"/>
      <c r="U350" s="2"/>
      <c r="V350" s="2"/>
      <c r="W350" s="158"/>
      <c r="X350" s="2"/>
      <c r="Y350" s="2"/>
      <c r="Z350" s="2"/>
    </row>
    <row r="351" spans="1:26" ht="13.5" customHeight="1">
      <c r="A351" s="2"/>
      <c r="B351" s="2"/>
      <c r="C351" s="2"/>
      <c r="D351" s="2"/>
      <c r="E351" s="2"/>
      <c r="F351" s="2"/>
      <c r="G351" s="2"/>
      <c r="H351" s="2"/>
      <c r="I351" s="2"/>
      <c r="J351" s="2"/>
      <c r="K351" s="2"/>
      <c r="L351" s="2"/>
      <c r="M351" s="2"/>
      <c r="N351" s="2"/>
      <c r="O351" s="2"/>
      <c r="P351" s="2"/>
      <c r="Q351" s="2"/>
      <c r="R351" s="2"/>
      <c r="S351" s="2"/>
      <c r="T351" s="2"/>
      <c r="U351" s="2"/>
      <c r="V351" s="2"/>
      <c r="W351" s="158"/>
      <c r="X351" s="2"/>
      <c r="Y351" s="2"/>
      <c r="Z351" s="2"/>
    </row>
    <row r="352" spans="1:26" ht="13.5" customHeight="1">
      <c r="A352" s="2"/>
      <c r="B352" s="2"/>
      <c r="C352" s="2"/>
      <c r="D352" s="2"/>
      <c r="E352" s="2"/>
      <c r="F352" s="2"/>
      <c r="G352" s="2"/>
      <c r="H352" s="2"/>
      <c r="I352" s="2"/>
      <c r="J352" s="2"/>
      <c r="K352" s="2"/>
      <c r="L352" s="2"/>
      <c r="M352" s="2"/>
      <c r="N352" s="2"/>
      <c r="O352" s="2"/>
      <c r="P352" s="2"/>
      <c r="Q352" s="2"/>
      <c r="R352" s="2"/>
      <c r="S352" s="2"/>
      <c r="T352" s="2"/>
      <c r="U352" s="2"/>
      <c r="V352" s="2"/>
      <c r="W352" s="158"/>
      <c r="X352" s="2"/>
      <c r="Y352" s="2"/>
      <c r="Z352" s="2"/>
    </row>
    <row r="353" spans="1:26" ht="13.5" customHeight="1">
      <c r="A353" s="2"/>
      <c r="B353" s="2"/>
      <c r="C353" s="2"/>
      <c r="D353" s="2"/>
      <c r="E353" s="2"/>
      <c r="F353" s="2"/>
      <c r="G353" s="2"/>
      <c r="H353" s="2"/>
      <c r="I353" s="2"/>
      <c r="J353" s="2"/>
      <c r="K353" s="2"/>
      <c r="L353" s="2"/>
      <c r="M353" s="2"/>
      <c r="N353" s="2"/>
      <c r="O353" s="2"/>
      <c r="P353" s="2"/>
      <c r="Q353" s="2"/>
      <c r="R353" s="2"/>
      <c r="S353" s="2"/>
      <c r="T353" s="2"/>
      <c r="U353" s="2"/>
      <c r="V353" s="2"/>
      <c r="W353" s="158"/>
      <c r="X353" s="2"/>
      <c r="Y353" s="2"/>
      <c r="Z353" s="2"/>
    </row>
    <row r="354" spans="1:26" ht="13.5" customHeight="1">
      <c r="A354" s="2"/>
      <c r="B354" s="2"/>
      <c r="C354" s="2"/>
      <c r="D354" s="2"/>
      <c r="E354" s="2"/>
      <c r="F354" s="2"/>
      <c r="G354" s="2"/>
      <c r="H354" s="2"/>
      <c r="I354" s="2"/>
      <c r="J354" s="2"/>
      <c r="K354" s="2"/>
      <c r="L354" s="2"/>
      <c r="M354" s="2"/>
      <c r="N354" s="2"/>
      <c r="O354" s="2"/>
      <c r="P354" s="2"/>
      <c r="Q354" s="2"/>
      <c r="R354" s="2"/>
      <c r="S354" s="2"/>
      <c r="T354" s="2"/>
      <c r="U354" s="2"/>
      <c r="V354" s="2"/>
      <c r="W354" s="158"/>
      <c r="X354" s="2"/>
      <c r="Y354" s="2"/>
      <c r="Z354" s="2"/>
    </row>
    <row r="355" spans="1:26" ht="13.5" customHeight="1">
      <c r="A355" s="2"/>
      <c r="B355" s="2"/>
      <c r="C355" s="2"/>
      <c r="D355" s="2"/>
      <c r="E355" s="2"/>
      <c r="F355" s="2"/>
      <c r="G355" s="2"/>
      <c r="H355" s="2"/>
      <c r="I355" s="2"/>
      <c r="J355" s="2"/>
      <c r="K355" s="2"/>
      <c r="L355" s="2"/>
      <c r="M355" s="2"/>
      <c r="N355" s="2"/>
      <c r="O355" s="2"/>
      <c r="P355" s="2"/>
      <c r="Q355" s="2"/>
      <c r="R355" s="2"/>
      <c r="S355" s="2"/>
      <c r="T355" s="2"/>
      <c r="U355" s="2"/>
      <c r="V355" s="2"/>
      <c r="W355" s="158"/>
      <c r="X355" s="2"/>
      <c r="Y355" s="2"/>
      <c r="Z355" s="2"/>
    </row>
    <row r="356" spans="1:26" ht="13.5" customHeight="1">
      <c r="A356" s="2"/>
      <c r="B356" s="2"/>
      <c r="C356" s="2"/>
      <c r="D356" s="2"/>
      <c r="E356" s="2"/>
      <c r="F356" s="2"/>
      <c r="G356" s="2"/>
      <c r="H356" s="2"/>
      <c r="I356" s="2"/>
      <c r="J356" s="2"/>
      <c r="K356" s="2"/>
      <c r="L356" s="2"/>
      <c r="M356" s="2"/>
      <c r="N356" s="2"/>
      <c r="O356" s="2"/>
      <c r="P356" s="2"/>
      <c r="Q356" s="2"/>
      <c r="R356" s="2"/>
      <c r="S356" s="2"/>
      <c r="T356" s="2"/>
      <c r="U356" s="2"/>
      <c r="V356" s="2"/>
      <c r="W356" s="158"/>
      <c r="X356" s="2"/>
      <c r="Y356" s="2"/>
      <c r="Z356" s="2"/>
    </row>
    <row r="357" spans="1:26" ht="13.5" customHeight="1">
      <c r="A357" s="2"/>
      <c r="B357" s="2"/>
      <c r="C357" s="2"/>
      <c r="D357" s="2"/>
      <c r="E357" s="2"/>
      <c r="F357" s="2"/>
      <c r="G357" s="2"/>
      <c r="H357" s="2"/>
      <c r="I357" s="2"/>
      <c r="J357" s="2"/>
      <c r="K357" s="2"/>
      <c r="L357" s="2"/>
      <c r="M357" s="2"/>
      <c r="N357" s="2"/>
      <c r="O357" s="2"/>
      <c r="P357" s="2"/>
      <c r="Q357" s="2"/>
      <c r="R357" s="2"/>
      <c r="S357" s="2"/>
      <c r="T357" s="2"/>
      <c r="U357" s="2"/>
      <c r="V357" s="2"/>
      <c r="W357" s="158"/>
      <c r="X357" s="2"/>
      <c r="Y357" s="2"/>
      <c r="Z357" s="2"/>
    </row>
    <row r="358" spans="1:26" ht="13.5" customHeight="1">
      <c r="A358" s="2"/>
      <c r="B358" s="2"/>
      <c r="C358" s="2"/>
      <c r="D358" s="2"/>
      <c r="E358" s="2"/>
      <c r="F358" s="2"/>
      <c r="G358" s="2"/>
      <c r="H358" s="2"/>
      <c r="I358" s="2"/>
      <c r="J358" s="2"/>
      <c r="K358" s="2"/>
      <c r="L358" s="2"/>
      <c r="M358" s="2"/>
      <c r="N358" s="2"/>
      <c r="O358" s="2"/>
      <c r="P358" s="2"/>
      <c r="Q358" s="2"/>
      <c r="R358" s="2"/>
      <c r="S358" s="2"/>
      <c r="T358" s="2"/>
      <c r="U358" s="2"/>
      <c r="V358" s="2"/>
      <c r="W358" s="158"/>
      <c r="X358" s="2"/>
      <c r="Y358" s="2"/>
      <c r="Z358" s="2"/>
    </row>
    <row r="359" spans="1:26" ht="13.5" customHeight="1">
      <c r="A359" s="2"/>
      <c r="B359" s="2"/>
      <c r="C359" s="2"/>
      <c r="D359" s="2"/>
      <c r="E359" s="2"/>
      <c r="F359" s="2"/>
      <c r="G359" s="2"/>
      <c r="H359" s="2"/>
      <c r="I359" s="2"/>
      <c r="J359" s="2"/>
      <c r="K359" s="2"/>
      <c r="L359" s="2"/>
      <c r="M359" s="2"/>
      <c r="N359" s="2"/>
      <c r="O359" s="2"/>
      <c r="P359" s="2"/>
      <c r="Q359" s="2"/>
      <c r="R359" s="2"/>
      <c r="S359" s="2"/>
      <c r="T359" s="2"/>
      <c r="U359" s="2"/>
      <c r="V359" s="2"/>
      <c r="W359" s="158"/>
      <c r="X359" s="2"/>
      <c r="Y359" s="2"/>
      <c r="Z359" s="2"/>
    </row>
    <row r="360" spans="1:26" ht="13.5" customHeight="1">
      <c r="A360" s="2"/>
      <c r="B360" s="2"/>
      <c r="C360" s="2"/>
      <c r="D360" s="2"/>
      <c r="E360" s="2"/>
      <c r="F360" s="2"/>
      <c r="G360" s="2"/>
      <c r="H360" s="2"/>
      <c r="I360" s="2"/>
      <c r="J360" s="2"/>
      <c r="K360" s="2"/>
      <c r="L360" s="2"/>
      <c r="M360" s="2"/>
      <c r="N360" s="2"/>
      <c r="O360" s="2"/>
      <c r="P360" s="2"/>
      <c r="Q360" s="2"/>
      <c r="R360" s="2"/>
      <c r="S360" s="2"/>
      <c r="T360" s="2"/>
      <c r="U360" s="2"/>
      <c r="V360" s="2"/>
      <c r="W360" s="158"/>
      <c r="X360" s="2"/>
      <c r="Y360" s="2"/>
      <c r="Z360" s="2"/>
    </row>
    <row r="361" spans="1:26" ht="13.5" customHeight="1">
      <c r="A361" s="2"/>
      <c r="B361" s="2"/>
      <c r="C361" s="2"/>
      <c r="D361" s="2"/>
      <c r="E361" s="2"/>
      <c r="F361" s="2"/>
      <c r="G361" s="2"/>
      <c r="H361" s="2"/>
      <c r="I361" s="2"/>
      <c r="J361" s="2"/>
      <c r="K361" s="2"/>
      <c r="L361" s="2"/>
      <c r="M361" s="2"/>
      <c r="N361" s="2"/>
      <c r="O361" s="2"/>
      <c r="P361" s="2"/>
      <c r="Q361" s="2"/>
      <c r="R361" s="2"/>
      <c r="S361" s="2"/>
      <c r="T361" s="2"/>
      <c r="U361" s="2"/>
      <c r="V361" s="2"/>
      <c r="W361" s="158"/>
      <c r="X361" s="2"/>
      <c r="Y361" s="2"/>
      <c r="Z361" s="2"/>
    </row>
    <row r="362" spans="1:26" ht="13.5" customHeight="1">
      <c r="A362" s="2"/>
      <c r="B362" s="2"/>
      <c r="C362" s="2"/>
      <c r="D362" s="2"/>
      <c r="E362" s="2"/>
      <c r="F362" s="2"/>
      <c r="G362" s="2"/>
      <c r="H362" s="2"/>
      <c r="I362" s="2"/>
      <c r="J362" s="2"/>
      <c r="K362" s="2"/>
      <c r="L362" s="2"/>
      <c r="M362" s="2"/>
      <c r="N362" s="2"/>
      <c r="O362" s="2"/>
      <c r="P362" s="2"/>
      <c r="Q362" s="2"/>
      <c r="R362" s="2"/>
      <c r="S362" s="2"/>
      <c r="T362" s="2"/>
      <c r="U362" s="2"/>
      <c r="V362" s="2"/>
      <c r="W362" s="158"/>
      <c r="X362" s="2"/>
      <c r="Y362" s="2"/>
      <c r="Z362" s="2"/>
    </row>
    <row r="363" spans="1:26" ht="13.5" customHeight="1">
      <c r="A363" s="2"/>
      <c r="B363" s="2"/>
      <c r="C363" s="2"/>
      <c r="D363" s="2"/>
      <c r="E363" s="2"/>
      <c r="F363" s="2"/>
      <c r="G363" s="2"/>
      <c r="H363" s="2"/>
      <c r="I363" s="2"/>
      <c r="J363" s="2"/>
      <c r="K363" s="2"/>
      <c r="L363" s="2"/>
      <c r="M363" s="2"/>
      <c r="N363" s="2"/>
      <c r="O363" s="2"/>
      <c r="P363" s="2"/>
      <c r="Q363" s="2"/>
      <c r="R363" s="2"/>
      <c r="S363" s="2"/>
      <c r="T363" s="2"/>
      <c r="U363" s="2"/>
      <c r="V363" s="2"/>
      <c r="W363" s="158"/>
      <c r="X363" s="2"/>
      <c r="Y363" s="2"/>
      <c r="Z363" s="2"/>
    </row>
    <row r="364" spans="1:26" ht="13.5" customHeight="1">
      <c r="A364" s="2"/>
      <c r="B364" s="2"/>
      <c r="C364" s="2"/>
      <c r="D364" s="2"/>
      <c r="E364" s="2"/>
      <c r="F364" s="2"/>
      <c r="G364" s="2"/>
      <c r="H364" s="2"/>
      <c r="I364" s="2"/>
      <c r="J364" s="2"/>
      <c r="K364" s="2"/>
      <c r="L364" s="2"/>
      <c r="M364" s="2"/>
      <c r="N364" s="2"/>
      <c r="O364" s="2"/>
      <c r="P364" s="2"/>
      <c r="Q364" s="2"/>
      <c r="R364" s="2"/>
      <c r="S364" s="2"/>
      <c r="T364" s="2"/>
      <c r="U364" s="2"/>
      <c r="V364" s="2"/>
      <c r="W364" s="158"/>
      <c r="X364" s="2"/>
      <c r="Y364" s="2"/>
      <c r="Z364" s="2"/>
    </row>
    <row r="365" spans="1:26" ht="13.5" customHeight="1">
      <c r="A365" s="2"/>
      <c r="B365" s="2"/>
      <c r="C365" s="2"/>
      <c r="D365" s="2"/>
      <c r="E365" s="2"/>
      <c r="F365" s="2"/>
      <c r="G365" s="2"/>
      <c r="H365" s="2"/>
      <c r="I365" s="2"/>
      <c r="J365" s="2"/>
      <c r="K365" s="2"/>
      <c r="L365" s="2"/>
      <c r="M365" s="2"/>
      <c r="N365" s="2"/>
      <c r="O365" s="2"/>
      <c r="P365" s="2"/>
      <c r="Q365" s="2"/>
      <c r="R365" s="2"/>
      <c r="S365" s="2"/>
      <c r="T365" s="2"/>
      <c r="U365" s="2"/>
      <c r="V365" s="2"/>
      <c r="W365" s="158"/>
      <c r="X365" s="2"/>
      <c r="Y365" s="2"/>
      <c r="Z365" s="2"/>
    </row>
    <row r="366" spans="1:26" ht="13.5" customHeight="1">
      <c r="A366" s="2"/>
      <c r="B366" s="2"/>
      <c r="C366" s="2"/>
      <c r="D366" s="2"/>
      <c r="E366" s="2"/>
      <c r="F366" s="2"/>
      <c r="G366" s="2"/>
      <c r="H366" s="2"/>
      <c r="I366" s="2"/>
      <c r="J366" s="2"/>
      <c r="K366" s="2"/>
      <c r="L366" s="2"/>
      <c r="M366" s="2"/>
      <c r="N366" s="2"/>
      <c r="O366" s="2"/>
      <c r="P366" s="2"/>
      <c r="Q366" s="2"/>
      <c r="R366" s="2"/>
      <c r="S366" s="2"/>
      <c r="T366" s="2"/>
      <c r="U366" s="2"/>
      <c r="V366" s="2"/>
      <c r="W366" s="158"/>
      <c r="X366" s="2"/>
      <c r="Y366" s="2"/>
      <c r="Z366" s="2"/>
    </row>
    <row r="367" spans="1:26" ht="13.5" customHeight="1">
      <c r="A367" s="2"/>
      <c r="B367" s="2"/>
      <c r="C367" s="2"/>
      <c r="D367" s="2"/>
      <c r="E367" s="2"/>
      <c r="F367" s="2"/>
      <c r="G367" s="2"/>
      <c r="H367" s="2"/>
      <c r="I367" s="2"/>
      <c r="J367" s="2"/>
      <c r="K367" s="2"/>
      <c r="L367" s="2"/>
      <c r="M367" s="2"/>
      <c r="N367" s="2"/>
      <c r="O367" s="2"/>
      <c r="P367" s="2"/>
      <c r="Q367" s="2"/>
      <c r="R367" s="2"/>
      <c r="S367" s="2"/>
      <c r="T367" s="2"/>
      <c r="U367" s="2"/>
      <c r="V367" s="2"/>
      <c r="W367" s="158"/>
      <c r="X367" s="2"/>
      <c r="Y367" s="2"/>
      <c r="Z367" s="2"/>
    </row>
    <row r="368" spans="1:26" ht="13.5" customHeight="1">
      <c r="A368" s="2"/>
      <c r="B368" s="2"/>
      <c r="C368" s="2"/>
      <c r="D368" s="2"/>
      <c r="E368" s="2"/>
      <c r="F368" s="2"/>
      <c r="G368" s="2"/>
      <c r="H368" s="2"/>
      <c r="I368" s="2"/>
      <c r="J368" s="2"/>
      <c r="K368" s="2"/>
      <c r="L368" s="2"/>
      <c r="M368" s="2"/>
      <c r="N368" s="2"/>
      <c r="O368" s="2"/>
      <c r="P368" s="2"/>
      <c r="Q368" s="2"/>
      <c r="R368" s="2"/>
      <c r="S368" s="2"/>
      <c r="T368" s="2"/>
      <c r="U368" s="2"/>
      <c r="V368" s="2"/>
      <c r="W368" s="158"/>
      <c r="X368" s="2"/>
      <c r="Y368" s="2"/>
      <c r="Z368" s="2"/>
    </row>
    <row r="369" spans="1:26" ht="13.5" customHeight="1">
      <c r="A369" s="2"/>
      <c r="B369" s="2"/>
      <c r="C369" s="2"/>
      <c r="D369" s="2"/>
      <c r="E369" s="2"/>
      <c r="F369" s="2"/>
      <c r="G369" s="2"/>
      <c r="H369" s="2"/>
      <c r="I369" s="2"/>
      <c r="J369" s="2"/>
      <c r="K369" s="2"/>
      <c r="L369" s="2"/>
      <c r="M369" s="2"/>
      <c r="N369" s="2"/>
      <c r="O369" s="2"/>
      <c r="P369" s="2"/>
      <c r="Q369" s="2"/>
      <c r="R369" s="2"/>
      <c r="S369" s="2"/>
      <c r="T369" s="2"/>
      <c r="U369" s="2"/>
      <c r="V369" s="2"/>
      <c r="W369" s="158"/>
      <c r="X369" s="2"/>
      <c r="Y369" s="2"/>
      <c r="Z369" s="2"/>
    </row>
    <row r="370" spans="1:26" ht="13.5" customHeight="1">
      <c r="A370" s="2"/>
      <c r="B370" s="2"/>
      <c r="C370" s="2"/>
      <c r="D370" s="2"/>
      <c r="E370" s="2"/>
      <c r="F370" s="2"/>
      <c r="G370" s="2"/>
      <c r="H370" s="2"/>
      <c r="I370" s="2"/>
      <c r="J370" s="2"/>
      <c r="K370" s="2"/>
      <c r="L370" s="2"/>
      <c r="M370" s="2"/>
      <c r="N370" s="2"/>
      <c r="O370" s="2"/>
      <c r="P370" s="2"/>
      <c r="Q370" s="2"/>
      <c r="R370" s="2"/>
      <c r="S370" s="2"/>
      <c r="T370" s="2"/>
      <c r="U370" s="2"/>
      <c r="V370" s="2"/>
      <c r="W370" s="158"/>
      <c r="X370" s="2"/>
      <c r="Y370" s="2"/>
      <c r="Z370" s="2"/>
    </row>
    <row r="371" spans="1:26" ht="13.5" customHeight="1">
      <c r="A371" s="2"/>
      <c r="B371" s="2"/>
      <c r="C371" s="2"/>
      <c r="D371" s="2"/>
      <c r="E371" s="2"/>
      <c r="F371" s="2"/>
      <c r="G371" s="2"/>
      <c r="H371" s="2"/>
      <c r="I371" s="2"/>
      <c r="J371" s="2"/>
      <c r="K371" s="2"/>
      <c r="L371" s="2"/>
      <c r="M371" s="2"/>
      <c r="N371" s="2"/>
      <c r="O371" s="2"/>
      <c r="P371" s="2"/>
      <c r="Q371" s="2"/>
      <c r="R371" s="2"/>
      <c r="S371" s="2"/>
      <c r="T371" s="2"/>
      <c r="U371" s="2"/>
      <c r="V371" s="2"/>
      <c r="W371" s="158"/>
      <c r="X371" s="2"/>
      <c r="Y371" s="2"/>
      <c r="Z371" s="2"/>
    </row>
    <row r="372" spans="1:26" ht="13.5" customHeight="1">
      <c r="A372" s="2"/>
      <c r="B372" s="2"/>
      <c r="C372" s="2"/>
      <c r="D372" s="2"/>
      <c r="E372" s="2"/>
      <c r="F372" s="2"/>
      <c r="G372" s="2"/>
      <c r="H372" s="2"/>
      <c r="I372" s="2"/>
      <c r="J372" s="2"/>
      <c r="K372" s="2"/>
      <c r="L372" s="2"/>
      <c r="M372" s="2"/>
      <c r="N372" s="2"/>
      <c r="O372" s="2"/>
      <c r="P372" s="2"/>
      <c r="Q372" s="2"/>
      <c r="R372" s="2"/>
      <c r="S372" s="2"/>
      <c r="T372" s="2"/>
      <c r="U372" s="2"/>
      <c r="V372" s="2"/>
      <c r="W372" s="158"/>
      <c r="X372" s="2"/>
      <c r="Y372" s="2"/>
      <c r="Z372" s="2"/>
    </row>
    <row r="373" spans="1:26" ht="13.5" customHeight="1">
      <c r="A373" s="2"/>
      <c r="B373" s="2"/>
      <c r="C373" s="2"/>
      <c r="D373" s="2"/>
      <c r="E373" s="2"/>
      <c r="F373" s="2"/>
      <c r="G373" s="2"/>
      <c r="H373" s="2"/>
      <c r="I373" s="2"/>
      <c r="J373" s="2"/>
      <c r="K373" s="2"/>
      <c r="L373" s="2"/>
      <c r="M373" s="2"/>
      <c r="N373" s="2"/>
      <c r="O373" s="2"/>
      <c r="P373" s="2"/>
      <c r="Q373" s="2"/>
      <c r="R373" s="2"/>
      <c r="S373" s="2"/>
      <c r="T373" s="2"/>
      <c r="U373" s="2"/>
      <c r="V373" s="2"/>
      <c r="W373" s="158"/>
      <c r="X373" s="2"/>
      <c r="Y373" s="2"/>
      <c r="Z373" s="2"/>
    </row>
    <row r="374" spans="1:26" ht="13.5" customHeight="1">
      <c r="A374" s="2"/>
      <c r="B374" s="2"/>
      <c r="C374" s="2"/>
      <c r="D374" s="2"/>
      <c r="E374" s="2"/>
      <c r="F374" s="2"/>
      <c r="G374" s="2"/>
      <c r="H374" s="2"/>
      <c r="I374" s="2"/>
      <c r="J374" s="2"/>
      <c r="K374" s="2"/>
      <c r="L374" s="2"/>
      <c r="M374" s="2"/>
      <c r="N374" s="2"/>
      <c r="O374" s="2"/>
      <c r="P374" s="2"/>
      <c r="Q374" s="2"/>
      <c r="R374" s="2"/>
      <c r="S374" s="2"/>
      <c r="T374" s="2"/>
      <c r="U374" s="2"/>
      <c r="V374" s="2"/>
      <c r="W374" s="158"/>
      <c r="X374" s="2"/>
      <c r="Y374" s="2"/>
      <c r="Z374" s="2"/>
    </row>
    <row r="375" spans="1:26" ht="13.5" customHeight="1">
      <c r="A375" s="2"/>
      <c r="B375" s="2"/>
      <c r="C375" s="2"/>
      <c r="D375" s="2"/>
      <c r="E375" s="2"/>
      <c r="F375" s="2"/>
      <c r="G375" s="2"/>
      <c r="H375" s="2"/>
      <c r="I375" s="2"/>
      <c r="J375" s="2"/>
      <c r="K375" s="2"/>
      <c r="L375" s="2"/>
      <c r="M375" s="2"/>
      <c r="N375" s="2"/>
      <c r="O375" s="2"/>
      <c r="P375" s="2"/>
      <c r="Q375" s="2"/>
      <c r="R375" s="2"/>
      <c r="S375" s="2"/>
      <c r="T375" s="2"/>
      <c r="U375" s="2"/>
      <c r="V375" s="2"/>
      <c r="W375" s="158"/>
      <c r="X375" s="2"/>
      <c r="Y375" s="2"/>
      <c r="Z375" s="2"/>
    </row>
    <row r="376" spans="1:26" ht="13.5" customHeight="1">
      <c r="A376" s="2"/>
      <c r="B376" s="2"/>
      <c r="C376" s="2"/>
      <c r="D376" s="2"/>
      <c r="E376" s="2"/>
      <c r="F376" s="2"/>
      <c r="G376" s="2"/>
      <c r="H376" s="2"/>
      <c r="I376" s="2"/>
      <c r="J376" s="2"/>
      <c r="K376" s="2"/>
      <c r="L376" s="2"/>
      <c r="M376" s="2"/>
      <c r="N376" s="2"/>
      <c r="O376" s="2"/>
      <c r="P376" s="2"/>
      <c r="Q376" s="2"/>
      <c r="R376" s="2"/>
      <c r="S376" s="2"/>
      <c r="T376" s="2"/>
      <c r="U376" s="2"/>
      <c r="V376" s="2"/>
      <c r="W376" s="158"/>
      <c r="X376" s="2"/>
      <c r="Y376" s="2"/>
      <c r="Z376" s="2"/>
    </row>
    <row r="377" spans="1:26" ht="13.5" customHeight="1">
      <c r="A377" s="2"/>
      <c r="B377" s="2"/>
      <c r="C377" s="2"/>
      <c r="D377" s="2"/>
      <c r="E377" s="2"/>
      <c r="F377" s="2"/>
      <c r="G377" s="2"/>
      <c r="H377" s="2"/>
      <c r="I377" s="2"/>
      <c r="J377" s="2"/>
      <c r="K377" s="2"/>
      <c r="L377" s="2"/>
      <c r="M377" s="2"/>
      <c r="N377" s="2"/>
      <c r="O377" s="2"/>
      <c r="P377" s="2"/>
      <c r="Q377" s="2"/>
      <c r="R377" s="2"/>
      <c r="S377" s="2"/>
      <c r="T377" s="2"/>
      <c r="U377" s="2"/>
      <c r="V377" s="2"/>
      <c r="W377" s="158"/>
      <c r="X377" s="2"/>
      <c r="Y377" s="2"/>
      <c r="Z377" s="2"/>
    </row>
    <row r="378" spans="1:26" ht="13.5" customHeight="1">
      <c r="A378" s="2"/>
      <c r="B378" s="2"/>
      <c r="C378" s="2"/>
      <c r="D378" s="2"/>
      <c r="E378" s="2"/>
      <c r="F378" s="2"/>
      <c r="G378" s="2"/>
      <c r="H378" s="2"/>
      <c r="I378" s="2"/>
      <c r="J378" s="2"/>
      <c r="K378" s="2"/>
      <c r="L378" s="2"/>
      <c r="M378" s="2"/>
      <c r="N378" s="2"/>
      <c r="O378" s="2"/>
      <c r="P378" s="2"/>
      <c r="Q378" s="2"/>
      <c r="R378" s="2"/>
      <c r="S378" s="2"/>
      <c r="T378" s="2"/>
      <c r="U378" s="2"/>
      <c r="V378" s="2"/>
      <c r="W378" s="158"/>
      <c r="X378" s="2"/>
      <c r="Y378" s="2"/>
      <c r="Z378" s="2"/>
    </row>
    <row r="379" spans="1:26" ht="13.5" customHeight="1">
      <c r="A379" s="2"/>
      <c r="B379" s="2"/>
      <c r="C379" s="2"/>
      <c r="D379" s="2"/>
      <c r="E379" s="2"/>
      <c r="F379" s="2"/>
      <c r="G379" s="2"/>
      <c r="H379" s="2"/>
      <c r="I379" s="2"/>
      <c r="J379" s="2"/>
      <c r="K379" s="2"/>
      <c r="L379" s="2"/>
      <c r="M379" s="2"/>
      <c r="N379" s="2"/>
      <c r="O379" s="2"/>
      <c r="P379" s="2"/>
      <c r="Q379" s="2"/>
      <c r="R379" s="2"/>
      <c r="S379" s="2"/>
      <c r="T379" s="2"/>
      <c r="U379" s="2"/>
      <c r="V379" s="2"/>
      <c r="W379" s="158"/>
      <c r="X379" s="2"/>
      <c r="Y379" s="2"/>
      <c r="Z379" s="2"/>
    </row>
    <row r="380" spans="1:26" ht="13.5" customHeight="1">
      <c r="A380" s="2"/>
      <c r="B380" s="2"/>
      <c r="C380" s="2"/>
      <c r="D380" s="2"/>
      <c r="E380" s="2"/>
      <c r="F380" s="2"/>
      <c r="G380" s="2"/>
      <c r="H380" s="2"/>
      <c r="I380" s="2"/>
      <c r="J380" s="2"/>
      <c r="K380" s="2"/>
      <c r="L380" s="2"/>
      <c r="M380" s="2"/>
      <c r="N380" s="2"/>
      <c r="O380" s="2"/>
      <c r="P380" s="2"/>
      <c r="Q380" s="2"/>
      <c r="R380" s="2"/>
      <c r="S380" s="2"/>
      <c r="T380" s="2"/>
      <c r="U380" s="2"/>
      <c r="V380" s="2"/>
      <c r="W380" s="158"/>
      <c r="X380" s="2"/>
      <c r="Y380" s="2"/>
      <c r="Z380" s="2"/>
    </row>
    <row r="381" spans="1:26" ht="13.5" customHeight="1">
      <c r="A381" s="2"/>
      <c r="B381" s="2"/>
      <c r="C381" s="2"/>
      <c r="D381" s="2"/>
      <c r="E381" s="2"/>
      <c r="F381" s="2"/>
      <c r="G381" s="2"/>
      <c r="H381" s="2"/>
      <c r="I381" s="2"/>
      <c r="J381" s="2"/>
      <c r="K381" s="2"/>
      <c r="L381" s="2"/>
      <c r="M381" s="2"/>
      <c r="N381" s="2"/>
      <c r="O381" s="2"/>
      <c r="P381" s="2"/>
      <c r="Q381" s="2"/>
      <c r="R381" s="2"/>
      <c r="S381" s="2"/>
      <c r="T381" s="2"/>
      <c r="U381" s="2"/>
      <c r="V381" s="2"/>
      <c r="W381" s="158"/>
      <c r="X381" s="2"/>
      <c r="Y381" s="2"/>
      <c r="Z381" s="2"/>
    </row>
    <row r="382" spans="1:26" ht="13.5" customHeight="1">
      <c r="A382" s="2"/>
      <c r="B382" s="2"/>
      <c r="C382" s="2"/>
      <c r="D382" s="2"/>
      <c r="E382" s="2"/>
      <c r="F382" s="2"/>
      <c r="G382" s="2"/>
      <c r="H382" s="2"/>
      <c r="I382" s="2"/>
      <c r="J382" s="2"/>
      <c r="K382" s="2"/>
      <c r="L382" s="2"/>
      <c r="M382" s="2"/>
      <c r="N382" s="2"/>
      <c r="O382" s="2"/>
      <c r="P382" s="2"/>
      <c r="Q382" s="2"/>
      <c r="R382" s="2"/>
      <c r="S382" s="2"/>
      <c r="T382" s="2"/>
      <c r="U382" s="2"/>
      <c r="V382" s="2"/>
      <c r="W382" s="158"/>
      <c r="X382" s="2"/>
      <c r="Y382" s="2"/>
      <c r="Z382" s="2"/>
    </row>
    <row r="383" spans="1:26" ht="13.5" customHeight="1">
      <c r="A383" s="2"/>
      <c r="B383" s="2"/>
      <c r="C383" s="2"/>
      <c r="D383" s="2"/>
      <c r="E383" s="2"/>
      <c r="F383" s="2"/>
      <c r="G383" s="2"/>
      <c r="H383" s="2"/>
      <c r="I383" s="2"/>
      <c r="J383" s="2"/>
      <c r="K383" s="2"/>
      <c r="L383" s="2"/>
      <c r="M383" s="2"/>
      <c r="N383" s="2"/>
      <c r="O383" s="2"/>
      <c r="P383" s="2"/>
      <c r="Q383" s="2"/>
      <c r="R383" s="2"/>
      <c r="S383" s="2"/>
      <c r="T383" s="2"/>
      <c r="U383" s="2"/>
      <c r="V383" s="2"/>
      <c r="W383" s="158"/>
      <c r="X383" s="2"/>
      <c r="Y383" s="2"/>
      <c r="Z383" s="2"/>
    </row>
    <row r="384" spans="1:26" ht="13.5" customHeight="1">
      <c r="A384" s="2"/>
      <c r="B384" s="2"/>
      <c r="C384" s="2"/>
      <c r="D384" s="2"/>
      <c r="E384" s="2"/>
      <c r="F384" s="2"/>
      <c r="G384" s="2"/>
      <c r="H384" s="2"/>
      <c r="I384" s="2"/>
      <c r="J384" s="2"/>
      <c r="K384" s="2"/>
      <c r="L384" s="2"/>
      <c r="M384" s="2"/>
      <c r="N384" s="2"/>
      <c r="O384" s="2"/>
      <c r="P384" s="2"/>
      <c r="Q384" s="2"/>
      <c r="R384" s="2"/>
      <c r="S384" s="2"/>
      <c r="T384" s="2"/>
      <c r="U384" s="2"/>
      <c r="V384" s="2"/>
      <c r="W384" s="158"/>
      <c r="X384" s="2"/>
      <c r="Y384" s="2"/>
      <c r="Z384" s="2"/>
    </row>
    <row r="385" spans="1:26" ht="13.5" customHeight="1">
      <c r="A385" s="2"/>
      <c r="B385" s="2"/>
      <c r="C385" s="2"/>
      <c r="D385" s="2"/>
      <c r="E385" s="2"/>
      <c r="F385" s="2"/>
      <c r="G385" s="2"/>
      <c r="H385" s="2"/>
      <c r="I385" s="2"/>
      <c r="J385" s="2"/>
      <c r="K385" s="2"/>
      <c r="L385" s="2"/>
      <c r="M385" s="2"/>
      <c r="N385" s="2"/>
      <c r="O385" s="2"/>
      <c r="P385" s="2"/>
      <c r="Q385" s="2"/>
      <c r="R385" s="2"/>
      <c r="S385" s="2"/>
      <c r="T385" s="2"/>
      <c r="U385" s="2"/>
      <c r="V385" s="2"/>
      <c r="W385" s="158"/>
      <c r="X385" s="2"/>
      <c r="Y385" s="2"/>
      <c r="Z385" s="2"/>
    </row>
    <row r="386" spans="1:26" ht="13.5" customHeight="1">
      <c r="A386" s="2"/>
      <c r="B386" s="2"/>
      <c r="C386" s="2"/>
      <c r="D386" s="2"/>
      <c r="E386" s="2"/>
      <c r="F386" s="2"/>
      <c r="G386" s="2"/>
      <c r="H386" s="2"/>
      <c r="I386" s="2"/>
      <c r="J386" s="2"/>
      <c r="K386" s="2"/>
      <c r="L386" s="2"/>
      <c r="M386" s="2"/>
      <c r="N386" s="2"/>
      <c r="O386" s="2"/>
      <c r="P386" s="2"/>
      <c r="Q386" s="2"/>
      <c r="R386" s="2"/>
      <c r="S386" s="2"/>
      <c r="T386" s="2"/>
      <c r="U386" s="2"/>
      <c r="V386" s="2"/>
      <c r="W386" s="158"/>
      <c r="X386" s="2"/>
      <c r="Y386" s="2"/>
      <c r="Z386" s="2"/>
    </row>
    <row r="387" spans="1:26" ht="13.5" customHeight="1">
      <c r="A387" s="2"/>
      <c r="B387" s="2"/>
      <c r="C387" s="2"/>
      <c r="D387" s="2"/>
      <c r="E387" s="2"/>
      <c r="F387" s="2"/>
      <c r="G387" s="2"/>
      <c r="H387" s="2"/>
      <c r="I387" s="2"/>
      <c r="J387" s="2"/>
      <c r="K387" s="2"/>
      <c r="L387" s="2"/>
      <c r="M387" s="2"/>
      <c r="N387" s="2"/>
      <c r="O387" s="2"/>
      <c r="P387" s="2"/>
      <c r="Q387" s="2"/>
      <c r="R387" s="2"/>
      <c r="S387" s="2"/>
      <c r="T387" s="2"/>
      <c r="U387" s="2"/>
      <c r="V387" s="2"/>
      <c r="W387" s="158"/>
      <c r="X387" s="2"/>
      <c r="Y387" s="2"/>
      <c r="Z387" s="2"/>
    </row>
    <row r="388" spans="1:26" ht="13.5" customHeight="1">
      <c r="A388" s="2"/>
      <c r="B388" s="2"/>
      <c r="C388" s="2"/>
      <c r="D388" s="2"/>
      <c r="E388" s="2"/>
      <c r="F388" s="2"/>
      <c r="G388" s="2"/>
      <c r="H388" s="2"/>
      <c r="I388" s="2"/>
      <c r="J388" s="2"/>
      <c r="K388" s="2"/>
      <c r="L388" s="2"/>
      <c r="M388" s="2"/>
      <c r="N388" s="2"/>
      <c r="O388" s="2"/>
      <c r="P388" s="2"/>
      <c r="Q388" s="2"/>
      <c r="R388" s="2"/>
      <c r="S388" s="2"/>
      <c r="T388" s="2"/>
      <c r="U388" s="2"/>
      <c r="V388" s="2"/>
      <c r="W388" s="158"/>
      <c r="X388" s="2"/>
      <c r="Y388" s="2"/>
      <c r="Z388" s="2"/>
    </row>
    <row r="389" spans="1:26" ht="13.5" customHeight="1">
      <c r="A389" s="2"/>
      <c r="B389" s="2"/>
      <c r="C389" s="2"/>
      <c r="D389" s="2"/>
      <c r="E389" s="2"/>
      <c r="F389" s="2"/>
      <c r="G389" s="2"/>
      <c r="H389" s="2"/>
      <c r="I389" s="2"/>
      <c r="J389" s="2"/>
      <c r="K389" s="2"/>
      <c r="L389" s="2"/>
      <c r="M389" s="2"/>
      <c r="N389" s="2"/>
      <c r="O389" s="2"/>
      <c r="P389" s="2"/>
      <c r="Q389" s="2"/>
      <c r="R389" s="2"/>
      <c r="S389" s="2"/>
      <c r="T389" s="2"/>
      <c r="U389" s="2"/>
      <c r="V389" s="2"/>
      <c r="W389" s="158"/>
      <c r="X389" s="2"/>
      <c r="Y389" s="2"/>
      <c r="Z389" s="2"/>
    </row>
    <row r="390" spans="1:26" ht="13.5" customHeight="1">
      <c r="A390" s="2"/>
      <c r="B390" s="2"/>
      <c r="C390" s="2"/>
      <c r="D390" s="2"/>
      <c r="E390" s="2"/>
      <c r="F390" s="2"/>
      <c r="G390" s="2"/>
      <c r="H390" s="2"/>
      <c r="I390" s="2"/>
      <c r="J390" s="2"/>
      <c r="K390" s="2"/>
      <c r="L390" s="2"/>
      <c r="M390" s="2"/>
      <c r="N390" s="2"/>
      <c r="O390" s="2"/>
      <c r="P390" s="2"/>
      <c r="Q390" s="2"/>
      <c r="R390" s="2"/>
      <c r="S390" s="2"/>
      <c r="T390" s="2"/>
      <c r="U390" s="2"/>
      <c r="V390" s="2"/>
      <c r="W390" s="158"/>
      <c r="X390" s="2"/>
      <c r="Y390" s="2"/>
      <c r="Z390" s="2"/>
    </row>
    <row r="391" spans="1:26" ht="13.5" customHeight="1">
      <c r="A391" s="2"/>
      <c r="B391" s="2"/>
      <c r="C391" s="2"/>
      <c r="D391" s="2"/>
      <c r="E391" s="2"/>
      <c r="F391" s="2"/>
      <c r="G391" s="2"/>
      <c r="H391" s="2"/>
      <c r="I391" s="2"/>
      <c r="J391" s="2"/>
      <c r="K391" s="2"/>
      <c r="L391" s="2"/>
      <c r="M391" s="2"/>
      <c r="N391" s="2"/>
      <c r="O391" s="2"/>
      <c r="P391" s="2"/>
      <c r="Q391" s="2"/>
      <c r="R391" s="2"/>
      <c r="S391" s="2"/>
      <c r="T391" s="2"/>
      <c r="U391" s="2"/>
      <c r="V391" s="2"/>
      <c r="W391" s="158"/>
      <c r="X391" s="2"/>
      <c r="Y391" s="2"/>
      <c r="Z391" s="2"/>
    </row>
    <row r="392" spans="1:26" ht="13.5" customHeight="1">
      <c r="A392" s="2"/>
      <c r="B392" s="2"/>
      <c r="C392" s="2"/>
      <c r="D392" s="2"/>
      <c r="E392" s="2"/>
      <c r="F392" s="2"/>
      <c r="G392" s="2"/>
      <c r="H392" s="2"/>
      <c r="I392" s="2"/>
      <c r="J392" s="2"/>
      <c r="K392" s="2"/>
      <c r="L392" s="2"/>
      <c r="M392" s="2"/>
      <c r="N392" s="2"/>
      <c r="O392" s="2"/>
      <c r="P392" s="2"/>
      <c r="Q392" s="2"/>
      <c r="R392" s="2"/>
      <c r="S392" s="2"/>
      <c r="T392" s="2"/>
      <c r="U392" s="2"/>
      <c r="V392" s="2"/>
      <c r="W392" s="158"/>
      <c r="X392" s="2"/>
      <c r="Y392" s="2"/>
      <c r="Z392" s="2"/>
    </row>
    <row r="393" spans="1:26" ht="13.5" customHeight="1">
      <c r="A393" s="2"/>
      <c r="B393" s="2"/>
      <c r="C393" s="2"/>
      <c r="D393" s="2"/>
      <c r="E393" s="2"/>
      <c r="F393" s="2"/>
      <c r="G393" s="2"/>
      <c r="H393" s="2"/>
      <c r="I393" s="2"/>
      <c r="J393" s="2"/>
      <c r="K393" s="2"/>
      <c r="L393" s="2"/>
      <c r="M393" s="2"/>
      <c r="N393" s="2"/>
      <c r="O393" s="2"/>
      <c r="P393" s="2"/>
      <c r="Q393" s="2"/>
      <c r="R393" s="2"/>
      <c r="S393" s="2"/>
      <c r="T393" s="2"/>
      <c r="U393" s="2"/>
      <c r="V393" s="2"/>
      <c r="W393" s="158"/>
      <c r="X393" s="2"/>
      <c r="Y393" s="2"/>
      <c r="Z393" s="2"/>
    </row>
    <row r="394" spans="1:26" ht="13.5" customHeight="1">
      <c r="A394" s="2"/>
      <c r="B394" s="2"/>
      <c r="C394" s="2"/>
      <c r="D394" s="2"/>
      <c r="E394" s="2"/>
      <c r="F394" s="2"/>
      <c r="G394" s="2"/>
      <c r="H394" s="2"/>
      <c r="I394" s="2"/>
      <c r="J394" s="2"/>
      <c r="K394" s="2"/>
      <c r="L394" s="2"/>
      <c r="M394" s="2"/>
      <c r="N394" s="2"/>
      <c r="O394" s="2"/>
      <c r="P394" s="2"/>
      <c r="Q394" s="2"/>
      <c r="R394" s="2"/>
      <c r="S394" s="2"/>
      <c r="T394" s="2"/>
      <c r="U394" s="2"/>
      <c r="V394" s="2"/>
      <c r="W394" s="158"/>
      <c r="X394" s="2"/>
      <c r="Y394" s="2"/>
      <c r="Z394" s="2"/>
    </row>
    <row r="395" spans="1:26" ht="13.5" customHeight="1">
      <c r="A395" s="2"/>
      <c r="B395" s="2"/>
      <c r="C395" s="2"/>
      <c r="D395" s="2"/>
      <c r="E395" s="2"/>
      <c r="F395" s="2"/>
      <c r="G395" s="2"/>
      <c r="H395" s="2"/>
      <c r="I395" s="2"/>
      <c r="J395" s="2"/>
      <c r="K395" s="2"/>
      <c r="L395" s="2"/>
      <c r="M395" s="2"/>
      <c r="N395" s="2"/>
      <c r="O395" s="2"/>
      <c r="P395" s="2"/>
      <c r="Q395" s="2"/>
      <c r="R395" s="2"/>
      <c r="S395" s="2"/>
      <c r="T395" s="2"/>
      <c r="U395" s="2"/>
      <c r="V395" s="2"/>
      <c r="W395" s="158"/>
      <c r="X395" s="2"/>
      <c r="Y395" s="2"/>
      <c r="Z395" s="2"/>
    </row>
    <row r="396" spans="1:26" ht="13.5" customHeight="1">
      <c r="A396" s="2"/>
      <c r="B396" s="2"/>
      <c r="C396" s="2"/>
      <c r="D396" s="2"/>
      <c r="E396" s="2"/>
      <c r="F396" s="2"/>
      <c r="G396" s="2"/>
      <c r="H396" s="2"/>
      <c r="I396" s="2"/>
      <c r="J396" s="2"/>
      <c r="K396" s="2"/>
      <c r="L396" s="2"/>
      <c r="M396" s="2"/>
      <c r="N396" s="2"/>
      <c r="O396" s="2"/>
      <c r="P396" s="2"/>
      <c r="Q396" s="2"/>
      <c r="R396" s="2"/>
      <c r="S396" s="2"/>
      <c r="T396" s="2"/>
      <c r="U396" s="2"/>
      <c r="V396" s="2"/>
      <c r="W396" s="158"/>
      <c r="X396" s="2"/>
      <c r="Y396" s="2"/>
      <c r="Z396" s="2"/>
    </row>
    <row r="397" spans="1:26" ht="13.5" customHeight="1">
      <c r="A397" s="2"/>
      <c r="B397" s="2"/>
      <c r="C397" s="2"/>
      <c r="D397" s="2"/>
      <c r="E397" s="2"/>
      <c r="F397" s="2"/>
      <c r="G397" s="2"/>
      <c r="H397" s="2"/>
      <c r="I397" s="2"/>
      <c r="J397" s="2"/>
      <c r="K397" s="2"/>
      <c r="L397" s="2"/>
      <c r="M397" s="2"/>
      <c r="N397" s="2"/>
      <c r="O397" s="2"/>
      <c r="P397" s="2"/>
      <c r="Q397" s="2"/>
      <c r="R397" s="2"/>
      <c r="S397" s="2"/>
      <c r="T397" s="2"/>
      <c r="U397" s="2"/>
      <c r="V397" s="2"/>
      <c r="W397" s="158"/>
      <c r="X397" s="2"/>
      <c r="Y397" s="2"/>
      <c r="Z397" s="2"/>
    </row>
    <row r="398" spans="1:26" ht="13.5" customHeight="1">
      <c r="A398" s="2"/>
      <c r="B398" s="2"/>
      <c r="C398" s="2"/>
      <c r="D398" s="2"/>
      <c r="E398" s="2"/>
      <c r="F398" s="2"/>
      <c r="G398" s="2"/>
      <c r="H398" s="2"/>
      <c r="I398" s="2"/>
      <c r="J398" s="2"/>
      <c r="K398" s="2"/>
      <c r="L398" s="2"/>
      <c r="M398" s="2"/>
      <c r="N398" s="2"/>
      <c r="O398" s="2"/>
      <c r="P398" s="2"/>
      <c r="Q398" s="2"/>
      <c r="R398" s="2"/>
      <c r="S398" s="2"/>
      <c r="T398" s="2"/>
      <c r="U398" s="2"/>
      <c r="V398" s="2"/>
      <c r="W398" s="158"/>
      <c r="X398" s="2"/>
      <c r="Y398" s="2"/>
      <c r="Z398" s="2"/>
    </row>
    <row r="399" spans="1:26" ht="13.5" customHeight="1">
      <c r="A399" s="2"/>
      <c r="B399" s="2"/>
      <c r="C399" s="2"/>
      <c r="D399" s="2"/>
      <c r="E399" s="2"/>
      <c r="F399" s="2"/>
      <c r="G399" s="2"/>
      <c r="H399" s="2"/>
      <c r="I399" s="2"/>
      <c r="J399" s="2"/>
      <c r="K399" s="2"/>
      <c r="L399" s="2"/>
      <c r="M399" s="2"/>
      <c r="N399" s="2"/>
      <c r="O399" s="2"/>
      <c r="P399" s="2"/>
      <c r="Q399" s="2"/>
      <c r="R399" s="2"/>
      <c r="S399" s="2"/>
      <c r="T399" s="2"/>
      <c r="U399" s="2"/>
      <c r="V399" s="2"/>
      <c r="W399" s="158"/>
      <c r="X399" s="2"/>
      <c r="Y399" s="2"/>
      <c r="Z399" s="2"/>
    </row>
    <row r="400" spans="1:26" ht="13.5" customHeight="1">
      <c r="A400" s="2"/>
      <c r="B400" s="2"/>
      <c r="C400" s="2"/>
      <c r="D400" s="2"/>
      <c r="E400" s="2"/>
      <c r="F400" s="2"/>
      <c r="G400" s="2"/>
      <c r="H400" s="2"/>
      <c r="I400" s="2"/>
      <c r="J400" s="2"/>
      <c r="K400" s="2"/>
      <c r="L400" s="2"/>
      <c r="M400" s="2"/>
      <c r="N400" s="2"/>
      <c r="O400" s="2"/>
      <c r="P400" s="2"/>
      <c r="Q400" s="2"/>
      <c r="R400" s="2"/>
      <c r="S400" s="2"/>
      <c r="T400" s="2"/>
      <c r="U400" s="2"/>
      <c r="V400" s="2"/>
      <c r="W400" s="158"/>
      <c r="X400" s="2"/>
      <c r="Y400" s="2"/>
      <c r="Z400" s="2"/>
    </row>
    <row r="401" spans="1:26" ht="13.5" customHeight="1">
      <c r="A401" s="2"/>
      <c r="B401" s="2"/>
      <c r="C401" s="2"/>
      <c r="D401" s="2"/>
      <c r="E401" s="2"/>
      <c r="F401" s="2"/>
      <c r="G401" s="2"/>
      <c r="H401" s="2"/>
      <c r="I401" s="2"/>
      <c r="J401" s="2"/>
      <c r="K401" s="2"/>
      <c r="L401" s="2"/>
      <c r="M401" s="2"/>
      <c r="N401" s="2"/>
      <c r="O401" s="2"/>
      <c r="P401" s="2"/>
      <c r="Q401" s="2"/>
      <c r="R401" s="2"/>
      <c r="S401" s="2"/>
      <c r="T401" s="2"/>
      <c r="U401" s="2"/>
      <c r="V401" s="2"/>
      <c r="W401" s="158"/>
      <c r="X401" s="2"/>
      <c r="Y401" s="2"/>
      <c r="Z401" s="2"/>
    </row>
    <row r="402" spans="1:26" ht="13.5" customHeight="1">
      <c r="A402" s="2"/>
      <c r="B402" s="2"/>
      <c r="C402" s="2"/>
      <c r="D402" s="2"/>
      <c r="E402" s="2"/>
      <c r="F402" s="2"/>
      <c r="G402" s="2"/>
      <c r="H402" s="2"/>
      <c r="I402" s="2"/>
      <c r="J402" s="2"/>
      <c r="K402" s="2"/>
      <c r="L402" s="2"/>
      <c r="M402" s="2"/>
      <c r="N402" s="2"/>
      <c r="O402" s="2"/>
      <c r="P402" s="2"/>
      <c r="Q402" s="2"/>
      <c r="R402" s="2"/>
      <c r="S402" s="2"/>
      <c r="T402" s="2"/>
      <c r="U402" s="2"/>
      <c r="V402" s="2"/>
      <c r="W402" s="158"/>
      <c r="X402" s="2"/>
      <c r="Y402" s="2"/>
      <c r="Z402" s="2"/>
    </row>
    <row r="403" spans="1:26" ht="13.5" customHeight="1">
      <c r="A403" s="2"/>
      <c r="B403" s="2"/>
      <c r="C403" s="2"/>
      <c r="D403" s="2"/>
      <c r="E403" s="2"/>
      <c r="F403" s="2"/>
      <c r="G403" s="2"/>
      <c r="H403" s="2"/>
      <c r="I403" s="2"/>
      <c r="J403" s="2"/>
      <c r="K403" s="2"/>
      <c r="L403" s="2"/>
      <c r="M403" s="2"/>
      <c r="N403" s="2"/>
      <c r="O403" s="2"/>
      <c r="P403" s="2"/>
      <c r="Q403" s="2"/>
      <c r="R403" s="2"/>
      <c r="S403" s="2"/>
      <c r="T403" s="2"/>
      <c r="U403" s="2"/>
      <c r="V403" s="2"/>
      <c r="W403" s="158"/>
      <c r="X403" s="2"/>
      <c r="Y403" s="2"/>
      <c r="Z403" s="2"/>
    </row>
    <row r="404" spans="1:26" ht="13.5" customHeight="1">
      <c r="A404" s="2"/>
      <c r="B404" s="2"/>
      <c r="C404" s="2"/>
      <c r="D404" s="2"/>
      <c r="E404" s="2"/>
      <c r="F404" s="2"/>
      <c r="G404" s="2"/>
      <c r="H404" s="2"/>
      <c r="I404" s="2"/>
      <c r="J404" s="2"/>
      <c r="K404" s="2"/>
      <c r="L404" s="2"/>
      <c r="M404" s="2"/>
      <c r="N404" s="2"/>
      <c r="O404" s="2"/>
      <c r="P404" s="2"/>
      <c r="Q404" s="2"/>
      <c r="R404" s="2"/>
      <c r="S404" s="2"/>
      <c r="T404" s="2"/>
      <c r="U404" s="2"/>
      <c r="V404" s="2"/>
      <c r="W404" s="158"/>
      <c r="X404" s="2"/>
      <c r="Y404" s="2"/>
      <c r="Z404" s="2"/>
    </row>
    <row r="405" spans="1:26" ht="13.5" customHeight="1">
      <c r="A405" s="2"/>
      <c r="B405" s="2"/>
      <c r="C405" s="2"/>
      <c r="D405" s="2"/>
      <c r="E405" s="2"/>
      <c r="F405" s="2"/>
      <c r="G405" s="2"/>
      <c r="H405" s="2"/>
      <c r="I405" s="2"/>
      <c r="J405" s="2"/>
      <c r="K405" s="2"/>
      <c r="L405" s="2"/>
      <c r="M405" s="2"/>
      <c r="N405" s="2"/>
      <c r="O405" s="2"/>
      <c r="P405" s="2"/>
      <c r="Q405" s="2"/>
      <c r="R405" s="2"/>
      <c r="S405" s="2"/>
      <c r="T405" s="2"/>
      <c r="U405" s="2"/>
      <c r="V405" s="2"/>
      <c r="W405" s="158"/>
      <c r="X405" s="2"/>
      <c r="Y405" s="2"/>
      <c r="Z405" s="2"/>
    </row>
    <row r="406" spans="1:26" ht="13.5" customHeight="1">
      <c r="A406" s="2"/>
      <c r="B406" s="2"/>
      <c r="C406" s="2"/>
      <c r="D406" s="2"/>
      <c r="E406" s="2"/>
      <c r="F406" s="2"/>
      <c r="G406" s="2"/>
      <c r="H406" s="2"/>
      <c r="I406" s="2"/>
      <c r="J406" s="2"/>
      <c r="K406" s="2"/>
      <c r="L406" s="2"/>
      <c r="M406" s="2"/>
      <c r="N406" s="2"/>
      <c r="O406" s="2"/>
      <c r="P406" s="2"/>
      <c r="Q406" s="2"/>
      <c r="R406" s="2"/>
      <c r="S406" s="2"/>
      <c r="T406" s="2"/>
      <c r="U406" s="2"/>
      <c r="V406" s="2"/>
      <c r="W406" s="158"/>
      <c r="X406" s="2"/>
      <c r="Y406" s="2"/>
      <c r="Z406" s="2"/>
    </row>
    <row r="407" spans="1:26" ht="13.5" customHeight="1">
      <c r="A407" s="2"/>
      <c r="B407" s="2"/>
      <c r="C407" s="2"/>
      <c r="D407" s="2"/>
      <c r="E407" s="2"/>
      <c r="F407" s="2"/>
      <c r="G407" s="2"/>
      <c r="H407" s="2"/>
      <c r="I407" s="2"/>
      <c r="J407" s="2"/>
      <c r="K407" s="2"/>
      <c r="L407" s="2"/>
      <c r="M407" s="2"/>
      <c r="N407" s="2"/>
      <c r="O407" s="2"/>
      <c r="P407" s="2"/>
      <c r="Q407" s="2"/>
      <c r="R407" s="2"/>
      <c r="S407" s="2"/>
      <c r="T407" s="2"/>
      <c r="U407" s="2"/>
      <c r="V407" s="2"/>
      <c r="W407" s="158"/>
      <c r="X407" s="2"/>
      <c r="Y407" s="2"/>
      <c r="Z407" s="2"/>
    </row>
    <row r="408" spans="1:26" ht="13.5" customHeight="1">
      <c r="A408" s="2"/>
      <c r="B408" s="2"/>
      <c r="C408" s="2"/>
      <c r="D408" s="2"/>
      <c r="E408" s="2"/>
      <c r="F408" s="2"/>
      <c r="G408" s="2"/>
      <c r="H408" s="2"/>
      <c r="I408" s="2"/>
      <c r="J408" s="2"/>
      <c r="K408" s="2"/>
      <c r="L408" s="2"/>
      <c r="M408" s="2"/>
      <c r="N408" s="2"/>
      <c r="O408" s="2"/>
      <c r="P408" s="2"/>
      <c r="Q408" s="2"/>
      <c r="R408" s="2"/>
      <c r="S408" s="2"/>
      <c r="T408" s="2"/>
      <c r="U408" s="2"/>
      <c r="V408" s="2"/>
      <c r="W408" s="158"/>
      <c r="X408" s="2"/>
      <c r="Y408" s="2"/>
      <c r="Z408" s="2"/>
    </row>
    <row r="409" spans="1:26" ht="13.5" customHeight="1">
      <c r="A409" s="2"/>
      <c r="B409" s="2"/>
      <c r="C409" s="2"/>
      <c r="D409" s="2"/>
      <c r="E409" s="2"/>
      <c r="F409" s="2"/>
      <c r="G409" s="2"/>
      <c r="H409" s="2"/>
      <c r="I409" s="2"/>
      <c r="J409" s="2"/>
      <c r="K409" s="2"/>
      <c r="L409" s="2"/>
      <c r="M409" s="2"/>
      <c r="N409" s="2"/>
      <c r="O409" s="2"/>
      <c r="P409" s="2"/>
      <c r="Q409" s="2"/>
      <c r="R409" s="2"/>
      <c r="S409" s="2"/>
      <c r="T409" s="2"/>
      <c r="U409" s="2"/>
      <c r="V409" s="2"/>
      <c r="W409" s="158"/>
      <c r="X409" s="2"/>
      <c r="Y409" s="2"/>
      <c r="Z409" s="2"/>
    </row>
    <row r="410" spans="1:26" ht="13.5" customHeight="1">
      <c r="A410" s="2"/>
      <c r="B410" s="2"/>
      <c r="C410" s="2"/>
      <c r="D410" s="2"/>
      <c r="E410" s="2"/>
      <c r="F410" s="2"/>
      <c r="G410" s="2"/>
      <c r="H410" s="2"/>
      <c r="I410" s="2"/>
      <c r="J410" s="2"/>
      <c r="K410" s="2"/>
      <c r="L410" s="2"/>
      <c r="M410" s="2"/>
      <c r="N410" s="2"/>
      <c r="O410" s="2"/>
      <c r="P410" s="2"/>
      <c r="Q410" s="2"/>
      <c r="R410" s="2"/>
      <c r="S410" s="2"/>
      <c r="T410" s="2"/>
      <c r="U410" s="2"/>
      <c r="V410" s="2"/>
      <c r="W410" s="158"/>
      <c r="X410" s="2"/>
      <c r="Y410" s="2"/>
      <c r="Z410" s="2"/>
    </row>
    <row r="411" spans="1:26" ht="13.5" customHeight="1">
      <c r="A411" s="2"/>
      <c r="B411" s="2"/>
      <c r="C411" s="2"/>
      <c r="D411" s="2"/>
      <c r="E411" s="2"/>
      <c r="F411" s="2"/>
      <c r="G411" s="2"/>
      <c r="H411" s="2"/>
      <c r="I411" s="2"/>
      <c r="J411" s="2"/>
      <c r="K411" s="2"/>
      <c r="L411" s="2"/>
      <c r="M411" s="2"/>
      <c r="N411" s="2"/>
      <c r="O411" s="2"/>
      <c r="P411" s="2"/>
      <c r="Q411" s="2"/>
      <c r="R411" s="2"/>
      <c r="S411" s="2"/>
      <c r="T411" s="2"/>
      <c r="U411" s="2"/>
      <c r="V411" s="2"/>
      <c r="W411" s="158"/>
      <c r="X411" s="2"/>
      <c r="Y411" s="2"/>
      <c r="Z411" s="2"/>
    </row>
    <row r="412" spans="1:26" ht="13.5" customHeight="1">
      <c r="A412" s="2"/>
      <c r="B412" s="2"/>
      <c r="C412" s="2"/>
      <c r="D412" s="2"/>
      <c r="E412" s="2"/>
      <c r="F412" s="2"/>
      <c r="G412" s="2"/>
      <c r="H412" s="2"/>
      <c r="I412" s="2"/>
      <c r="J412" s="2"/>
      <c r="K412" s="2"/>
      <c r="L412" s="2"/>
      <c r="M412" s="2"/>
      <c r="N412" s="2"/>
      <c r="O412" s="2"/>
      <c r="P412" s="2"/>
      <c r="Q412" s="2"/>
      <c r="R412" s="2"/>
      <c r="S412" s="2"/>
      <c r="T412" s="2"/>
      <c r="U412" s="2"/>
      <c r="V412" s="2"/>
      <c r="W412" s="158"/>
      <c r="X412" s="2"/>
      <c r="Y412" s="2"/>
      <c r="Z412" s="2"/>
    </row>
    <row r="413" spans="1:26" ht="13.5" customHeight="1">
      <c r="A413" s="2"/>
      <c r="B413" s="2"/>
      <c r="C413" s="2"/>
      <c r="D413" s="2"/>
      <c r="E413" s="2"/>
      <c r="F413" s="2"/>
      <c r="G413" s="2"/>
      <c r="H413" s="2"/>
      <c r="I413" s="2"/>
      <c r="J413" s="2"/>
      <c r="K413" s="2"/>
      <c r="L413" s="2"/>
      <c r="M413" s="2"/>
      <c r="N413" s="2"/>
      <c r="O413" s="2"/>
      <c r="P413" s="2"/>
      <c r="Q413" s="2"/>
      <c r="R413" s="2"/>
      <c r="S413" s="2"/>
      <c r="T413" s="2"/>
      <c r="U413" s="2"/>
      <c r="V413" s="2"/>
      <c r="W413" s="158"/>
      <c r="X413" s="2"/>
      <c r="Y413" s="2"/>
      <c r="Z413" s="2"/>
    </row>
    <row r="414" spans="1:26" ht="13.5" customHeight="1">
      <c r="A414" s="2"/>
      <c r="B414" s="2"/>
      <c r="C414" s="2"/>
      <c r="D414" s="2"/>
      <c r="E414" s="2"/>
      <c r="F414" s="2"/>
      <c r="G414" s="2"/>
      <c r="H414" s="2"/>
      <c r="I414" s="2"/>
      <c r="J414" s="2"/>
      <c r="K414" s="2"/>
      <c r="L414" s="2"/>
      <c r="M414" s="2"/>
      <c r="N414" s="2"/>
      <c r="O414" s="2"/>
      <c r="P414" s="2"/>
      <c r="Q414" s="2"/>
      <c r="R414" s="2"/>
      <c r="S414" s="2"/>
      <c r="T414" s="2"/>
      <c r="U414" s="2"/>
      <c r="V414" s="2"/>
      <c r="W414" s="158"/>
      <c r="X414" s="2"/>
      <c r="Y414" s="2"/>
      <c r="Z414" s="2"/>
    </row>
    <row r="415" spans="1:26" ht="13.5" customHeight="1">
      <c r="A415" s="2"/>
      <c r="B415" s="2"/>
      <c r="C415" s="2"/>
      <c r="D415" s="2"/>
      <c r="E415" s="2"/>
      <c r="F415" s="2"/>
      <c r="G415" s="2"/>
      <c r="H415" s="2"/>
      <c r="I415" s="2"/>
      <c r="J415" s="2"/>
      <c r="K415" s="2"/>
      <c r="L415" s="2"/>
      <c r="M415" s="2"/>
      <c r="N415" s="2"/>
      <c r="O415" s="2"/>
      <c r="P415" s="2"/>
      <c r="Q415" s="2"/>
      <c r="R415" s="2"/>
      <c r="S415" s="2"/>
      <c r="T415" s="2"/>
      <c r="U415" s="2"/>
      <c r="V415" s="2"/>
      <c r="W415" s="158"/>
      <c r="X415" s="2"/>
      <c r="Y415" s="2"/>
      <c r="Z415" s="2"/>
    </row>
    <row r="416" spans="1:26" ht="13.5" customHeight="1">
      <c r="A416" s="2"/>
      <c r="B416" s="2"/>
      <c r="C416" s="2"/>
      <c r="D416" s="2"/>
      <c r="E416" s="2"/>
      <c r="F416" s="2"/>
      <c r="G416" s="2"/>
      <c r="H416" s="2"/>
      <c r="I416" s="2"/>
      <c r="J416" s="2"/>
      <c r="K416" s="2"/>
      <c r="L416" s="2"/>
      <c r="M416" s="2"/>
      <c r="N416" s="2"/>
      <c r="O416" s="2"/>
      <c r="P416" s="2"/>
      <c r="Q416" s="2"/>
      <c r="R416" s="2"/>
      <c r="S416" s="2"/>
      <c r="T416" s="2"/>
      <c r="U416" s="2"/>
      <c r="V416" s="2"/>
      <c r="W416" s="158"/>
      <c r="X416" s="2"/>
      <c r="Y416" s="2"/>
      <c r="Z416" s="2"/>
    </row>
    <row r="417" spans="1:26" ht="13.5" customHeight="1">
      <c r="A417" s="2"/>
      <c r="B417" s="2"/>
      <c r="C417" s="2"/>
      <c r="D417" s="2"/>
      <c r="E417" s="2"/>
      <c r="F417" s="2"/>
      <c r="G417" s="2"/>
      <c r="H417" s="2"/>
      <c r="I417" s="2"/>
      <c r="J417" s="2"/>
      <c r="K417" s="2"/>
      <c r="L417" s="2"/>
      <c r="M417" s="2"/>
      <c r="N417" s="2"/>
      <c r="O417" s="2"/>
      <c r="P417" s="2"/>
      <c r="Q417" s="2"/>
      <c r="R417" s="2"/>
      <c r="S417" s="2"/>
      <c r="T417" s="2"/>
      <c r="U417" s="2"/>
      <c r="V417" s="2"/>
      <c r="W417" s="158"/>
      <c r="X417" s="2"/>
      <c r="Y417" s="2"/>
      <c r="Z417" s="2"/>
    </row>
    <row r="418" spans="1:26" ht="13.5" customHeight="1">
      <c r="A418" s="2"/>
      <c r="B418" s="2"/>
      <c r="C418" s="2"/>
      <c r="D418" s="2"/>
      <c r="E418" s="2"/>
      <c r="F418" s="2"/>
      <c r="G418" s="2"/>
      <c r="H418" s="2"/>
      <c r="I418" s="2"/>
      <c r="J418" s="2"/>
      <c r="K418" s="2"/>
      <c r="L418" s="2"/>
      <c r="M418" s="2"/>
      <c r="N418" s="2"/>
      <c r="O418" s="2"/>
      <c r="P418" s="2"/>
      <c r="Q418" s="2"/>
      <c r="R418" s="2"/>
      <c r="S418" s="2"/>
      <c r="T418" s="2"/>
      <c r="U418" s="2"/>
      <c r="V418" s="2"/>
      <c r="W418" s="158"/>
      <c r="X418" s="2"/>
      <c r="Y418" s="2"/>
      <c r="Z418" s="2"/>
    </row>
    <row r="419" spans="1:26" ht="13.5" customHeight="1">
      <c r="A419" s="2"/>
      <c r="B419" s="2"/>
      <c r="C419" s="2"/>
      <c r="D419" s="2"/>
      <c r="E419" s="2"/>
      <c r="F419" s="2"/>
      <c r="G419" s="2"/>
      <c r="H419" s="2"/>
      <c r="I419" s="2"/>
      <c r="J419" s="2"/>
      <c r="K419" s="2"/>
      <c r="L419" s="2"/>
      <c r="M419" s="2"/>
      <c r="N419" s="2"/>
      <c r="O419" s="2"/>
      <c r="P419" s="2"/>
      <c r="Q419" s="2"/>
      <c r="R419" s="2"/>
      <c r="S419" s="2"/>
      <c r="T419" s="2"/>
      <c r="U419" s="2"/>
      <c r="V419" s="2"/>
      <c r="W419" s="158"/>
      <c r="X419" s="2"/>
      <c r="Y419" s="2"/>
      <c r="Z419" s="2"/>
    </row>
    <row r="420" spans="1:26" ht="13.5" customHeight="1">
      <c r="A420" s="2"/>
      <c r="B420" s="2"/>
      <c r="C420" s="2"/>
      <c r="D420" s="2"/>
      <c r="E420" s="2"/>
      <c r="F420" s="2"/>
      <c r="G420" s="2"/>
      <c r="H420" s="2"/>
      <c r="I420" s="2"/>
      <c r="J420" s="2"/>
      <c r="K420" s="2"/>
      <c r="L420" s="2"/>
      <c r="M420" s="2"/>
      <c r="N420" s="2"/>
      <c r="O420" s="2"/>
      <c r="P420" s="2"/>
      <c r="Q420" s="2"/>
      <c r="R420" s="2"/>
      <c r="S420" s="2"/>
      <c r="T420" s="2"/>
      <c r="U420" s="2"/>
      <c r="V420" s="2"/>
      <c r="W420" s="158"/>
      <c r="X420" s="2"/>
      <c r="Y420" s="2"/>
      <c r="Z420" s="2"/>
    </row>
    <row r="421" spans="1:26" ht="13.5" customHeight="1">
      <c r="A421" s="2"/>
      <c r="B421" s="2"/>
      <c r="C421" s="2"/>
      <c r="D421" s="2"/>
      <c r="E421" s="2"/>
      <c r="F421" s="2"/>
      <c r="G421" s="2"/>
      <c r="H421" s="2"/>
      <c r="I421" s="2"/>
      <c r="J421" s="2"/>
      <c r="K421" s="2"/>
      <c r="L421" s="2"/>
      <c r="M421" s="2"/>
      <c r="N421" s="2"/>
      <c r="O421" s="2"/>
      <c r="P421" s="2"/>
      <c r="Q421" s="2"/>
      <c r="R421" s="2"/>
      <c r="S421" s="2"/>
      <c r="T421" s="2"/>
      <c r="U421" s="2"/>
      <c r="V421" s="2"/>
      <c r="W421" s="158"/>
      <c r="X421" s="2"/>
      <c r="Y421" s="2"/>
      <c r="Z421" s="2"/>
    </row>
    <row r="422" spans="1:26" ht="13.5" customHeight="1">
      <c r="A422" s="2"/>
      <c r="B422" s="2"/>
      <c r="C422" s="2"/>
      <c r="D422" s="2"/>
      <c r="E422" s="2"/>
      <c r="F422" s="2"/>
      <c r="G422" s="2"/>
      <c r="H422" s="2"/>
      <c r="I422" s="2"/>
      <c r="J422" s="2"/>
      <c r="K422" s="2"/>
      <c r="L422" s="2"/>
      <c r="M422" s="2"/>
      <c r="N422" s="2"/>
      <c r="O422" s="2"/>
      <c r="P422" s="2"/>
      <c r="Q422" s="2"/>
      <c r="R422" s="2"/>
      <c r="S422" s="2"/>
      <c r="T422" s="2"/>
      <c r="U422" s="2"/>
      <c r="V422" s="2"/>
      <c r="W422" s="158"/>
      <c r="X422" s="2"/>
      <c r="Y422" s="2"/>
      <c r="Z422" s="2"/>
    </row>
    <row r="423" spans="1:26" ht="13.5" customHeight="1">
      <c r="A423" s="2"/>
      <c r="B423" s="2"/>
      <c r="C423" s="2"/>
      <c r="D423" s="2"/>
      <c r="E423" s="2"/>
      <c r="F423" s="2"/>
      <c r="G423" s="2"/>
      <c r="H423" s="2"/>
      <c r="I423" s="2"/>
      <c r="J423" s="2"/>
      <c r="K423" s="2"/>
      <c r="L423" s="2"/>
      <c r="M423" s="2"/>
      <c r="N423" s="2"/>
      <c r="O423" s="2"/>
      <c r="P423" s="2"/>
      <c r="Q423" s="2"/>
      <c r="R423" s="2"/>
      <c r="S423" s="2"/>
      <c r="T423" s="2"/>
      <c r="U423" s="2"/>
      <c r="V423" s="2"/>
      <c r="W423" s="158"/>
      <c r="X423" s="2"/>
      <c r="Y423" s="2"/>
      <c r="Z423" s="2"/>
    </row>
    <row r="424" spans="1:26" ht="13.5" customHeight="1">
      <c r="A424" s="2"/>
      <c r="B424" s="2"/>
      <c r="C424" s="2"/>
      <c r="D424" s="2"/>
      <c r="E424" s="2"/>
      <c r="F424" s="2"/>
      <c r="G424" s="2"/>
      <c r="H424" s="2"/>
      <c r="I424" s="2"/>
      <c r="J424" s="2"/>
      <c r="K424" s="2"/>
      <c r="L424" s="2"/>
      <c r="M424" s="2"/>
      <c r="N424" s="2"/>
      <c r="O424" s="2"/>
      <c r="P424" s="2"/>
      <c r="Q424" s="2"/>
      <c r="R424" s="2"/>
      <c r="S424" s="2"/>
      <c r="T424" s="2"/>
      <c r="U424" s="2"/>
      <c r="V424" s="2"/>
      <c r="W424" s="158"/>
      <c r="X424" s="2"/>
      <c r="Y424" s="2"/>
      <c r="Z424" s="2"/>
    </row>
    <row r="425" spans="1:26" ht="13.5" customHeight="1">
      <c r="A425" s="2"/>
      <c r="B425" s="2"/>
      <c r="C425" s="2"/>
      <c r="D425" s="2"/>
      <c r="E425" s="2"/>
      <c r="F425" s="2"/>
      <c r="G425" s="2"/>
      <c r="H425" s="2"/>
      <c r="I425" s="2"/>
      <c r="J425" s="2"/>
      <c r="K425" s="2"/>
      <c r="L425" s="2"/>
      <c r="M425" s="2"/>
      <c r="N425" s="2"/>
      <c r="O425" s="2"/>
      <c r="P425" s="2"/>
      <c r="Q425" s="2"/>
      <c r="R425" s="2"/>
      <c r="S425" s="2"/>
      <c r="T425" s="2"/>
      <c r="U425" s="2"/>
      <c r="V425" s="2"/>
      <c r="W425" s="158"/>
      <c r="X425" s="2"/>
      <c r="Y425" s="2"/>
      <c r="Z425" s="2"/>
    </row>
    <row r="426" spans="1:26" ht="13.5" customHeight="1">
      <c r="A426" s="2"/>
      <c r="B426" s="2"/>
      <c r="C426" s="2"/>
      <c r="D426" s="2"/>
      <c r="E426" s="2"/>
      <c r="F426" s="2"/>
      <c r="G426" s="2"/>
      <c r="H426" s="2"/>
      <c r="I426" s="2"/>
      <c r="J426" s="2"/>
      <c r="K426" s="2"/>
      <c r="L426" s="2"/>
      <c r="M426" s="2"/>
      <c r="N426" s="2"/>
      <c r="O426" s="2"/>
      <c r="P426" s="2"/>
      <c r="Q426" s="2"/>
      <c r="R426" s="2"/>
      <c r="S426" s="2"/>
      <c r="T426" s="2"/>
      <c r="U426" s="2"/>
      <c r="V426" s="2"/>
      <c r="W426" s="158"/>
      <c r="X426" s="2"/>
      <c r="Y426" s="2"/>
      <c r="Z426" s="2"/>
    </row>
    <row r="427" spans="1:26" ht="13.5" customHeight="1">
      <c r="A427" s="2"/>
      <c r="B427" s="2"/>
      <c r="C427" s="2"/>
      <c r="D427" s="2"/>
      <c r="E427" s="2"/>
      <c r="F427" s="2"/>
      <c r="G427" s="2"/>
      <c r="H427" s="2"/>
      <c r="I427" s="2"/>
      <c r="J427" s="2"/>
      <c r="K427" s="2"/>
      <c r="L427" s="2"/>
      <c r="M427" s="2"/>
      <c r="N427" s="2"/>
      <c r="O427" s="2"/>
      <c r="P427" s="2"/>
      <c r="Q427" s="2"/>
      <c r="R427" s="2"/>
      <c r="S427" s="2"/>
      <c r="T427" s="2"/>
      <c r="U427" s="2"/>
      <c r="V427" s="2"/>
      <c r="W427" s="158"/>
      <c r="X427" s="2"/>
      <c r="Y427" s="2"/>
      <c r="Z427" s="2"/>
    </row>
    <row r="428" spans="1:26" ht="13.5" customHeight="1">
      <c r="A428" s="2"/>
      <c r="B428" s="2"/>
      <c r="C428" s="2"/>
      <c r="D428" s="2"/>
      <c r="E428" s="2"/>
      <c r="F428" s="2"/>
      <c r="G428" s="2"/>
      <c r="H428" s="2"/>
      <c r="I428" s="2"/>
      <c r="J428" s="2"/>
      <c r="K428" s="2"/>
      <c r="L428" s="2"/>
      <c r="M428" s="2"/>
      <c r="N428" s="2"/>
      <c r="O428" s="2"/>
      <c r="P428" s="2"/>
      <c r="Q428" s="2"/>
      <c r="R428" s="2"/>
      <c r="S428" s="2"/>
      <c r="T428" s="2"/>
      <c r="U428" s="2"/>
      <c r="V428" s="2"/>
      <c r="W428" s="158"/>
      <c r="X428" s="2"/>
      <c r="Y428" s="2"/>
      <c r="Z428" s="2"/>
    </row>
    <row r="429" spans="1:26" ht="13.5" customHeight="1">
      <c r="A429" s="2"/>
      <c r="B429" s="2"/>
      <c r="C429" s="2"/>
      <c r="D429" s="2"/>
      <c r="E429" s="2"/>
      <c r="F429" s="2"/>
      <c r="G429" s="2"/>
      <c r="H429" s="2"/>
      <c r="I429" s="2"/>
      <c r="J429" s="2"/>
      <c r="K429" s="2"/>
      <c r="L429" s="2"/>
      <c r="M429" s="2"/>
      <c r="N429" s="2"/>
      <c r="O429" s="2"/>
      <c r="P429" s="2"/>
      <c r="Q429" s="2"/>
      <c r="R429" s="2"/>
      <c r="S429" s="2"/>
      <c r="T429" s="2"/>
      <c r="U429" s="2"/>
      <c r="V429" s="2"/>
      <c r="W429" s="158"/>
      <c r="X429" s="2"/>
      <c r="Y429" s="2"/>
      <c r="Z429" s="2"/>
    </row>
    <row r="430" spans="1:26" ht="13.5" customHeight="1">
      <c r="A430" s="2"/>
      <c r="B430" s="2"/>
      <c r="C430" s="2"/>
      <c r="D430" s="2"/>
      <c r="E430" s="2"/>
      <c r="F430" s="2"/>
      <c r="G430" s="2"/>
      <c r="H430" s="2"/>
      <c r="I430" s="2"/>
      <c r="J430" s="2"/>
      <c r="K430" s="2"/>
      <c r="L430" s="2"/>
      <c r="M430" s="2"/>
      <c r="N430" s="2"/>
      <c r="O430" s="2"/>
      <c r="P430" s="2"/>
      <c r="Q430" s="2"/>
      <c r="R430" s="2"/>
      <c r="S430" s="2"/>
      <c r="T430" s="2"/>
      <c r="U430" s="2"/>
      <c r="V430" s="2"/>
      <c r="W430" s="158"/>
      <c r="X430" s="2"/>
      <c r="Y430" s="2"/>
      <c r="Z430" s="2"/>
    </row>
    <row r="431" spans="1:26" ht="13.5" customHeight="1">
      <c r="A431" s="2"/>
      <c r="B431" s="2"/>
      <c r="C431" s="2"/>
      <c r="D431" s="2"/>
      <c r="E431" s="2"/>
      <c r="F431" s="2"/>
      <c r="G431" s="2"/>
      <c r="H431" s="2"/>
      <c r="I431" s="2"/>
      <c r="J431" s="2"/>
      <c r="K431" s="2"/>
      <c r="L431" s="2"/>
      <c r="M431" s="2"/>
      <c r="N431" s="2"/>
      <c r="O431" s="2"/>
      <c r="P431" s="2"/>
      <c r="Q431" s="2"/>
      <c r="R431" s="2"/>
      <c r="S431" s="2"/>
      <c r="T431" s="2"/>
      <c r="U431" s="2"/>
      <c r="V431" s="2"/>
      <c r="W431" s="158"/>
      <c r="X431" s="2"/>
      <c r="Y431" s="2"/>
      <c r="Z431" s="2"/>
    </row>
    <row r="432" spans="1:26" ht="13.5" customHeight="1">
      <c r="A432" s="2"/>
      <c r="B432" s="2"/>
      <c r="C432" s="2"/>
      <c r="D432" s="2"/>
      <c r="E432" s="2"/>
      <c r="F432" s="2"/>
      <c r="G432" s="2"/>
      <c r="H432" s="2"/>
      <c r="I432" s="2"/>
      <c r="J432" s="2"/>
      <c r="K432" s="2"/>
      <c r="L432" s="2"/>
      <c r="M432" s="2"/>
      <c r="N432" s="2"/>
      <c r="O432" s="2"/>
      <c r="P432" s="2"/>
      <c r="Q432" s="2"/>
      <c r="R432" s="2"/>
      <c r="S432" s="2"/>
      <c r="T432" s="2"/>
      <c r="U432" s="2"/>
      <c r="V432" s="2"/>
      <c r="W432" s="158"/>
      <c r="X432" s="2"/>
      <c r="Y432" s="2"/>
      <c r="Z432" s="2"/>
    </row>
    <row r="433" spans="1:26" ht="13.5" customHeight="1">
      <c r="A433" s="2"/>
      <c r="B433" s="2"/>
      <c r="C433" s="2"/>
      <c r="D433" s="2"/>
      <c r="E433" s="2"/>
      <c r="F433" s="2"/>
      <c r="G433" s="2"/>
      <c r="H433" s="2"/>
      <c r="I433" s="2"/>
      <c r="J433" s="2"/>
      <c r="K433" s="2"/>
      <c r="L433" s="2"/>
      <c r="M433" s="2"/>
      <c r="N433" s="2"/>
      <c r="O433" s="2"/>
      <c r="P433" s="2"/>
      <c r="Q433" s="2"/>
      <c r="R433" s="2"/>
      <c r="S433" s="2"/>
      <c r="T433" s="2"/>
      <c r="U433" s="2"/>
      <c r="V433" s="2"/>
      <c r="W433" s="158"/>
      <c r="X433" s="2"/>
      <c r="Y433" s="2"/>
      <c r="Z433" s="2"/>
    </row>
    <row r="434" spans="1:26" ht="13.5" customHeight="1">
      <c r="A434" s="2"/>
      <c r="B434" s="2"/>
      <c r="C434" s="2"/>
      <c r="D434" s="2"/>
      <c r="E434" s="2"/>
      <c r="F434" s="2"/>
      <c r="G434" s="2"/>
      <c r="H434" s="2"/>
      <c r="I434" s="2"/>
      <c r="J434" s="2"/>
      <c r="K434" s="2"/>
      <c r="L434" s="2"/>
      <c r="M434" s="2"/>
      <c r="N434" s="2"/>
      <c r="O434" s="2"/>
      <c r="P434" s="2"/>
      <c r="Q434" s="2"/>
      <c r="R434" s="2"/>
      <c r="S434" s="2"/>
      <c r="T434" s="2"/>
      <c r="U434" s="2"/>
      <c r="V434" s="2"/>
      <c r="W434" s="158"/>
      <c r="X434" s="2"/>
      <c r="Y434" s="2"/>
      <c r="Z434" s="2"/>
    </row>
    <row r="435" spans="1:26" ht="13.5" customHeight="1">
      <c r="A435" s="2"/>
      <c r="B435" s="2"/>
      <c r="C435" s="2"/>
      <c r="D435" s="2"/>
      <c r="E435" s="2"/>
      <c r="F435" s="2"/>
      <c r="G435" s="2"/>
      <c r="H435" s="2"/>
      <c r="I435" s="2"/>
      <c r="J435" s="2"/>
      <c r="K435" s="2"/>
      <c r="L435" s="2"/>
      <c r="M435" s="2"/>
      <c r="N435" s="2"/>
      <c r="O435" s="2"/>
      <c r="P435" s="2"/>
      <c r="Q435" s="2"/>
      <c r="R435" s="2"/>
      <c r="S435" s="2"/>
      <c r="T435" s="2"/>
      <c r="U435" s="2"/>
      <c r="V435" s="2"/>
      <c r="W435" s="158"/>
      <c r="X435" s="2"/>
      <c r="Y435" s="2"/>
      <c r="Z435" s="2"/>
    </row>
    <row r="436" spans="1:26" ht="13.5" customHeight="1">
      <c r="A436" s="2"/>
      <c r="B436" s="2"/>
      <c r="C436" s="2"/>
      <c r="D436" s="2"/>
      <c r="E436" s="2"/>
      <c r="F436" s="2"/>
      <c r="G436" s="2"/>
      <c r="H436" s="2"/>
      <c r="I436" s="2"/>
      <c r="J436" s="2"/>
      <c r="K436" s="2"/>
      <c r="L436" s="2"/>
      <c r="M436" s="2"/>
      <c r="N436" s="2"/>
      <c r="O436" s="2"/>
      <c r="P436" s="2"/>
      <c r="Q436" s="2"/>
      <c r="R436" s="2"/>
      <c r="S436" s="2"/>
      <c r="T436" s="2"/>
      <c r="U436" s="2"/>
      <c r="V436" s="2"/>
      <c r="W436" s="158"/>
      <c r="X436" s="2"/>
      <c r="Y436" s="2"/>
      <c r="Z436" s="2"/>
    </row>
    <row r="437" spans="1:26" ht="13.5" customHeight="1">
      <c r="A437" s="2"/>
      <c r="B437" s="2"/>
      <c r="C437" s="2"/>
      <c r="D437" s="2"/>
      <c r="E437" s="2"/>
      <c r="F437" s="2"/>
      <c r="G437" s="2"/>
      <c r="H437" s="2"/>
      <c r="I437" s="2"/>
      <c r="J437" s="2"/>
      <c r="K437" s="2"/>
      <c r="L437" s="2"/>
      <c r="M437" s="2"/>
      <c r="N437" s="2"/>
      <c r="O437" s="2"/>
      <c r="P437" s="2"/>
      <c r="Q437" s="2"/>
      <c r="R437" s="2"/>
      <c r="S437" s="2"/>
      <c r="T437" s="2"/>
      <c r="U437" s="2"/>
      <c r="V437" s="2"/>
      <c r="W437" s="158"/>
      <c r="X437" s="2"/>
      <c r="Y437" s="2"/>
      <c r="Z437" s="2"/>
    </row>
    <row r="438" spans="1:26" ht="13.5" customHeight="1">
      <c r="A438" s="2"/>
      <c r="B438" s="2"/>
      <c r="C438" s="2"/>
      <c r="D438" s="2"/>
      <c r="E438" s="2"/>
      <c r="F438" s="2"/>
      <c r="G438" s="2"/>
      <c r="H438" s="2"/>
      <c r="I438" s="2"/>
      <c r="J438" s="2"/>
      <c r="K438" s="2"/>
      <c r="L438" s="2"/>
      <c r="M438" s="2"/>
      <c r="N438" s="2"/>
      <c r="O438" s="2"/>
      <c r="P438" s="2"/>
      <c r="Q438" s="2"/>
      <c r="R438" s="2"/>
      <c r="S438" s="2"/>
      <c r="T438" s="2"/>
      <c r="U438" s="2"/>
      <c r="V438" s="2"/>
      <c r="W438" s="158"/>
      <c r="X438" s="2"/>
      <c r="Y438" s="2"/>
      <c r="Z438" s="2"/>
    </row>
    <row r="439" spans="1:26" ht="13.5" customHeight="1">
      <c r="A439" s="2"/>
      <c r="B439" s="2"/>
      <c r="C439" s="2"/>
      <c r="D439" s="2"/>
      <c r="E439" s="2"/>
      <c r="F439" s="2"/>
      <c r="G439" s="2"/>
      <c r="H439" s="2"/>
      <c r="I439" s="2"/>
      <c r="J439" s="2"/>
      <c r="K439" s="2"/>
      <c r="L439" s="2"/>
      <c r="M439" s="2"/>
      <c r="N439" s="2"/>
      <c r="O439" s="2"/>
      <c r="P439" s="2"/>
      <c r="Q439" s="2"/>
      <c r="R439" s="2"/>
      <c r="S439" s="2"/>
      <c r="T439" s="2"/>
      <c r="U439" s="2"/>
      <c r="V439" s="2"/>
      <c r="W439" s="158"/>
      <c r="X439" s="2"/>
      <c r="Y439" s="2"/>
      <c r="Z439" s="2"/>
    </row>
    <row r="440" spans="1:26" ht="13.5" customHeight="1">
      <c r="A440" s="2"/>
      <c r="B440" s="2"/>
      <c r="C440" s="2"/>
      <c r="D440" s="2"/>
      <c r="E440" s="2"/>
      <c r="F440" s="2"/>
      <c r="G440" s="2"/>
      <c r="H440" s="2"/>
      <c r="I440" s="2"/>
      <c r="J440" s="2"/>
      <c r="K440" s="2"/>
      <c r="L440" s="2"/>
      <c r="M440" s="2"/>
      <c r="N440" s="2"/>
      <c r="O440" s="2"/>
      <c r="P440" s="2"/>
      <c r="Q440" s="2"/>
      <c r="R440" s="2"/>
      <c r="S440" s="2"/>
      <c r="T440" s="2"/>
      <c r="U440" s="2"/>
      <c r="V440" s="2"/>
      <c r="W440" s="158"/>
      <c r="X440" s="2"/>
      <c r="Y440" s="2"/>
      <c r="Z440" s="2"/>
    </row>
    <row r="441" spans="1:26" ht="13.5" customHeight="1">
      <c r="A441" s="2"/>
      <c r="B441" s="2"/>
      <c r="C441" s="2"/>
      <c r="D441" s="2"/>
      <c r="E441" s="2"/>
      <c r="F441" s="2"/>
      <c r="G441" s="2"/>
      <c r="H441" s="2"/>
      <c r="I441" s="2"/>
      <c r="J441" s="2"/>
      <c r="K441" s="2"/>
      <c r="L441" s="2"/>
      <c r="M441" s="2"/>
      <c r="N441" s="2"/>
      <c r="O441" s="2"/>
      <c r="P441" s="2"/>
      <c r="Q441" s="2"/>
      <c r="R441" s="2"/>
      <c r="S441" s="2"/>
      <c r="T441" s="2"/>
      <c r="U441" s="2"/>
      <c r="V441" s="2"/>
      <c r="W441" s="158"/>
      <c r="X441" s="2"/>
      <c r="Y441" s="2"/>
      <c r="Z441" s="2"/>
    </row>
    <row r="442" spans="1:26" ht="13.5" customHeight="1">
      <c r="A442" s="2"/>
      <c r="B442" s="2"/>
      <c r="C442" s="2"/>
      <c r="D442" s="2"/>
      <c r="E442" s="2"/>
      <c r="F442" s="2"/>
      <c r="G442" s="2"/>
      <c r="H442" s="2"/>
      <c r="I442" s="2"/>
      <c r="J442" s="2"/>
      <c r="K442" s="2"/>
      <c r="L442" s="2"/>
      <c r="M442" s="2"/>
      <c r="N442" s="2"/>
      <c r="O442" s="2"/>
      <c r="P442" s="2"/>
      <c r="Q442" s="2"/>
      <c r="R442" s="2"/>
      <c r="S442" s="2"/>
      <c r="T442" s="2"/>
      <c r="U442" s="2"/>
      <c r="V442" s="2"/>
      <c r="W442" s="158"/>
      <c r="X442" s="2"/>
      <c r="Y442" s="2"/>
      <c r="Z442" s="2"/>
    </row>
    <row r="443" spans="1:26" ht="13.5" customHeight="1">
      <c r="A443" s="2"/>
      <c r="B443" s="2"/>
      <c r="C443" s="2"/>
      <c r="D443" s="2"/>
      <c r="E443" s="2"/>
      <c r="F443" s="2"/>
      <c r="G443" s="2"/>
      <c r="H443" s="2"/>
      <c r="I443" s="2"/>
      <c r="J443" s="2"/>
      <c r="K443" s="2"/>
      <c r="L443" s="2"/>
      <c r="M443" s="2"/>
      <c r="N443" s="2"/>
      <c r="O443" s="2"/>
      <c r="P443" s="2"/>
      <c r="Q443" s="2"/>
      <c r="R443" s="2"/>
      <c r="S443" s="2"/>
      <c r="T443" s="2"/>
      <c r="U443" s="2"/>
      <c r="V443" s="2"/>
      <c r="W443" s="158"/>
      <c r="X443" s="2"/>
      <c r="Y443" s="2"/>
      <c r="Z443" s="2"/>
    </row>
    <row r="444" spans="1:26" ht="13.5" customHeight="1">
      <c r="A444" s="2"/>
      <c r="B444" s="2"/>
      <c r="C444" s="2"/>
      <c r="D444" s="2"/>
      <c r="E444" s="2"/>
      <c r="F444" s="2"/>
      <c r="G444" s="2"/>
      <c r="H444" s="2"/>
      <c r="I444" s="2"/>
      <c r="J444" s="2"/>
      <c r="K444" s="2"/>
      <c r="L444" s="2"/>
      <c r="M444" s="2"/>
      <c r="N444" s="2"/>
      <c r="O444" s="2"/>
      <c r="P444" s="2"/>
      <c r="Q444" s="2"/>
      <c r="R444" s="2"/>
      <c r="S444" s="2"/>
      <c r="T444" s="2"/>
      <c r="U444" s="2"/>
      <c r="V444" s="2"/>
      <c r="W444" s="158"/>
      <c r="X444" s="2"/>
      <c r="Y444" s="2"/>
      <c r="Z444" s="2"/>
    </row>
    <row r="445" spans="1:26" ht="13.5" customHeight="1">
      <c r="A445" s="2"/>
      <c r="B445" s="2"/>
      <c r="C445" s="2"/>
      <c r="D445" s="2"/>
      <c r="E445" s="2"/>
      <c r="F445" s="2"/>
      <c r="G445" s="2"/>
      <c r="H445" s="2"/>
      <c r="I445" s="2"/>
      <c r="J445" s="2"/>
      <c r="K445" s="2"/>
      <c r="L445" s="2"/>
      <c r="M445" s="2"/>
      <c r="N445" s="2"/>
      <c r="O445" s="2"/>
      <c r="P445" s="2"/>
      <c r="Q445" s="2"/>
      <c r="R445" s="2"/>
      <c r="S445" s="2"/>
      <c r="T445" s="2"/>
      <c r="U445" s="2"/>
      <c r="V445" s="2"/>
      <c r="W445" s="158"/>
      <c r="X445" s="2"/>
      <c r="Y445" s="2"/>
      <c r="Z445" s="2"/>
    </row>
    <row r="446" spans="1:26" ht="13.5" customHeight="1">
      <c r="A446" s="2"/>
      <c r="B446" s="2"/>
      <c r="C446" s="2"/>
      <c r="D446" s="2"/>
      <c r="E446" s="2"/>
      <c r="F446" s="2"/>
      <c r="G446" s="2"/>
      <c r="H446" s="2"/>
      <c r="I446" s="2"/>
      <c r="J446" s="2"/>
      <c r="K446" s="2"/>
      <c r="L446" s="2"/>
      <c r="M446" s="2"/>
      <c r="N446" s="2"/>
      <c r="O446" s="2"/>
      <c r="P446" s="2"/>
      <c r="Q446" s="2"/>
      <c r="R446" s="2"/>
      <c r="S446" s="2"/>
      <c r="T446" s="2"/>
      <c r="U446" s="2"/>
      <c r="V446" s="2"/>
      <c r="W446" s="158"/>
      <c r="X446" s="2"/>
      <c r="Y446" s="2"/>
      <c r="Z446" s="2"/>
    </row>
    <row r="447" spans="1:26" ht="13.5" customHeight="1">
      <c r="A447" s="2"/>
      <c r="B447" s="2"/>
      <c r="C447" s="2"/>
      <c r="D447" s="2"/>
      <c r="E447" s="2"/>
      <c r="F447" s="2"/>
      <c r="G447" s="2"/>
      <c r="H447" s="2"/>
      <c r="I447" s="2"/>
      <c r="J447" s="2"/>
      <c r="K447" s="2"/>
      <c r="L447" s="2"/>
      <c r="M447" s="2"/>
      <c r="N447" s="2"/>
      <c r="O447" s="2"/>
      <c r="P447" s="2"/>
      <c r="Q447" s="2"/>
      <c r="R447" s="2"/>
      <c r="S447" s="2"/>
      <c r="T447" s="2"/>
      <c r="U447" s="2"/>
      <c r="V447" s="2"/>
      <c r="W447" s="158"/>
      <c r="X447" s="2"/>
      <c r="Y447" s="2"/>
      <c r="Z447" s="2"/>
    </row>
    <row r="448" spans="1:26" ht="13.5" customHeight="1">
      <c r="A448" s="2"/>
      <c r="B448" s="2"/>
      <c r="C448" s="2"/>
      <c r="D448" s="2"/>
      <c r="E448" s="2"/>
      <c r="F448" s="2"/>
      <c r="G448" s="2"/>
      <c r="H448" s="2"/>
      <c r="I448" s="2"/>
      <c r="J448" s="2"/>
      <c r="K448" s="2"/>
      <c r="L448" s="2"/>
      <c r="M448" s="2"/>
      <c r="N448" s="2"/>
      <c r="O448" s="2"/>
      <c r="P448" s="2"/>
      <c r="Q448" s="2"/>
      <c r="R448" s="2"/>
      <c r="S448" s="2"/>
      <c r="T448" s="2"/>
      <c r="U448" s="2"/>
      <c r="V448" s="2"/>
      <c r="W448" s="158"/>
      <c r="X448" s="2"/>
      <c r="Y448" s="2"/>
      <c r="Z448" s="2"/>
    </row>
    <row r="449" spans="1:26" ht="13.5" customHeight="1">
      <c r="A449" s="2"/>
      <c r="B449" s="2"/>
      <c r="C449" s="2"/>
      <c r="D449" s="2"/>
      <c r="E449" s="2"/>
      <c r="F449" s="2"/>
      <c r="G449" s="2"/>
      <c r="H449" s="2"/>
      <c r="I449" s="2"/>
      <c r="J449" s="2"/>
      <c r="K449" s="2"/>
      <c r="L449" s="2"/>
      <c r="M449" s="2"/>
      <c r="N449" s="2"/>
      <c r="O449" s="2"/>
      <c r="P449" s="2"/>
      <c r="Q449" s="2"/>
      <c r="R449" s="2"/>
      <c r="S449" s="2"/>
      <c r="T449" s="2"/>
      <c r="U449" s="2"/>
      <c r="V449" s="2"/>
      <c r="W449" s="158"/>
      <c r="X449" s="2"/>
      <c r="Y449" s="2"/>
      <c r="Z449" s="2"/>
    </row>
    <row r="450" spans="1:26" ht="13.5" customHeight="1">
      <c r="A450" s="2"/>
      <c r="B450" s="2"/>
      <c r="C450" s="2"/>
      <c r="D450" s="2"/>
      <c r="E450" s="2"/>
      <c r="F450" s="2"/>
      <c r="G450" s="2"/>
      <c r="H450" s="2"/>
      <c r="I450" s="2"/>
      <c r="J450" s="2"/>
      <c r="K450" s="2"/>
      <c r="L450" s="2"/>
      <c r="M450" s="2"/>
      <c r="N450" s="2"/>
      <c r="O450" s="2"/>
      <c r="P450" s="2"/>
      <c r="Q450" s="2"/>
      <c r="R450" s="2"/>
      <c r="S450" s="2"/>
      <c r="T450" s="2"/>
      <c r="U450" s="2"/>
      <c r="V450" s="2"/>
      <c r="W450" s="158"/>
      <c r="X450" s="2"/>
      <c r="Y450" s="2"/>
      <c r="Z450" s="2"/>
    </row>
    <row r="451" spans="1:26" ht="13.5" customHeight="1">
      <c r="A451" s="2"/>
      <c r="B451" s="2"/>
      <c r="C451" s="2"/>
      <c r="D451" s="2"/>
      <c r="E451" s="2"/>
      <c r="F451" s="2"/>
      <c r="G451" s="2"/>
      <c r="H451" s="2"/>
      <c r="I451" s="2"/>
      <c r="J451" s="2"/>
      <c r="K451" s="2"/>
      <c r="L451" s="2"/>
      <c r="M451" s="2"/>
      <c r="N451" s="2"/>
      <c r="O451" s="2"/>
      <c r="P451" s="2"/>
      <c r="Q451" s="2"/>
      <c r="R451" s="2"/>
      <c r="S451" s="2"/>
      <c r="T451" s="2"/>
      <c r="U451" s="2"/>
      <c r="V451" s="2"/>
      <c r="W451" s="158"/>
      <c r="X451" s="2"/>
      <c r="Y451" s="2"/>
      <c r="Z451" s="2"/>
    </row>
    <row r="452" spans="1:26" ht="13.5" customHeight="1">
      <c r="A452" s="2"/>
      <c r="B452" s="2"/>
      <c r="C452" s="2"/>
      <c r="D452" s="2"/>
      <c r="E452" s="2"/>
      <c r="F452" s="2"/>
      <c r="G452" s="2"/>
      <c r="H452" s="2"/>
      <c r="I452" s="2"/>
      <c r="J452" s="2"/>
      <c r="K452" s="2"/>
      <c r="L452" s="2"/>
      <c r="M452" s="2"/>
      <c r="N452" s="2"/>
      <c r="O452" s="2"/>
      <c r="P452" s="2"/>
      <c r="Q452" s="2"/>
      <c r="R452" s="2"/>
      <c r="S452" s="2"/>
      <c r="T452" s="2"/>
      <c r="U452" s="2"/>
      <c r="V452" s="2"/>
      <c r="W452" s="158"/>
      <c r="X452" s="2"/>
      <c r="Y452" s="2"/>
      <c r="Z452" s="2"/>
    </row>
    <row r="453" spans="1:26" ht="13.5" customHeight="1">
      <c r="A453" s="2"/>
      <c r="B453" s="2"/>
      <c r="C453" s="2"/>
      <c r="D453" s="2"/>
      <c r="E453" s="2"/>
      <c r="F453" s="2"/>
      <c r="G453" s="2"/>
      <c r="H453" s="2"/>
      <c r="I453" s="2"/>
      <c r="J453" s="2"/>
      <c r="K453" s="2"/>
      <c r="L453" s="2"/>
      <c r="M453" s="2"/>
      <c r="N453" s="2"/>
      <c r="O453" s="2"/>
      <c r="P453" s="2"/>
      <c r="Q453" s="2"/>
      <c r="R453" s="2"/>
      <c r="S453" s="2"/>
      <c r="T453" s="2"/>
      <c r="U453" s="2"/>
      <c r="V453" s="2"/>
      <c r="W453" s="158"/>
      <c r="X453" s="2"/>
      <c r="Y453" s="2"/>
      <c r="Z453" s="2"/>
    </row>
    <row r="454" spans="1:26" ht="13.5" customHeight="1">
      <c r="A454" s="2"/>
      <c r="B454" s="2"/>
      <c r="C454" s="2"/>
      <c r="D454" s="2"/>
      <c r="E454" s="2"/>
      <c r="F454" s="2"/>
      <c r="G454" s="2"/>
      <c r="H454" s="2"/>
      <c r="I454" s="2"/>
      <c r="J454" s="2"/>
      <c r="K454" s="2"/>
      <c r="L454" s="2"/>
      <c r="M454" s="2"/>
      <c r="N454" s="2"/>
      <c r="O454" s="2"/>
      <c r="P454" s="2"/>
      <c r="Q454" s="2"/>
      <c r="R454" s="2"/>
      <c r="S454" s="2"/>
      <c r="T454" s="2"/>
      <c r="U454" s="2"/>
      <c r="V454" s="2"/>
      <c r="W454" s="158"/>
      <c r="X454" s="2"/>
      <c r="Y454" s="2"/>
      <c r="Z454" s="2"/>
    </row>
    <row r="455" spans="1:26" ht="13.5" customHeight="1">
      <c r="A455" s="2"/>
      <c r="B455" s="2"/>
      <c r="C455" s="2"/>
      <c r="D455" s="2"/>
      <c r="E455" s="2"/>
      <c r="F455" s="2"/>
      <c r="G455" s="2"/>
      <c r="H455" s="2"/>
      <c r="I455" s="2"/>
      <c r="J455" s="2"/>
      <c r="K455" s="2"/>
      <c r="L455" s="2"/>
      <c r="M455" s="2"/>
      <c r="N455" s="2"/>
      <c r="O455" s="2"/>
      <c r="P455" s="2"/>
      <c r="Q455" s="2"/>
      <c r="R455" s="2"/>
      <c r="S455" s="2"/>
      <c r="T455" s="2"/>
      <c r="U455" s="2"/>
      <c r="V455" s="2"/>
      <c r="W455" s="158"/>
      <c r="X455" s="2"/>
      <c r="Y455" s="2"/>
      <c r="Z455" s="2"/>
    </row>
    <row r="456" spans="1:26" ht="13.5" customHeight="1">
      <c r="A456" s="2"/>
      <c r="B456" s="2"/>
      <c r="C456" s="2"/>
      <c r="D456" s="2"/>
      <c r="E456" s="2"/>
      <c r="F456" s="2"/>
      <c r="G456" s="2"/>
      <c r="H456" s="2"/>
      <c r="I456" s="2"/>
      <c r="J456" s="2"/>
      <c r="K456" s="2"/>
      <c r="L456" s="2"/>
      <c r="M456" s="2"/>
      <c r="N456" s="2"/>
      <c r="O456" s="2"/>
      <c r="P456" s="2"/>
      <c r="Q456" s="2"/>
      <c r="R456" s="2"/>
      <c r="S456" s="2"/>
      <c r="T456" s="2"/>
      <c r="U456" s="2"/>
      <c r="V456" s="2"/>
      <c r="W456" s="158"/>
      <c r="X456" s="2"/>
      <c r="Y456" s="2"/>
      <c r="Z456" s="2"/>
    </row>
    <row r="457" spans="1:26" ht="13.5" customHeight="1">
      <c r="A457" s="2"/>
      <c r="B457" s="2"/>
      <c r="C457" s="2"/>
      <c r="D457" s="2"/>
      <c r="E457" s="2"/>
      <c r="F457" s="2"/>
      <c r="G457" s="2"/>
      <c r="H457" s="2"/>
      <c r="I457" s="2"/>
      <c r="J457" s="2"/>
      <c r="K457" s="2"/>
      <c r="L457" s="2"/>
      <c r="M457" s="2"/>
      <c r="N457" s="2"/>
      <c r="O457" s="2"/>
      <c r="P457" s="2"/>
      <c r="Q457" s="2"/>
      <c r="R457" s="2"/>
      <c r="S457" s="2"/>
      <c r="T457" s="2"/>
      <c r="U457" s="2"/>
      <c r="V457" s="2"/>
      <c r="W457" s="158"/>
      <c r="X457" s="2"/>
      <c r="Y457" s="2"/>
      <c r="Z457" s="2"/>
    </row>
    <row r="458" spans="1:26" ht="13.5" customHeight="1">
      <c r="A458" s="2"/>
      <c r="B458" s="2"/>
      <c r="C458" s="2"/>
      <c r="D458" s="2"/>
      <c r="E458" s="2"/>
      <c r="F458" s="2"/>
      <c r="G458" s="2"/>
      <c r="H458" s="2"/>
      <c r="I458" s="2"/>
      <c r="J458" s="2"/>
      <c r="K458" s="2"/>
      <c r="L458" s="2"/>
      <c r="M458" s="2"/>
      <c r="N458" s="2"/>
      <c r="O458" s="2"/>
      <c r="P458" s="2"/>
      <c r="Q458" s="2"/>
      <c r="R458" s="2"/>
      <c r="S458" s="2"/>
      <c r="T458" s="2"/>
      <c r="U458" s="2"/>
      <c r="V458" s="2"/>
      <c r="W458" s="158"/>
      <c r="X458" s="2"/>
      <c r="Y458" s="2"/>
      <c r="Z458" s="2"/>
    </row>
    <row r="459" spans="1:26" ht="13.5" customHeight="1">
      <c r="A459" s="2"/>
      <c r="B459" s="2"/>
      <c r="C459" s="2"/>
      <c r="D459" s="2"/>
      <c r="E459" s="2"/>
      <c r="F459" s="2"/>
      <c r="G459" s="2"/>
      <c r="H459" s="2"/>
      <c r="I459" s="2"/>
      <c r="J459" s="2"/>
      <c r="K459" s="2"/>
      <c r="L459" s="2"/>
      <c r="M459" s="2"/>
      <c r="N459" s="2"/>
      <c r="O459" s="2"/>
      <c r="P459" s="2"/>
      <c r="Q459" s="2"/>
      <c r="R459" s="2"/>
      <c r="S459" s="2"/>
      <c r="T459" s="2"/>
      <c r="U459" s="2"/>
      <c r="V459" s="2"/>
      <c r="W459" s="158"/>
      <c r="X459" s="2"/>
      <c r="Y459" s="2"/>
      <c r="Z459" s="2"/>
    </row>
    <row r="460" spans="1:26" ht="13.5" customHeight="1">
      <c r="A460" s="2"/>
      <c r="B460" s="2"/>
      <c r="C460" s="2"/>
      <c r="D460" s="2"/>
      <c r="E460" s="2"/>
      <c r="F460" s="2"/>
      <c r="G460" s="2"/>
      <c r="H460" s="2"/>
      <c r="I460" s="2"/>
      <c r="J460" s="2"/>
      <c r="K460" s="2"/>
      <c r="L460" s="2"/>
      <c r="M460" s="2"/>
      <c r="N460" s="2"/>
      <c r="O460" s="2"/>
      <c r="P460" s="2"/>
      <c r="Q460" s="2"/>
      <c r="R460" s="2"/>
      <c r="S460" s="2"/>
      <c r="T460" s="2"/>
      <c r="U460" s="2"/>
      <c r="V460" s="2"/>
      <c r="W460" s="158"/>
      <c r="X460" s="2"/>
      <c r="Y460" s="2"/>
      <c r="Z460" s="2"/>
    </row>
    <row r="461" spans="1:26" ht="13.5" customHeight="1">
      <c r="A461" s="2"/>
      <c r="B461" s="2"/>
      <c r="C461" s="2"/>
      <c r="D461" s="2"/>
      <c r="E461" s="2"/>
      <c r="F461" s="2"/>
      <c r="G461" s="2"/>
      <c r="H461" s="2"/>
      <c r="I461" s="2"/>
      <c r="J461" s="2"/>
      <c r="K461" s="2"/>
      <c r="L461" s="2"/>
      <c r="M461" s="2"/>
      <c r="N461" s="2"/>
      <c r="O461" s="2"/>
      <c r="P461" s="2"/>
      <c r="Q461" s="2"/>
      <c r="R461" s="2"/>
      <c r="S461" s="2"/>
      <c r="T461" s="2"/>
      <c r="U461" s="2"/>
      <c r="V461" s="2"/>
      <c r="W461" s="158"/>
      <c r="X461" s="2"/>
      <c r="Y461" s="2"/>
      <c r="Z461" s="2"/>
    </row>
    <row r="462" spans="1:26" ht="13.5" customHeight="1">
      <c r="A462" s="2"/>
      <c r="B462" s="2"/>
      <c r="C462" s="2"/>
      <c r="D462" s="2"/>
      <c r="E462" s="2"/>
      <c r="F462" s="2"/>
      <c r="G462" s="2"/>
      <c r="H462" s="2"/>
      <c r="I462" s="2"/>
      <c r="J462" s="2"/>
      <c r="K462" s="2"/>
      <c r="L462" s="2"/>
      <c r="M462" s="2"/>
      <c r="N462" s="2"/>
      <c r="O462" s="2"/>
      <c r="P462" s="2"/>
      <c r="Q462" s="2"/>
      <c r="R462" s="2"/>
      <c r="S462" s="2"/>
      <c r="T462" s="2"/>
      <c r="U462" s="2"/>
      <c r="V462" s="2"/>
      <c r="W462" s="158"/>
      <c r="X462" s="2"/>
      <c r="Y462" s="2"/>
      <c r="Z462" s="2"/>
    </row>
    <row r="463" spans="1:26" ht="13.5" customHeight="1">
      <c r="A463" s="2"/>
      <c r="B463" s="2"/>
      <c r="C463" s="2"/>
      <c r="D463" s="2"/>
      <c r="E463" s="2"/>
      <c r="F463" s="2"/>
      <c r="G463" s="2"/>
      <c r="H463" s="2"/>
      <c r="I463" s="2"/>
      <c r="J463" s="2"/>
      <c r="K463" s="2"/>
      <c r="L463" s="2"/>
      <c r="M463" s="2"/>
      <c r="N463" s="2"/>
      <c r="O463" s="2"/>
      <c r="P463" s="2"/>
      <c r="Q463" s="2"/>
      <c r="R463" s="2"/>
      <c r="S463" s="2"/>
      <c r="T463" s="2"/>
      <c r="U463" s="2"/>
      <c r="V463" s="2"/>
      <c r="W463" s="158"/>
      <c r="X463" s="2"/>
      <c r="Y463" s="2"/>
      <c r="Z463" s="2"/>
    </row>
    <row r="464" spans="1:26" ht="13.5" customHeight="1">
      <c r="A464" s="2"/>
      <c r="B464" s="2"/>
      <c r="C464" s="2"/>
      <c r="D464" s="2"/>
      <c r="E464" s="2"/>
      <c r="F464" s="2"/>
      <c r="G464" s="2"/>
      <c r="H464" s="2"/>
      <c r="I464" s="2"/>
      <c r="J464" s="2"/>
      <c r="K464" s="2"/>
      <c r="L464" s="2"/>
      <c r="M464" s="2"/>
      <c r="N464" s="2"/>
      <c r="O464" s="2"/>
      <c r="P464" s="2"/>
      <c r="Q464" s="2"/>
      <c r="R464" s="2"/>
      <c r="S464" s="2"/>
      <c r="T464" s="2"/>
      <c r="U464" s="2"/>
      <c r="V464" s="2"/>
      <c r="W464" s="158"/>
      <c r="X464" s="2"/>
      <c r="Y464" s="2"/>
      <c r="Z464" s="2"/>
    </row>
    <row r="465" spans="1:26" ht="13.5" customHeight="1">
      <c r="A465" s="2"/>
      <c r="B465" s="2"/>
      <c r="C465" s="2"/>
      <c r="D465" s="2"/>
      <c r="E465" s="2"/>
      <c r="F465" s="2"/>
      <c r="G465" s="2"/>
      <c r="H465" s="2"/>
      <c r="I465" s="2"/>
      <c r="J465" s="2"/>
      <c r="K465" s="2"/>
      <c r="L465" s="2"/>
      <c r="M465" s="2"/>
      <c r="N465" s="2"/>
      <c r="O465" s="2"/>
      <c r="P465" s="2"/>
      <c r="Q465" s="2"/>
      <c r="R465" s="2"/>
      <c r="S465" s="2"/>
      <c r="T465" s="2"/>
      <c r="U465" s="2"/>
      <c r="V465" s="2"/>
      <c r="W465" s="158"/>
      <c r="X465" s="2"/>
      <c r="Y465" s="2"/>
      <c r="Z465" s="2"/>
    </row>
    <row r="466" spans="1:26" ht="13.5" customHeight="1">
      <c r="A466" s="2"/>
      <c r="B466" s="2"/>
      <c r="C466" s="2"/>
      <c r="D466" s="2"/>
      <c r="E466" s="2"/>
      <c r="F466" s="2"/>
      <c r="G466" s="2"/>
      <c r="H466" s="2"/>
      <c r="I466" s="2"/>
      <c r="J466" s="2"/>
      <c r="K466" s="2"/>
      <c r="L466" s="2"/>
      <c r="M466" s="2"/>
      <c r="N466" s="2"/>
      <c r="O466" s="2"/>
      <c r="P466" s="2"/>
      <c r="Q466" s="2"/>
      <c r="R466" s="2"/>
      <c r="S466" s="2"/>
      <c r="T466" s="2"/>
      <c r="U466" s="2"/>
      <c r="V466" s="2"/>
      <c r="W466" s="158"/>
      <c r="X466" s="2"/>
      <c r="Y466" s="2"/>
      <c r="Z466" s="2"/>
    </row>
    <row r="467" spans="1:26" ht="13.5" customHeight="1">
      <c r="A467" s="2"/>
      <c r="B467" s="2"/>
      <c r="C467" s="2"/>
      <c r="D467" s="2"/>
      <c r="E467" s="2"/>
      <c r="F467" s="2"/>
      <c r="G467" s="2"/>
      <c r="H467" s="2"/>
      <c r="I467" s="2"/>
      <c r="J467" s="2"/>
      <c r="K467" s="2"/>
      <c r="L467" s="2"/>
      <c r="M467" s="2"/>
      <c r="N467" s="2"/>
      <c r="O467" s="2"/>
      <c r="P467" s="2"/>
      <c r="Q467" s="2"/>
      <c r="R467" s="2"/>
      <c r="S467" s="2"/>
      <c r="T467" s="2"/>
      <c r="U467" s="2"/>
      <c r="V467" s="2"/>
      <c r="W467" s="158"/>
      <c r="X467" s="2"/>
      <c r="Y467" s="2"/>
      <c r="Z467" s="2"/>
    </row>
    <row r="468" spans="1:26" ht="13.5" customHeight="1">
      <c r="A468" s="2"/>
      <c r="B468" s="2"/>
      <c r="C468" s="2"/>
      <c r="D468" s="2"/>
      <c r="E468" s="2"/>
      <c r="F468" s="2"/>
      <c r="G468" s="2"/>
      <c r="H468" s="2"/>
      <c r="I468" s="2"/>
      <c r="J468" s="2"/>
      <c r="K468" s="2"/>
      <c r="L468" s="2"/>
      <c r="M468" s="2"/>
      <c r="N468" s="2"/>
      <c r="O468" s="2"/>
      <c r="P468" s="2"/>
      <c r="Q468" s="2"/>
      <c r="R468" s="2"/>
      <c r="S468" s="2"/>
      <c r="T468" s="2"/>
      <c r="U468" s="2"/>
      <c r="V468" s="2"/>
      <c r="W468" s="158"/>
      <c r="X468" s="2"/>
      <c r="Y468" s="2"/>
      <c r="Z468" s="2"/>
    </row>
    <row r="469" spans="1:26" ht="13.5" customHeight="1">
      <c r="A469" s="2"/>
      <c r="B469" s="2"/>
      <c r="C469" s="2"/>
      <c r="D469" s="2"/>
      <c r="E469" s="2"/>
      <c r="F469" s="2"/>
      <c r="G469" s="2"/>
      <c r="H469" s="2"/>
      <c r="I469" s="2"/>
      <c r="J469" s="2"/>
      <c r="K469" s="2"/>
      <c r="L469" s="2"/>
      <c r="M469" s="2"/>
      <c r="N469" s="2"/>
      <c r="O469" s="2"/>
      <c r="P469" s="2"/>
      <c r="Q469" s="2"/>
      <c r="R469" s="2"/>
      <c r="S469" s="2"/>
      <c r="T469" s="2"/>
      <c r="U469" s="2"/>
      <c r="V469" s="2"/>
      <c r="W469" s="158"/>
      <c r="X469" s="2"/>
      <c r="Y469" s="2"/>
      <c r="Z469" s="2"/>
    </row>
    <row r="470" spans="1:26" ht="13.5" customHeight="1">
      <c r="A470" s="2"/>
      <c r="B470" s="2"/>
      <c r="C470" s="2"/>
      <c r="D470" s="2"/>
      <c r="E470" s="2"/>
      <c r="F470" s="2"/>
      <c r="G470" s="2"/>
      <c r="H470" s="2"/>
      <c r="I470" s="2"/>
      <c r="J470" s="2"/>
      <c r="K470" s="2"/>
      <c r="L470" s="2"/>
      <c r="M470" s="2"/>
      <c r="N470" s="2"/>
      <c r="O470" s="2"/>
      <c r="P470" s="2"/>
      <c r="Q470" s="2"/>
      <c r="R470" s="2"/>
      <c r="S470" s="2"/>
      <c r="T470" s="2"/>
      <c r="U470" s="2"/>
      <c r="V470" s="2"/>
      <c r="W470" s="158"/>
      <c r="X470" s="2"/>
      <c r="Y470" s="2"/>
      <c r="Z470" s="2"/>
    </row>
    <row r="471" spans="1:26" ht="13.5" customHeight="1">
      <c r="A471" s="2"/>
      <c r="B471" s="2"/>
      <c r="C471" s="2"/>
      <c r="D471" s="2"/>
      <c r="E471" s="2"/>
      <c r="F471" s="2"/>
      <c r="G471" s="2"/>
      <c r="H471" s="2"/>
      <c r="I471" s="2"/>
      <c r="J471" s="2"/>
      <c r="K471" s="2"/>
      <c r="L471" s="2"/>
      <c r="M471" s="2"/>
      <c r="N471" s="2"/>
      <c r="O471" s="2"/>
      <c r="P471" s="2"/>
      <c r="Q471" s="2"/>
      <c r="R471" s="2"/>
      <c r="S471" s="2"/>
      <c r="T471" s="2"/>
      <c r="U471" s="2"/>
      <c r="V471" s="2"/>
      <c r="W471" s="158"/>
      <c r="X471" s="2"/>
      <c r="Y471" s="2"/>
      <c r="Z471" s="2"/>
    </row>
    <row r="472" spans="1:26" ht="13.5" customHeight="1">
      <c r="A472" s="2"/>
      <c r="B472" s="2"/>
      <c r="C472" s="2"/>
      <c r="D472" s="2"/>
      <c r="E472" s="2"/>
      <c r="F472" s="2"/>
      <c r="G472" s="2"/>
      <c r="H472" s="2"/>
      <c r="I472" s="2"/>
      <c r="J472" s="2"/>
      <c r="K472" s="2"/>
      <c r="L472" s="2"/>
      <c r="M472" s="2"/>
      <c r="N472" s="2"/>
      <c r="O472" s="2"/>
      <c r="P472" s="2"/>
      <c r="Q472" s="2"/>
      <c r="R472" s="2"/>
      <c r="S472" s="2"/>
      <c r="T472" s="2"/>
      <c r="U472" s="2"/>
      <c r="V472" s="2"/>
      <c r="W472" s="158"/>
      <c r="X472" s="2"/>
      <c r="Y472" s="2"/>
      <c r="Z472" s="2"/>
    </row>
    <row r="473" spans="1:26" ht="13.5" customHeight="1">
      <c r="A473" s="2"/>
      <c r="B473" s="2"/>
      <c r="C473" s="2"/>
      <c r="D473" s="2"/>
      <c r="E473" s="2"/>
      <c r="F473" s="2"/>
      <c r="G473" s="2"/>
      <c r="H473" s="2"/>
      <c r="I473" s="2"/>
      <c r="J473" s="2"/>
      <c r="K473" s="2"/>
      <c r="L473" s="2"/>
      <c r="M473" s="2"/>
      <c r="N473" s="2"/>
      <c r="O473" s="2"/>
      <c r="P473" s="2"/>
      <c r="Q473" s="2"/>
      <c r="R473" s="2"/>
      <c r="S473" s="2"/>
      <c r="T473" s="2"/>
      <c r="U473" s="2"/>
      <c r="V473" s="2"/>
      <c r="W473" s="158"/>
      <c r="X473" s="2"/>
      <c r="Y473" s="2"/>
      <c r="Z473" s="2"/>
    </row>
    <row r="474" spans="1:26" ht="13.5" customHeight="1">
      <c r="A474" s="2"/>
      <c r="B474" s="2"/>
      <c r="C474" s="2"/>
      <c r="D474" s="2"/>
      <c r="E474" s="2"/>
      <c r="F474" s="2"/>
      <c r="G474" s="2"/>
      <c r="H474" s="2"/>
      <c r="I474" s="2"/>
      <c r="J474" s="2"/>
      <c r="K474" s="2"/>
      <c r="L474" s="2"/>
      <c r="M474" s="2"/>
      <c r="N474" s="2"/>
      <c r="O474" s="2"/>
      <c r="P474" s="2"/>
      <c r="Q474" s="2"/>
      <c r="R474" s="2"/>
      <c r="S474" s="2"/>
      <c r="T474" s="2"/>
      <c r="U474" s="2"/>
      <c r="V474" s="2"/>
      <c r="W474" s="158"/>
      <c r="X474" s="2"/>
      <c r="Y474" s="2"/>
      <c r="Z474" s="2"/>
    </row>
    <row r="475" spans="1:26" ht="13.5" customHeight="1">
      <c r="A475" s="2"/>
      <c r="B475" s="2"/>
      <c r="C475" s="2"/>
      <c r="D475" s="2"/>
      <c r="E475" s="2"/>
      <c r="F475" s="2"/>
      <c r="G475" s="2"/>
      <c r="H475" s="2"/>
      <c r="I475" s="2"/>
      <c r="J475" s="2"/>
      <c r="K475" s="2"/>
      <c r="L475" s="2"/>
      <c r="M475" s="2"/>
      <c r="N475" s="2"/>
      <c r="O475" s="2"/>
      <c r="P475" s="2"/>
      <c r="Q475" s="2"/>
      <c r="R475" s="2"/>
      <c r="S475" s="2"/>
      <c r="T475" s="2"/>
      <c r="U475" s="2"/>
      <c r="V475" s="2"/>
      <c r="W475" s="158"/>
      <c r="X475" s="2"/>
      <c r="Y475" s="2"/>
      <c r="Z475" s="2"/>
    </row>
    <row r="476" spans="1:26" ht="13.5" customHeight="1">
      <c r="A476" s="2"/>
      <c r="B476" s="2"/>
      <c r="C476" s="2"/>
      <c r="D476" s="2"/>
      <c r="E476" s="2"/>
      <c r="F476" s="2"/>
      <c r="G476" s="2"/>
      <c r="H476" s="2"/>
      <c r="I476" s="2"/>
      <c r="J476" s="2"/>
      <c r="K476" s="2"/>
      <c r="L476" s="2"/>
      <c r="M476" s="2"/>
      <c r="N476" s="2"/>
      <c r="O476" s="2"/>
      <c r="P476" s="2"/>
      <c r="Q476" s="2"/>
      <c r="R476" s="2"/>
      <c r="S476" s="2"/>
      <c r="T476" s="2"/>
      <c r="U476" s="2"/>
      <c r="V476" s="2"/>
      <c r="W476" s="158"/>
      <c r="X476" s="2"/>
      <c r="Y476" s="2"/>
      <c r="Z476" s="2"/>
    </row>
    <row r="477" spans="1:26" ht="13.5" customHeight="1">
      <c r="A477" s="2"/>
      <c r="B477" s="2"/>
      <c r="C477" s="2"/>
      <c r="D477" s="2"/>
      <c r="E477" s="2"/>
      <c r="F477" s="2"/>
      <c r="G477" s="2"/>
      <c r="H477" s="2"/>
      <c r="I477" s="2"/>
      <c r="J477" s="2"/>
      <c r="K477" s="2"/>
      <c r="L477" s="2"/>
      <c r="M477" s="2"/>
      <c r="N477" s="2"/>
      <c r="O477" s="2"/>
      <c r="P477" s="2"/>
      <c r="Q477" s="2"/>
      <c r="R477" s="2"/>
      <c r="S477" s="2"/>
      <c r="T477" s="2"/>
      <c r="U477" s="2"/>
      <c r="V477" s="2"/>
      <c r="W477" s="158"/>
      <c r="X477" s="2"/>
      <c r="Y477" s="2"/>
      <c r="Z477" s="2"/>
    </row>
    <row r="478" spans="1:26" ht="13.5" customHeight="1">
      <c r="A478" s="2"/>
      <c r="B478" s="2"/>
      <c r="C478" s="2"/>
      <c r="D478" s="2"/>
      <c r="E478" s="2"/>
      <c r="F478" s="2"/>
      <c r="G478" s="2"/>
      <c r="H478" s="2"/>
      <c r="I478" s="2"/>
      <c r="J478" s="2"/>
      <c r="K478" s="2"/>
      <c r="L478" s="2"/>
      <c r="M478" s="2"/>
      <c r="N478" s="2"/>
      <c r="O478" s="2"/>
      <c r="P478" s="2"/>
      <c r="Q478" s="2"/>
      <c r="R478" s="2"/>
      <c r="S478" s="2"/>
      <c r="T478" s="2"/>
      <c r="U478" s="2"/>
      <c r="V478" s="2"/>
      <c r="W478" s="158"/>
      <c r="X478" s="2"/>
      <c r="Y478" s="2"/>
      <c r="Z478" s="2"/>
    </row>
    <row r="479" spans="1:26" ht="13.5" customHeight="1">
      <c r="A479" s="2"/>
      <c r="B479" s="2"/>
      <c r="C479" s="2"/>
      <c r="D479" s="2"/>
      <c r="E479" s="2"/>
      <c r="F479" s="2"/>
      <c r="G479" s="2"/>
      <c r="H479" s="2"/>
      <c r="I479" s="2"/>
      <c r="J479" s="2"/>
      <c r="K479" s="2"/>
      <c r="L479" s="2"/>
      <c r="M479" s="2"/>
      <c r="N479" s="2"/>
      <c r="O479" s="2"/>
      <c r="P479" s="2"/>
      <c r="Q479" s="2"/>
      <c r="R479" s="2"/>
      <c r="S479" s="2"/>
      <c r="T479" s="2"/>
      <c r="U479" s="2"/>
      <c r="V479" s="2"/>
      <c r="W479" s="158"/>
      <c r="X479" s="2"/>
      <c r="Y479" s="2"/>
      <c r="Z479" s="2"/>
    </row>
    <row r="480" spans="1:26" ht="13.5" customHeight="1">
      <c r="A480" s="2"/>
      <c r="B480" s="2"/>
      <c r="C480" s="2"/>
      <c r="D480" s="2"/>
      <c r="E480" s="2"/>
      <c r="F480" s="2"/>
      <c r="G480" s="2"/>
      <c r="H480" s="2"/>
      <c r="I480" s="2"/>
      <c r="J480" s="2"/>
      <c r="K480" s="2"/>
      <c r="L480" s="2"/>
      <c r="M480" s="2"/>
      <c r="N480" s="2"/>
      <c r="O480" s="2"/>
      <c r="P480" s="2"/>
      <c r="Q480" s="2"/>
      <c r="R480" s="2"/>
      <c r="S480" s="2"/>
      <c r="T480" s="2"/>
      <c r="U480" s="2"/>
      <c r="V480" s="2"/>
      <c r="W480" s="158"/>
      <c r="X480" s="2"/>
      <c r="Y480" s="2"/>
      <c r="Z480" s="2"/>
    </row>
    <row r="481" spans="1:26" ht="13.5" customHeight="1">
      <c r="A481" s="2"/>
      <c r="B481" s="2"/>
      <c r="C481" s="2"/>
      <c r="D481" s="2"/>
      <c r="E481" s="2"/>
      <c r="F481" s="2"/>
      <c r="G481" s="2"/>
      <c r="H481" s="2"/>
      <c r="I481" s="2"/>
      <c r="J481" s="2"/>
      <c r="K481" s="2"/>
      <c r="L481" s="2"/>
      <c r="M481" s="2"/>
      <c r="N481" s="2"/>
      <c r="O481" s="2"/>
      <c r="P481" s="2"/>
      <c r="Q481" s="2"/>
      <c r="R481" s="2"/>
      <c r="S481" s="2"/>
      <c r="T481" s="2"/>
      <c r="U481" s="2"/>
      <c r="V481" s="2"/>
      <c r="W481" s="158"/>
      <c r="X481" s="2"/>
      <c r="Y481" s="2"/>
      <c r="Z481" s="2"/>
    </row>
    <row r="482" spans="1:26" ht="13.5" customHeight="1">
      <c r="A482" s="2"/>
      <c r="B482" s="2"/>
      <c r="C482" s="2"/>
      <c r="D482" s="2"/>
      <c r="E482" s="2"/>
      <c r="F482" s="2"/>
      <c r="G482" s="2"/>
      <c r="H482" s="2"/>
      <c r="I482" s="2"/>
      <c r="J482" s="2"/>
      <c r="K482" s="2"/>
      <c r="L482" s="2"/>
      <c r="M482" s="2"/>
      <c r="N482" s="2"/>
      <c r="O482" s="2"/>
      <c r="P482" s="2"/>
      <c r="Q482" s="2"/>
      <c r="R482" s="2"/>
      <c r="S482" s="2"/>
      <c r="T482" s="2"/>
      <c r="U482" s="2"/>
      <c r="V482" s="2"/>
      <c r="W482" s="158"/>
      <c r="X482" s="2"/>
      <c r="Y482" s="2"/>
      <c r="Z482" s="2"/>
    </row>
    <row r="483" spans="1:26" ht="13.5" customHeight="1">
      <c r="A483" s="2"/>
      <c r="B483" s="2"/>
      <c r="C483" s="2"/>
      <c r="D483" s="2"/>
      <c r="E483" s="2"/>
      <c r="F483" s="2"/>
      <c r="G483" s="2"/>
      <c r="H483" s="2"/>
      <c r="I483" s="2"/>
      <c r="J483" s="2"/>
      <c r="K483" s="2"/>
      <c r="L483" s="2"/>
      <c r="M483" s="2"/>
      <c r="N483" s="2"/>
      <c r="O483" s="2"/>
      <c r="P483" s="2"/>
      <c r="Q483" s="2"/>
      <c r="R483" s="2"/>
      <c r="S483" s="2"/>
      <c r="T483" s="2"/>
      <c r="U483" s="2"/>
      <c r="V483" s="2"/>
      <c r="W483" s="158"/>
      <c r="X483" s="2"/>
      <c r="Y483" s="2"/>
      <c r="Z483" s="2"/>
    </row>
    <row r="484" spans="1:26" ht="13.5" customHeight="1">
      <c r="A484" s="2"/>
      <c r="B484" s="2"/>
      <c r="C484" s="2"/>
      <c r="D484" s="2"/>
      <c r="E484" s="2"/>
      <c r="F484" s="2"/>
      <c r="G484" s="2"/>
      <c r="H484" s="2"/>
      <c r="I484" s="2"/>
      <c r="J484" s="2"/>
      <c r="K484" s="2"/>
      <c r="L484" s="2"/>
      <c r="M484" s="2"/>
      <c r="N484" s="2"/>
      <c r="O484" s="2"/>
      <c r="P484" s="2"/>
      <c r="Q484" s="2"/>
      <c r="R484" s="2"/>
      <c r="S484" s="2"/>
      <c r="T484" s="2"/>
      <c r="U484" s="2"/>
      <c r="V484" s="2"/>
      <c r="W484" s="158"/>
      <c r="X484" s="2"/>
      <c r="Y484" s="2"/>
      <c r="Z484" s="2"/>
    </row>
    <row r="485" spans="1:26" ht="13.5" customHeight="1">
      <c r="A485" s="2"/>
      <c r="B485" s="2"/>
      <c r="C485" s="2"/>
      <c r="D485" s="2"/>
      <c r="E485" s="2"/>
      <c r="F485" s="2"/>
      <c r="G485" s="2"/>
      <c r="H485" s="2"/>
      <c r="I485" s="2"/>
      <c r="J485" s="2"/>
      <c r="K485" s="2"/>
      <c r="L485" s="2"/>
      <c r="M485" s="2"/>
      <c r="N485" s="2"/>
      <c r="O485" s="2"/>
      <c r="P485" s="2"/>
      <c r="Q485" s="2"/>
      <c r="R485" s="2"/>
      <c r="S485" s="2"/>
      <c r="T485" s="2"/>
      <c r="U485" s="2"/>
      <c r="V485" s="2"/>
      <c r="W485" s="158"/>
      <c r="X485" s="2"/>
      <c r="Y485" s="2"/>
      <c r="Z485" s="2"/>
    </row>
    <row r="486" spans="1:26" ht="13.5" customHeight="1">
      <c r="A486" s="2"/>
      <c r="B486" s="2"/>
      <c r="C486" s="2"/>
      <c r="D486" s="2"/>
      <c r="E486" s="2"/>
      <c r="F486" s="2"/>
      <c r="G486" s="2"/>
      <c r="H486" s="2"/>
      <c r="I486" s="2"/>
      <c r="J486" s="2"/>
      <c r="K486" s="2"/>
      <c r="L486" s="2"/>
      <c r="M486" s="2"/>
      <c r="N486" s="2"/>
      <c r="O486" s="2"/>
      <c r="P486" s="2"/>
      <c r="Q486" s="2"/>
      <c r="R486" s="2"/>
      <c r="S486" s="2"/>
      <c r="T486" s="2"/>
      <c r="U486" s="2"/>
      <c r="V486" s="2"/>
      <c r="W486" s="158"/>
      <c r="X486" s="2"/>
      <c r="Y486" s="2"/>
      <c r="Z486" s="2"/>
    </row>
    <row r="487" spans="1:26" ht="13.5" customHeight="1">
      <c r="A487" s="2"/>
      <c r="B487" s="2"/>
      <c r="C487" s="2"/>
      <c r="D487" s="2"/>
      <c r="E487" s="2"/>
      <c r="F487" s="2"/>
      <c r="G487" s="2"/>
      <c r="H487" s="2"/>
      <c r="I487" s="2"/>
      <c r="J487" s="2"/>
      <c r="K487" s="2"/>
      <c r="L487" s="2"/>
      <c r="M487" s="2"/>
      <c r="N487" s="2"/>
      <c r="O487" s="2"/>
      <c r="P487" s="2"/>
      <c r="Q487" s="2"/>
      <c r="R487" s="2"/>
      <c r="S487" s="2"/>
      <c r="T487" s="2"/>
      <c r="U487" s="2"/>
      <c r="V487" s="2"/>
      <c r="W487" s="158"/>
      <c r="X487" s="2"/>
      <c r="Y487" s="2"/>
      <c r="Z487" s="2"/>
    </row>
    <row r="488" spans="1:26" ht="13.5" customHeight="1">
      <c r="A488" s="2"/>
      <c r="B488" s="2"/>
      <c r="C488" s="2"/>
      <c r="D488" s="2"/>
      <c r="E488" s="2"/>
      <c r="F488" s="2"/>
      <c r="G488" s="2"/>
      <c r="H488" s="2"/>
      <c r="I488" s="2"/>
      <c r="J488" s="2"/>
      <c r="K488" s="2"/>
      <c r="L488" s="2"/>
      <c r="M488" s="2"/>
      <c r="N488" s="2"/>
      <c r="O488" s="2"/>
      <c r="P488" s="2"/>
      <c r="Q488" s="2"/>
      <c r="R488" s="2"/>
      <c r="S488" s="2"/>
      <c r="T488" s="2"/>
      <c r="U488" s="2"/>
      <c r="V488" s="2"/>
      <c r="W488" s="158"/>
      <c r="X488" s="2"/>
      <c r="Y488" s="2"/>
      <c r="Z488" s="2"/>
    </row>
    <row r="489" spans="1:26" ht="13.5" customHeight="1">
      <c r="A489" s="2"/>
      <c r="B489" s="2"/>
      <c r="C489" s="2"/>
      <c r="D489" s="2"/>
      <c r="E489" s="2"/>
      <c r="F489" s="2"/>
      <c r="G489" s="2"/>
      <c r="H489" s="2"/>
      <c r="I489" s="2"/>
      <c r="J489" s="2"/>
      <c r="K489" s="2"/>
      <c r="L489" s="2"/>
      <c r="M489" s="2"/>
      <c r="N489" s="2"/>
      <c r="O489" s="2"/>
      <c r="P489" s="2"/>
      <c r="Q489" s="2"/>
      <c r="R489" s="2"/>
      <c r="S489" s="2"/>
      <c r="T489" s="2"/>
      <c r="U489" s="2"/>
      <c r="V489" s="2"/>
      <c r="W489" s="158"/>
      <c r="X489" s="2"/>
      <c r="Y489" s="2"/>
      <c r="Z489" s="2"/>
    </row>
    <row r="490" spans="1:26" ht="13.5" customHeight="1">
      <c r="A490" s="2"/>
      <c r="B490" s="2"/>
      <c r="C490" s="2"/>
      <c r="D490" s="2"/>
      <c r="E490" s="2"/>
      <c r="F490" s="2"/>
      <c r="G490" s="2"/>
      <c r="H490" s="2"/>
      <c r="I490" s="2"/>
      <c r="J490" s="2"/>
      <c r="K490" s="2"/>
      <c r="L490" s="2"/>
      <c r="M490" s="2"/>
      <c r="N490" s="2"/>
      <c r="O490" s="2"/>
      <c r="P490" s="2"/>
      <c r="Q490" s="2"/>
      <c r="R490" s="2"/>
      <c r="S490" s="2"/>
      <c r="T490" s="2"/>
      <c r="U490" s="2"/>
      <c r="V490" s="2"/>
      <c r="W490" s="158"/>
      <c r="X490" s="2"/>
      <c r="Y490" s="2"/>
      <c r="Z490" s="2"/>
    </row>
    <row r="491" spans="1:26" ht="13.5" customHeight="1">
      <c r="A491" s="2"/>
      <c r="B491" s="2"/>
      <c r="C491" s="2"/>
      <c r="D491" s="2"/>
      <c r="E491" s="2"/>
      <c r="F491" s="2"/>
      <c r="G491" s="2"/>
      <c r="H491" s="2"/>
      <c r="I491" s="2"/>
      <c r="J491" s="2"/>
      <c r="K491" s="2"/>
      <c r="L491" s="2"/>
      <c r="M491" s="2"/>
      <c r="N491" s="2"/>
      <c r="O491" s="2"/>
      <c r="P491" s="2"/>
      <c r="Q491" s="2"/>
      <c r="R491" s="2"/>
      <c r="S491" s="2"/>
      <c r="T491" s="2"/>
      <c r="U491" s="2"/>
      <c r="V491" s="2"/>
      <c r="W491" s="158"/>
      <c r="X491" s="2"/>
      <c r="Y491" s="2"/>
      <c r="Z491" s="2"/>
    </row>
    <row r="492" spans="1:26" ht="13.5" customHeight="1">
      <c r="A492" s="2"/>
      <c r="B492" s="2"/>
      <c r="C492" s="2"/>
      <c r="D492" s="2"/>
      <c r="E492" s="2"/>
      <c r="F492" s="2"/>
      <c r="G492" s="2"/>
      <c r="H492" s="2"/>
      <c r="I492" s="2"/>
      <c r="J492" s="2"/>
      <c r="K492" s="2"/>
      <c r="L492" s="2"/>
      <c r="M492" s="2"/>
      <c r="N492" s="2"/>
      <c r="O492" s="2"/>
      <c r="P492" s="2"/>
      <c r="Q492" s="2"/>
      <c r="R492" s="2"/>
      <c r="S492" s="2"/>
      <c r="T492" s="2"/>
      <c r="U492" s="2"/>
      <c r="V492" s="2"/>
      <c r="W492" s="158"/>
      <c r="X492" s="2"/>
      <c r="Y492" s="2"/>
      <c r="Z492" s="2"/>
    </row>
    <row r="493" spans="1:26" ht="13.5" customHeight="1">
      <c r="A493" s="2"/>
      <c r="B493" s="2"/>
      <c r="C493" s="2"/>
      <c r="D493" s="2"/>
      <c r="E493" s="2"/>
      <c r="F493" s="2"/>
      <c r="G493" s="2"/>
      <c r="H493" s="2"/>
      <c r="I493" s="2"/>
      <c r="J493" s="2"/>
      <c r="K493" s="2"/>
      <c r="L493" s="2"/>
      <c r="M493" s="2"/>
      <c r="N493" s="2"/>
      <c r="O493" s="2"/>
      <c r="P493" s="2"/>
      <c r="Q493" s="2"/>
      <c r="R493" s="2"/>
      <c r="S493" s="2"/>
      <c r="T493" s="2"/>
      <c r="U493" s="2"/>
      <c r="V493" s="2"/>
      <c r="W493" s="158"/>
      <c r="X493" s="2"/>
      <c r="Y493" s="2"/>
      <c r="Z493" s="2"/>
    </row>
    <row r="494" spans="1:26" ht="13.5" customHeight="1">
      <c r="A494" s="2"/>
      <c r="B494" s="2"/>
      <c r="C494" s="2"/>
      <c r="D494" s="2"/>
      <c r="E494" s="2"/>
      <c r="F494" s="2"/>
      <c r="G494" s="2"/>
      <c r="H494" s="2"/>
      <c r="I494" s="2"/>
      <c r="J494" s="2"/>
      <c r="K494" s="2"/>
      <c r="L494" s="2"/>
      <c r="M494" s="2"/>
      <c r="N494" s="2"/>
      <c r="O494" s="2"/>
      <c r="P494" s="2"/>
      <c r="Q494" s="2"/>
      <c r="R494" s="2"/>
      <c r="S494" s="2"/>
      <c r="T494" s="2"/>
      <c r="U494" s="2"/>
      <c r="V494" s="2"/>
      <c r="W494" s="158"/>
      <c r="X494" s="2"/>
      <c r="Y494" s="2"/>
      <c r="Z494" s="2"/>
    </row>
    <row r="495" spans="1:26" ht="13.5" customHeight="1">
      <c r="A495" s="2"/>
      <c r="B495" s="2"/>
      <c r="C495" s="2"/>
      <c r="D495" s="2"/>
      <c r="E495" s="2"/>
      <c r="F495" s="2"/>
      <c r="G495" s="2"/>
      <c r="H495" s="2"/>
      <c r="I495" s="2"/>
      <c r="J495" s="2"/>
      <c r="K495" s="2"/>
      <c r="L495" s="2"/>
      <c r="M495" s="2"/>
      <c r="N495" s="2"/>
      <c r="O495" s="2"/>
      <c r="P495" s="2"/>
      <c r="Q495" s="2"/>
      <c r="R495" s="2"/>
      <c r="S495" s="2"/>
      <c r="T495" s="2"/>
      <c r="U495" s="2"/>
      <c r="V495" s="2"/>
      <c r="W495" s="158"/>
      <c r="X495" s="2"/>
      <c r="Y495" s="2"/>
      <c r="Z495" s="2"/>
    </row>
    <row r="496" spans="1:26" ht="13.5" customHeight="1">
      <c r="A496" s="2"/>
      <c r="B496" s="2"/>
      <c r="C496" s="2"/>
      <c r="D496" s="2"/>
      <c r="E496" s="2"/>
      <c r="F496" s="2"/>
      <c r="G496" s="2"/>
      <c r="H496" s="2"/>
      <c r="I496" s="2"/>
      <c r="J496" s="2"/>
      <c r="K496" s="2"/>
      <c r="L496" s="2"/>
      <c r="M496" s="2"/>
      <c r="N496" s="2"/>
      <c r="O496" s="2"/>
      <c r="P496" s="2"/>
      <c r="Q496" s="2"/>
      <c r="R496" s="2"/>
      <c r="S496" s="2"/>
      <c r="T496" s="2"/>
      <c r="U496" s="2"/>
      <c r="V496" s="2"/>
      <c r="W496" s="158"/>
      <c r="X496" s="2"/>
      <c r="Y496" s="2"/>
      <c r="Z496" s="2"/>
    </row>
    <row r="497" spans="1:26" ht="13.5" customHeight="1">
      <c r="A497" s="2"/>
      <c r="B497" s="2"/>
      <c r="C497" s="2"/>
      <c r="D497" s="2"/>
      <c r="E497" s="2"/>
      <c r="F497" s="2"/>
      <c r="G497" s="2"/>
      <c r="H497" s="2"/>
      <c r="I497" s="2"/>
      <c r="J497" s="2"/>
      <c r="K497" s="2"/>
      <c r="L497" s="2"/>
      <c r="M497" s="2"/>
      <c r="N497" s="2"/>
      <c r="O497" s="2"/>
      <c r="P497" s="2"/>
      <c r="Q497" s="2"/>
      <c r="R497" s="2"/>
      <c r="S497" s="2"/>
      <c r="T497" s="2"/>
      <c r="U497" s="2"/>
      <c r="V497" s="2"/>
      <c r="W497" s="158"/>
      <c r="X497" s="2"/>
      <c r="Y497" s="2"/>
      <c r="Z497" s="2"/>
    </row>
    <row r="498" spans="1:26" ht="13.5" customHeight="1">
      <c r="A498" s="2"/>
      <c r="B498" s="2"/>
      <c r="C498" s="2"/>
      <c r="D498" s="2"/>
      <c r="E498" s="2"/>
      <c r="F498" s="2"/>
      <c r="G498" s="2"/>
      <c r="H498" s="2"/>
      <c r="I498" s="2"/>
      <c r="J498" s="2"/>
      <c r="K498" s="2"/>
      <c r="L498" s="2"/>
      <c r="M498" s="2"/>
      <c r="N498" s="2"/>
      <c r="O498" s="2"/>
      <c r="P498" s="2"/>
      <c r="Q498" s="2"/>
      <c r="R498" s="2"/>
      <c r="S498" s="2"/>
      <c r="T498" s="2"/>
      <c r="U498" s="2"/>
      <c r="V498" s="2"/>
      <c r="W498" s="158"/>
      <c r="X498" s="2"/>
      <c r="Y498" s="2"/>
      <c r="Z498" s="2"/>
    </row>
    <row r="499" spans="1:26" ht="13.5" customHeight="1">
      <c r="A499" s="2"/>
      <c r="B499" s="2"/>
      <c r="C499" s="2"/>
      <c r="D499" s="2"/>
      <c r="E499" s="2"/>
      <c r="F499" s="2"/>
      <c r="G499" s="2"/>
      <c r="H499" s="2"/>
      <c r="I499" s="2"/>
      <c r="J499" s="2"/>
      <c r="K499" s="2"/>
      <c r="L499" s="2"/>
      <c r="M499" s="2"/>
      <c r="N499" s="2"/>
      <c r="O499" s="2"/>
      <c r="P499" s="2"/>
      <c r="Q499" s="2"/>
      <c r="R499" s="2"/>
      <c r="S499" s="2"/>
      <c r="T499" s="2"/>
      <c r="U499" s="2"/>
      <c r="V499" s="2"/>
      <c r="W499" s="158"/>
      <c r="X499" s="2"/>
      <c r="Y499" s="2"/>
      <c r="Z499" s="2"/>
    </row>
    <row r="500" spans="1:26" ht="13.5" customHeight="1">
      <c r="A500" s="2"/>
      <c r="B500" s="2"/>
      <c r="C500" s="2"/>
      <c r="D500" s="2"/>
      <c r="E500" s="2"/>
      <c r="F500" s="2"/>
      <c r="G500" s="2"/>
      <c r="H500" s="2"/>
      <c r="I500" s="2"/>
      <c r="J500" s="2"/>
      <c r="K500" s="2"/>
      <c r="L500" s="2"/>
      <c r="M500" s="2"/>
      <c r="N500" s="2"/>
      <c r="O500" s="2"/>
      <c r="P500" s="2"/>
      <c r="Q500" s="2"/>
      <c r="R500" s="2"/>
      <c r="S500" s="2"/>
      <c r="T500" s="2"/>
      <c r="U500" s="2"/>
      <c r="V500" s="2"/>
      <c r="W500" s="158"/>
      <c r="X500" s="2"/>
      <c r="Y500" s="2"/>
      <c r="Z500" s="2"/>
    </row>
    <row r="501" spans="1:26" ht="13.5" customHeight="1">
      <c r="A501" s="2"/>
      <c r="B501" s="2"/>
      <c r="C501" s="2"/>
      <c r="D501" s="2"/>
      <c r="E501" s="2"/>
      <c r="F501" s="2"/>
      <c r="G501" s="2"/>
      <c r="H501" s="2"/>
      <c r="I501" s="2"/>
      <c r="J501" s="2"/>
      <c r="K501" s="2"/>
      <c r="L501" s="2"/>
      <c r="M501" s="2"/>
      <c r="N501" s="2"/>
      <c r="O501" s="2"/>
      <c r="P501" s="2"/>
      <c r="Q501" s="2"/>
      <c r="R501" s="2"/>
      <c r="S501" s="2"/>
      <c r="T501" s="2"/>
      <c r="U501" s="2"/>
      <c r="V501" s="2"/>
      <c r="W501" s="158"/>
      <c r="X501" s="2"/>
      <c r="Y501" s="2"/>
      <c r="Z501" s="2"/>
    </row>
    <row r="502" spans="1:26" ht="13.5" customHeight="1">
      <c r="A502" s="2"/>
      <c r="B502" s="2"/>
      <c r="C502" s="2"/>
      <c r="D502" s="2"/>
      <c r="E502" s="2"/>
      <c r="F502" s="2"/>
      <c r="G502" s="2"/>
      <c r="H502" s="2"/>
      <c r="I502" s="2"/>
      <c r="J502" s="2"/>
      <c r="K502" s="2"/>
      <c r="L502" s="2"/>
      <c r="M502" s="2"/>
      <c r="N502" s="2"/>
      <c r="O502" s="2"/>
      <c r="P502" s="2"/>
      <c r="Q502" s="2"/>
      <c r="R502" s="2"/>
      <c r="S502" s="2"/>
      <c r="T502" s="2"/>
      <c r="U502" s="2"/>
      <c r="V502" s="2"/>
      <c r="W502" s="158"/>
      <c r="X502" s="2"/>
      <c r="Y502" s="2"/>
      <c r="Z502" s="2"/>
    </row>
    <row r="503" spans="1:26" ht="13.5" customHeight="1">
      <c r="A503" s="2"/>
      <c r="B503" s="2"/>
      <c r="C503" s="2"/>
      <c r="D503" s="2"/>
      <c r="E503" s="2"/>
      <c r="F503" s="2"/>
      <c r="G503" s="2"/>
      <c r="H503" s="2"/>
      <c r="I503" s="2"/>
      <c r="J503" s="2"/>
      <c r="K503" s="2"/>
      <c r="L503" s="2"/>
      <c r="M503" s="2"/>
      <c r="N503" s="2"/>
      <c r="O503" s="2"/>
      <c r="P503" s="2"/>
      <c r="Q503" s="2"/>
      <c r="R503" s="2"/>
      <c r="S503" s="2"/>
      <c r="T503" s="2"/>
      <c r="U503" s="2"/>
      <c r="V503" s="2"/>
      <c r="W503" s="158"/>
      <c r="X503" s="2"/>
      <c r="Y503" s="2"/>
      <c r="Z503" s="2"/>
    </row>
    <row r="504" spans="1:26" ht="13.5" customHeight="1">
      <c r="A504" s="2"/>
      <c r="B504" s="2"/>
      <c r="C504" s="2"/>
      <c r="D504" s="2"/>
      <c r="E504" s="2"/>
      <c r="F504" s="2"/>
      <c r="G504" s="2"/>
      <c r="H504" s="2"/>
      <c r="I504" s="2"/>
      <c r="J504" s="2"/>
      <c r="K504" s="2"/>
      <c r="L504" s="2"/>
      <c r="M504" s="2"/>
      <c r="N504" s="2"/>
      <c r="O504" s="2"/>
      <c r="P504" s="2"/>
      <c r="Q504" s="2"/>
      <c r="R504" s="2"/>
      <c r="S504" s="2"/>
      <c r="T504" s="2"/>
      <c r="U504" s="2"/>
      <c r="V504" s="2"/>
      <c r="W504" s="158"/>
      <c r="X504" s="2"/>
      <c r="Y504" s="2"/>
      <c r="Z504" s="2"/>
    </row>
    <row r="505" spans="1:26" ht="13.5" customHeight="1">
      <c r="A505" s="2"/>
      <c r="B505" s="2"/>
      <c r="C505" s="2"/>
      <c r="D505" s="2"/>
      <c r="E505" s="2"/>
      <c r="F505" s="2"/>
      <c r="G505" s="2"/>
      <c r="H505" s="2"/>
      <c r="I505" s="2"/>
      <c r="J505" s="2"/>
      <c r="K505" s="2"/>
      <c r="L505" s="2"/>
      <c r="M505" s="2"/>
      <c r="N505" s="2"/>
      <c r="O505" s="2"/>
      <c r="P505" s="2"/>
      <c r="Q505" s="2"/>
      <c r="R505" s="2"/>
      <c r="S505" s="2"/>
      <c r="T505" s="2"/>
      <c r="U505" s="2"/>
      <c r="V505" s="2"/>
      <c r="W505" s="158"/>
      <c r="X505" s="2"/>
      <c r="Y505" s="2"/>
      <c r="Z505" s="2"/>
    </row>
    <row r="506" spans="1:26" ht="13.5" customHeight="1">
      <c r="A506" s="2"/>
      <c r="B506" s="2"/>
      <c r="C506" s="2"/>
      <c r="D506" s="2"/>
      <c r="E506" s="2"/>
      <c r="F506" s="2"/>
      <c r="G506" s="2"/>
      <c r="H506" s="2"/>
      <c r="I506" s="2"/>
      <c r="J506" s="2"/>
      <c r="K506" s="2"/>
      <c r="L506" s="2"/>
      <c r="M506" s="2"/>
      <c r="N506" s="2"/>
      <c r="O506" s="2"/>
      <c r="P506" s="2"/>
      <c r="Q506" s="2"/>
      <c r="R506" s="2"/>
      <c r="S506" s="2"/>
      <c r="T506" s="2"/>
      <c r="U506" s="2"/>
      <c r="V506" s="2"/>
      <c r="W506" s="158"/>
      <c r="X506" s="2"/>
      <c r="Y506" s="2"/>
      <c r="Z506" s="2"/>
    </row>
    <row r="507" spans="1:26" ht="13.5" customHeight="1">
      <c r="A507" s="2"/>
      <c r="B507" s="2"/>
      <c r="C507" s="2"/>
      <c r="D507" s="2"/>
      <c r="E507" s="2"/>
      <c r="F507" s="2"/>
      <c r="G507" s="2"/>
      <c r="H507" s="2"/>
      <c r="I507" s="2"/>
      <c r="J507" s="2"/>
      <c r="K507" s="2"/>
      <c r="L507" s="2"/>
      <c r="M507" s="2"/>
      <c r="N507" s="2"/>
      <c r="O507" s="2"/>
      <c r="P507" s="2"/>
      <c r="Q507" s="2"/>
      <c r="R507" s="2"/>
      <c r="S507" s="2"/>
      <c r="T507" s="2"/>
      <c r="U507" s="2"/>
      <c r="V507" s="2"/>
      <c r="W507" s="158"/>
      <c r="X507" s="2"/>
      <c r="Y507" s="2"/>
      <c r="Z507" s="2"/>
    </row>
    <row r="508" spans="1:26" ht="13.5" customHeight="1">
      <c r="A508" s="2"/>
      <c r="B508" s="2"/>
      <c r="C508" s="2"/>
      <c r="D508" s="2"/>
      <c r="E508" s="2"/>
      <c r="F508" s="2"/>
      <c r="G508" s="2"/>
      <c r="H508" s="2"/>
      <c r="I508" s="2"/>
      <c r="J508" s="2"/>
      <c r="K508" s="2"/>
      <c r="L508" s="2"/>
      <c r="M508" s="2"/>
      <c r="N508" s="2"/>
      <c r="O508" s="2"/>
      <c r="P508" s="2"/>
      <c r="Q508" s="2"/>
      <c r="R508" s="2"/>
      <c r="S508" s="2"/>
      <c r="T508" s="2"/>
      <c r="U508" s="2"/>
      <c r="V508" s="2"/>
      <c r="W508" s="158"/>
      <c r="X508" s="2"/>
      <c r="Y508" s="2"/>
      <c r="Z508" s="2"/>
    </row>
    <row r="509" spans="1:26" ht="13.5" customHeight="1">
      <c r="A509" s="2"/>
      <c r="B509" s="2"/>
      <c r="C509" s="2"/>
      <c r="D509" s="2"/>
      <c r="E509" s="2"/>
      <c r="F509" s="2"/>
      <c r="G509" s="2"/>
      <c r="H509" s="2"/>
      <c r="I509" s="2"/>
      <c r="J509" s="2"/>
      <c r="K509" s="2"/>
      <c r="L509" s="2"/>
      <c r="M509" s="2"/>
      <c r="N509" s="2"/>
      <c r="O509" s="2"/>
      <c r="P509" s="2"/>
      <c r="Q509" s="2"/>
      <c r="R509" s="2"/>
      <c r="S509" s="2"/>
      <c r="T509" s="2"/>
      <c r="U509" s="2"/>
      <c r="V509" s="2"/>
      <c r="W509" s="158"/>
      <c r="X509" s="2"/>
      <c r="Y509" s="2"/>
      <c r="Z509" s="2"/>
    </row>
    <row r="510" spans="1:26" ht="13.5" customHeight="1">
      <c r="A510" s="2"/>
      <c r="B510" s="2"/>
      <c r="C510" s="2"/>
      <c r="D510" s="2"/>
      <c r="E510" s="2"/>
      <c r="F510" s="2"/>
      <c r="G510" s="2"/>
      <c r="H510" s="2"/>
      <c r="I510" s="2"/>
      <c r="J510" s="2"/>
      <c r="K510" s="2"/>
      <c r="L510" s="2"/>
      <c r="M510" s="2"/>
      <c r="N510" s="2"/>
      <c r="O510" s="2"/>
      <c r="P510" s="2"/>
      <c r="Q510" s="2"/>
      <c r="R510" s="2"/>
      <c r="S510" s="2"/>
      <c r="T510" s="2"/>
      <c r="U510" s="2"/>
      <c r="V510" s="2"/>
      <c r="W510" s="158"/>
      <c r="X510" s="2"/>
      <c r="Y510" s="2"/>
      <c r="Z510" s="2"/>
    </row>
    <row r="511" spans="1:26" ht="13.5" customHeight="1">
      <c r="A511" s="2"/>
      <c r="B511" s="2"/>
      <c r="C511" s="2"/>
      <c r="D511" s="2"/>
      <c r="E511" s="2"/>
      <c r="F511" s="2"/>
      <c r="G511" s="2"/>
      <c r="H511" s="2"/>
      <c r="I511" s="2"/>
      <c r="J511" s="2"/>
      <c r="K511" s="2"/>
      <c r="L511" s="2"/>
      <c r="M511" s="2"/>
      <c r="N511" s="2"/>
      <c r="O511" s="2"/>
      <c r="P511" s="2"/>
      <c r="Q511" s="2"/>
      <c r="R511" s="2"/>
      <c r="S511" s="2"/>
      <c r="T511" s="2"/>
      <c r="U511" s="2"/>
      <c r="V511" s="2"/>
      <c r="W511" s="158"/>
      <c r="X511" s="2"/>
      <c r="Y511" s="2"/>
      <c r="Z511" s="2"/>
    </row>
    <row r="512" spans="1:26" ht="13.5" customHeight="1">
      <c r="A512" s="2"/>
      <c r="B512" s="2"/>
      <c r="C512" s="2"/>
      <c r="D512" s="2"/>
      <c r="E512" s="2"/>
      <c r="F512" s="2"/>
      <c r="G512" s="2"/>
      <c r="H512" s="2"/>
      <c r="I512" s="2"/>
      <c r="J512" s="2"/>
      <c r="K512" s="2"/>
      <c r="L512" s="2"/>
      <c r="M512" s="2"/>
      <c r="N512" s="2"/>
      <c r="O512" s="2"/>
      <c r="P512" s="2"/>
      <c r="Q512" s="2"/>
      <c r="R512" s="2"/>
      <c r="S512" s="2"/>
      <c r="T512" s="2"/>
      <c r="U512" s="2"/>
      <c r="V512" s="2"/>
      <c r="W512" s="158"/>
      <c r="X512" s="2"/>
      <c r="Y512" s="2"/>
      <c r="Z512" s="2"/>
    </row>
    <row r="513" spans="1:26" ht="13.5" customHeight="1">
      <c r="A513" s="2"/>
      <c r="B513" s="2"/>
      <c r="C513" s="2"/>
      <c r="D513" s="2"/>
      <c r="E513" s="2"/>
      <c r="F513" s="2"/>
      <c r="G513" s="2"/>
      <c r="H513" s="2"/>
      <c r="I513" s="2"/>
      <c r="J513" s="2"/>
      <c r="K513" s="2"/>
      <c r="L513" s="2"/>
      <c r="M513" s="2"/>
      <c r="N513" s="2"/>
      <c r="O513" s="2"/>
      <c r="P513" s="2"/>
      <c r="Q513" s="2"/>
      <c r="R513" s="2"/>
      <c r="S513" s="2"/>
      <c r="T513" s="2"/>
      <c r="U513" s="2"/>
      <c r="V513" s="2"/>
      <c r="W513" s="158"/>
      <c r="X513" s="2"/>
      <c r="Y513" s="2"/>
      <c r="Z513" s="2"/>
    </row>
    <row r="514" spans="1:26" ht="13.5" customHeight="1">
      <c r="A514" s="2"/>
      <c r="B514" s="2"/>
      <c r="C514" s="2"/>
      <c r="D514" s="2"/>
      <c r="E514" s="2"/>
      <c r="F514" s="2"/>
      <c r="G514" s="2"/>
      <c r="H514" s="2"/>
      <c r="I514" s="2"/>
      <c r="J514" s="2"/>
      <c r="K514" s="2"/>
      <c r="L514" s="2"/>
      <c r="M514" s="2"/>
      <c r="N514" s="2"/>
      <c r="O514" s="2"/>
      <c r="P514" s="2"/>
      <c r="Q514" s="2"/>
      <c r="R514" s="2"/>
      <c r="S514" s="2"/>
      <c r="T514" s="2"/>
      <c r="U514" s="2"/>
      <c r="V514" s="2"/>
      <c r="W514" s="158"/>
      <c r="X514" s="2"/>
      <c r="Y514" s="2"/>
      <c r="Z514" s="2"/>
    </row>
    <row r="515" spans="1:26" ht="13.5" customHeight="1">
      <c r="A515" s="2"/>
      <c r="B515" s="2"/>
      <c r="C515" s="2"/>
      <c r="D515" s="2"/>
      <c r="E515" s="2"/>
      <c r="F515" s="2"/>
      <c r="G515" s="2"/>
      <c r="H515" s="2"/>
      <c r="I515" s="2"/>
      <c r="J515" s="2"/>
      <c r="K515" s="2"/>
      <c r="L515" s="2"/>
      <c r="M515" s="2"/>
      <c r="N515" s="2"/>
      <c r="O515" s="2"/>
      <c r="P515" s="2"/>
      <c r="Q515" s="2"/>
      <c r="R515" s="2"/>
      <c r="S515" s="2"/>
      <c r="T515" s="2"/>
      <c r="U515" s="2"/>
      <c r="V515" s="2"/>
      <c r="W515" s="158"/>
      <c r="X515" s="2"/>
      <c r="Y515" s="2"/>
      <c r="Z515" s="2"/>
    </row>
    <row r="516" spans="1:26" ht="13.5" customHeight="1">
      <c r="A516" s="2"/>
      <c r="B516" s="2"/>
      <c r="C516" s="2"/>
      <c r="D516" s="2"/>
      <c r="E516" s="2"/>
      <c r="F516" s="2"/>
      <c r="G516" s="2"/>
      <c r="H516" s="2"/>
      <c r="I516" s="2"/>
      <c r="J516" s="2"/>
      <c r="K516" s="2"/>
      <c r="L516" s="2"/>
      <c r="M516" s="2"/>
      <c r="N516" s="2"/>
      <c r="O516" s="2"/>
      <c r="P516" s="2"/>
      <c r="Q516" s="2"/>
      <c r="R516" s="2"/>
      <c r="S516" s="2"/>
      <c r="T516" s="2"/>
      <c r="U516" s="2"/>
      <c r="V516" s="2"/>
      <c r="W516" s="158"/>
      <c r="X516" s="2"/>
      <c r="Y516" s="2"/>
      <c r="Z516" s="2"/>
    </row>
    <row r="517" spans="1:26" ht="13.5" customHeight="1">
      <c r="A517" s="2"/>
      <c r="B517" s="2"/>
      <c r="C517" s="2"/>
      <c r="D517" s="2"/>
      <c r="E517" s="2"/>
      <c r="F517" s="2"/>
      <c r="G517" s="2"/>
      <c r="H517" s="2"/>
      <c r="I517" s="2"/>
      <c r="J517" s="2"/>
      <c r="K517" s="2"/>
      <c r="L517" s="2"/>
      <c r="M517" s="2"/>
      <c r="N517" s="2"/>
      <c r="O517" s="2"/>
      <c r="P517" s="2"/>
      <c r="Q517" s="2"/>
      <c r="R517" s="2"/>
      <c r="S517" s="2"/>
      <c r="T517" s="2"/>
      <c r="U517" s="2"/>
      <c r="V517" s="2"/>
      <c r="W517" s="158"/>
      <c r="X517" s="2"/>
      <c r="Y517" s="2"/>
      <c r="Z517" s="2"/>
    </row>
    <row r="518" spans="1:26" ht="13.5" customHeight="1">
      <c r="A518" s="2"/>
      <c r="B518" s="2"/>
      <c r="C518" s="2"/>
      <c r="D518" s="2"/>
      <c r="E518" s="2"/>
      <c r="F518" s="2"/>
      <c r="G518" s="2"/>
      <c r="H518" s="2"/>
      <c r="I518" s="2"/>
      <c r="J518" s="2"/>
      <c r="K518" s="2"/>
      <c r="L518" s="2"/>
      <c r="M518" s="2"/>
      <c r="N518" s="2"/>
      <c r="O518" s="2"/>
      <c r="P518" s="2"/>
      <c r="Q518" s="2"/>
      <c r="R518" s="2"/>
      <c r="S518" s="2"/>
      <c r="T518" s="2"/>
      <c r="U518" s="2"/>
      <c r="V518" s="2"/>
      <c r="W518" s="158"/>
      <c r="X518" s="2"/>
      <c r="Y518" s="2"/>
      <c r="Z518" s="2"/>
    </row>
    <row r="519" spans="1:26" ht="13.5" customHeight="1">
      <c r="A519" s="2"/>
      <c r="B519" s="2"/>
      <c r="C519" s="2"/>
      <c r="D519" s="2"/>
      <c r="E519" s="2"/>
      <c r="F519" s="2"/>
      <c r="G519" s="2"/>
      <c r="H519" s="2"/>
      <c r="I519" s="2"/>
      <c r="J519" s="2"/>
      <c r="K519" s="2"/>
      <c r="L519" s="2"/>
      <c r="M519" s="2"/>
      <c r="N519" s="2"/>
      <c r="O519" s="2"/>
      <c r="P519" s="2"/>
      <c r="Q519" s="2"/>
      <c r="R519" s="2"/>
      <c r="S519" s="2"/>
      <c r="T519" s="2"/>
      <c r="U519" s="2"/>
      <c r="V519" s="2"/>
      <c r="W519" s="158"/>
      <c r="X519" s="2"/>
      <c r="Y519" s="2"/>
      <c r="Z519" s="2"/>
    </row>
    <row r="520" spans="1:26" ht="13.5" customHeight="1">
      <c r="A520" s="2"/>
      <c r="B520" s="2"/>
      <c r="C520" s="2"/>
      <c r="D520" s="2"/>
      <c r="E520" s="2"/>
      <c r="F520" s="2"/>
      <c r="G520" s="2"/>
      <c r="H520" s="2"/>
      <c r="I520" s="2"/>
      <c r="J520" s="2"/>
      <c r="K520" s="2"/>
      <c r="L520" s="2"/>
      <c r="M520" s="2"/>
      <c r="N520" s="2"/>
      <c r="O520" s="2"/>
      <c r="P520" s="2"/>
      <c r="Q520" s="2"/>
      <c r="R520" s="2"/>
      <c r="S520" s="2"/>
      <c r="T520" s="2"/>
      <c r="U520" s="2"/>
      <c r="V520" s="2"/>
      <c r="W520" s="158"/>
      <c r="X520" s="2"/>
      <c r="Y520" s="2"/>
      <c r="Z520" s="2"/>
    </row>
    <row r="521" spans="1:26" ht="13.5" customHeight="1">
      <c r="A521" s="2"/>
      <c r="B521" s="2"/>
      <c r="C521" s="2"/>
      <c r="D521" s="2"/>
      <c r="E521" s="2"/>
      <c r="F521" s="2"/>
      <c r="G521" s="2"/>
      <c r="H521" s="2"/>
      <c r="I521" s="2"/>
      <c r="J521" s="2"/>
      <c r="K521" s="2"/>
      <c r="L521" s="2"/>
      <c r="M521" s="2"/>
      <c r="N521" s="2"/>
      <c r="O521" s="2"/>
      <c r="P521" s="2"/>
      <c r="Q521" s="2"/>
      <c r="R521" s="2"/>
      <c r="S521" s="2"/>
      <c r="T521" s="2"/>
      <c r="U521" s="2"/>
      <c r="V521" s="2"/>
      <c r="W521" s="158"/>
      <c r="X521" s="2"/>
      <c r="Y521" s="2"/>
      <c r="Z521" s="2"/>
    </row>
    <row r="522" spans="1:26" ht="13.5" customHeight="1">
      <c r="A522" s="2"/>
      <c r="B522" s="2"/>
      <c r="C522" s="2"/>
      <c r="D522" s="2"/>
      <c r="E522" s="2"/>
      <c r="F522" s="2"/>
      <c r="G522" s="2"/>
      <c r="H522" s="2"/>
      <c r="I522" s="2"/>
      <c r="J522" s="2"/>
      <c r="K522" s="2"/>
      <c r="L522" s="2"/>
      <c r="M522" s="2"/>
      <c r="N522" s="2"/>
      <c r="O522" s="2"/>
      <c r="P522" s="2"/>
      <c r="Q522" s="2"/>
      <c r="R522" s="2"/>
      <c r="S522" s="2"/>
      <c r="T522" s="2"/>
      <c r="U522" s="2"/>
      <c r="V522" s="2"/>
      <c r="W522" s="158"/>
      <c r="X522" s="2"/>
      <c r="Y522" s="2"/>
      <c r="Z522" s="2"/>
    </row>
    <row r="523" spans="1:26" ht="13.5" customHeight="1">
      <c r="A523" s="2"/>
      <c r="B523" s="2"/>
      <c r="C523" s="2"/>
      <c r="D523" s="2"/>
      <c r="E523" s="2"/>
      <c r="F523" s="2"/>
      <c r="G523" s="2"/>
      <c r="H523" s="2"/>
      <c r="I523" s="2"/>
      <c r="J523" s="2"/>
      <c r="K523" s="2"/>
      <c r="L523" s="2"/>
      <c r="M523" s="2"/>
      <c r="N523" s="2"/>
      <c r="O523" s="2"/>
      <c r="P523" s="2"/>
      <c r="Q523" s="2"/>
      <c r="R523" s="2"/>
      <c r="S523" s="2"/>
      <c r="T523" s="2"/>
      <c r="U523" s="2"/>
      <c r="V523" s="2"/>
      <c r="W523" s="158"/>
      <c r="X523" s="2"/>
      <c r="Y523" s="2"/>
      <c r="Z523" s="2"/>
    </row>
    <row r="524" spans="1:26" ht="13.5" customHeight="1">
      <c r="A524" s="2"/>
      <c r="B524" s="2"/>
      <c r="C524" s="2"/>
      <c r="D524" s="2"/>
      <c r="E524" s="2"/>
      <c r="F524" s="2"/>
      <c r="G524" s="2"/>
      <c r="H524" s="2"/>
      <c r="I524" s="2"/>
      <c r="J524" s="2"/>
      <c r="K524" s="2"/>
      <c r="L524" s="2"/>
      <c r="M524" s="2"/>
      <c r="N524" s="2"/>
      <c r="O524" s="2"/>
      <c r="P524" s="2"/>
      <c r="Q524" s="2"/>
      <c r="R524" s="2"/>
      <c r="S524" s="2"/>
      <c r="T524" s="2"/>
      <c r="U524" s="2"/>
      <c r="V524" s="2"/>
      <c r="W524" s="158"/>
      <c r="X524" s="2"/>
      <c r="Y524" s="2"/>
      <c r="Z524" s="2"/>
    </row>
    <row r="525" spans="1:26" ht="13.5" customHeight="1">
      <c r="A525" s="2"/>
      <c r="B525" s="2"/>
      <c r="C525" s="2"/>
      <c r="D525" s="2"/>
      <c r="E525" s="2"/>
      <c r="F525" s="2"/>
      <c r="G525" s="2"/>
      <c r="H525" s="2"/>
      <c r="I525" s="2"/>
      <c r="J525" s="2"/>
      <c r="K525" s="2"/>
      <c r="L525" s="2"/>
      <c r="M525" s="2"/>
      <c r="N525" s="2"/>
      <c r="O525" s="2"/>
      <c r="P525" s="2"/>
      <c r="Q525" s="2"/>
      <c r="R525" s="2"/>
      <c r="S525" s="2"/>
      <c r="T525" s="2"/>
      <c r="U525" s="2"/>
      <c r="V525" s="2"/>
      <c r="W525" s="158"/>
      <c r="X525" s="2"/>
      <c r="Y525" s="2"/>
      <c r="Z525" s="2"/>
    </row>
    <row r="526" spans="1:26" ht="13.5" customHeight="1">
      <c r="A526" s="2"/>
      <c r="B526" s="2"/>
      <c r="C526" s="2"/>
      <c r="D526" s="2"/>
      <c r="E526" s="2"/>
      <c r="F526" s="2"/>
      <c r="G526" s="2"/>
      <c r="H526" s="2"/>
      <c r="I526" s="2"/>
      <c r="J526" s="2"/>
      <c r="K526" s="2"/>
      <c r="L526" s="2"/>
      <c r="M526" s="2"/>
      <c r="N526" s="2"/>
      <c r="O526" s="2"/>
      <c r="P526" s="2"/>
      <c r="Q526" s="2"/>
      <c r="R526" s="2"/>
      <c r="S526" s="2"/>
      <c r="T526" s="2"/>
      <c r="U526" s="2"/>
      <c r="V526" s="2"/>
      <c r="W526" s="158"/>
      <c r="X526" s="2"/>
      <c r="Y526" s="2"/>
      <c r="Z526" s="2"/>
    </row>
    <row r="527" spans="1:26" ht="13.5" customHeight="1">
      <c r="A527" s="2"/>
      <c r="B527" s="2"/>
      <c r="C527" s="2"/>
      <c r="D527" s="2"/>
      <c r="E527" s="2"/>
      <c r="F527" s="2"/>
      <c r="G527" s="2"/>
      <c r="H527" s="2"/>
      <c r="I527" s="2"/>
      <c r="J527" s="2"/>
      <c r="K527" s="2"/>
      <c r="L527" s="2"/>
      <c r="M527" s="2"/>
      <c r="N527" s="2"/>
      <c r="O527" s="2"/>
      <c r="P527" s="2"/>
      <c r="Q527" s="2"/>
      <c r="R527" s="2"/>
      <c r="S527" s="2"/>
      <c r="T527" s="2"/>
      <c r="U527" s="2"/>
      <c r="V527" s="2"/>
      <c r="W527" s="158"/>
      <c r="X527" s="2"/>
      <c r="Y527" s="2"/>
      <c r="Z527" s="2"/>
    </row>
    <row r="528" spans="1:26" ht="13.5" customHeight="1">
      <c r="A528" s="2"/>
      <c r="B528" s="2"/>
      <c r="C528" s="2"/>
      <c r="D528" s="2"/>
      <c r="E528" s="2"/>
      <c r="F528" s="2"/>
      <c r="G528" s="2"/>
      <c r="H528" s="2"/>
      <c r="I528" s="2"/>
      <c r="J528" s="2"/>
      <c r="K528" s="2"/>
      <c r="L528" s="2"/>
      <c r="M528" s="2"/>
      <c r="N528" s="2"/>
      <c r="O528" s="2"/>
      <c r="P528" s="2"/>
      <c r="Q528" s="2"/>
      <c r="R528" s="2"/>
      <c r="S528" s="2"/>
      <c r="T528" s="2"/>
      <c r="U528" s="2"/>
      <c r="V528" s="2"/>
      <c r="W528" s="158"/>
      <c r="X528" s="2"/>
      <c r="Y528" s="2"/>
      <c r="Z528" s="2"/>
    </row>
    <row r="529" spans="1:26" ht="13.5" customHeight="1">
      <c r="A529" s="2"/>
      <c r="B529" s="2"/>
      <c r="C529" s="2"/>
      <c r="D529" s="2"/>
      <c r="E529" s="2"/>
      <c r="F529" s="2"/>
      <c r="G529" s="2"/>
      <c r="H529" s="2"/>
      <c r="I529" s="2"/>
      <c r="J529" s="2"/>
      <c r="K529" s="2"/>
      <c r="L529" s="2"/>
      <c r="M529" s="2"/>
      <c r="N529" s="2"/>
      <c r="O529" s="2"/>
      <c r="P529" s="2"/>
      <c r="Q529" s="2"/>
      <c r="R529" s="2"/>
      <c r="S529" s="2"/>
      <c r="T529" s="2"/>
      <c r="U529" s="2"/>
      <c r="V529" s="2"/>
      <c r="W529" s="158"/>
      <c r="X529" s="2"/>
      <c r="Y529" s="2"/>
      <c r="Z529" s="2"/>
    </row>
    <row r="530" spans="1:26" ht="13.5" customHeight="1">
      <c r="A530" s="2"/>
      <c r="B530" s="2"/>
      <c r="C530" s="2"/>
      <c r="D530" s="2"/>
      <c r="E530" s="2"/>
      <c r="F530" s="2"/>
      <c r="G530" s="2"/>
      <c r="H530" s="2"/>
      <c r="I530" s="2"/>
      <c r="J530" s="2"/>
      <c r="K530" s="2"/>
      <c r="L530" s="2"/>
      <c r="M530" s="2"/>
      <c r="N530" s="2"/>
      <c r="O530" s="2"/>
      <c r="P530" s="2"/>
      <c r="Q530" s="2"/>
      <c r="R530" s="2"/>
      <c r="S530" s="2"/>
      <c r="T530" s="2"/>
      <c r="U530" s="2"/>
      <c r="V530" s="2"/>
      <c r="W530" s="158"/>
      <c r="X530" s="2"/>
      <c r="Y530" s="2"/>
      <c r="Z530" s="2"/>
    </row>
    <row r="531" spans="1:26" ht="13.5" customHeight="1">
      <c r="A531" s="2"/>
      <c r="B531" s="2"/>
      <c r="C531" s="2"/>
      <c r="D531" s="2"/>
      <c r="E531" s="2"/>
      <c r="F531" s="2"/>
      <c r="G531" s="2"/>
      <c r="H531" s="2"/>
      <c r="I531" s="2"/>
      <c r="J531" s="2"/>
      <c r="K531" s="2"/>
      <c r="L531" s="2"/>
      <c r="M531" s="2"/>
      <c r="N531" s="2"/>
      <c r="O531" s="2"/>
      <c r="P531" s="2"/>
      <c r="Q531" s="2"/>
      <c r="R531" s="2"/>
      <c r="S531" s="2"/>
      <c r="T531" s="2"/>
      <c r="U531" s="2"/>
      <c r="V531" s="2"/>
      <c r="W531" s="158"/>
      <c r="X531" s="2"/>
      <c r="Y531" s="2"/>
      <c r="Z531" s="2"/>
    </row>
    <row r="532" spans="1:26" ht="13.5" customHeight="1">
      <c r="A532" s="2"/>
      <c r="B532" s="2"/>
      <c r="C532" s="2"/>
      <c r="D532" s="2"/>
      <c r="E532" s="2"/>
      <c r="F532" s="2"/>
      <c r="G532" s="2"/>
      <c r="H532" s="2"/>
      <c r="I532" s="2"/>
      <c r="J532" s="2"/>
      <c r="K532" s="2"/>
      <c r="L532" s="2"/>
      <c r="M532" s="2"/>
      <c r="N532" s="2"/>
      <c r="O532" s="2"/>
      <c r="P532" s="2"/>
      <c r="Q532" s="2"/>
      <c r="R532" s="2"/>
      <c r="S532" s="2"/>
      <c r="T532" s="2"/>
      <c r="U532" s="2"/>
      <c r="V532" s="2"/>
      <c r="W532" s="158"/>
      <c r="X532" s="2"/>
      <c r="Y532" s="2"/>
      <c r="Z532" s="2"/>
    </row>
    <row r="533" spans="1:26" ht="13.5" customHeight="1">
      <c r="A533" s="2"/>
      <c r="B533" s="2"/>
      <c r="C533" s="2"/>
      <c r="D533" s="2"/>
      <c r="E533" s="2"/>
      <c r="F533" s="2"/>
      <c r="G533" s="2"/>
      <c r="H533" s="2"/>
      <c r="I533" s="2"/>
      <c r="J533" s="2"/>
      <c r="K533" s="2"/>
      <c r="L533" s="2"/>
      <c r="M533" s="2"/>
      <c r="N533" s="2"/>
      <c r="O533" s="2"/>
      <c r="P533" s="2"/>
      <c r="Q533" s="2"/>
      <c r="R533" s="2"/>
      <c r="S533" s="2"/>
      <c r="T533" s="2"/>
      <c r="U533" s="2"/>
      <c r="V533" s="2"/>
      <c r="W533" s="158"/>
      <c r="X533" s="2"/>
      <c r="Y533" s="2"/>
      <c r="Z533" s="2"/>
    </row>
    <row r="534" spans="1:26" ht="13.5" customHeight="1">
      <c r="A534" s="2"/>
      <c r="B534" s="2"/>
      <c r="C534" s="2"/>
      <c r="D534" s="2"/>
      <c r="E534" s="2"/>
      <c r="F534" s="2"/>
      <c r="G534" s="2"/>
      <c r="H534" s="2"/>
      <c r="I534" s="2"/>
      <c r="J534" s="2"/>
      <c r="K534" s="2"/>
      <c r="L534" s="2"/>
      <c r="M534" s="2"/>
      <c r="N534" s="2"/>
      <c r="O534" s="2"/>
      <c r="P534" s="2"/>
      <c r="Q534" s="2"/>
      <c r="R534" s="2"/>
      <c r="S534" s="2"/>
      <c r="T534" s="2"/>
      <c r="U534" s="2"/>
      <c r="V534" s="2"/>
      <c r="W534" s="158"/>
      <c r="X534" s="2"/>
      <c r="Y534" s="2"/>
      <c r="Z534" s="2"/>
    </row>
    <row r="535" spans="1:26" ht="13.5" customHeight="1">
      <c r="A535" s="2"/>
      <c r="B535" s="2"/>
      <c r="C535" s="2"/>
      <c r="D535" s="2"/>
      <c r="E535" s="2"/>
      <c r="F535" s="2"/>
      <c r="G535" s="2"/>
      <c r="H535" s="2"/>
      <c r="I535" s="2"/>
      <c r="J535" s="2"/>
      <c r="K535" s="2"/>
      <c r="L535" s="2"/>
      <c r="M535" s="2"/>
      <c r="N535" s="2"/>
      <c r="O535" s="2"/>
      <c r="P535" s="2"/>
      <c r="Q535" s="2"/>
      <c r="R535" s="2"/>
      <c r="S535" s="2"/>
      <c r="T535" s="2"/>
      <c r="U535" s="2"/>
      <c r="V535" s="2"/>
      <c r="W535" s="158"/>
      <c r="X535" s="2"/>
      <c r="Y535" s="2"/>
      <c r="Z535" s="2"/>
    </row>
    <row r="536" spans="1:26" ht="13.5" customHeight="1">
      <c r="A536" s="2"/>
      <c r="B536" s="2"/>
      <c r="C536" s="2"/>
      <c r="D536" s="2"/>
      <c r="E536" s="2"/>
      <c r="F536" s="2"/>
      <c r="G536" s="2"/>
      <c r="H536" s="2"/>
      <c r="I536" s="2"/>
      <c r="J536" s="2"/>
      <c r="K536" s="2"/>
      <c r="L536" s="2"/>
      <c r="M536" s="2"/>
      <c r="N536" s="2"/>
      <c r="O536" s="2"/>
      <c r="P536" s="2"/>
      <c r="Q536" s="2"/>
      <c r="R536" s="2"/>
      <c r="S536" s="2"/>
      <c r="T536" s="2"/>
      <c r="U536" s="2"/>
      <c r="V536" s="2"/>
      <c r="W536" s="158"/>
      <c r="X536" s="2"/>
      <c r="Y536" s="2"/>
      <c r="Z536" s="2"/>
    </row>
    <row r="537" spans="1:26" ht="13.5" customHeight="1">
      <c r="A537" s="2"/>
      <c r="B537" s="2"/>
      <c r="C537" s="2"/>
      <c r="D537" s="2"/>
      <c r="E537" s="2"/>
      <c r="F537" s="2"/>
      <c r="G537" s="2"/>
      <c r="H537" s="2"/>
      <c r="I537" s="2"/>
      <c r="J537" s="2"/>
      <c r="K537" s="2"/>
      <c r="L537" s="2"/>
      <c r="M537" s="2"/>
      <c r="N537" s="2"/>
      <c r="O537" s="2"/>
      <c r="P537" s="2"/>
      <c r="Q537" s="2"/>
      <c r="R537" s="2"/>
      <c r="S537" s="2"/>
      <c r="T537" s="2"/>
      <c r="U537" s="2"/>
      <c r="V537" s="2"/>
      <c r="W537" s="158"/>
      <c r="X537" s="2"/>
      <c r="Y537" s="2"/>
      <c r="Z537" s="2"/>
    </row>
    <row r="538" spans="1:26" ht="13.5" customHeight="1">
      <c r="A538" s="2"/>
      <c r="B538" s="2"/>
      <c r="C538" s="2"/>
      <c r="D538" s="2"/>
      <c r="E538" s="2"/>
      <c r="F538" s="2"/>
      <c r="G538" s="2"/>
      <c r="H538" s="2"/>
      <c r="I538" s="2"/>
      <c r="J538" s="2"/>
      <c r="K538" s="2"/>
      <c r="L538" s="2"/>
      <c r="M538" s="2"/>
      <c r="N538" s="2"/>
      <c r="O538" s="2"/>
      <c r="P538" s="2"/>
      <c r="Q538" s="2"/>
      <c r="R538" s="2"/>
      <c r="S538" s="2"/>
      <c r="T538" s="2"/>
      <c r="U538" s="2"/>
      <c r="V538" s="2"/>
      <c r="W538" s="158"/>
      <c r="X538" s="2"/>
      <c r="Y538" s="2"/>
      <c r="Z538" s="2"/>
    </row>
    <row r="539" spans="1:26" ht="13.5" customHeight="1">
      <c r="A539" s="2"/>
      <c r="B539" s="2"/>
      <c r="C539" s="2"/>
      <c r="D539" s="2"/>
      <c r="E539" s="2"/>
      <c r="F539" s="2"/>
      <c r="G539" s="2"/>
      <c r="H539" s="2"/>
      <c r="I539" s="2"/>
      <c r="J539" s="2"/>
      <c r="K539" s="2"/>
      <c r="L539" s="2"/>
      <c r="M539" s="2"/>
      <c r="N539" s="2"/>
      <c r="O539" s="2"/>
      <c r="P539" s="2"/>
      <c r="Q539" s="2"/>
      <c r="R539" s="2"/>
      <c r="S539" s="2"/>
      <c r="T539" s="2"/>
      <c r="U539" s="2"/>
      <c r="V539" s="2"/>
      <c r="W539" s="158"/>
      <c r="X539" s="2"/>
      <c r="Y539" s="2"/>
      <c r="Z539" s="2"/>
    </row>
    <row r="540" spans="1:26" ht="13.5" customHeight="1">
      <c r="A540" s="2"/>
      <c r="B540" s="2"/>
      <c r="C540" s="2"/>
      <c r="D540" s="2"/>
      <c r="E540" s="2"/>
      <c r="F540" s="2"/>
      <c r="G540" s="2"/>
      <c r="H540" s="2"/>
      <c r="I540" s="2"/>
      <c r="J540" s="2"/>
      <c r="K540" s="2"/>
      <c r="L540" s="2"/>
      <c r="M540" s="2"/>
      <c r="N540" s="2"/>
      <c r="O540" s="2"/>
      <c r="P540" s="2"/>
      <c r="Q540" s="2"/>
      <c r="R540" s="2"/>
      <c r="S540" s="2"/>
      <c r="T540" s="2"/>
      <c r="U540" s="2"/>
      <c r="V540" s="2"/>
      <c r="W540" s="158"/>
      <c r="X540" s="2"/>
      <c r="Y540" s="2"/>
      <c r="Z540" s="2"/>
    </row>
    <row r="541" spans="1:26" ht="13.5" customHeight="1">
      <c r="A541" s="2"/>
      <c r="B541" s="2"/>
      <c r="C541" s="2"/>
      <c r="D541" s="2"/>
      <c r="E541" s="2"/>
      <c r="F541" s="2"/>
      <c r="G541" s="2"/>
      <c r="H541" s="2"/>
      <c r="I541" s="2"/>
      <c r="J541" s="2"/>
      <c r="K541" s="2"/>
      <c r="L541" s="2"/>
      <c r="M541" s="2"/>
      <c r="N541" s="2"/>
      <c r="O541" s="2"/>
      <c r="P541" s="2"/>
      <c r="Q541" s="2"/>
      <c r="R541" s="2"/>
      <c r="S541" s="2"/>
      <c r="T541" s="2"/>
      <c r="U541" s="2"/>
      <c r="V541" s="2"/>
      <c r="W541" s="158"/>
      <c r="X541" s="2"/>
      <c r="Y541" s="2"/>
      <c r="Z541" s="2"/>
    </row>
    <row r="542" spans="1:26" ht="13.5" customHeight="1">
      <c r="A542" s="2"/>
      <c r="B542" s="2"/>
      <c r="C542" s="2"/>
      <c r="D542" s="2"/>
      <c r="E542" s="2"/>
      <c r="F542" s="2"/>
      <c r="G542" s="2"/>
      <c r="H542" s="2"/>
      <c r="I542" s="2"/>
      <c r="J542" s="2"/>
      <c r="K542" s="2"/>
      <c r="L542" s="2"/>
      <c r="M542" s="2"/>
      <c r="N542" s="2"/>
      <c r="O542" s="2"/>
      <c r="P542" s="2"/>
      <c r="Q542" s="2"/>
      <c r="R542" s="2"/>
      <c r="S542" s="2"/>
      <c r="T542" s="2"/>
      <c r="U542" s="2"/>
      <c r="V542" s="2"/>
      <c r="W542" s="158"/>
      <c r="X542" s="2"/>
      <c r="Y542" s="2"/>
      <c r="Z542" s="2"/>
    </row>
    <row r="543" spans="1:26" ht="13.5" customHeight="1">
      <c r="A543" s="2"/>
      <c r="B543" s="2"/>
      <c r="C543" s="2"/>
      <c r="D543" s="2"/>
      <c r="E543" s="2"/>
      <c r="F543" s="2"/>
      <c r="G543" s="2"/>
      <c r="H543" s="2"/>
      <c r="I543" s="2"/>
      <c r="J543" s="2"/>
      <c r="K543" s="2"/>
      <c r="L543" s="2"/>
      <c r="M543" s="2"/>
      <c r="N543" s="2"/>
      <c r="O543" s="2"/>
      <c r="P543" s="2"/>
      <c r="Q543" s="2"/>
      <c r="R543" s="2"/>
      <c r="S543" s="2"/>
      <c r="T543" s="2"/>
      <c r="U543" s="2"/>
      <c r="V543" s="2"/>
      <c r="W543" s="158"/>
      <c r="X543" s="2"/>
      <c r="Y543" s="2"/>
      <c r="Z543" s="2"/>
    </row>
    <row r="544" spans="1:26" ht="13.5" customHeight="1">
      <c r="A544" s="2"/>
      <c r="B544" s="2"/>
      <c r="C544" s="2"/>
      <c r="D544" s="2"/>
      <c r="E544" s="2"/>
      <c r="F544" s="2"/>
      <c r="G544" s="2"/>
      <c r="H544" s="2"/>
      <c r="I544" s="2"/>
      <c r="J544" s="2"/>
      <c r="K544" s="2"/>
      <c r="L544" s="2"/>
      <c r="M544" s="2"/>
      <c r="N544" s="2"/>
      <c r="O544" s="2"/>
      <c r="P544" s="2"/>
      <c r="Q544" s="2"/>
      <c r="R544" s="2"/>
      <c r="S544" s="2"/>
      <c r="T544" s="2"/>
      <c r="U544" s="2"/>
      <c r="V544" s="2"/>
      <c r="W544" s="158"/>
      <c r="X544" s="2"/>
      <c r="Y544" s="2"/>
      <c r="Z544" s="2"/>
    </row>
    <row r="545" spans="1:26" ht="13.5" customHeight="1">
      <c r="A545" s="2"/>
      <c r="B545" s="2"/>
      <c r="C545" s="2"/>
      <c r="D545" s="2"/>
      <c r="E545" s="2"/>
      <c r="F545" s="2"/>
      <c r="G545" s="2"/>
      <c r="H545" s="2"/>
      <c r="I545" s="2"/>
      <c r="J545" s="2"/>
      <c r="K545" s="2"/>
      <c r="L545" s="2"/>
      <c r="M545" s="2"/>
      <c r="N545" s="2"/>
      <c r="O545" s="2"/>
      <c r="P545" s="2"/>
      <c r="Q545" s="2"/>
      <c r="R545" s="2"/>
      <c r="S545" s="2"/>
      <c r="T545" s="2"/>
      <c r="U545" s="2"/>
      <c r="V545" s="2"/>
      <c r="W545" s="158"/>
      <c r="X545" s="2"/>
      <c r="Y545" s="2"/>
      <c r="Z545" s="2"/>
    </row>
    <row r="546" spans="1:26" ht="13.5" customHeight="1">
      <c r="A546" s="2"/>
      <c r="B546" s="2"/>
      <c r="C546" s="2"/>
      <c r="D546" s="2"/>
      <c r="E546" s="2"/>
      <c r="F546" s="2"/>
      <c r="G546" s="2"/>
      <c r="H546" s="2"/>
      <c r="I546" s="2"/>
      <c r="J546" s="2"/>
      <c r="K546" s="2"/>
      <c r="L546" s="2"/>
      <c r="M546" s="2"/>
      <c r="N546" s="2"/>
      <c r="O546" s="2"/>
      <c r="P546" s="2"/>
      <c r="Q546" s="2"/>
      <c r="R546" s="2"/>
      <c r="S546" s="2"/>
      <c r="T546" s="2"/>
      <c r="U546" s="2"/>
      <c r="V546" s="2"/>
      <c r="W546" s="158"/>
      <c r="X546" s="2"/>
      <c r="Y546" s="2"/>
      <c r="Z546" s="2"/>
    </row>
    <row r="547" spans="1:26" ht="13.5" customHeight="1">
      <c r="A547" s="2"/>
      <c r="B547" s="2"/>
      <c r="C547" s="2"/>
      <c r="D547" s="2"/>
      <c r="E547" s="2"/>
      <c r="F547" s="2"/>
      <c r="G547" s="2"/>
      <c r="H547" s="2"/>
      <c r="I547" s="2"/>
      <c r="J547" s="2"/>
      <c r="K547" s="2"/>
      <c r="L547" s="2"/>
      <c r="M547" s="2"/>
      <c r="N547" s="2"/>
      <c r="O547" s="2"/>
      <c r="P547" s="2"/>
      <c r="Q547" s="2"/>
      <c r="R547" s="2"/>
      <c r="S547" s="2"/>
      <c r="T547" s="2"/>
      <c r="U547" s="2"/>
      <c r="V547" s="2"/>
      <c r="W547" s="158"/>
      <c r="X547" s="2"/>
      <c r="Y547" s="2"/>
      <c r="Z547" s="2"/>
    </row>
    <row r="548" spans="1:26" ht="13.5" customHeight="1">
      <c r="A548" s="2"/>
      <c r="B548" s="2"/>
      <c r="C548" s="2"/>
      <c r="D548" s="2"/>
      <c r="E548" s="2"/>
      <c r="F548" s="2"/>
      <c r="G548" s="2"/>
      <c r="H548" s="2"/>
      <c r="I548" s="2"/>
      <c r="J548" s="2"/>
      <c r="K548" s="2"/>
      <c r="L548" s="2"/>
      <c r="M548" s="2"/>
      <c r="N548" s="2"/>
      <c r="O548" s="2"/>
      <c r="P548" s="2"/>
      <c r="Q548" s="2"/>
      <c r="R548" s="2"/>
      <c r="S548" s="2"/>
      <c r="T548" s="2"/>
      <c r="U548" s="2"/>
      <c r="V548" s="2"/>
      <c r="W548" s="158"/>
      <c r="X548" s="2"/>
      <c r="Y548" s="2"/>
      <c r="Z548" s="2"/>
    </row>
    <row r="549" spans="1:26" ht="13.5" customHeight="1">
      <c r="A549" s="2"/>
      <c r="B549" s="2"/>
      <c r="C549" s="2"/>
      <c r="D549" s="2"/>
      <c r="E549" s="2"/>
      <c r="F549" s="2"/>
      <c r="G549" s="2"/>
      <c r="H549" s="2"/>
      <c r="I549" s="2"/>
      <c r="J549" s="2"/>
      <c r="K549" s="2"/>
      <c r="L549" s="2"/>
      <c r="M549" s="2"/>
      <c r="N549" s="2"/>
      <c r="O549" s="2"/>
      <c r="P549" s="2"/>
      <c r="Q549" s="2"/>
      <c r="R549" s="2"/>
      <c r="S549" s="2"/>
      <c r="T549" s="2"/>
      <c r="U549" s="2"/>
      <c r="V549" s="2"/>
      <c r="W549" s="158"/>
      <c r="X549" s="2"/>
      <c r="Y549" s="2"/>
      <c r="Z549" s="2"/>
    </row>
    <row r="550" spans="1:26" ht="13.5" customHeight="1">
      <c r="A550" s="2"/>
      <c r="B550" s="2"/>
      <c r="C550" s="2"/>
      <c r="D550" s="2"/>
      <c r="E550" s="2"/>
      <c r="F550" s="2"/>
      <c r="G550" s="2"/>
      <c r="H550" s="2"/>
      <c r="I550" s="2"/>
      <c r="J550" s="2"/>
      <c r="K550" s="2"/>
      <c r="L550" s="2"/>
      <c r="M550" s="2"/>
      <c r="N550" s="2"/>
      <c r="O550" s="2"/>
      <c r="P550" s="2"/>
      <c r="Q550" s="2"/>
      <c r="R550" s="2"/>
      <c r="S550" s="2"/>
      <c r="T550" s="2"/>
      <c r="U550" s="2"/>
      <c r="V550" s="2"/>
      <c r="W550" s="158"/>
      <c r="X550" s="2"/>
      <c r="Y550" s="2"/>
      <c r="Z550" s="2"/>
    </row>
    <row r="551" spans="1:26" ht="13.5" customHeight="1">
      <c r="A551" s="2"/>
      <c r="B551" s="2"/>
      <c r="C551" s="2"/>
      <c r="D551" s="2"/>
      <c r="E551" s="2"/>
      <c r="F551" s="2"/>
      <c r="G551" s="2"/>
      <c r="H551" s="2"/>
      <c r="I551" s="2"/>
      <c r="J551" s="2"/>
      <c r="K551" s="2"/>
      <c r="L551" s="2"/>
      <c r="M551" s="2"/>
      <c r="N551" s="2"/>
      <c r="O551" s="2"/>
      <c r="P551" s="2"/>
      <c r="Q551" s="2"/>
      <c r="R551" s="2"/>
      <c r="S551" s="2"/>
      <c r="T551" s="2"/>
      <c r="U551" s="2"/>
      <c r="V551" s="2"/>
      <c r="W551" s="158"/>
      <c r="X551" s="2"/>
      <c r="Y551" s="2"/>
      <c r="Z551" s="2"/>
    </row>
    <row r="552" spans="1:26" ht="13.5" customHeight="1">
      <c r="A552" s="2"/>
      <c r="B552" s="2"/>
      <c r="C552" s="2"/>
      <c r="D552" s="2"/>
      <c r="E552" s="2"/>
      <c r="F552" s="2"/>
      <c r="G552" s="2"/>
      <c r="H552" s="2"/>
      <c r="I552" s="2"/>
      <c r="J552" s="2"/>
      <c r="K552" s="2"/>
      <c r="L552" s="2"/>
      <c r="M552" s="2"/>
      <c r="N552" s="2"/>
      <c r="O552" s="2"/>
      <c r="P552" s="2"/>
      <c r="Q552" s="2"/>
      <c r="R552" s="2"/>
      <c r="S552" s="2"/>
      <c r="T552" s="2"/>
      <c r="U552" s="2"/>
      <c r="V552" s="2"/>
      <c r="W552" s="158"/>
      <c r="X552" s="2"/>
      <c r="Y552" s="2"/>
      <c r="Z552" s="2"/>
    </row>
    <row r="553" spans="1:26" ht="13.5" customHeight="1">
      <c r="A553" s="2"/>
      <c r="B553" s="2"/>
      <c r="C553" s="2"/>
      <c r="D553" s="2"/>
      <c r="E553" s="2"/>
      <c r="F553" s="2"/>
      <c r="G553" s="2"/>
      <c r="H553" s="2"/>
      <c r="I553" s="2"/>
      <c r="J553" s="2"/>
      <c r="K553" s="2"/>
      <c r="L553" s="2"/>
      <c r="M553" s="2"/>
      <c r="N553" s="2"/>
      <c r="O553" s="2"/>
      <c r="P553" s="2"/>
      <c r="Q553" s="2"/>
      <c r="R553" s="2"/>
      <c r="S553" s="2"/>
      <c r="T553" s="2"/>
      <c r="U553" s="2"/>
      <c r="V553" s="2"/>
      <c r="W553" s="158"/>
      <c r="X553" s="2"/>
      <c r="Y553" s="2"/>
      <c r="Z553" s="2"/>
    </row>
    <row r="554" spans="1:26" ht="13.5" customHeight="1">
      <c r="A554" s="2"/>
      <c r="B554" s="2"/>
      <c r="C554" s="2"/>
      <c r="D554" s="2"/>
      <c r="E554" s="2"/>
      <c r="F554" s="2"/>
      <c r="G554" s="2"/>
      <c r="H554" s="2"/>
      <c r="I554" s="2"/>
      <c r="J554" s="2"/>
      <c r="K554" s="2"/>
      <c r="L554" s="2"/>
      <c r="M554" s="2"/>
      <c r="N554" s="2"/>
      <c r="O554" s="2"/>
      <c r="P554" s="2"/>
      <c r="Q554" s="2"/>
      <c r="R554" s="2"/>
      <c r="S554" s="2"/>
      <c r="T554" s="2"/>
      <c r="U554" s="2"/>
      <c r="V554" s="2"/>
      <c r="W554" s="158"/>
      <c r="X554" s="2"/>
      <c r="Y554" s="2"/>
      <c r="Z554" s="2"/>
    </row>
    <row r="555" spans="1:26" ht="13.5" customHeight="1">
      <c r="A555" s="2"/>
      <c r="B555" s="2"/>
      <c r="C555" s="2"/>
      <c r="D555" s="2"/>
      <c r="E555" s="2"/>
      <c r="F555" s="2"/>
      <c r="G555" s="2"/>
      <c r="H555" s="2"/>
      <c r="I555" s="2"/>
      <c r="J555" s="2"/>
      <c r="K555" s="2"/>
      <c r="L555" s="2"/>
      <c r="M555" s="2"/>
      <c r="N555" s="2"/>
      <c r="O555" s="2"/>
      <c r="P555" s="2"/>
      <c r="Q555" s="2"/>
      <c r="R555" s="2"/>
      <c r="S555" s="2"/>
      <c r="T555" s="2"/>
      <c r="U555" s="2"/>
      <c r="V555" s="2"/>
      <c r="W555" s="158"/>
      <c r="X555" s="2"/>
      <c r="Y555" s="2"/>
      <c r="Z555" s="2"/>
    </row>
    <row r="556" spans="1:26" ht="13.5" customHeight="1">
      <c r="A556" s="2"/>
      <c r="B556" s="2"/>
      <c r="C556" s="2"/>
      <c r="D556" s="2"/>
      <c r="E556" s="2"/>
      <c r="F556" s="2"/>
      <c r="G556" s="2"/>
      <c r="H556" s="2"/>
      <c r="I556" s="2"/>
      <c r="J556" s="2"/>
      <c r="K556" s="2"/>
      <c r="L556" s="2"/>
      <c r="M556" s="2"/>
      <c r="N556" s="2"/>
      <c r="O556" s="2"/>
      <c r="P556" s="2"/>
      <c r="Q556" s="2"/>
      <c r="R556" s="2"/>
      <c r="S556" s="2"/>
      <c r="T556" s="2"/>
      <c r="U556" s="2"/>
      <c r="V556" s="2"/>
      <c r="W556" s="158"/>
      <c r="X556" s="2"/>
      <c r="Y556" s="2"/>
      <c r="Z556" s="2"/>
    </row>
    <row r="557" spans="1:26" ht="13.5" customHeight="1">
      <c r="A557" s="2"/>
      <c r="B557" s="2"/>
      <c r="C557" s="2"/>
      <c r="D557" s="2"/>
      <c r="E557" s="2"/>
      <c r="F557" s="2"/>
      <c r="G557" s="2"/>
      <c r="H557" s="2"/>
      <c r="I557" s="2"/>
      <c r="J557" s="2"/>
      <c r="K557" s="2"/>
      <c r="L557" s="2"/>
      <c r="M557" s="2"/>
      <c r="N557" s="2"/>
      <c r="O557" s="2"/>
      <c r="P557" s="2"/>
      <c r="Q557" s="2"/>
      <c r="R557" s="2"/>
      <c r="S557" s="2"/>
      <c r="T557" s="2"/>
      <c r="U557" s="2"/>
      <c r="V557" s="2"/>
      <c r="W557" s="158"/>
      <c r="X557" s="2"/>
      <c r="Y557" s="2"/>
      <c r="Z557" s="2"/>
    </row>
    <row r="558" spans="1:26" ht="13.5" customHeight="1">
      <c r="A558" s="2"/>
      <c r="B558" s="2"/>
      <c r="C558" s="2"/>
      <c r="D558" s="2"/>
      <c r="E558" s="2"/>
      <c r="F558" s="2"/>
      <c r="G558" s="2"/>
      <c r="H558" s="2"/>
      <c r="I558" s="2"/>
      <c r="J558" s="2"/>
      <c r="K558" s="2"/>
      <c r="L558" s="2"/>
      <c r="M558" s="2"/>
      <c r="N558" s="2"/>
      <c r="O558" s="2"/>
      <c r="P558" s="2"/>
      <c r="Q558" s="2"/>
      <c r="R558" s="2"/>
      <c r="S558" s="2"/>
      <c r="T558" s="2"/>
      <c r="U558" s="2"/>
      <c r="V558" s="2"/>
      <c r="W558" s="158"/>
      <c r="X558" s="2"/>
      <c r="Y558" s="2"/>
      <c r="Z558" s="2"/>
    </row>
    <row r="559" spans="1:26" ht="13.5" customHeight="1">
      <c r="A559" s="2"/>
      <c r="B559" s="2"/>
      <c r="C559" s="2"/>
      <c r="D559" s="2"/>
      <c r="E559" s="2"/>
      <c r="F559" s="2"/>
      <c r="G559" s="2"/>
      <c r="H559" s="2"/>
      <c r="I559" s="2"/>
      <c r="J559" s="2"/>
      <c r="K559" s="2"/>
      <c r="L559" s="2"/>
      <c r="M559" s="2"/>
      <c r="N559" s="2"/>
      <c r="O559" s="2"/>
      <c r="P559" s="2"/>
      <c r="Q559" s="2"/>
      <c r="R559" s="2"/>
      <c r="S559" s="2"/>
      <c r="T559" s="2"/>
      <c r="U559" s="2"/>
      <c r="V559" s="2"/>
      <c r="W559" s="158"/>
      <c r="X559" s="2"/>
      <c r="Y559" s="2"/>
      <c r="Z559" s="2"/>
    </row>
    <row r="560" spans="1:26" ht="13.5" customHeight="1">
      <c r="A560" s="2"/>
      <c r="B560" s="2"/>
      <c r="C560" s="2"/>
      <c r="D560" s="2"/>
      <c r="E560" s="2"/>
      <c r="F560" s="2"/>
      <c r="G560" s="2"/>
      <c r="H560" s="2"/>
      <c r="I560" s="2"/>
      <c r="J560" s="2"/>
      <c r="K560" s="2"/>
      <c r="L560" s="2"/>
      <c r="M560" s="2"/>
      <c r="N560" s="2"/>
      <c r="O560" s="2"/>
      <c r="P560" s="2"/>
      <c r="Q560" s="2"/>
      <c r="R560" s="2"/>
      <c r="S560" s="2"/>
      <c r="T560" s="2"/>
      <c r="U560" s="2"/>
      <c r="V560" s="2"/>
      <c r="W560" s="158"/>
      <c r="X560" s="2"/>
      <c r="Y560" s="2"/>
      <c r="Z560" s="2"/>
    </row>
    <row r="561" spans="1:26" ht="13.5" customHeight="1">
      <c r="A561" s="2"/>
      <c r="B561" s="2"/>
      <c r="C561" s="2"/>
      <c r="D561" s="2"/>
      <c r="E561" s="2"/>
      <c r="F561" s="2"/>
      <c r="G561" s="2"/>
      <c r="H561" s="2"/>
      <c r="I561" s="2"/>
      <c r="J561" s="2"/>
      <c r="K561" s="2"/>
      <c r="L561" s="2"/>
      <c r="M561" s="2"/>
      <c r="N561" s="2"/>
      <c r="O561" s="2"/>
      <c r="P561" s="2"/>
      <c r="Q561" s="2"/>
      <c r="R561" s="2"/>
      <c r="S561" s="2"/>
      <c r="T561" s="2"/>
      <c r="U561" s="2"/>
      <c r="V561" s="2"/>
      <c r="W561" s="158"/>
      <c r="X561" s="2"/>
      <c r="Y561" s="2"/>
      <c r="Z561" s="2"/>
    </row>
    <row r="562" spans="1:26" ht="13.5" customHeight="1">
      <c r="A562" s="2"/>
      <c r="B562" s="2"/>
      <c r="C562" s="2"/>
      <c r="D562" s="2"/>
      <c r="E562" s="2"/>
      <c r="F562" s="2"/>
      <c r="G562" s="2"/>
      <c r="H562" s="2"/>
      <c r="I562" s="2"/>
      <c r="J562" s="2"/>
      <c r="K562" s="2"/>
      <c r="L562" s="2"/>
      <c r="M562" s="2"/>
      <c r="N562" s="2"/>
      <c r="O562" s="2"/>
      <c r="P562" s="2"/>
      <c r="Q562" s="2"/>
      <c r="R562" s="2"/>
      <c r="S562" s="2"/>
      <c r="T562" s="2"/>
      <c r="U562" s="2"/>
      <c r="V562" s="2"/>
      <c r="W562" s="158"/>
      <c r="X562" s="2"/>
      <c r="Y562" s="2"/>
      <c r="Z562" s="2"/>
    </row>
    <row r="563" spans="1:26" ht="13.5" customHeight="1">
      <c r="A563" s="2"/>
      <c r="B563" s="2"/>
      <c r="C563" s="2"/>
      <c r="D563" s="2"/>
      <c r="E563" s="2"/>
      <c r="F563" s="2"/>
      <c r="G563" s="2"/>
      <c r="H563" s="2"/>
      <c r="I563" s="2"/>
      <c r="J563" s="2"/>
      <c r="K563" s="2"/>
      <c r="L563" s="2"/>
      <c r="M563" s="2"/>
      <c r="N563" s="2"/>
      <c r="O563" s="2"/>
      <c r="P563" s="2"/>
      <c r="Q563" s="2"/>
      <c r="R563" s="2"/>
      <c r="S563" s="2"/>
      <c r="T563" s="2"/>
      <c r="U563" s="2"/>
      <c r="V563" s="2"/>
      <c r="W563" s="158"/>
      <c r="X563" s="2"/>
      <c r="Y563" s="2"/>
      <c r="Z563" s="2"/>
    </row>
    <row r="564" spans="1:26" ht="13.5" customHeight="1">
      <c r="A564" s="2"/>
      <c r="B564" s="2"/>
      <c r="C564" s="2"/>
      <c r="D564" s="2"/>
      <c r="E564" s="2"/>
      <c r="F564" s="2"/>
      <c r="G564" s="2"/>
      <c r="H564" s="2"/>
      <c r="I564" s="2"/>
      <c r="J564" s="2"/>
      <c r="K564" s="2"/>
      <c r="L564" s="2"/>
      <c r="M564" s="2"/>
      <c r="N564" s="2"/>
      <c r="O564" s="2"/>
      <c r="P564" s="2"/>
      <c r="Q564" s="2"/>
      <c r="R564" s="2"/>
      <c r="S564" s="2"/>
      <c r="T564" s="2"/>
      <c r="U564" s="2"/>
      <c r="V564" s="2"/>
      <c r="W564" s="158"/>
      <c r="X564" s="2"/>
      <c r="Y564" s="2"/>
      <c r="Z564" s="2"/>
    </row>
    <row r="565" spans="1:26" ht="13.5" customHeight="1">
      <c r="A565" s="2"/>
      <c r="B565" s="2"/>
      <c r="C565" s="2"/>
      <c r="D565" s="2"/>
      <c r="E565" s="2"/>
      <c r="F565" s="2"/>
      <c r="G565" s="2"/>
      <c r="H565" s="2"/>
      <c r="I565" s="2"/>
      <c r="J565" s="2"/>
      <c r="K565" s="2"/>
      <c r="L565" s="2"/>
      <c r="M565" s="2"/>
      <c r="N565" s="2"/>
      <c r="O565" s="2"/>
      <c r="P565" s="2"/>
      <c r="Q565" s="2"/>
      <c r="R565" s="2"/>
      <c r="S565" s="2"/>
      <c r="T565" s="2"/>
      <c r="U565" s="2"/>
      <c r="V565" s="2"/>
      <c r="W565" s="158"/>
      <c r="X565" s="2"/>
      <c r="Y565" s="2"/>
      <c r="Z565" s="2"/>
    </row>
    <row r="566" spans="1:26" ht="13.5" customHeight="1">
      <c r="A566" s="2"/>
      <c r="B566" s="2"/>
      <c r="C566" s="2"/>
      <c r="D566" s="2"/>
      <c r="E566" s="2"/>
      <c r="F566" s="2"/>
      <c r="G566" s="2"/>
      <c r="H566" s="2"/>
      <c r="I566" s="2"/>
      <c r="J566" s="2"/>
      <c r="K566" s="2"/>
      <c r="L566" s="2"/>
      <c r="M566" s="2"/>
      <c r="N566" s="2"/>
      <c r="O566" s="2"/>
      <c r="P566" s="2"/>
      <c r="Q566" s="2"/>
      <c r="R566" s="2"/>
      <c r="S566" s="2"/>
      <c r="T566" s="2"/>
      <c r="U566" s="2"/>
      <c r="V566" s="2"/>
      <c r="W566" s="158"/>
      <c r="X566" s="2"/>
      <c r="Y566" s="2"/>
      <c r="Z566" s="2"/>
    </row>
    <row r="567" spans="1:26" ht="13.5" customHeight="1">
      <c r="A567" s="2"/>
      <c r="B567" s="2"/>
      <c r="C567" s="2"/>
      <c r="D567" s="2"/>
      <c r="E567" s="2"/>
      <c r="F567" s="2"/>
      <c r="G567" s="2"/>
      <c r="H567" s="2"/>
      <c r="I567" s="2"/>
      <c r="J567" s="2"/>
      <c r="K567" s="2"/>
      <c r="L567" s="2"/>
      <c r="M567" s="2"/>
      <c r="N567" s="2"/>
      <c r="O567" s="2"/>
      <c r="P567" s="2"/>
      <c r="Q567" s="2"/>
      <c r="R567" s="2"/>
      <c r="S567" s="2"/>
      <c r="T567" s="2"/>
      <c r="U567" s="2"/>
      <c r="V567" s="2"/>
      <c r="W567" s="158"/>
      <c r="X567" s="2"/>
      <c r="Y567" s="2"/>
      <c r="Z567" s="2"/>
    </row>
    <row r="568" spans="1:26" ht="13.5" customHeight="1">
      <c r="A568" s="2"/>
      <c r="B568" s="2"/>
      <c r="C568" s="2"/>
      <c r="D568" s="2"/>
      <c r="E568" s="2"/>
      <c r="F568" s="2"/>
      <c r="G568" s="2"/>
      <c r="H568" s="2"/>
      <c r="I568" s="2"/>
      <c r="J568" s="2"/>
      <c r="K568" s="2"/>
      <c r="L568" s="2"/>
      <c r="M568" s="2"/>
      <c r="N568" s="2"/>
      <c r="O568" s="2"/>
      <c r="P568" s="2"/>
      <c r="Q568" s="2"/>
      <c r="R568" s="2"/>
      <c r="S568" s="2"/>
      <c r="T568" s="2"/>
      <c r="U568" s="2"/>
      <c r="V568" s="2"/>
      <c r="W568" s="158"/>
      <c r="X568" s="2"/>
      <c r="Y568" s="2"/>
      <c r="Z568" s="2"/>
    </row>
    <row r="569" spans="1:26" ht="13.5" customHeight="1">
      <c r="A569" s="2"/>
      <c r="B569" s="2"/>
      <c r="C569" s="2"/>
      <c r="D569" s="2"/>
      <c r="E569" s="2"/>
      <c r="F569" s="2"/>
      <c r="G569" s="2"/>
      <c r="H569" s="2"/>
      <c r="I569" s="2"/>
      <c r="J569" s="2"/>
      <c r="K569" s="2"/>
      <c r="L569" s="2"/>
      <c r="M569" s="2"/>
      <c r="N569" s="2"/>
      <c r="O569" s="2"/>
      <c r="P569" s="2"/>
      <c r="Q569" s="2"/>
      <c r="R569" s="2"/>
      <c r="S569" s="2"/>
      <c r="T569" s="2"/>
      <c r="U569" s="2"/>
      <c r="V569" s="2"/>
      <c r="W569" s="158"/>
      <c r="X569" s="2"/>
      <c r="Y569" s="2"/>
      <c r="Z569" s="2"/>
    </row>
    <row r="570" spans="1:26" ht="13.5" customHeight="1">
      <c r="A570" s="2"/>
      <c r="B570" s="2"/>
      <c r="C570" s="2"/>
      <c r="D570" s="2"/>
      <c r="E570" s="2"/>
      <c r="F570" s="2"/>
      <c r="G570" s="2"/>
      <c r="H570" s="2"/>
      <c r="I570" s="2"/>
      <c r="J570" s="2"/>
      <c r="K570" s="2"/>
      <c r="L570" s="2"/>
      <c r="M570" s="2"/>
      <c r="N570" s="2"/>
      <c r="O570" s="2"/>
      <c r="P570" s="2"/>
      <c r="Q570" s="2"/>
      <c r="R570" s="2"/>
      <c r="S570" s="2"/>
      <c r="T570" s="2"/>
      <c r="U570" s="2"/>
      <c r="V570" s="2"/>
      <c r="W570" s="158"/>
      <c r="X570" s="2"/>
      <c r="Y570" s="2"/>
      <c r="Z570" s="2"/>
    </row>
    <row r="571" spans="1:26" ht="13.5" customHeight="1">
      <c r="A571" s="2"/>
      <c r="B571" s="2"/>
      <c r="C571" s="2"/>
      <c r="D571" s="2"/>
      <c r="E571" s="2"/>
      <c r="F571" s="2"/>
      <c r="G571" s="2"/>
      <c r="H571" s="2"/>
      <c r="I571" s="2"/>
      <c r="J571" s="2"/>
      <c r="K571" s="2"/>
      <c r="L571" s="2"/>
      <c r="M571" s="2"/>
      <c r="N571" s="2"/>
      <c r="O571" s="2"/>
      <c r="P571" s="2"/>
      <c r="Q571" s="2"/>
      <c r="R571" s="2"/>
      <c r="S571" s="2"/>
      <c r="T571" s="2"/>
      <c r="U571" s="2"/>
      <c r="V571" s="2"/>
      <c r="W571" s="158"/>
      <c r="X571" s="2"/>
      <c r="Y571" s="2"/>
      <c r="Z571" s="2"/>
    </row>
    <row r="572" spans="1:26" ht="13.5" customHeight="1">
      <c r="A572" s="2"/>
      <c r="B572" s="2"/>
      <c r="C572" s="2"/>
      <c r="D572" s="2"/>
      <c r="E572" s="2"/>
      <c r="F572" s="2"/>
      <c r="G572" s="2"/>
      <c r="H572" s="2"/>
      <c r="I572" s="2"/>
      <c r="J572" s="2"/>
      <c r="K572" s="2"/>
      <c r="L572" s="2"/>
      <c r="M572" s="2"/>
      <c r="N572" s="2"/>
      <c r="O572" s="2"/>
      <c r="P572" s="2"/>
      <c r="Q572" s="2"/>
      <c r="R572" s="2"/>
      <c r="S572" s="2"/>
      <c r="T572" s="2"/>
      <c r="U572" s="2"/>
      <c r="V572" s="2"/>
      <c r="W572" s="158"/>
      <c r="X572" s="2"/>
      <c r="Y572" s="2"/>
      <c r="Z572" s="2"/>
    </row>
    <row r="573" spans="1:26" ht="13.5" customHeight="1">
      <c r="A573" s="2"/>
      <c r="B573" s="2"/>
      <c r="C573" s="2"/>
      <c r="D573" s="2"/>
      <c r="E573" s="2"/>
      <c r="F573" s="2"/>
      <c r="G573" s="2"/>
      <c r="H573" s="2"/>
      <c r="I573" s="2"/>
      <c r="J573" s="2"/>
      <c r="K573" s="2"/>
      <c r="L573" s="2"/>
      <c r="M573" s="2"/>
      <c r="N573" s="2"/>
      <c r="O573" s="2"/>
      <c r="P573" s="2"/>
      <c r="Q573" s="2"/>
      <c r="R573" s="2"/>
      <c r="S573" s="2"/>
      <c r="T573" s="2"/>
      <c r="U573" s="2"/>
      <c r="V573" s="2"/>
      <c r="W573" s="158"/>
      <c r="X573" s="2"/>
      <c r="Y573" s="2"/>
      <c r="Z573" s="2"/>
    </row>
    <row r="574" spans="1:26" ht="13.5" customHeight="1">
      <c r="A574" s="2"/>
      <c r="B574" s="2"/>
      <c r="C574" s="2"/>
      <c r="D574" s="2"/>
      <c r="E574" s="2"/>
      <c r="F574" s="2"/>
      <c r="G574" s="2"/>
      <c r="H574" s="2"/>
      <c r="I574" s="2"/>
      <c r="J574" s="2"/>
      <c r="K574" s="2"/>
      <c r="L574" s="2"/>
      <c r="M574" s="2"/>
      <c r="N574" s="2"/>
      <c r="O574" s="2"/>
      <c r="P574" s="2"/>
      <c r="Q574" s="2"/>
      <c r="R574" s="2"/>
      <c r="S574" s="2"/>
      <c r="T574" s="2"/>
      <c r="U574" s="2"/>
      <c r="V574" s="2"/>
      <c r="W574" s="158"/>
      <c r="X574" s="2"/>
      <c r="Y574" s="2"/>
      <c r="Z574" s="2"/>
    </row>
    <row r="575" spans="1:26" ht="13.5" customHeight="1">
      <c r="A575" s="2"/>
      <c r="B575" s="2"/>
      <c r="C575" s="2"/>
      <c r="D575" s="2"/>
      <c r="E575" s="2"/>
      <c r="F575" s="2"/>
      <c r="G575" s="2"/>
      <c r="H575" s="2"/>
      <c r="I575" s="2"/>
      <c r="J575" s="2"/>
      <c r="K575" s="2"/>
      <c r="L575" s="2"/>
      <c r="M575" s="2"/>
      <c r="N575" s="2"/>
      <c r="O575" s="2"/>
      <c r="P575" s="2"/>
      <c r="Q575" s="2"/>
      <c r="R575" s="2"/>
      <c r="S575" s="2"/>
      <c r="T575" s="2"/>
      <c r="U575" s="2"/>
      <c r="V575" s="2"/>
      <c r="W575" s="158"/>
      <c r="X575" s="2"/>
      <c r="Y575" s="2"/>
      <c r="Z575" s="2"/>
    </row>
    <row r="576" spans="1:26" ht="13.5" customHeight="1">
      <c r="A576" s="2"/>
      <c r="B576" s="2"/>
      <c r="C576" s="2"/>
      <c r="D576" s="2"/>
      <c r="E576" s="2"/>
      <c r="F576" s="2"/>
      <c r="G576" s="2"/>
      <c r="H576" s="2"/>
      <c r="I576" s="2"/>
      <c r="J576" s="2"/>
      <c r="K576" s="2"/>
      <c r="L576" s="2"/>
      <c r="M576" s="2"/>
      <c r="N576" s="2"/>
      <c r="O576" s="2"/>
      <c r="P576" s="2"/>
      <c r="Q576" s="2"/>
      <c r="R576" s="2"/>
      <c r="S576" s="2"/>
      <c r="T576" s="2"/>
      <c r="U576" s="2"/>
      <c r="V576" s="2"/>
      <c r="W576" s="158"/>
      <c r="X576" s="2"/>
      <c r="Y576" s="2"/>
      <c r="Z576" s="2"/>
    </row>
    <row r="577" spans="1:26" ht="13.5" customHeight="1">
      <c r="A577" s="2"/>
      <c r="B577" s="2"/>
      <c r="C577" s="2"/>
      <c r="D577" s="2"/>
      <c r="E577" s="2"/>
      <c r="F577" s="2"/>
      <c r="G577" s="2"/>
      <c r="H577" s="2"/>
      <c r="I577" s="2"/>
      <c r="J577" s="2"/>
      <c r="K577" s="2"/>
      <c r="L577" s="2"/>
      <c r="M577" s="2"/>
      <c r="N577" s="2"/>
      <c r="O577" s="2"/>
      <c r="P577" s="2"/>
      <c r="Q577" s="2"/>
      <c r="R577" s="2"/>
      <c r="S577" s="2"/>
      <c r="T577" s="2"/>
      <c r="U577" s="2"/>
      <c r="V577" s="2"/>
      <c r="W577" s="158"/>
      <c r="X577" s="2"/>
      <c r="Y577" s="2"/>
      <c r="Z577" s="2"/>
    </row>
    <row r="578" spans="1:26" ht="13.5" customHeight="1">
      <c r="A578" s="2"/>
      <c r="B578" s="2"/>
      <c r="C578" s="2"/>
      <c r="D578" s="2"/>
      <c r="E578" s="2"/>
      <c r="F578" s="2"/>
      <c r="G578" s="2"/>
      <c r="H578" s="2"/>
      <c r="I578" s="2"/>
      <c r="J578" s="2"/>
      <c r="K578" s="2"/>
      <c r="L578" s="2"/>
      <c r="M578" s="2"/>
      <c r="N578" s="2"/>
      <c r="O578" s="2"/>
      <c r="P578" s="2"/>
      <c r="Q578" s="2"/>
      <c r="R578" s="2"/>
      <c r="S578" s="2"/>
      <c r="T578" s="2"/>
      <c r="U578" s="2"/>
      <c r="V578" s="2"/>
      <c r="W578" s="158"/>
      <c r="X578" s="2"/>
      <c r="Y578" s="2"/>
      <c r="Z578" s="2"/>
    </row>
    <row r="579" spans="1:26" ht="13.5" customHeight="1">
      <c r="A579" s="2"/>
      <c r="B579" s="2"/>
      <c r="C579" s="2"/>
      <c r="D579" s="2"/>
      <c r="E579" s="2"/>
      <c r="F579" s="2"/>
      <c r="G579" s="2"/>
      <c r="H579" s="2"/>
      <c r="I579" s="2"/>
      <c r="J579" s="2"/>
      <c r="K579" s="2"/>
      <c r="L579" s="2"/>
      <c r="M579" s="2"/>
      <c r="N579" s="2"/>
      <c r="O579" s="2"/>
      <c r="P579" s="2"/>
      <c r="Q579" s="2"/>
      <c r="R579" s="2"/>
      <c r="S579" s="2"/>
      <c r="T579" s="2"/>
      <c r="U579" s="2"/>
      <c r="V579" s="2"/>
      <c r="W579" s="158"/>
      <c r="X579" s="2"/>
      <c r="Y579" s="2"/>
      <c r="Z579" s="2"/>
    </row>
    <row r="580" spans="1:26" ht="13.5" customHeight="1">
      <c r="A580" s="2"/>
      <c r="B580" s="2"/>
      <c r="C580" s="2"/>
      <c r="D580" s="2"/>
      <c r="E580" s="2"/>
      <c r="F580" s="2"/>
      <c r="G580" s="2"/>
      <c r="H580" s="2"/>
      <c r="I580" s="2"/>
      <c r="J580" s="2"/>
      <c r="K580" s="2"/>
      <c r="L580" s="2"/>
      <c r="M580" s="2"/>
      <c r="N580" s="2"/>
      <c r="O580" s="2"/>
      <c r="P580" s="2"/>
      <c r="Q580" s="2"/>
      <c r="R580" s="2"/>
      <c r="S580" s="2"/>
      <c r="T580" s="2"/>
      <c r="U580" s="2"/>
      <c r="V580" s="2"/>
      <c r="W580" s="158"/>
      <c r="X580" s="2"/>
      <c r="Y580" s="2"/>
      <c r="Z580" s="2"/>
    </row>
    <row r="581" spans="1:26" ht="13.5" customHeight="1">
      <c r="A581" s="2"/>
      <c r="B581" s="2"/>
      <c r="C581" s="2"/>
      <c r="D581" s="2"/>
      <c r="E581" s="2"/>
      <c r="F581" s="2"/>
      <c r="G581" s="2"/>
      <c r="H581" s="2"/>
      <c r="I581" s="2"/>
      <c r="J581" s="2"/>
      <c r="K581" s="2"/>
      <c r="L581" s="2"/>
      <c r="M581" s="2"/>
      <c r="N581" s="2"/>
      <c r="O581" s="2"/>
      <c r="P581" s="2"/>
      <c r="Q581" s="2"/>
      <c r="R581" s="2"/>
      <c r="S581" s="2"/>
      <c r="T581" s="2"/>
      <c r="U581" s="2"/>
      <c r="V581" s="2"/>
      <c r="W581" s="158"/>
      <c r="X581" s="2"/>
      <c r="Y581" s="2"/>
      <c r="Z581" s="2"/>
    </row>
    <row r="582" spans="1:26" ht="13.5" customHeight="1">
      <c r="A582" s="2"/>
      <c r="B582" s="2"/>
      <c r="C582" s="2"/>
      <c r="D582" s="2"/>
      <c r="E582" s="2"/>
      <c r="F582" s="2"/>
      <c r="G582" s="2"/>
      <c r="H582" s="2"/>
      <c r="I582" s="2"/>
      <c r="J582" s="2"/>
      <c r="K582" s="2"/>
      <c r="L582" s="2"/>
      <c r="M582" s="2"/>
      <c r="N582" s="2"/>
      <c r="O582" s="2"/>
      <c r="P582" s="2"/>
      <c r="Q582" s="2"/>
      <c r="R582" s="2"/>
      <c r="S582" s="2"/>
      <c r="T582" s="2"/>
      <c r="U582" s="2"/>
      <c r="V582" s="2"/>
      <c r="W582" s="158"/>
      <c r="X582" s="2"/>
      <c r="Y582" s="2"/>
      <c r="Z582" s="2"/>
    </row>
    <row r="583" spans="1:26" ht="13.5" customHeight="1">
      <c r="A583" s="2"/>
      <c r="B583" s="2"/>
      <c r="C583" s="2"/>
      <c r="D583" s="2"/>
      <c r="E583" s="2"/>
      <c r="F583" s="2"/>
      <c r="G583" s="2"/>
      <c r="H583" s="2"/>
      <c r="I583" s="2"/>
      <c r="J583" s="2"/>
      <c r="K583" s="2"/>
      <c r="L583" s="2"/>
      <c r="M583" s="2"/>
      <c r="N583" s="2"/>
      <c r="O583" s="2"/>
      <c r="P583" s="2"/>
      <c r="Q583" s="2"/>
      <c r="R583" s="2"/>
      <c r="S583" s="2"/>
      <c r="T583" s="2"/>
      <c r="U583" s="2"/>
      <c r="V583" s="2"/>
      <c r="W583" s="158"/>
      <c r="X583" s="2"/>
      <c r="Y583" s="2"/>
      <c r="Z583" s="2"/>
    </row>
    <row r="584" spans="1:26" ht="13.5" customHeight="1">
      <c r="A584" s="2"/>
      <c r="B584" s="2"/>
      <c r="C584" s="2"/>
      <c r="D584" s="2"/>
      <c r="E584" s="2"/>
      <c r="F584" s="2"/>
      <c r="G584" s="2"/>
      <c r="H584" s="2"/>
      <c r="I584" s="2"/>
      <c r="J584" s="2"/>
      <c r="K584" s="2"/>
      <c r="L584" s="2"/>
      <c r="M584" s="2"/>
      <c r="N584" s="2"/>
      <c r="O584" s="2"/>
      <c r="P584" s="2"/>
      <c r="Q584" s="2"/>
      <c r="R584" s="2"/>
      <c r="S584" s="2"/>
      <c r="T584" s="2"/>
      <c r="U584" s="2"/>
      <c r="V584" s="2"/>
      <c r="W584" s="158"/>
      <c r="X584" s="2"/>
      <c r="Y584" s="2"/>
      <c r="Z584" s="2"/>
    </row>
    <row r="585" spans="1:26" ht="13.5" customHeight="1">
      <c r="A585" s="2"/>
      <c r="B585" s="2"/>
      <c r="C585" s="2"/>
      <c r="D585" s="2"/>
      <c r="E585" s="2"/>
      <c r="F585" s="2"/>
      <c r="G585" s="2"/>
      <c r="H585" s="2"/>
      <c r="I585" s="2"/>
      <c r="J585" s="2"/>
      <c r="K585" s="2"/>
      <c r="L585" s="2"/>
      <c r="M585" s="2"/>
      <c r="N585" s="2"/>
      <c r="O585" s="2"/>
      <c r="P585" s="2"/>
      <c r="Q585" s="2"/>
      <c r="R585" s="2"/>
      <c r="S585" s="2"/>
      <c r="T585" s="2"/>
      <c r="U585" s="2"/>
      <c r="V585" s="2"/>
      <c r="W585" s="158"/>
      <c r="X585" s="2"/>
      <c r="Y585" s="2"/>
      <c r="Z585" s="2"/>
    </row>
    <row r="586" spans="1:26" ht="13.5" customHeight="1">
      <c r="A586" s="2"/>
      <c r="B586" s="2"/>
      <c r="C586" s="2"/>
      <c r="D586" s="2"/>
      <c r="E586" s="2"/>
      <c r="F586" s="2"/>
      <c r="G586" s="2"/>
      <c r="H586" s="2"/>
      <c r="I586" s="2"/>
      <c r="J586" s="2"/>
      <c r="K586" s="2"/>
      <c r="L586" s="2"/>
      <c r="M586" s="2"/>
      <c r="N586" s="2"/>
      <c r="O586" s="2"/>
      <c r="P586" s="2"/>
      <c r="Q586" s="2"/>
      <c r="R586" s="2"/>
      <c r="S586" s="2"/>
      <c r="T586" s="2"/>
      <c r="U586" s="2"/>
      <c r="V586" s="2"/>
      <c r="W586" s="158"/>
      <c r="X586" s="2"/>
      <c r="Y586" s="2"/>
      <c r="Z586" s="2"/>
    </row>
    <row r="587" spans="1:26" ht="13.5" customHeight="1">
      <c r="A587" s="2"/>
      <c r="B587" s="2"/>
      <c r="C587" s="2"/>
      <c r="D587" s="2"/>
      <c r="E587" s="2"/>
      <c r="F587" s="2"/>
      <c r="G587" s="2"/>
      <c r="H587" s="2"/>
      <c r="I587" s="2"/>
      <c r="J587" s="2"/>
      <c r="K587" s="2"/>
      <c r="L587" s="2"/>
      <c r="M587" s="2"/>
      <c r="N587" s="2"/>
      <c r="O587" s="2"/>
      <c r="P587" s="2"/>
      <c r="Q587" s="2"/>
      <c r="R587" s="2"/>
      <c r="S587" s="2"/>
      <c r="T587" s="2"/>
      <c r="U587" s="2"/>
      <c r="V587" s="2"/>
      <c r="W587" s="158"/>
      <c r="X587" s="2"/>
      <c r="Y587" s="2"/>
      <c r="Z587" s="2"/>
    </row>
    <row r="588" spans="1:26" ht="13.5" customHeight="1">
      <c r="A588" s="2"/>
      <c r="B588" s="2"/>
      <c r="C588" s="2"/>
      <c r="D588" s="2"/>
      <c r="E588" s="2"/>
      <c r="F588" s="2"/>
      <c r="G588" s="2"/>
      <c r="H588" s="2"/>
      <c r="I588" s="2"/>
      <c r="J588" s="2"/>
      <c r="K588" s="2"/>
      <c r="L588" s="2"/>
      <c r="M588" s="2"/>
      <c r="N588" s="2"/>
      <c r="O588" s="2"/>
      <c r="P588" s="2"/>
      <c r="Q588" s="2"/>
      <c r="R588" s="2"/>
      <c r="S588" s="2"/>
      <c r="T588" s="2"/>
      <c r="U588" s="2"/>
      <c r="V588" s="2"/>
      <c r="W588" s="158"/>
      <c r="X588" s="2"/>
      <c r="Y588" s="2"/>
      <c r="Z588" s="2"/>
    </row>
    <row r="589" spans="1:26" ht="13.5" customHeight="1">
      <c r="A589" s="2"/>
      <c r="B589" s="2"/>
      <c r="C589" s="2"/>
      <c r="D589" s="2"/>
      <c r="E589" s="2"/>
      <c r="F589" s="2"/>
      <c r="G589" s="2"/>
      <c r="H589" s="2"/>
      <c r="I589" s="2"/>
      <c r="J589" s="2"/>
      <c r="K589" s="2"/>
      <c r="L589" s="2"/>
      <c r="M589" s="2"/>
      <c r="N589" s="2"/>
      <c r="O589" s="2"/>
      <c r="P589" s="2"/>
      <c r="Q589" s="2"/>
      <c r="R589" s="2"/>
      <c r="S589" s="2"/>
      <c r="T589" s="2"/>
      <c r="U589" s="2"/>
      <c r="V589" s="2"/>
      <c r="W589" s="158"/>
      <c r="X589" s="2"/>
      <c r="Y589" s="2"/>
      <c r="Z589" s="2"/>
    </row>
    <row r="590" spans="1:26" ht="13.5" customHeight="1">
      <c r="A590" s="2"/>
      <c r="B590" s="2"/>
      <c r="C590" s="2"/>
      <c r="D590" s="2"/>
      <c r="E590" s="2"/>
      <c r="F590" s="2"/>
      <c r="G590" s="2"/>
      <c r="H590" s="2"/>
      <c r="I590" s="2"/>
      <c r="J590" s="2"/>
      <c r="K590" s="2"/>
      <c r="L590" s="2"/>
      <c r="M590" s="2"/>
      <c r="N590" s="2"/>
      <c r="O590" s="2"/>
      <c r="P590" s="2"/>
      <c r="Q590" s="2"/>
      <c r="R590" s="2"/>
      <c r="S590" s="2"/>
      <c r="T590" s="2"/>
      <c r="U590" s="2"/>
      <c r="V590" s="2"/>
      <c r="W590" s="158"/>
      <c r="X590" s="2"/>
      <c r="Y590" s="2"/>
      <c r="Z590" s="2"/>
    </row>
    <row r="591" spans="1:26" ht="13.5" customHeight="1">
      <c r="A591" s="2"/>
      <c r="B591" s="2"/>
      <c r="C591" s="2"/>
      <c r="D591" s="2"/>
      <c r="E591" s="2"/>
      <c r="F591" s="2"/>
      <c r="G591" s="2"/>
      <c r="H591" s="2"/>
      <c r="I591" s="2"/>
      <c r="J591" s="2"/>
      <c r="K591" s="2"/>
      <c r="L591" s="2"/>
      <c r="M591" s="2"/>
      <c r="N591" s="2"/>
      <c r="O591" s="2"/>
      <c r="P591" s="2"/>
      <c r="Q591" s="2"/>
      <c r="R591" s="2"/>
      <c r="S591" s="2"/>
      <c r="T591" s="2"/>
      <c r="U591" s="2"/>
      <c r="V591" s="2"/>
      <c r="W591" s="158"/>
      <c r="X591" s="2"/>
      <c r="Y591" s="2"/>
      <c r="Z591" s="2"/>
    </row>
    <row r="592" spans="1:26" ht="13.5" customHeight="1">
      <c r="A592" s="2"/>
      <c r="B592" s="2"/>
      <c r="C592" s="2"/>
      <c r="D592" s="2"/>
      <c r="E592" s="2"/>
      <c r="F592" s="2"/>
      <c r="G592" s="2"/>
      <c r="H592" s="2"/>
      <c r="I592" s="2"/>
      <c r="J592" s="2"/>
      <c r="K592" s="2"/>
      <c r="L592" s="2"/>
      <c r="M592" s="2"/>
      <c r="N592" s="2"/>
      <c r="O592" s="2"/>
      <c r="P592" s="2"/>
      <c r="Q592" s="2"/>
      <c r="R592" s="2"/>
      <c r="S592" s="2"/>
      <c r="T592" s="2"/>
      <c r="U592" s="2"/>
      <c r="V592" s="2"/>
      <c r="W592" s="158"/>
      <c r="X592" s="2"/>
      <c r="Y592" s="2"/>
      <c r="Z592" s="2"/>
    </row>
    <row r="593" spans="1:26" ht="13.5" customHeight="1">
      <c r="A593" s="2"/>
      <c r="B593" s="2"/>
      <c r="C593" s="2"/>
      <c r="D593" s="2"/>
      <c r="E593" s="2"/>
      <c r="F593" s="2"/>
      <c r="G593" s="2"/>
      <c r="H593" s="2"/>
      <c r="I593" s="2"/>
      <c r="J593" s="2"/>
      <c r="K593" s="2"/>
      <c r="L593" s="2"/>
      <c r="M593" s="2"/>
      <c r="N593" s="2"/>
      <c r="O593" s="2"/>
      <c r="P593" s="2"/>
      <c r="Q593" s="2"/>
      <c r="R593" s="2"/>
      <c r="S593" s="2"/>
      <c r="T593" s="2"/>
      <c r="U593" s="2"/>
      <c r="V593" s="2"/>
      <c r="W593" s="158"/>
      <c r="X593" s="2"/>
      <c r="Y593" s="2"/>
      <c r="Z593" s="2"/>
    </row>
    <row r="594" spans="1:26" ht="13.5" customHeight="1">
      <c r="A594" s="2"/>
      <c r="B594" s="2"/>
      <c r="C594" s="2"/>
      <c r="D594" s="2"/>
      <c r="E594" s="2"/>
      <c r="F594" s="2"/>
      <c r="G594" s="2"/>
      <c r="H594" s="2"/>
      <c r="I594" s="2"/>
      <c r="J594" s="2"/>
      <c r="K594" s="2"/>
      <c r="L594" s="2"/>
      <c r="M594" s="2"/>
      <c r="N594" s="2"/>
      <c r="O594" s="2"/>
      <c r="P594" s="2"/>
      <c r="Q594" s="2"/>
      <c r="R594" s="2"/>
      <c r="S594" s="2"/>
      <c r="T594" s="2"/>
      <c r="U594" s="2"/>
      <c r="V594" s="2"/>
      <c r="W594" s="158"/>
      <c r="X594" s="2"/>
      <c r="Y594" s="2"/>
      <c r="Z594" s="2"/>
    </row>
    <row r="595" spans="1:26" ht="13.5" customHeight="1">
      <c r="A595" s="2"/>
      <c r="B595" s="2"/>
      <c r="C595" s="2"/>
      <c r="D595" s="2"/>
      <c r="E595" s="2"/>
      <c r="F595" s="2"/>
      <c r="G595" s="2"/>
      <c r="H595" s="2"/>
      <c r="I595" s="2"/>
      <c r="J595" s="2"/>
      <c r="K595" s="2"/>
      <c r="L595" s="2"/>
      <c r="M595" s="2"/>
      <c r="N595" s="2"/>
      <c r="O595" s="2"/>
      <c r="P595" s="2"/>
      <c r="Q595" s="2"/>
      <c r="R595" s="2"/>
      <c r="S595" s="2"/>
      <c r="T595" s="2"/>
      <c r="U595" s="2"/>
      <c r="V595" s="2"/>
      <c r="W595" s="158"/>
      <c r="X595" s="2"/>
      <c r="Y595" s="2"/>
      <c r="Z595" s="2"/>
    </row>
    <row r="596" spans="1:26" ht="13.5" customHeight="1">
      <c r="A596" s="2"/>
      <c r="B596" s="2"/>
      <c r="C596" s="2"/>
      <c r="D596" s="2"/>
      <c r="E596" s="2"/>
      <c r="F596" s="2"/>
      <c r="G596" s="2"/>
      <c r="H596" s="2"/>
      <c r="I596" s="2"/>
      <c r="J596" s="2"/>
      <c r="K596" s="2"/>
      <c r="L596" s="2"/>
      <c r="M596" s="2"/>
      <c r="N596" s="2"/>
      <c r="O596" s="2"/>
      <c r="P596" s="2"/>
      <c r="Q596" s="2"/>
      <c r="R596" s="2"/>
      <c r="S596" s="2"/>
      <c r="T596" s="2"/>
      <c r="U596" s="2"/>
      <c r="V596" s="2"/>
      <c r="W596" s="158"/>
      <c r="X596" s="2"/>
      <c r="Y596" s="2"/>
      <c r="Z596" s="2"/>
    </row>
    <row r="597" spans="1:26" ht="13.5" customHeight="1">
      <c r="A597" s="2"/>
      <c r="B597" s="2"/>
      <c r="C597" s="2"/>
      <c r="D597" s="2"/>
      <c r="E597" s="2"/>
      <c r="F597" s="2"/>
      <c r="G597" s="2"/>
      <c r="H597" s="2"/>
      <c r="I597" s="2"/>
      <c r="J597" s="2"/>
      <c r="K597" s="2"/>
      <c r="L597" s="2"/>
      <c r="M597" s="2"/>
      <c r="N597" s="2"/>
      <c r="O597" s="2"/>
      <c r="P597" s="2"/>
      <c r="Q597" s="2"/>
      <c r="R597" s="2"/>
      <c r="S597" s="2"/>
      <c r="T597" s="2"/>
      <c r="U597" s="2"/>
      <c r="V597" s="2"/>
      <c r="W597" s="158"/>
      <c r="X597" s="2"/>
      <c r="Y597" s="2"/>
      <c r="Z597" s="2"/>
    </row>
    <row r="598" spans="1:26" ht="13.5" customHeight="1">
      <c r="A598" s="2"/>
      <c r="B598" s="2"/>
      <c r="C598" s="2"/>
      <c r="D598" s="2"/>
      <c r="E598" s="2"/>
      <c r="F598" s="2"/>
      <c r="G598" s="2"/>
      <c r="H598" s="2"/>
      <c r="I598" s="2"/>
      <c r="J598" s="2"/>
      <c r="K598" s="2"/>
      <c r="L598" s="2"/>
      <c r="M598" s="2"/>
      <c r="N598" s="2"/>
      <c r="O598" s="2"/>
      <c r="P598" s="2"/>
      <c r="Q598" s="2"/>
      <c r="R598" s="2"/>
      <c r="S598" s="2"/>
      <c r="T598" s="2"/>
      <c r="U598" s="2"/>
      <c r="V598" s="2"/>
      <c r="W598" s="158"/>
      <c r="X598" s="2"/>
      <c r="Y598" s="2"/>
      <c r="Z598" s="2"/>
    </row>
    <row r="599" spans="1:26" ht="13.5" customHeight="1">
      <c r="A599" s="2"/>
      <c r="B599" s="2"/>
      <c r="C599" s="2"/>
      <c r="D599" s="2"/>
      <c r="E599" s="2"/>
      <c r="F599" s="2"/>
      <c r="G599" s="2"/>
      <c r="H599" s="2"/>
      <c r="I599" s="2"/>
      <c r="J599" s="2"/>
      <c r="K599" s="2"/>
      <c r="L599" s="2"/>
      <c r="M599" s="2"/>
      <c r="N599" s="2"/>
      <c r="O599" s="2"/>
      <c r="P599" s="2"/>
      <c r="Q599" s="2"/>
      <c r="R599" s="2"/>
      <c r="S599" s="2"/>
      <c r="T599" s="2"/>
      <c r="U599" s="2"/>
      <c r="V599" s="2"/>
      <c r="W599" s="158"/>
      <c r="X599" s="2"/>
      <c r="Y599" s="2"/>
      <c r="Z599" s="2"/>
    </row>
    <row r="600" spans="1:26" ht="13.5" customHeight="1">
      <c r="A600" s="2"/>
      <c r="B600" s="2"/>
      <c r="C600" s="2"/>
      <c r="D600" s="2"/>
      <c r="E600" s="2"/>
      <c r="F600" s="2"/>
      <c r="G600" s="2"/>
      <c r="H600" s="2"/>
      <c r="I600" s="2"/>
      <c r="J600" s="2"/>
      <c r="K600" s="2"/>
      <c r="L600" s="2"/>
      <c r="M600" s="2"/>
      <c r="N600" s="2"/>
      <c r="O600" s="2"/>
      <c r="P600" s="2"/>
      <c r="Q600" s="2"/>
      <c r="R600" s="2"/>
      <c r="S600" s="2"/>
      <c r="T600" s="2"/>
      <c r="U600" s="2"/>
      <c r="V600" s="2"/>
      <c r="W600" s="158"/>
      <c r="X600" s="2"/>
      <c r="Y600" s="2"/>
      <c r="Z600" s="2"/>
    </row>
    <row r="601" spans="1:26" ht="13.5" customHeight="1">
      <c r="A601" s="2"/>
      <c r="B601" s="2"/>
      <c r="C601" s="2"/>
      <c r="D601" s="2"/>
      <c r="E601" s="2"/>
      <c r="F601" s="2"/>
      <c r="G601" s="2"/>
      <c r="H601" s="2"/>
      <c r="I601" s="2"/>
      <c r="J601" s="2"/>
      <c r="K601" s="2"/>
      <c r="L601" s="2"/>
      <c r="M601" s="2"/>
      <c r="N601" s="2"/>
      <c r="O601" s="2"/>
      <c r="P601" s="2"/>
      <c r="Q601" s="2"/>
      <c r="R601" s="2"/>
      <c r="S601" s="2"/>
      <c r="T601" s="2"/>
      <c r="U601" s="2"/>
      <c r="V601" s="2"/>
      <c r="W601" s="158"/>
      <c r="X601" s="2"/>
      <c r="Y601" s="2"/>
      <c r="Z601" s="2"/>
    </row>
    <row r="602" spans="1:26" ht="13.5" customHeight="1">
      <c r="A602" s="2"/>
      <c r="B602" s="2"/>
      <c r="C602" s="2"/>
      <c r="D602" s="2"/>
      <c r="E602" s="2"/>
      <c r="F602" s="2"/>
      <c r="G602" s="2"/>
      <c r="H602" s="2"/>
      <c r="I602" s="2"/>
      <c r="J602" s="2"/>
      <c r="K602" s="2"/>
      <c r="L602" s="2"/>
      <c r="M602" s="2"/>
      <c r="N602" s="2"/>
      <c r="O602" s="2"/>
      <c r="P602" s="2"/>
      <c r="Q602" s="2"/>
      <c r="R602" s="2"/>
      <c r="S602" s="2"/>
      <c r="T602" s="2"/>
      <c r="U602" s="2"/>
      <c r="V602" s="2"/>
      <c r="W602" s="158"/>
      <c r="X602" s="2"/>
      <c r="Y602" s="2"/>
      <c r="Z602" s="2"/>
    </row>
    <row r="603" spans="1:26" ht="13.5" customHeight="1">
      <c r="A603" s="2"/>
      <c r="B603" s="2"/>
      <c r="C603" s="2"/>
      <c r="D603" s="2"/>
      <c r="E603" s="2"/>
      <c r="F603" s="2"/>
      <c r="G603" s="2"/>
      <c r="H603" s="2"/>
      <c r="I603" s="2"/>
      <c r="J603" s="2"/>
      <c r="K603" s="2"/>
      <c r="L603" s="2"/>
      <c r="M603" s="2"/>
      <c r="N603" s="2"/>
      <c r="O603" s="2"/>
      <c r="P603" s="2"/>
      <c r="Q603" s="2"/>
      <c r="R603" s="2"/>
      <c r="S603" s="2"/>
      <c r="T603" s="2"/>
      <c r="U603" s="2"/>
      <c r="V603" s="2"/>
      <c r="W603" s="158"/>
      <c r="X603" s="2"/>
      <c r="Y603" s="2"/>
      <c r="Z603" s="2"/>
    </row>
    <row r="604" spans="1:26" ht="13.5" customHeight="1">
      <c r="A604" s="2"/>
      <c r="B604" s="2"/>
      <c r="C604" s="2"/>
      <c r="D604" s="2"/>
      <c r="E604" s="2"/>
      <c r="F604" s="2"/>
      <c r="G604" s="2"/>
      <c r="H604" s="2"/>
      <c r="I604" s="2"/>
      <c r="J604" s="2"/>
      <c r="K604" s="2"/>
      <c r="L604" s="2"/>
      <c r="M604" s="2"/>
      <c r="N604" s="2"/>
      <c r="O604" s="2"/>
      <c r="P604" s="2"/>
      <c r="Q604" s="2"/>
      <c r="R604" s="2"/>
      <c r="S604" s="2"/>
      <c r="T604" s="2"/>
      <c r="U604" s="2"/>
      <c r="V604" s="2"/>
      <c r="W604" s="158"/>
      <c r="X604" s="2"/>
      <c r="Y604" s="2"/>
      <c r="Z604" s="2"/>
    </row>
    <row r="605" spans="1:26" ht="13.5" customHeight="1">
      <c r="A605" s="2"/>
      <c r="B605" s="2"/>
      <c r="C605" s="2"/>
      <c r="D605" s="2"/>
      <c r="E605" s="2"/>
      <c r="F605" s="2"/>
      <c r="G605" s="2"/>
      <c r="H605" s="2"/>
      <c r="I605" s="2"/>
      <c r="J605" s="2"/>
      <c r="K605" s="2"/>
      <c r="L605" s="2"/>
      <c r="M605" s="2"/>
      <c r="N605" s="2"/>
      <c r="O605" s="2"/>
      <c r="P605" s="2"/>
      <c r="Q605" s="2"/>
      <c r="R605" s="2"/>
      <c r="S605" s="2"/>
      <c r="T605" s="2"/>
      <c r="U605" s="2"/>
      <c r="V605" s="2"/>
      <c r="W605" s="158"/>
      <c r="X605" s="2"/>
      <c r="Y605" s="2"/>
      <c r="Z605" s="2"/>
    </row>
    <row r="606" spans="1:26" ht="13.5" customHeight="1">
      <c r="A606" s="2"/>
      <c r="B606" s="2"/>
      <c r="C606" s="2"/>
      <c r="D606" s="2"/>
      <c r="E606" s="2"/>
      <c r="F606" s="2"/>
      <c r="G606" s="2"/>
      <c r="H606" s="2"/>
      <c r="I606" s="2"/>
      <c r="J606" s="2"/>
      <c r="K606" s="2"/>
      <c r="L606" s="2"/>
      <c r="M606" s="2"/>
      <c r="N606" s="2"/>
      <c r="O606" s="2"/>
      <c r="P606" s="2"/>
      <c r="Q606" s="2"/>
      <c r="R606" s="2"/>
      <c r="S606" s="2"/>
      <c r="T606" s="2"/>
      <c r="U606" s="2"/>
      <c r="V606" s="2"/>
      <c r="W606" s="158"/>
      <c r="X606" s="2"/>
      <c r="Y606" s="2"/>
      <c r="Z606" s="2"/>
    </row>
    <row r="607" spans="1:26" ht="13.5" customHeight="1">
      <c r="A607" s="2"/>
      <c r="B607" s="2"/>
      <c r="C607" s="2"/>
      <c r="D607" s="2"/>
      <c r="E607" s="2"/>
      <c r="F607" s="2"/>
      <c r="G607" s="2"/>
      <c r="H607" s="2"/>
      <c r="I607" s="2"/>
      <c r="J607" s="2"/>
      <c r="K607" s="2"/>
      <c r="L607" s="2"/>
      <c r="M607" s="2"/>
      <c r="N607" s="2"/>
      <c r="O607" s="2"/>
      <c r="P607" s="2"/>
      <c r="Q607" s="2"/>
      <c r="R607" s="2"/>
      <c r="S607" s="2"/>
      <c r="T607" s="2"/>
      <c r="U607" s="2"/>
      <c r="V607" s="2"/>
      <c r="W607" s="158"/>
      <c r="X607" s="2"/>
      <c r="Y607" s="2"/>
      <c r="Z607" s="2"/>
    </row>
    <row r="608" spans="1:26" ht="13.5" customHeight="1">
      <c r="A608" s="2"/>
      <c r="B608" s="2"/>
      <c r="C608" s="2"/>
      <c r="D608" s="2"/>
      <c r="E608" s="2"/>
      <c r="F608" s="2"/>
      <c r="G608" s="2"/>
      <c r="H608" s="2"/>
      <c r="I608" s="2"/>
      <c r="J608" s="2"/>
      <c r="K608" s="2"/>
      <c r="L608" s="2"/>
      <c r="M608" s="2"/>
      <c r="N608" s="2"/>
      <c r="O608" s="2"/>
      <c r="P608" s="2"/>
      <c r="Q608" s="2"/>
      <c r="R608" s="2"/>
      <c r="S608" s="2"/>
      <c r="T608" s="2"/>
      <c r="U608" s="2"/>
      <c r="V608" s="2"/>
      <c r="W608" s="158"/>
      <c r="X608" s="2"/>
      <c r="Y608" s="2"/>
      <c r="Z608" s="2"/>
    </row>
    <row r="609" spans="1:26" ht="13.5" customHeight="1">
      <c r="A609" s="2"/>
      <c r="B609" s="2"/>
      <c r="C609" s="2"/>
      <c r="D609" s="2"/>
      <c r="E609" s="2"/>
      <c r="F609" s="2"/>
      <c r="G609" s="2"/>
      <c r="H609" s="2"/>
      <c r="I609" s="2"/>
      <c r="J609" s="2"/>
      <c r="K609" s="2"/>
      <c r="L609" s="2"/>
      <c r="M609" s="2"/>
      <c r="N609" s="2"/>
      <c r="O609" s="2"/>
      <c r="P609" s="2"/>
      <c r="Q609" s="2"/>
      <c r="R609" s="2"/>
      <c r="S609" s="2"/>
      <c r="T609" s="2"/>
      <c r="U609" s="2"/>
      <c r="V609" s="2"/>
      <c r="W609" s="158"/>
      <c r="X609" s="2"/>
      <c r="Y609" s="2"/>
      <c r="Z609" s="2"/>
    </row>
    <row r="610" spans="1:26" ht="13.5" customHeight="1">
      <c r="A610" s="2"/>
      <c r="B610" s="2"/>
      <c r="C610" s="2"/>
      <c r="D610" s="2"/>
      <c r="E610" s="2"/>
      <c r="F610" s="2"/>
      <c r="G610" s="2"/>
      <c r="H610" s="2"/>
      <c r="I610" s="2"/>
      <c r="J610" s="2"/>
      <c r="K610" s="2"/>
      <c r="L610" s="2"/>
      <c r="M610" s="2"/>
      <c r="N610" s="2"/>
      <c r="O610" s="2"/>
      <c r="P610" s="2"/>
      <c r="Q610" s="2"/>
      <c r="R610" s="2"/>
      <c r="S610" s="2"/>
      <c r="T610" s="2"/>
      <c r="U610" s="2"/>
      <c r="V610" s="2"/>
      <c r="W610" s="158"/>
      <c r="X610" s="2"/>
      <c r="Y610" s="2"/>
      <c r="Z610" s="2"/>
    </row>
    <row r="611" spans="1:26" ht="13.5" customHeight="1">
      <c r="A611" s="2"/>
      <c r="B611" s="2"/>
      <c r="C611" s="2"/>
      <c r="D611" s="2"/>
      <c r="E611" s="2"/>
      <c r="F611" s="2"/>
      <c r="G611" s="2"/>
      <c r="H611" s="2"/>
      <c r="I611" s="2"/>
      <c r="J611" s="2"/>
      <c r="K611" s="2"/>
      <c r="L611" s="2"/>
      <c r="M611" s="2"/>
      <c r="N611" s="2"/>
      <c r="O611" s="2"/>
      <c r="P611" s="2"/>
      <c r="Q611" s="2"/>
      <c r="R611" s="2"/>
      <c r="S611" s="2"/>
      <c r="T611" s="2"/>
      <c r="U611" s="2"/>
      <c r="V611" s="2"/>
      <c r="W611" s="158"/>
      <c r="X611" s="2"/>
      <c r="Y611" s="2"/>
      <c r="Z611" s="2"/>
    </row>
    <row r="612" spans="1:26" ht="13.5" customHeight="1">
      <c r="A612" s="2"/>
      <c r="B612" s="2"/>
      <c r="C612" s="2"/>
      <c r="D612" s="2"/>
      <c r="E612" s="2"/>
      <c r="F612" s="2"/>
      <c r="G612" s="2"/>
      <c r="H612" s="2"/>
      <c r="I612" s="2"/>
      <c r="J612" s="2"/>
      <c r="K612" s="2"/>
      <c r="L612" s="2"/>
      <c r="M612" s="2"/>
      <c r="N612" s="2"/>
      <c r="O612" s="2"/>
      <c r="P612" s="2"/>
      <c r="Q612" s="2"/>
      <c r="R612" s="2"/>
      <c r="S612" s="2"/>
      <c r="T612" s="2"/>
      <c r="U612" s="2"/>
      <c r="V612" s="2"/>
      <c r="W612" s="158"/>
      <c r="X612" s="2"/>
      <c r="Y612" s="2"/>
      <c r="Z612" s="2"/>
    </row>
    <row r="613" spans="1:26" ht="13.5" customHeight="1">
      <c r="A613" s="2"/>
      <c r="B613" s="2"/>
      <c r="C613" s="2"/>
      <c r="D613" s="2"/>
      <c r="E613" s="2"/>
      <c r="F613" s="2"/>
      <c r="G613" s="2"/>
      <c r="H613" s="2"/>
      <c r="I613" s="2"/>
      <c r="J613" s="2"/>
      <c r="K613" s="2"/>
      <c r="L613" s="2"/>
      <c r="M613" s="2"/>
      <c r="N613" s="2"/>
      <c r="O613" s="2"/>
      <c r="P613" s="2"/>
      <c r="Q613" s="2"/>
      <c r="R613" s="2"/>
      <c r="S613" s="2"/>
      <c r="T613" s="2"/>
      <c r="U613" s="2"/>
      <c r="V613" s="2"/>
      <c r="W613" s="158"/>
      <c r="X613" s="2"/>
      <c r="Y613" s="2"/>
      <c r="Z613" s="2"/>
    </row>
    <row r="614" spans="1:26" ht="13.5" customHeight="1">
      <c r="A614" s="2"/>
      <c r="B614" s="2"/>
      <c r="C614" s="2"/>
      <c r="D614" s="2"/>
      <c r="E614" s="2"/>
      <c r="F614" s="2"/>
      <c r="G614" s="2"/>
      <c r="H614" s="2"/>
      <c r="I614" s="2"/>
      <c r="J614" s="2"/>
      <c r="K614" s="2"/>
      <c r="L614" s="2"/>
      <c r="M614" s="2"/>
      <c r="N614" s="2"/>
      <c r="O614" s="2"/>
      <c r="P614" s="2"/>
      <c r="Q614" s="2"/>
      <c r="R614" s="2"/>
      <c r="S614" s="2"/>
      <c r="T614" s="2"/>
      <c r="U614" s="2"/>
      <c r="V614" s="2"/>
      <c r="W614" s="158"/>
      <c r="X614" s="2"/>
      <c r="Y614" s="2"/>
      <c r="Z614" s="2"/>
    </row>
    <row r="615" spans="1:26" ht="13.5" customHeight="1">
      <c r="A615" s="2"/>
      <c r="B615" s="2"/>
      <c r="C615" s="2"/>
      <c r="D615" s="2"/>
      <c r="E615" s="2"/>
      <c r="F615" s="2"/>
      <c r="G615" s="2"/>
      <c r="H615" s="2"/>
      <c r="I615" s="2"/>
      <c r="J615" s="2"/>
      <c r="K615" s="2"/>
      <c r="L615" s="2"/>
      <c r="M615" s="2"/>
      <c r="N615" s="2"/>
      <c r="O615" s="2"/>
      <c r="P615" s="2"/>
      <c r="Q615" s="2"/>
      <c r="R615" s="2"/>
      <c r="S615" s="2"/>
      <c r="T615" s="2"/>
      <c r="U615" s="2"/>
      <c r="V615" s="2"/>
      <c r="W615" s="158"/>
      <c r="X615" s="2"/>
      <c r="Y615" s="2"/>
      <c r="Z615" s="2"/>
    </row>
    <row r="616" spans="1:26" ht="13.5" customHeight="1">
      <c r="A616" s="2"/>
      <c r="B616" s="2"/>
      <c r="C616" s="2"/>
      <c r="D616" s="2"/>
      <c r="E616" s="2"/>
      <c r="F616" s="2"/>
      <c r="G616" s="2"/>
      <c r="H616" s="2"/>
      <c r="I616" s="2"/>
      <c r="J616" s="2"/>
      <c r="K616" s="2"/>
      <c r="L616" s="2"/>
      <c r="M616" s="2"/>
      <c r="N616" s="2"/>
      <c r="O616" s="2"/>
      <c r="P616" s="2"/>
      <c r="Q616" s="2"/>
      <c r="R616" s="2"/>
      <c r="S616" s="2"/>
      <c r="T616" s="2"/>
      <c r="U616" s="2"/>
      <c r="V616" s="2"/>
      <c r="W616" s="158"/>
      <c r="X616" s="2"/>
      <c r="Y616" s="2"/>
      <c r="Z616" s="2"/>
    </row>
    <row r="617" spans="1:26" ht="13.5" customHeight="1">
      <c r="A617" s="2"/>
      <c r="B617" s="2"/>
      <c r="C617" s="2"/>
      <c r="D617" s="2"/>
      <c r="E617" s="2"/>
      <c r="F617" s="2"/>
      <c r="G617" s="2"/>
      <c r="H617" s="2"/>
      <c r="I617" s="2"/>
      <c r="J617" s="2"/>
      <c r="K617" s="2"/>
      <c r="L617" s="2"/>
      <c r="M617" s="2"/>
      <c r="N617" s="2"/>
      <c r="O617" s="2"/>
      <c r="P617" s="2"/>
      <c r="Q617" s="2"/>
      <c r="R617" s="2"/>
      <c r="S617" s="2"/>
      <c r="T617" s="2"/>
      <c r="U617" s="2"/>
      <c r="V617" s="2"/>
      <c r="W617" s="158"/>
      <c r="X617" s="2"/>
      <c r="Y617" s="2"/>
      <c r="Z617" s="2"/>
    </row>
    <row r="618" spans="1:26" ht="13.5" customHeight="1">
      <c r="A618" s="2"/>
      <c r="B618" s="2"/>
      <c r="C618" s="2"/>
      <c r="D618" s="2"/>
      <c r="E618" s="2"/>
      <c r="F618" s="2"/>
      <c r="G618" s="2"/>
      <c r="H618" s="2"/>
      <c r="I618" s="2"/>
      <c r="J618" s="2"/>
      <c r="K618" s="2"/>
      <c r="L618" s="2"/>
      <c r="M618" s="2"/>
      <c r="N618" s="2"/>
      <c r="O618" s="2"/>
      <c r="P618" s="2"/>
      <c r="Q618" s="2"/>
      <c r="R618" s="2"/>
      <c r="S618" s="2"/>
      <c r="T618" s="2"/>
      <c r="U618" s="2"/>
      <c r="V618" s="2"/>
      <c r="W618" s="158"/>
      <c r="X618" s="2"/>
      <c r="Y618" s="2"/>
      <c r="Z618" s="2"/>
    </row>
    <row r="619" spans="1:26" ht="13.5" customHeight="1">
      <c r="A619" s="2"/>
      <c r="B619" s="2"/>
      <c r="C619" s="2"/>
      <c r="D619" s="2"/>
      <c r="E619" s="2"/>
      <c r="F619" s="2"/>
      <c r="G619" s="2"/>
      <c r="H619" s="2"/>
      <c r="I619" s="2"/>
      <c r="J619" s="2"/>
      <c r="K619" s="2"/>
      <c r="L619" s="2"/>
      <c r="M619" s="2"/>
      <c r="N619" s="2"/>
      <c r="O619" s="2"/>
      <c r="P619" s="2"/>
      <c r="Q619" s="2"/>
      <c r="R619" s="2"/>
      <c r="S619" s="2"/>
      <c r="T619" s="2"/>
      <c r="U619" s="2"/>
      <c r="V619" s="2"/>
      <c r="W619" s="158"/>
      <c r="X619" s="2"/>
      <c r="Y619" s="2"/>
      <c r="Z619" s="2"/>
    </row>
    <row r="620" spans="1:26" ht="13.5" customHeight="1">
      <c r="A620" s="2"/>
      <c r="B620" s="2"/>
      <c r="C620" s="2"/>
      <c r="D620" s="2"/>
      <c r="E620" s="2"/>
      <c r="F620" s="2"/>
      <c r="G620" s="2"/>
      <c r="H620" s="2"/>
      <c r="I620" s="2"/>
      <c r="J620" s="2"/>
      <c r="K620" s="2"/>
      <c r="L620" s="2"/>
      <c r="M620" s="2"/>
      <c r="N620" s="2"/>
      <c r="O620" s="2"/>
      <c r="P620" s="2"/>
      <c r="Q620" s="2"/>
      <c r="R620" s="2"/>
      <c r="S620" s="2"/>
      <c r="T620" s="2"/>
      <c r="U620" s="2"/>
      <c r="V620" s="2"/>
      <c r="W620" s="158"/>
      <c r="X620" s="2"/>
      <c r="Y620" s="2"/>
      <c r="Z620" s="2"/>
    </row>
    <row r="621" spans="1:26" ht="13.5" customHeight="1">
      <c r="A621" s="2"/>
      <c r="B621" s="2"/>
      <c r="C621" s="2"/>
      <c r="D621" s="2"/>
      <c r="E621" s="2"/>
      <c r="F621" s="2"/>
      <c r="G621" s="2"/>
      <c r="H621" s="2"/>
      <c r="I621" s="2"/>
      <c r="J621" s="2"/>
      <c r="K621" s="2"/>
      <c r="L621" s="2"/>
      <c r="M621" s="2"/>
      <c r="N621" s="2"/>
      <c r="O621" s="2"/>
      <c r="P621" s="2"/>
      <c r="Q621" s="2"/>
      <c r="R621" s="2"/>
      <c r="S621" s="2"/>
      <c r="T621" s="2"/>
      <c r="U621" s="2"/>
      <c r="V621" s="2"/>
      <c r="W621" s="158"/>
      <c r="X621" s="2"/>
      <c r="Y621" s="2"/>
      <c r="Z621" s="2"/>
    </row>
    <row r="622" spans="1:26" ht="13.5" customHeight="1">
      <c r="A622" s="2"/>
      <c r="B622" s="2"/>
      <c r="C622" s="2"/>
      <c r="D622" s="2"/>
      <c r="E622" s="2"/>
      <c r="F622" s="2"/>
      <c r="G622" s="2"/>
      <c r="H622" s="2"/>
      <c r="I622" s="2"/>
      <c r="J622" s="2"/>
      <c r="K622" s="2"/>
      <c r="L622" s="2"/>
      <c r="M622" s="2"/>
      <c r="N622" s="2"/>
      <c r="O622" s="2"/>
      <c r="P622" s="2"/>
      <c r="Q622" s="2"/>
      <c r="R622" s="2"/>
      <c r="S622" s="2"/>
      <c r="T622" s="2"/>
      <c r="U622" s="2"/>
      <c r="V622" s="2"/>
      <c r="W622" s="158"/>
      <c r="X622" s="2"/>
      <c r="Y622" s="2"/>
      <c r="Z622" s="2"/>
    </row>
    <row r="623" spans="1:26" ht="13.5" customHeight="1">
      <c r="A623" s="2"/>
      <c r="B623" s="2"/>
      <c r="C623" s="2"/>
      <c r="D623" s="2"/>
      <c r="E623" s="2"/>
      <c r="F623" s="2"/>
      <c r="G623" s="2"/>
      <c r="H623" s="2"/>
      <c r="I623" s="2"/>
      <c r="J623" s="2"/>
      <c r="K623" s="2"/>
      <c r="L623" s="2"/>
      <c r="M623" s="2"/>
      <c r="N623" s="2"/>
      <c r="O623" s="2"/>
      <c r="P623" s="2"/>
      <c r="Q623" s="2"/>
      <c r="R623" s="2"/>
      <c r="S623" s="2"/>
      <c r="T623" s="2"/>
      <c r="U623" s="2"/>
      <c r="V623" s="2"/>
      <c r="W623" s="158"/>
      <c r="X623" s="2"/>
      <c r="Y623" s="2"/>
      <c r="Z623" s="2"/>
    </row>
    <row r="624" spans="1:26" ht="13.5" customHeight="1">
      <c r="A624" s="2"/>
      <c r="B624" s="2"/>
      <c r="C624" s="2"/>
      <c r="D624" s="2"/>
      <c r="E624" s="2"/>
      <c r="F624" s="2"/>
      <c r="G624" s="2"/>
      <c r="H624" s="2"/>
      <c r="I624" s="2"/>
      <c r="J624" s="2"/>
      <c r="K624" s="2"/>
      <c r="L624" s="2"/>
      <c r="M624" s="2"/>
      <c r="N624" s="2"/>
      <c r="O624" s="2"/>
      <c r="P624" s="2"/>
      <c r="Q624" s="2"/>
      <c r="R624" s="2"/>
      <c r="S624" s="2"/>
      <c r="T624" s="2"/>
      <c r="U624" s="2"/>
      <c r="V624" s="2"/>
      <c r="W624" s="158"/>
      <c r="X624" s="2"/>
      <c r="Y624" s="2"/>
      <c r="Z624" s="2"/>
    </row>
    <row r="625" spans="1:26" ht="13.5" customHeight="1">
      <c r="A625" s="2"/>
      <c r="B625" s="2"/>
      <c r="C625" s="2"/>
      <c r="D625" s="2"/>
      <c r="E625" s="2"/>
      <c r="F625" s="2"/>
      <c r="G625" s="2"/>
      <c r="H625" s="2"/>
      <c r="I625" s="2"/>
      <c r="J625" s="2"/>
      <c r="K625" s="2"/>
      <c r="L625" s="2"/>
      <c r="M625" s="2"/>
      <c r="N625" s="2"/>
      <c r="O625" s="2"/>
      <c r="P625" s="2"/>
      <c r="Q625" s="2"/>
      <c r="R625" s="2"/>
      <c r="S625" s="2"/>
      <c r="T625" s="2"/>
      <c r="U625" s="2"/>
      <c r="V625" s="2"/>
      <c r="W625" s="158"/>
      <c r="X625" s="2"/>
      <c r="Y625" s="2"/>
      <c r="Z625" s="2"/>
    </row>
    <row r="626" spans="1:26" ht="13.5" customHeight="1">
      <c r="A626" s="2"/>
      <c r="B626" s="2"/>
      <c r="C626" s="2"/>
      <c r="D626" s="2"/>
      <c r="E626" s="2"/>
      <c r="F626" s="2"/>
      <c r="G626" s="2"/>
      <c r="H626" s="2"/>
      <c r="I626" s="2"/>
      <c r="J626" s="2"/>
      <c r="K626" s="2"/>
      <c r="L626" s="2"/>
      <c r="M626" s="2"/>
      <c r="N626" s="2"/>
      <c r="O626" s="2"/>
      <c r="P626" s="2"/>
      <c r="Q626" s="2"/>
      <c r="R626" s="2"/>
      <c r="S626" s="2"/>
      <c r="T626" s="2"/>
      <c r="U626" s="2"/>
      <c r="V626" s="2"/>
      <c r="W626" s="158"/>
      <c r="X626" s="2"/>
      <c r="Y626" s="2"/>
      <c r="Z626" s="2"/>
    </row>
    <row r="627" spans="1:26" ht="13.5" customHeight="1">
      <c r="A627" s="2"/>
      <c r="B627" s="2"/>
      <c r="C627" s="2"/>
      <c r="D627" s="2"/>
      <c r="E627" s="2"/>
      <c r="F627" s="2"/>
      <c r="G627" s="2"/>
      <c r="H627" s="2"/>
      <c r="I627" s="2"/>
      <c r="J627" s="2"/>
      <c r="K627" s="2"/>
      <c r="L627" s="2"/>
      <c r="M627" s="2"/>
      <c r="N627" s="2"/>
      <c r="O627" s="2"/>
      <c r="P627" s="2"/>
      <c r="Q627" s="2"/>
      <c r="R627" s="2"/>
      <c r="S627" s="2"/>
      <c r="T627" s="2"/>
      <c r="U627" s="2"/>
      <c r="V627" s="2"/>
      <c r="W627" s="158"/>
      <c r="X627" s="2"/>
      <c r="Y627" s="2"/>
      <c r="Z627" s="2"/>
    </row>
    <row r="628" spans="1:26" ht="13.5" customHeight="1">
      <c r="A628" s="2"/>
      <c r="B628" s="2"/>
      <c r="C628" s="2"/>
      <c r="D628" s="2"/>
      <c r="E628" s="2"/>
      <c r="F628" s="2"/>
      <c r="G628" s="2"/>
      <c r="H628" s="2"/>
      <c r="I628" s="2"/>
      <c r="J628" s="2"/>
      <c r="K628" s="2"/>
      <c r="L628" s="2"/>
      <c r="M628" s="2"/>
      <c r="N628" s="2"/>
      <c r="O628" s="2"/>
      <c r="P628" s="2"/>
      <c r="Q628" s="2"/>
      <c r="R628" s="2"/>
      <c r="S628" s="2"/>
      <c r="T628" s="2"/>
      <c r="U628" s="2"/>
      <c r="V628" s="2"/>
      <c r="W628" s="158"/>
      <c r="X628" s="2"/>
      <c r="Y628" s="2"/>
      <c r="Z628" s="2"/>
    </row>
    <row r="629" spans="1:26" ht="13.5" customHeight="1">
      <c r="A629" s="2"/>
      <c r="B629" s="2"/>
      <c r="C629" s="2"/>
      <c r="D629" s="2"/>
      <c r="E629" s="2"/>
      <c r="F629" s="2"/>
      <c r="G629" s="2"/>
      <c r="H629" s="2"/>
      <c r="I629" s="2"/>
      <c r="J629" s="2"/>
      <c r="K629" s="2"/>
      <c r="L629" s="2"/>
      <c r="M629" s="2"/>
      <c r="N629" s="2"/>
      <c r="O629" s="2"/>
      <c r="P629" s="2"/>
      <c r="Q629" s="2"/>
      <c r="R629" s="2"/>
      <c r="S629" s="2"/>
      <c r="T629" s="2"/>
      <c r="U629" s="2"/>
      <c r="V629" s="2"/>
      <c r="W629" s="158"/>
      <c r="X629" s="2"/>
      <c r="Y629" s="2"/>
      <c r="Z629" s="2"/>
    </row>
    <row r="630" spans="1:26" ht="13.5" customHeight="1">
      <c r="A630" s="2"/>
      <c r="B630" s="2"/>
      <c r="C630" s="2"/>
      <c r="D630" s="2"/>
      <c r="E630" s="2"/>
      <c r="F630" s="2"/>
      <c r="G630" s="2"/>
      <c r="H630" s="2"/>
      <c r="I630" s="2"/>
      <c r="J630" s="2"/>
      <c r="K630" s="2"/>
      <c r="L630" s="2"/>
      <c r="M630" s="2"/>
      <c r="N630" s="2"/>
      <c r="O630" s="2"/>
      <c r="P630" s="2"/>
      <c r="Q630" s="2"/>
      <c r="R630" s="2"/>
      <c r="S630" s="2"/>
      <c r="T630" s="2"/>
      <c r="U630" s="2"/>
      <c r="V630" s="2"/>
      <c r="W630" s="158"/>
      <c r="X630" s="2"/>
      <c r="Y630" s="2"/>
      <c r="Z630" s="2"/>
    </row>
    <row r="631" spans="1:26" ht="13.5" customHeight="1">
      <c r="A631" s="2"/>
      <c r="B631" s="2"/>
      <c r="C631" s="2"/>
      <c r="D631" s="2"/>
      <c r="E631" s="2"/>
      <c r="F631" s="2"/>
      <c r="G631" s="2"/>
      <c r="H631" s="2"/>
      <c r="I631" s="2"/>
      <c r="J631" s="2"/>
      <c r="K631" s="2"/>
      <c r="L631" s="2"/>
      <c r="M631" s="2"/>
      <c r="N631" s="2"/>
      <c r="O631" s="2"/>
      <c r="P631" s="2"/>
      <c r="Q631" s="2"/>
      <c r="R631" s="2"/>
      <c r="S631" s="2"/>
      <c r="T631" s="2"/>
      <c r="U631" s="2"/>
      <c r="V631" s="2"/>
      <c r="W631" s="158"/>
      <c r="X631" s="2"/>
      <c r="Y631" s="2"/>
      <c r="Z631" s="2"/>
    </row>
    <row r="632" spans="1:26" ht="13.5" customHeight="1">
      <c r="A632" s="2"/>
      <c r="B632" s="2"/>
      <c r="C632" s="2"/>
      <c r="D632" s="2"/>
      <c r="E632" s="2"/>
      <c r="F632" s="2"/>
      <c r="G632" s="2"/>
      <c r="H632" s="2"/>
      <c r="I632" s="2"/>
      <c r="J632" s="2"/>
      <c r="K632" s="2"/>
      <c r="L632" s="2"/>
      <c r="M632" s="2"/>
      <c r="N632" s="2"/>
      <c r="O632" s="2"/>
      <c r="P632" s="2"/>
      <c r="Q632" s="2"/>
      <c r="R632" s="2"/>
      <c r="S632" s="2"/>
      <c r="T632" s="2"/>
      <c r="U632" s="2"/>
      <c r="V632" s="2"/>
      <c r="W632" s="158"/>
      <c r="X632" s="2"/>
      <c r="Y632" s="2"/>
      <c r="Z632" s="2"/>
    </row>
    <row r="633" spans="1:26" ht="13.5" customHeight="1">
      <c r="A633" s="2"/>
      <c r="B633" s="2"/>
      <c r="C633" s="2"/>
      <c r="D633" s="2"/>
      <c r="E633" s="2"/>
      <c r="F633" s="2"/>
      <c r="G633" s="2"/>
      <c r="H633" s="2"/>
      <c r="I633" s="2"/>
      <c r="J633" s="2"/>
      <c r="K633" s="2"/>
      <c r="L633" s="2"/>
      <c r="M633" s="2"/>
      <c r="N633" s="2"/>
      <c r="O633" s="2"/>
      <c r="P633" s="2"/>
      <c r="Q633" s="2"/>
      <c r="R633" s="2"/>
      <c r="S633" s="2"/>
      <c r="T633" s="2"/>
      <c r="U633" s="2"/>
      <c r="V633" s="2"/>
      <c r="W633" s="158"/>
      <c r="X633" s="2"/>
      <c r="Y633" s="2"/>
      <c r="Z633" s="2"/>
    </row>
    <row r="634" spans="1:26" ht="13.5" customHeight="1">
      <c r="A634" s="2"/>
      <c r="B634" s="2"/>
      <c r="C634" s="2"/>
      <c r="D634" s="2"/>
      <c r="E634" s="2"/>
      <c r="F634" s="2"/>
      <c r="G634" s="2"/>
      <c r="H634" s="2"/>
      <c r="I634" s="2"/>
      <c r="J634" s="2"/>
      <c r="K634" s="2"/>
      <c r="L634" s="2"/>
      <c r="M634" s="2"/>
      <c r="N634" s="2"/>
      <c r="O634" s="2"/>
      <c r="P634" s="2"/>
      <c r="Q634" s="2"/>
      <c r="R634" s="2"/>
      <c r="S634" s="2"/>
      <c r="T634" s="2"/>
      <c r="U634" s="2"/>
      <c r="V634" s="2"/>
      <c r="W634" s="158"/>
      <c r="X634" s="2"/>
      <c r="Y634" s="2"/>
      <c r="Z634" s="2"/>
    </row>
    <row r="635" spans="1:26" ht="13.5" customHeight="1">
      <c r="A635" s="2"/>
      <c r="B635" s="2"/>
      <c r="C635" s="2"/>
      <c r="D635" s="2"/>
      <c r="E635" s="2"/>
      <c r="F635" s="2"/>
      <c r="G635" s="2"/>
      <c r="H635" s="2"/>
      <c r="I635" s="2"/>
      <c r="J635" s="2"/>
      <c r="K635" s="2"/>
      <c r="L635" s="2"/>
      <c r="M635" s="2"/>
      <c r="N635" s="2"/>
      <c r="O635" s="2"/>
      <c r="P635" s="2"/>
      <c r="Q635" s="2"/>
      <c r="R635" s="2"/>
      <c r="S635" s="2"/>
      <c r="T635" s="2"/>
      <c r="U635" s="2"/>
      <c r="V635" s="2"/>
      <c r="W635" s="158"/>
      <c r="X635" s="2"/>
      <c r="Y635" s="2"/>
      <c r="Z635" s="2"/>
    </row>
    <row r="636" spans="1:26" ht="13.5" customHeight="1">
      <c r="A636" s="2"/>
      <c r="B636" s="2"/>
      <c r="C636" s="2"/>
      <c r="D636" s="2"/>
      <c r="E636" s="2"/>
      <c r="F636" s="2"/>
      <c r="G636" s="2"/>
      <c r="H636" s="2"/>
      <c r="I636" s="2"/>
      <c r="J636" s="2"/>
      <c r="K636" s="2"/>
      <c r="L636" s="2"/>
      <c r="M636" s="2"/>
      <c r="N636" s="2"/>
      <c r="O636" s="2"/>
      <c r="P636" s="2"/>
      <c r="Q636" s="2"/>
      <c r="R636" s="2"/>
      <c r="S636" s="2"/>
      <c r="T636" s="2"/>
      <c r="U636" s="2"/>
      <c r="V636" s="2"/>
      <c r="W636" s="158"/>
      <c r="X636" s="2"/>
      <c r="Y636" s="2"/>
      <c r="Z636" s="2"/>
    </row>
    <row r="637" spans="1:26" ht="13.5" customHeight="1">
      <c r="A637" s="2"/>
      <c r="B637" s="2"/>
      <c r="C637" s="2"/>
      <c r="D637" s="2"/>
      <c r="E637" s="2"/>
      <c r="F637" s="2"/>
      <c r="G637" s="2"/>
      <c r="H637" s="2"/>
      <c r="I637" s="2"/>
      <c r="J637" s="2"/>
      <c r="K637" s="2"/>
      <c r="L637" s="2"/>
      <c r="M637" s="2"/>
      <c r="N637" s="2"/>
      <c r="O637" s="2"/>
      <c r="P637" s="2"/>
      <c r="Q637" s="2"/>
      <c r="R637" s="2"/>
      <c r="S637" s="2"/>
      <c r="T637" s="2"/>
      <c r="U637" s="2"/>
      <c r="V637" s="2"/>
      <c r="W637" s="158"/>
      <c r="X637" s="2"/>
      <c r="Y637" s="2"/>
      <c r="Z637" s="2"/>
    </row>
    <row r="638" spans="1:26" ht="13.5" customHeight="1">
      <c r="A638" s="2"/>
      <c r="B638" s="2"/>
      <c r="C638" s="2"/>
      <c r="D638" s="2"/>
      <c r="E638" s="2"/>
      <c r="F638" s="2"/>
      <c r="G638" s="2"/>
      <c r="H638" s="2"/>
      <c r="I638" s="2"/>
      <c r="J638" s="2"/>
      <c r="K638" s="2"/>
      <c r="L638" s="2"/>
      <c r="M638" s="2"/>
      <c r="N638" s="2"/>
      <c r="O638" s="2"/>
      <c r="P638" s="2"/>
      <c r="Q638" s="2"/>
      <c r="R638" s="2"/>
      <c r="S638" s="2"/>
      <c r="T638" s="2"/>
      <c r="U638" s="2"/>
      <c r="V638" s="2"/>
      <c r="W638" s="158"/>
      <c r="X638" s="2"/>
      <c r="Y638" s="2"/>
      <c r="Z638" s="2"/>
    </row>
    <row r="639" spans="1:26" ht="13.5" customHeight="1">
      <c r="A639" s="2"/>
      <c r="B639" s="2"/>
      <c r="C639" s="2"/>
      <c r="D639" s="2"/>
      <c r="E639" s="2"/>
      <c r="F639" s="2"/>
      <c r="G639" s="2"/>
      <c r="H639" s="2"/>
      <c r="I639" s="2"/>
      <c r="J639" s="2"/>
      <c r="K639" s="2"/>
      <c r="L639" s="2"/>
      <c r="M639" s="2"/>
      <c r="N639" s="2"/>
      <c r="O639" s="2"/>
      <c r="P639" s="2"/>
      <c r="Q639" s="2"/>
      <c r="R639" s="2"/>
      <c r="S639" s="2"/>
      <c r="T639" s="2"/>
      <c r="U639" s="2"/>
      <c r="V639" s="2"/>
      <c r="W639" s="158"/>
      <c r="X639" s="2"/>
      <c r="Y639" s="2"/>
      <c r="Z639" s="2"/>
    </row>
    <row r="640" spans="1:26" ht="13.5" customHeight="1">
      <c r="A640" s="2"/>
      <c r="B640" s="2"/>
      <c r="C640" s="2"/>
      <c r="D640" s="2"/>
      <c r="E640" s="2"/>
      <c r="F640" s="2"/>
      <c r="G640" s="2"/>
      <c r="H640" s="2"/>
      <c r="I640" s="2"/>
      <c r="J640" s="2"/>
      <c r="K640" s="2"/>
      <c r="L640" s="2"/>
      <c r="M640" s="2"/>
      <c r="N640" s="2"/>
      <c r="O640" s="2"/>
      <c r="P640" s="2"/>
      <c r="Q640" s="2"/>
      <c r="R640" s="2"/>
      <c r="S640" s="2"/>
      <c r="T640" s="2"/>
      <c r="U640" s="2"/>
      <c r="V640" s="2"/>
      <c r="W640" s="158"/>
      <c r="X640" s="2"/>
      <c r="Y640" s="2"/>
      <c r="Z640" s="2"/>
    </row>
    <row r="641" spans="1:26" ht="13.5" customHeight="1">
      <c r="A641" s="2"/>
      <c r="B641" s="2"/>
      <c r="C641" s="2"/>
      <c r="D641" s="2"/>
      <c r="E641" s="2"/>
      <c r="F641" s="2"/>
      <c r="G641" s="2"/>
      <c r="H641" s="2"/>
      <c r="I641" s="2"/>
      <c r="J641" s="2"/>
      <c r="K641" s="2"/>
      <c r="L641" s="2"/>
      <c r="M641" s="2"/>
      <c r="N641" s="2"/>
      <c r="O641" s="2"/>
      <c r="P641" s="2"/>
      <c r="Q641" s="2"/>
      <c r="R641" s="2"/>
      <c r="S641" s="2"/>
      <c r="T641" s="2"/>
      <c r="U641" s="2"/>
      <c r="V641" s="2"/>
      <c r="W641" s="158"/>
      <c r="X641" s="2"/>
      <c r="Y641" s="2"/>
      <c r="Z641" s="2"/>
    </row>
    <row r="642" spans="1:26" ht="13.5" customHeight="1">
      <c r="A642" s="2"/>
      <c r="B642" s="2"/>
      <c r="C642" s="2"/>
      <c r="D642" s="2"/>
      <c r="E642" s="2"/>
      <c r="F642" s="2"/>
      <c r="G642" s="2"/>
      <c r="H642" s="2"/>
      <c r="I642" s="2"/>
      <c r="J642" s="2"/>
      <c r="K642" s="2"/>
      <c r="L642" s="2"/>
      <c r="M642" s="2"/>
      <c r="N642" s="2"/>
      <c r="O642" s="2"/>
      <c r="P642" s="2"/>
      <c r="Q642" s="2"/>
      <c r="R642" s="2"/>
      <c r="S642" s="2"/>
      <c r="T642" s="2"/>
      <c r="U642" s="2"/>
      <c r="V642" s="2"/>
      <c r="W642" s="158"/>
      <c r="X642" s="2"/>
      <c r="Y642" s="2"/>
      <c r="Z642" s="2"/>
    </row>
    <row r="643" spans="1:26" ht="13.5" customHeight="1">
      <c r="A643" s="2"/>
      <c r="B643" s="2"/>
      <c r="C643" s="2"/>
      <c r="D643" s="2"/>
      <c r="E643" s="2"/>
      <c r="F643" s="2"/>
      <c r="G643" s="2"/>
      <c r="H643" s="2"/>
      <c r="I643" s="2"/>
      <c r="J643" s="2"/>
      <c r="K643" s="2"/>
      <c r="L643" s="2"/>
      <c r="M643" s="2"/>
      <c r="N643" s="2"/>
      <c r="O643" s="2"/>
      <c r="P643" s="2"/>
      <c r="Q643" s="2"/>
      <c r="R643" s="2"/>
      <c r="S643" s="2"/>
      <c r="T643" s="2"/>
      <c r="U643" s="2"/>
      <c r="V643" s="2"/>
      <c r="W643" s="158"/>
      <c r="X643" s="2"/>
      <c r="Y643" s="2"/>
      <c r="Z643" s="2"/>
    </row>
    <row r="644" spans="1:26" ht="13.5" customHeight="1">
      <c r="A644" s="2"/>
      <c r="B644" s="2"/>
      <c r="C644" s="2"/>
      <c r="D644" s="2"/>
      <c r="E644" s="2"/>
      <c r="F644" s="2"/>
      <c r="G644" s="2"/>
      <c r="H644" s="2"/>
      <c r="I644" s="2"/>
      <c r="J644" s="2"/>
      <c r="K644" s="2"/>
      <c r="L644" s="2"/>
      <c r="M644" s="2"/>
      <c r="N644" s="2"/>
      <c r="O644" s="2"/>
      <c r="P644" s="2"/>
      <c r="Q644" s="2"/>
      <c r="R644" s="2"/>
      <c r="S644" s="2"/>
      <c r="T644" s="2"/>
      <c r="U644" s="2"/>
      <c r="V644" s="2"/>
      <c r="W644" s="158"/>
      <c r="X644" s="2"/>
      <c r="Y644" s="2"/>
      <c r="Z644" s="2"/>
    </row>
    <row r="645" spans="1:26" ht="13.5" customHeight="1">
      <c r="A645" s="2"/>
      <c r="B645" s="2"/>
      <c r="C645" s="2"/>
      <c r="D645" s="2"/>
      <c r="E645" s="2"/>
      <c r="F645" s="2"/>
      <c r="G645" s="2"/>
      <c r="H645" s="2"/>
      <c r="I645" s="2"/>
      <c r="J645" s="2"/>
      <c r="K645" s="2"/>
      <c r="L645" s="2"/>
      <c r="M645" s="2"/>
      <c r="N645" s="2"/>
      <c r="O645" s="2"/>
      <c r="P645" s="2"/>
      <c r="Q645" s="2"/>
      <c r="R645" s="2"/>
      <c r="S645" s="2"/>
      <c r="T645" s="2"/>
      <c r="U645" s="2"/>
      <c r="V645" s="2"/>
      <c r="W645" s="158"/>
      <c r="X645" s="2"/>
      <c r="Y645" s="2"/>
      <c r="Z645" s="2"/>
    </row>
    <row r="646" spans="1:26" ht="13.5" customHeight="1">
      <c r="A646" s="2"/>
      <c r="B646" s="2"/>
      <c r="C646" s="2"/>
      <c r="D646" s="2"/>
      <c r="E646" s="2"/>
      <c r="F646" s="2"/>
      <c r="G646" s="2"/>
      <c r="H646" s="2"/>
      <c r="I646" s="2"/>
      <c r="J646" s="2"/>
      <c r="K646" s="2"/>
      <c r="L646" s="2"/>
      <c r="M646" s="2"/>
      <c r="N646" s="2"/>
      <c r="O646" s="2"/>
      <c r="P646" s="2"/>
      <c r="Q646" s="2"/>
      <c r="R646" s="2"/>
      <c r="S646" s="2"/>
      <c r="T646" s="2"/>
      <c r="U646" s="2"/>
      <c r="V646" s="2"/>
      <c r="W646" s="158"/>
      <c r="X646" s="2"/>
      <c r="Y646" s="2"/>
      <c r="Z646" s="2"/>
    </row>
    <row r="647" spans="1:26" ht="13.5" customHeight="1">
      <c r="A647" s="2"/>
      <c r="B647" s="2"/>
      <c r="C647" s="2"/>
      <c r="D647" s="2"/>
      <c r="E647" s="2"/>
      <c r="F647" s="2"/>
      <c r="G647" s="2"/>
      <c r="H647" s="2"/>
      <c r="I647" s="2"/>
      <c r="J647" s="2"/>
      <c r="K647" s="2"/>
      <c r="L647" s="2"/>
      <c r="M647" s="2"/>
      <c r="N647" s="2"/>
      <c r="O647" s="2"/>
      <c r="P647" s="2"/>
      <c r="Q647" s="2"/>
      <c r="R647" s="2"/>
      <c r="S647" s="2"/>
      <c r="T647" s="2"/>
      <c r="U647" s="2"/>
      <c r="V647" s="2"/>
      <c r="W647" s="158"/>
      <c r="X647" s="2"/>
      <c r="Y647" s="2"/>
      <c r="Z647" s="2"/>
    </row>
    <row r="648" spans="1:26" ht="13.5" customHeight="1">
      <c r="A648" s="2"/>
      <c r="B648" s="2"/>
      <c r="C648" s="2"/>
      <c r="D648" s="2"/>
      <c r="E648" s="2"/>
      <c r="F648" s="2"/>
      <c r="G648" s="2"/>
      <c r="H648" s="2"/>
      <c r="I648" s="2"/>
      <c r="J648" s="2"/>
      <c r="K648" s="2"/>
      <c r="L648" s="2"/>
      <c r="M648" s="2"/>
      <c r="N648" s="2"/>
      <c r="O648" s="2"/>
      <c r="P648" s="2"/>
      <c r="Q648" s="2"/>
      <c r="R648" s="2"/>
      <c r="S648" s="2"/>
      <c r="T648" s="2"/>
      <c r="U648" s="2"/>
      <c r="V648" s="2"/>
      <c r="W648" s="158"/>
      <c r="X648" s="2"/>
      <c r="Y648" s="2"/>
      <c r="Z648" s="2"/>
    </row>
    <row r="649" spans="1:26" ht="13.5" customHeight="1">
      <c r="A649" s="2"/>
      <c r="B649" s="2"/>
      <c r="C649" s="2"/>
      <c r="D649" s="2"/>
      <c r="E649" s="2"/>
      <c r="F649" s="2"/>
      <c r="G649" s="2"/>
      <c r="H649" s="2"/>
      <c r="I649" s="2"/>
      <c r="J649" s="2"/>
      <c r="K649" s="2"/>
      <c r="L649" s="2"/>
      <c r="M649" s="2"/>
      <c r="N649" s="2"/>
      <c r="O649" s="2"/>
      <c r="P649" s="2"/>
      <c r="Q649" s="2"/>
      <c r="R649" s="2"/>
      <c r="S649" s="2"/>
      <c r="T649" s="2"/>
      <c r="U649" s="2"/>
      <c r="V649" s="2"/>
      <c r="W649" s="158"/>
      <c r="X649" s="2"/>
      <c r="Y649" s="2"/>
      <c r="Z649" s="2"/>
    </row>
    <row r="650" spans="1:26" ht="13.5" customHeight="1">
      <c r="A650" s="2"/>
      <c r="B650" s="2"/>
      <c r="C650" s="2"/>
      <c r="D650" s="2"/>
      <c r="E650" s="2"/>
      <c r="F650" s="2"/>
      <c r="G650" s="2"/>
      <c r="H650" s="2"/>
      <c r="I650" s="2"/>
      <c r="J650" s="2"/>
      <c r="K650" s="2"/>
      <c r="L650" s="2"/>
      <c r="M650" s="2"/>
      <c r="N650" s="2"/>
      <c r="O650" s="2"/>
      <c r="P650" s="2"/>
      <c r="Q650" s="2"/>
      <c r="R650" s="2"/>
      <c r="S650" s="2"/>
      <c r="T650" s="2"/>
      <c r="U650" s="2"/>
      <c r="V650" s="2"/>
      <c r="W650" s="158"/>
      <c r="X650" s="2"/>
      <c r="Y650" s="2"/>
      <c r="Z650" s="2"/>
    </row>
    <row r="651" spans="1:26" ht="13.5" customHeight="1">
      <c r="A651" s="2"/>
      <c r="B651" s="2"/>
      <c r="C651" s="2"/>
      <c r="D651" s="2"/>
      <c r="E651" s="2"/>
      <c r="F651" s="2"/>
      <c r="G651" s="2"/>
      <c r="H651" s="2"/>
      <c r="I651" s="2"/>
      <c r="J651" s="2"/>
      <c r="K651" s="2"/>
      <c r="L651" s="2"/>
      <c r="M651" s="2"/>
      <c r="N651" s="2"/>
      <c r="O651" s="2"/>
      <c r="P651" s="2"/>
      <c r="Q651" s="2"/>
      <c r="R651" s="2"/>
      <c r="S651" s="2"/>
      <c r="T651" s="2"/>
      <c r="U651" s="2"/>
      <c r="V651" s="2"/>
      <c r="W651" s="158"/>
      <c r="X651" s="2"/>
      <c r="Y651" s="2"/>
      <c r="Z651" s="2"/>
    </row>
    <row r="652" spans="1:26" ht="13.5" customHeight="1">
      <c r="A652" s="2"/>
      <c r="B652" s="2"/>
      <c r="C652" s="2"/>
      <c r="D652" s="2"/>
      <c r="E652" s="2"/>
      <c r="F652" s="2"/>
      <c r="G652" s="2"/>
      <c r="H652" s="2"/>
      <c r="I652" s="2"/>
      <c r="J652" s="2"/>
      <c r="K652" s="2"/>
      <c r="L652" s="2"/>
      <c r="M652" s="2"/>
      <c r="N652" s="2"/>
      <c r="O652" s="2"/>
      <c r="P652" s="2"/>
      <c r="Q652" s="2"/>
      <c r="R652" s="2"/>
      <c r="S652" s="2"/>
      <c r="T652" s="2"/>
      <c r="U652" s="2"/>
      <c r="V652" s="2"/>
      <c r="W652" s="158"/>
      <c r="X652" s="2"/>
      <c r="Y652" s="2"/>
      <c r="Z652" s="2"/>
    </row>
    <row r="653" spans="1:26" ht="13.5" customHeight="1">
      <c r="A653" s="2"/>
      <c r="B653" s="2"/>
      <c r="C653" s="2"/>
      <c r="D653" s="2"/>
      <c r="E653" s="2"/>
      <c r="F653" s="2"/>
      <c r="G653" s="2"/>
      <c r="H653" s="2"/>
      <c r="I653" s="2"/>
      <c r="J653" s="2"/>
      <c r="K653" s="2"/>
      <c r="L653" s="2"/>
      <c r="M653" s="2"/>
      <c r="N653" s="2"/>
      <c r="O653" s="2"/>
      <c r="P653" s="2"/>
      <c r="Q653" s="2"/>
      <c r="R653" s="2"/>
      <c r="S653" s="2"/>
      <c r="T653" s="2"/>
      <c r="U653" s="2"/>
      <c r="V653" s="2"/>
      <c r="W653" s="158"/>
      <c r="X653" s="2"/>
      <c r="Y653" s="2"/>
      <c r="Z653" s="2"/>
    </row>
    <row r="654" spans="1:26" ht="13.5" customHeight="1">
      <c r="A654" s="2"/>
      <c r="B654" s="2"/>
      <c r="C654" s="2"/>
      <c r="D654" s="2"/>
      <c r="E654" s="2"/>
      <c r="F654" s="2"/>
      <c r="G654" s="2"/>
      <c r="H654" s="2"/>
      <c r="I654" s="2"/>
      <c r="J654" s="2"/>
      <c r="K654" s="2"/>
      <c r="L654" s="2"/>
      <c r="M654" s="2"/>
      <c r="N654" s="2"/>
      <c r="O654" s="2"/>
      <c r="P654" s="2"/>
      <c r="Q654" s="2"/>
      <c r="R654" s="2"/>
      <c r="S654" s="2"/>
      <c r="T654" s="2"/>
      <c r="U654" s="2"/>
      <c r="V654" s="2"/>
      <c r="W654" s="158"/>
      <c r="X654" s="2"/>
      <c r="Y654" s="2"/>
      <c r="Z654" s="2"/>
    </row>
    <row r="655" spans="1:26" ht="13.5" customHeight="1">
      <c r="A655" s="2"/>
      <c r="B655" s="2"/>
      <c r="C655" s="2"/>
      <c r="D655" s="2"/>
      <c r="E655" s="2"/>
      <c r="F655" s="2"/>
      <c r="G655" s="2"/>
      <c r="H655" s="2"/>
      <c r="I655" s="2"/>
      <c r="J655" s="2"/>
      <c r="K655" s="2"/>
      <c r="L655" s="2"/>
      <c r="M655" s="2"/>
      <c r="N655" s="2"/>
      <c r="O655" s="2"/>
      <c r="P655" s="2"/>
      <c r="Q655" s="2"/>
      <c r="R655" s="2"/>
      <c r="S655" s="2"/>
      <c r="T655" s="2"/>
      <c r="U655" s="2"/>
      <c r="V655" s="2"/>
      <c r="W655" s="158"/>
      <c r="X655" s="2"/>
      <c r="Y655" s="2"/>
      <c r="Z655" s="2"/>
    </row>
    <row r="656" spans="1:26" ht="13.5" customHeight="1">
      <c r="A656" s="2"/>
      <c r="B656" s="2"/>
      <c r="C656" s="2"/>
      <c r="D656" s="2"/>
      <c r="E656" s="2"/>
      <c r="F656" s="2"/>
      <c r="G656" s="2"/>
      <c r="H656" s="2"/>
      <c r="I656" s="2"/>
      <c r="J656" s="2"/>
      <c r="K656" s="2"/>
      <c r="L656" s="2"/>
      <c r="M656" s="2"/>
      <c r="N656" s="2"/>
      <c r="O656" s="2"/>
      <c r="P656" s="2"/>
      <c r="Q656" s="2"/>
      <c r="R656" s="2"/>
      <c r="S656" s="2"/>
      <c r="T656" s="2"/>
      <c r="U656" s="2"/>
      <c r="V656" s="2"/>
      <c r="W656" s="158"/>
      <c r="X656" s="2"/>
      <c r="Y656" s="2"/>
      <c r="Z656" s="2"/>
    </row>
    <row r="657" spans="1:26" ht="13.5" customHeight="1">
      <c r="A657" s="2"/>
      <c r="B657" s="2"/>
      <c r="C657" s="2"/>
      <c r="D657" s="2"/>
      <c r="E657" s="2"/>
      <c r="F657" s="2"/>
      <c r="G657" s="2"/>
      <c r="H657" s="2"/>
      <c r="I657" s="2"/>
      <c r="J657" s="2"/>
      <c r="K657" s="2"/>
      <c r="L657" s="2"/>
      <c r="M657" s="2"/>
      <c r="N657" s="2"/>
      <c r="O657" s="2"/>
      <c r="P657" s="2"/>
      <c r="Q657" s="2"/>
      <c r="R657" s="2"/>
      <c r="S657" s="2"/>
      <c r="T657" s="2"/>
      <c r="U657" s="2"/>
      <c r="V657" s="2"/>
      <c r="W657" s="158"/>
      <c r="X657" s="2"/>
      <c r="Y657" s="2"/>
      <c r="Z657" s="2"/>
    </row>
    <row r="658" spans="1:26" ht="13.5" customHeight="1">
      <c r="A658" s="2"/>
      <c r="B658" s="2"/>
      <c r="C658" s="2"/>
      <c r="D658" s="2"/>
      <c r="E658" s="2"/>
      <c r="F658" s="2"/>
      <c r="G658" s="2"/>
      <c r="H658" s="2"/>
      <c r="I658" s="2"/>
      <c r="J658" s="2"/>
      <c r="K658" s="2"/>
      <c r="L658" s="2"/>
      <c r="M658" s="2"/>
      <c r="N658" s="2"/>
      <c r="O658" s="2"/>
      <c r="P658" s="2"/>
      <c r="Q658" s="2"/>
      <c r="R658" s="2"/>
      <c r="S658" s="2"/>
      <c r="T658" s="2"/>
      <c r="U658" s="2"/>
      <c r="V658" s="2"/>
      <c r="W658" s="158"/>
      <c r="X658" s="2"/>
      <c r="Y658" s="2"/>
      <c r="Z658" s="2"/>
    </row>
    <row r="659" spans="1:26" ht="13.5" customHeight="1">
      <c r="A659" s="2"/>
      <c r="B659" s="2"/>
      <c r="C659" s="2"/>
      <c r="D659" s="2"/>
      <c r="E659" s="2"/>
      <c r="F659" s="2"/>
      <c r="G659" s="2"/>
      <c r="H659" s="2"/>
      <c r="I659" s="2"/>
      <c r="J659" s="2"/>
      <c r="K659" s="2"/>
      <c r="L659" s="2"/>
      <c r="M659" s="2"/>
      <c r="N659" s="2"/>
      <c r="O659" s="2"/>
      <c r="P659" s="2"/>
      <c r="Q659" s="2"/>
      <c r="R659" s="2"/>
      <c r="S659" s="2"/>
      <c r="T659" s="2"/>
      <c r="U659" s="2"/>
      <c r="V659" s="2"/>
      <c r="W659" s="158"/>
      <c r="X659" s="2"/>
      <c r="Y659" s="2"/>
      <c r="Z659" s="2"/>
    </row>
    <row r="660" spans="1:26" ht="13.5" customHeight="1">
      <c r="A660" s="2"/>
      <c r="B660" s="2"/>
      <c r="C660" s="2"/>
      <c r="D660" s="2"/>
      <c r="E660" s="2"/>
      <c r="F660" s="2"/>
      <c r="G660" s="2"/>
      <c r="H660" s="2"/>
      <c r="I660" s="2"/>
      <c r="J660" s="2"/>
      <c r="K660" s="2"/>
      <c r="L660" s="2"/>
      <c r="M660" s="2"/>
      <c r="N660" s="2"/>
      <c r="O660" s="2"/>
      <c r="P660" s="2"/>
      <c r="Q660" s="2"/>
      <c r="R660" s="2"/>
      <c r="S660" s="2"/>
      <c r="T660" s="2"/>
      <c r="U660" s="2"/>
      <c r="V660" s="2"/>
      <c r="W660" s="158"/>
      <c r="X660" s="2"/>
      <c r="Y660" s="2"/>
      <c r="Z660" s="2"/>
    </row>
    <row r="661" spans="1:26" ht="13.5" customHeight="1">
      <c r="A661" s="2"/>
      <c r="B661" s="2"/>
      <c r="C661" s="2"/>
      <c r="D661" s="2"/>
      <c r="E661" s="2"/>
      <c r="F661" s="2"/>
      <c r="G661" s="2"/>
      <c r="H661" s="2"/>
      <c r="I661" s="2"/>
      <c r="J661" s="2"/>
      <c r="K661" s="2"/>
      <c r="L661" s="2"/>
      <c r="M661" s="2"/>
      <c r="N661" s="2"/>
      <c r="O661" s="2"/>
      <c r="P661" s="2"/>
      <c r="Q661" s="2"/>
      <c r="R661" s="2"/>
      <c r="S661" s="2"/>
      <c r="T661" s="2"/>
      <c r="U661" s="2"/>
      <c r="V661" s="2"/>
      <c r="W661" s="158"/>
      <c r="X661" s="2"/>
      <c r="Y661" s="2"/>
      <c r="Z661" s="2"/>
    </row>
    <row r="662" spans="1:26" ht="13.5" customHeight="1">
      <c r="A662" s="2"/>
      <c r="B662" s="2"/>
      <c r="C662" s="2"/>
      <c r="D662" s="2"/>
      <c r="E662" s="2"/>
      <c r="F662" s="2"/>
      <c r="G662" s="2"/>
      <c r="H662" s="2"/>
      <c r="I662" s="2"/>
      <c r="J662" s="2"/>
      <c r="K662" s="2"/>
      <c r="L662" s="2"/>
      <c r="M662" s="2"/>
      <c r="N662" s="2"/>
      <c r="O662" s="2"/>
      <c r="P662" s="2"/>
      <c r="Q662" s="2"/>
      <c r="R662" s="2"/>
      <c r="S662" s="2"/>
      <c r="T662" s="2"/>
      <c r="U662" s="2"/>
      <c r="V662" s="2"/>
      <c r="W662" s="158"/>
      <c r="X662" s="2"/>
      <c r="Y662" s="2"/>
      <c r="Z662" s="2"/>
    </row>
    <row r="663" spans="1:26" ht="13.5" customHeight="1">
      <c r="A663" s="2"/>
      <c r="B663" s="2"/>
      <c r="C663" s="2"/>
      <c r="D663" s="2"/>
      <c r="E663" s="2"/>
      <c r="F663" s="2"/>
      <c r="G663" s="2"/>
      <c r="H663" s="2"/>
      <c r="I663" s="2"/>
      <c r="J663" s="2"/>
      <c r="K663" s="2"/>
      <c r="L663" s="2"/>
      <c r="M663" s="2"/>
      <c r="N663" s="2"/>
      <c r="O663" s="2"/>
      <c r="P663" s="2"/>
      <c r="Q663" s="2"/>
      <c r="R663" s="2"/>
      <c r="S663" s="2"/>
      <c r="T663" s="2"/>
      <c r="U663" s="2"/>
      <c r="V663" s="2"/>
      <c r="W663" s="158"/>
      <c r="X663" s="2"/>
      <c r="Y663" s="2"/>
      <c r="Z663" s="2"/>
    </row>
    <row r="664" spans="1:26" ht="13.5" customHeight="1">
      <c r="A664" s="2"/>
      <c r="B664" s="2"/>
      <c r="C664" s="2"/>
      <c r="D664" s="2"/>
      <c r="E664" s="2"/>
      <c r="F664" s="2"/>
      <c r="G664" s="2"/>
      <c r="H664" s="2"/>
      <c r="I664" s="2"/>
      <c r="J664" s="2"/>
      <c r="K664" s="2"/>
      <c r="L664" s="2"/>
      <c r="M664" s="2"/>
      <c r="N664" s="2"/>
      <c r="O664" s="2"/>
      <c r="P664" s="2"/>
      <c r="Q664" s="2"/>
      <c r="R664" s="2"/>
      <c r="S664" s="2"/>
      <c r="T664" s="2"/>
      <c r="U664" s="2"/>
      <c r="V664" s="2"/>
      <c r="W664" s="158"/>
      <c r="X664" s="2"/>
      <c r="Y664" s="2"/>
      <c r="Z664" s="2"/>
    </row>
    <row r="665" spans="1:26" ht="13.5" customHeight="1">
      <c r="A665" s="2"/>
      <c r="B665" s="2"/>
      <c r="C665" s="2"/>
      <c r="D665" s="2"/>
      <c r="E665" s="2"/>
      <c r="F665" s="2"/>
      <c r="G665" s="2"/>
      <c r="H665" s="2"/>
      <c r="I665" s="2"/>
      <c r="J665" s="2"/>
      <c r="K665" s="2"/>
      <c r="L665" s="2"/>
      <c r="M665" s="2"/>
      <c r="N665" s="2"/>
      <c r="O665" s="2"/>
      <c r="P665" s="2"/>
      <c r="Q665" s="2"/>
      <c r="R665" s="2"/>
      <c r="S665" s="2"/>
      <c r="T665" s="2"/>
      <c r="U665" s="2"/>
      <c r="V665" s="2"/>
      <c r="W665" s="158"/>
      <c r="X665" s="2"/>
      <c r="Y665" s="2"/>
      <c r="Z665" s="2"/>
    </row>
    <row r="666" spans="1:26" ht="13.5" customHeight="1">
      <c r="A666" s="2"/>
      <c r="B666" s="2"/>
      <c r="C666" s="2"/>
      <c r="D666" s="2"/>
      <c r="E666" s="2"/>
      <c r="F666" s="2"/>
      <c r="G666" s="2"/>
      <c r="H666" s="2"/>
      <c r="I666" s="2"/>
      <c r="J666" s="2"/>
      <c r="K666" s="2"/>
      <c r="L666" s="2"/>
      <c r="M666" s="2"/>
      <c r="N666" s="2"/>
      <c r="O666" s="2"/>
      <c r="P666" s="2"/>
      <c r="Q666" s="2"/>
      <c r="R666" s="2"/>
      <c r="S666" s="2"/>
      <c r="T666" s="2"/>
      <c r="U666" s="2"/>
      <c r="V666" s="2"/>
      <c r="W666" s="158"/>
      <c r="X666" s="2"/>
      <c r="Y666" s="2"/>
      <c r="Z666" s="2"/>
    </row>
    <row r="667" spans="1:26" ht="13.5" customHeight="1">
      <c r="A667" s="2"/>
      <c r="B667" s="2"/>
      <c r="C667" s="2"/>
      <c r="D667" s="2"/>
      <c r="E667" s="2"/>
      <c r="F667" s="2"/>
      <c r="G667" s="2"/>
      <c r="H667" s="2"/>
      <c r="I667" s="2"/>
      <c r="J667" s="2"/>
      <c r="K667" s="2"/>
      <c r="L667" s="2"/>
      <c r="M667" s="2"/>
      <c r="N667" s="2"/>
      <c r="O667" s="2"/>
      <c r="P667" s="2"/>
      <c r="Q667" s="2"/>
      <c r="R667" s="2"/>
      <c r="S667" s="2"/>
      <c r="T667" s="2"/>
      <c r="U667" s="2"/>
      <c r="V667" s="2"/>
      <c r="W667" s="158"/>
      <c r="X667" s="2"/>
      <c r="Y667" s="2"/>
      <c r="Z667" s="2"/>
    </row>
    <row r="668" spans="1:26" ht="13.5" customHeight="1">
      <c r="A668" s="2"/>
      <c r="B668" s="2"/>
      <c r="C668" s="2"/>
      <c r="D668" s="2"/>
      <c r="E668" s="2"/>
      <c r="F668" s="2"/>
      <c r="G668" s="2"/>
      <c r="H668" s="2"/>
      <c r="I668" s="2"/>
      <c r="J668" s="2"/>
      <c r="K668" s="2"/>
      <c r="L668" s="2"/>
      <c r="M668" s="2"/>
      <c r="N668" s="2"/>
      <c r="O668" s="2"/>
      <c r="P668" s="2"/>
      <c r="Q668" s="2"/>
      <c r="R668" s="2"/>
      <c r="S668" s="2"/>
      <c r="T668" s="2"/>
      <c r="U668" s="2"/>
      <c r="V668" s="2"/>
      <c r="W668" s="158"/>
      <c r="X668" s="2"/>
      <c r="Y668" s="2"/>
      <c r="Z668" s="2"/>
    </row>
    <row r="669" spans="1:26" ht="13.5" customHeight="1">
      <c r="A669" s="2"/>
      <c r="B669" s="2"/>
      <c r="C669" s="2"/>
      <c r="D669" s="2"/>
      <c r="E669" s="2"/>
      <c r="F669" s="2"/>
      <c r="G669" s="2"/>
      <c r="H669" s="2"/>
      <c r="I669" s="2"/>
      <c r="J669" s="2"/>
      <c r="K669" s="2"/>
      <c r="L669" s="2"/>
      <c r="M669" s="2"/>
      <c r="N669" s="2"/>
      <c r="O669" s="2"/>
      <c r="P669" s="2"/>
      <c r="Q669" s="2"/>
      <c r="R669" s="2"/>
      <c r="S669" s="2"/>
      <c r="T669" s="2"/>
      <c r="U669" s="2"/>
      <c r="V669" s="2"/>
      <c r="W669" s="158"/>
      <c r="X669" s="2"/>
      <c r="Y669" s="2"/>
      <c r="Z669" s="2"/>
    </row>
    <row r="670" spans="1:26" ht="13.5" customHeight="1">
      <c r="A670" s="2"/>
      <c r="B670" s="2"/>
      <c r="C670" s="2"/>
      <c r="D670" s="2"/>
      <c r="E670" s="2"/>
      <c r="F670" s="2"/>
      <c r="G670" s="2"/>
      <c r="H670" s="2"/>
      <c r="I670" s="2"/>
      <c r="J670" s="2"/>
      <c r="K670" s="2"/>
      <c r="L670" s="2"/>
      <c r="M670" s="2"/>
      <c r="N670" s="2"/>
      <c r="O670" s="2"/>
      <c r="P670" s="2"/>
      <c r="Q670" s="2"/>
      <c r="R670" s="2"/>
      <c r="S670" s="2"/>
      <c r="T670" s="2"/>
      <c r="U670" s="2"/>
      <c r="V670" s="2"/>
      <c r="W670" s="158"/>
      <c r="X670" s="2"/>
      <c r="Y670" s="2"/>
      <c r="Z670" s="2"/>
    </row>
    <row r="671" spans="1:26" ht="13.5" customHeight="1">
      <c r="A671" s="2"/>
      <c r="B671" s="2"/>
      <c r="C671" s="2"/>
      <c r="D671" s="2"/>
      <c r="E671" s="2"/>
      <c r="F671" s="2"/>
      <c r="G671" s="2"/>
      <c r="H671" s="2"/>
      <c r="I671" s="2"/>
      <c r="J671" s="2"/>
      <c r="K671" s="2"/>
      <c r="L671" s="2"/>
      <c r="M671" s="2"/>
      <c r="N671" s="2"/>
      <c r="O671" s="2"/>
      <c r="P671" s="2"/>
      <c r="Q671" s="2"/>
      <c r="R671" s="2"/>
      <c r="S671" s="2"/>
      <c r="T671" s="2"/>
      <c r="U671" s="2"/>
      <c r="V671" s="2"/>
      <c r="W671" s="158"/>
      <c r="X671" s="2"/>
      <c r="Y671" s="2"/>
      <c r="Z671" s="2"/>
    </row>
    <row r="672" spans="1:26" ht="13.5" customHeight="1">
      <c r="A672" s="2"/>
      <c r="B672" s="2"/>
      <c r="C672" s="2"/>
      <c r="D672" s="2"/>
      <c r="E672" s="2"/>
      <c r="F672" s="2"/>
      <c r="G672" s="2"/>
      <c r="H672" s="2"/>
      <c r="I672" s="2"/>
      <c r="J672" s="2"/>
      <c r="K672" s="2"/>
      <c r="L672" s="2"/>
      <c r="M672" s="2"/>
      <c r="N672" s="2"/>
      <c r="O672" s="2"/>
      <c r="P672" s="2"/>
      <c r="Q672" s="2"/>
      <c r="R672" s="2"/>
      <c r="S672" s="2"/>
      <c r="T672" s="2"/>
      <c r="U672" s="2"/>
      <c r="V672" s="2"/>
      <c r="W672" s="158"/>
      <c r="X672" s="2"/>
      <c r="Y672" s="2"/>
      <c r="Z672" s="2"/>
    </row>
    <row r="673" spans="1:26" ht="13.5" customHeight="1">
      <c r="A673" s="2"/>
      <c r="B673" s="2"/>
      <c r="C673" s="2"/>
      <c r="D673" s="2"/>
      <c r="E673" s="2"/>
      <c r="F673" s="2"/>
      <c r="G673" s="2"/>
      <c r="H673" s="2"/>
      <c r="I673" s="2"/>
      <c r="J673" s="2"/>
      <c r="K673" s="2"/>
      <c r="L673" s="2"/>
      <c r="M673" s="2"/>
      <c r="N673" s="2"/>
      <c r="O673" s="2"/>
      <c r="P673" s="2"/>
      <c r="Q673" s="2"/>
      <c r="R673" s="2"/>
      <c r="S673" s="2"/>
      <c r="T673" s="2"/>
      <c r="U673" s="2"/>
      <c r="V673" s="2"/>
      <c r="W673" s="158"/>
      <c r="X673" s="2"/>
      <c r="Y673" s="2"/>
      <c r="Z673" s="2"/>
    </row>
    <row r="674" spans="1:26" ht="13.5" customHeight="1">
      <c r="A674" s="2"/>
      <c r="B674" s="2"/>
      <c r="C674" s="2"/>
      <c r="D674" s="2"/>
      <c r="E674" s="2"/>
      <c r="F674" s="2"/>
      <c r="G674" s="2"/>
      <c r="H674" s="2"/>
      <c r="I674" s="2"/>
      <c r="J674" s="2"/>
      <c r="K674" s="2"/>
      <c r="L674" s="2"/>
      <c r="M674" s="2"/>
      <c r="N674" s="2"/>
      <c r="O674" s="2"/>
      <c r="P674" s="2"/>
      <c r="Q674" s="2"/>
      <c r="R674" s="2"/>
      <c r="S674" s="2"/>
      <c r="T674" s="2"/>
      <c r="U674" s="2"/>
      <c r="V674" s="2"/>
      <c r="W674" s="158"/>
      <c r="X674" s="2"/>
      <c r="Y674" s="2"/>
      <c r="Z674" s="2"/>
    </row>
    <row r="675" spans="1:26" ht="13.5" customHeight="1">
      <c r="A675" s="2"/>
      <c r="B675" s="2"/>
      <c r="C675" s="2"/>
      <c r="D675" s="2"/>
      <c r="E675" s="2"/>
      <c r="F675" s="2"/>
      <c r="G675" s="2"/>
      <c r="H675" s="2"/>
      <c r="I675" s="2"/>
      <c r="J675" s="2"/>
      <c r="K675" s="2"/>
      <c r="L675" s="2"/>
      <c r="M675" s="2"/>
      <c r="N675" s="2"/>
      <c r="O675" s="2"/>
      <c r="P675" s="2"/>
      <c r="Q675" s="2"/>
      <c r="R675" s="2"/>
      <c r="S675" s="2"/>
      <c r="T675" s="2"/>
      <c r="U675" s="2"/>
      <c r="V675" s="2"/>
      <c r="W675" s="158"/>
      <c r="X675" s="2"/>
      <c r="Y675" s="2"/>
      <c r="Z675" s="2"/>
    </row>
    <row r="676" spans="1:26" ht="13.5" customHeight="1">
      <c r="A676" s="2"/>
      <c r="B676" s="2"/>
      <c r="C676" s="2"/>
      <c r="D676" s="2"/>
      <c r="E676" s="2"/>
      <c r="F676" s="2"/>
      <c r="G676" s="2"/>
      <c r="H676" s="2"/>
      <c r="I676" s="2"/>
      <c r="J676" s="2"/>
      <c r="K676" s="2"/>
      <c r="L676" s="2"/>
      <c r="M676" s="2"/>
      <c r="N676" s="2"/>
      <c r="O676" s="2"/>
      <c r="P676" s="2"/>
      <c r="Q676" s="2"/>
      <c r="R676" s="2"/>
      <c r="S676" s="2"/>
      <c r="T676" s="2"/>
      <c r="U676" s="2"/>
      <c r="V676" s="2"/>
      <c r="W676" s="158"/>
      <c r="X676" s="2"/>
      <c r="Y676" s="2"/>
      <c r="Z676" s="2"/>
    </row>
    <row r="677" spans="1:26" ht="13.5" customHeight="1">
      <c r="A677" s="2"/>
      <c r="B677" s="2"/>
      <c r="C677" s="2"/>
      <c r="D677" s="2"/>
      <c r="E677" s="2"/>
      <c r="F677" s="2"/>
      <c r="G677" s="2"/>
      <c r="H677" s="2"/>
      <c r="I677" s="2"/>
      <c r="J677" s="2"/>
      <c r="K677" s="2"/>
      <c r="L677" s="2"/>
      <c r="M677" s="2"/>
      <c r="N677" s="2"/>
      <c r="O677" s="2"/>
      <c r="P677" s="2"/>
      <c r="Q677" s="2"/>
      <c r="R677" s="2"/>
      <c r="S677" s="2"/>
      <c r="T677" s="2"/>
      <c r="U677" s="2"/>
      <c r="V677" s="2"/>
      <c r="W677" s="158"/>
      <c r="X677" s="2"/>
      <c r="Y677" s="2"/>
      <c r="Z677" s="2"/>
    </row>
    <row r="678" spans="1:26" ht="13.5" customHeight="1">
      <c r="A678" s="2"/>
      <c r="B678" s="2"/>
      <c r="C678" s="2"/>
      <c r="D678" s="2"/>
      <c r="E678" s="2"/>
      <c r="F678" s="2"/>
      <c r="G678" s="2"/>
      <c r="H678" s="2"/>
      <c r="I678" s="2"/>
      <c r="J678" s="2"/>
      <c r="K678" s="2"/>
      <c r="L678" s="2"/>
      <c r="M678" s="2"/>
      <c r="N678" s="2"/>
      <c r="O678" s="2"/>
      <c r="P678" s="2"/>
      <c r="Q678" s="2"/>
      <c r="R678" s="2"/>
      <c r="S678" s="2"/>
      <c r="T678" s="2"/>
      <c r="U678" s="2"/>
      <c r="V678" s="2"/>
      <c r="W678" s="158"/>
      <c r="X678" s="2"/>
      <c r="Y678" s="2"/>
      <c r="Z678" s="2"/>
    </row>
    <row r="679" spans="1:26" ht="13.5" customHeight="1">
      <c r="A679" s="2"/>
      <c r="B679" s="2"/>
      <c r="C679" s="2"/>
      <c r="D679" s="2"/>
      <c r="E679" s="2"/>
      <c r="F679" s="2"/>
      <c r="G679" s="2"/>
      <c r="H679" s="2"/>
      <c r="I679" s="2"/>
      <c r="J679" s="2"/>
      <c r="K679" s="2"/>
      <c r="L679" s="2"/>
      <c r="M679" s="2"/>
      <c r="N679" s="2"/>
      <c r="O679" s="2"/>
      <c r="P679" s="2"/>
      <c r="Q679" s="2"/>
      <c r="R679" s="2"/>
      <c r="S679" s="2"/>
      <c r="T679" s="2"/>
      <c r="U679" s="2"/>
      <c r="V679" s="2"/>
      <c r="W679" s="158"/>
      <c r="X679" s="2"/>
      <c r="Y679" s="2"/>
      <c r="Z679" s="2"/>
    </row>
    <row r="680" spans="1:26" ht="13.5" customHeight="1">
      <c r="A680" s="2"/>
      <c r="B680" s="2"/>
      <c r="C680" s="2"/>
      <c r="D680" s="2"/>
      <c r="E680" s="2"/>
      <c r="F680" s="2"/>
      <c r="G680" s="2"/>
      <c r="H680" s="2"/>
      <c r="I680" s="2"/>
      <c r="J680" s="2"/>
      <c r="K680" s="2"/>
      <c r="L680" s="2"/>
      <c r="M680" s="2"/>
      <c r="N680" s="2"/>
      <c r="O680" s="2"/>
      <c r="P680" s="2"/>
      <c r="Q680" s="2"/>
      <c r="R680" s="2"/>
      <c r="S680" s="2"/>
      <c r="T680" s="2"/>
      <c r="U680" s="2"/>
      <c r="V680" s="2"/>
      <c r="W680" s="158"/>
      <c r="X680" s="2"/>
      <c r="Y680" s="2"/>
      <c r="Z680" s="2"/>
    </row>
    <row r="681" spans="1:26" ht="13.5" customHeight="1">
      <c r="A681" s="2"/>
      <c r="B681" s="2"/>
      <c r="C681" s="2"/>
      <c r="D681" s="2"/>
      <c r="E681" s="2"/>
      <c r="F681" s="2"/>
      <c r="G681" s="2"/>
      <c r="H681" s="2"/>
      <c r="I681" s="2"/>
      <c r="J681" s="2"/>
      <c r="K681" s="2"/>
      <c r="L681" s="2"/>
      <c r="M681" s="2"/>
      <c r="N681" s="2"/>
      <c r="O681" s="2"/>
      <c r="P681" s="2"/>
      <c r="Q681" s="2"/>
      <c r="R681" s="2"/>
      <c r="S681" s="2"/>
      <c r="T681" s="2"/>
      <c r="U681" s="2"/>
      <c r="V681" s="2"/>
      <c r="W681" s="158"/>
      <c r="X681" s="2"/>
      <c r="Y681" s="2"/>
      <c r="Z681" s="2"/>
    </row>
    <row r="682" spans="1:26" ht="13.5" customHeight="1">
      <c r="A682" s="2"/>
      <c r="B682" s="2"/>
      <c r="C682" s="2"/>
      <c r="D682" s="2"/>
      <c r="E682" s="2"/>
      <c r="F682" s="2"/>
      <c r="G682" s="2"/>
      <c r="H682" s="2"/>
      <c r="I682" s="2"/>
      <c r="J682" s="2"/>
      <c r="K682" s="2"/>
      <c r="L682" s="2"/>
      <c r="M682" s="2"/>
      <c r="N682" s="2"/>
      <c r="O682" s="2"/>
      <c r="P682" s="2"/>
      <c r="Q682" s="2"/>
      <c r="R682" s="2"/>
      <c r="S682" s="2"/>
      <c r="T682" s="2"/>
      <c r="U682" s="2"/>
      <c r="V682" s="2"/>
      <c r="W682" s="158"/>
      <c r="X682" s="2"/>
      <c r="Y682" s="2"/>
      <c r="Z682" s="2"/>
    </row>
    <row r="683" spans="1:26" ht="13.5" customHeight="1">
      <c r="A683" s="2"/>
      <c r="B683" s="2"/>
      <c r="C683" s="2"/>
      <c r="D683" s="2"/>
      <c r="E683" s="2"/>
      <c r="F683" s="2"/>
      <c r="G683" s="2"/>
      <c r="H683" s="2"/>
      <c r="I683" s="2"/>
      <c r="J683" s="2"/>
      <c r="K683" s="2"/>
      <c r="L683" s="2"/>
      <c r="M683" s="2"/>
      <c r="N683" s="2"/>
      <c r="O683" s="2"/>
      <c r="P683" s="2"/>
      <c r="Q683" s="2"/>
      <c r="R683" s="2"/>
      <c r="S683" s="2"/>
      <c r="T683" s="2"/>
      <c r="U683" s="2"/>
      <c r="V683" s="2"/>
      <c r="W683" s="158"/>
      <c r="X683" s="2"/>
      <c r="Y683" s="2"/>
      <c r="Z683" s="2"/>
    </row>
    <row r="684" spans="1:26" ht="13.5" customHeight="1">
      <c r="A684" s="2"/>
      <c r="B684" s="2"/>
      <c r="C684" s="2"/>
      <c r="D684" s="2"/>
      <c r="E684" s="2"/>
      <c r="F684" s="2"/>
      <c r="G684" s="2"/>
      <c r="H684" s="2"/>
      <c r="I684" s="2"/>
      <c r="J684" s="2"/>
      <c r="K684" s="2"/>
      <c r="L684" s="2"/>
      <c r="M684" s="2"/>
      <c r="N684" s="2"/>
      <c r="O684" s="2"/>
      <c r="P684" s="2"/>
      <c r="Q684" s="2"/>
      <c r="R684" s="2"/>
      <c r="S684" s="2"/>
      <c r="T684" s="2"/>
      <c r="U684" s="2"/>
      <c r="V684" s="2"/>
      <c r="W684" s="158"/>
      <c r="X684" s="2"/>
      <c r="Y684" s="2"/>
      <c r="Z684" s="2"/>
    </row>
    <row r="685" spans="1:26" ht="13.5" customHeight="1">
      <c r="A685" s="2"/>
      <c r="B685" s="2"/>
      <c r="C685" s="2"/>
      <c r="D685" s="2"/>
      <c r="E685" s="2"/>
      <c r="F685" s="2"/>
      <c r="G685" s="2"/>
      <c r="H685" s="2"/>
      <c r="I685" s="2"/>
      <c r="J685" s="2"/>
      <c r="K685" s="2"/>
      <c r="L685" s="2"/>
      <c r="M685" s="2"/>
      <c r="N685" s="2"/>
      <c r="O685" s="2"/>
      <c r="P685" s="2"/>
      <c r="Q685" s="2"/>
      <c r="R685" s="2"/>
      <c r="S685" s="2"/>
      <c r="T685" s="2"/>
      <c r="U685" s="2"/>
      <c r="V685" s="2"/>
      <c r="W685" s="158"/>
      <c r="X685" s="2"/>
      <c r="Y685" s="2"/>
      <c r="Z685" s="2"/>
    </row>
    <row r="686" spans="1:26" ht="13.5" customHeight="1">
      <c r="A686" s="2"/>
      <c r="B686" s="2"/>
      <c r="C686" s="2"/>
      <c r="D686" s="2"/>
      <c r="E686" s="2"/>
      <c r="F686" s="2"/>
      <c r="G686" s="2"/>
      <c r="H686" s="2"/>
      <c r="I686" s="2"/>
      <c r="J686" s="2"/>
      <c r="K686" s="2"/>
      <c r="L686" s="2"/>
      <c r="M686" s="2"/>
      <c r="N686" s="2"/>
      <c r="O686" s="2"/>
      <c r="P686" s="2"/>
      <c r="Q686" s="2"/>
      <c r="R686" s="2"/>
      <c r="S686" s="2"/>
      <c r="T686" s="2"/>
      <c r="U686" s="2"/>
      <c r="V686" s="2"/>
      <c r="W686" s="158"/>
      <c r="X686" s="2"/>
      <c r="Y686" s="2"/>
      <c r="Z686" s="2"/>
    </row>
    <row r="687" spans="1:26" ht="13.5" customHeight="1">
      <c r="A687" s="2"/>
      <c r="B687" s="2"/>
      <c r="C687" s="2"/>
      <c r="D687" s="2"/>
      <c r="E687" s="2"/>
      <c r="F687" s="2"/>
      <c r="G687" s="2"/>
      <c r="H687" s="2"/>
      <c r="I687" s="2"/>
      <c r="J687" s="2"/>
      <c r="K687" s="2"/>
      <c r="L687" s="2"/>
      <c r="M687" s="2"/>
      <c r="N687" s="2"/>
      <c r="O687" s="2"/>
      <c r="P687" s="2"/>
      <c r="Q687" s="2"/>
      <c r="R687" s="2"/>
      <c r="S687" s="2"/>
      <c r="T687" s="2"/>
      <c r="U687" s="2"/>
      <c r="V687" s="2"/>
      <c r="W687" s="158"/>
      <c r="X687" s="2"/>
      <c r="Y687" s="2"/>
      <c r="Z687" s="2"/>
    </row>
    <row r="688" spans="1:26" ht="13.5" customHeight="1">
      <c r="A688" s="2"/>
      <c r="B688" s="2"/>
      <c r="C688" s="2"/>
      <c r="D688" s="2"/>
      <c r="E688" s="2"/>
      <c r="F688" s="2"/>
      <c r="G688" s="2"/>
      <c r="H688" s="2"/>
      <c r="I688" s="2"/>
      <c r="J688" s="2"/>
      <c r="K688" s="2"/>
      <c r="L688" s="2"/>
      <c r="M688" s="2"/>
      <c r="N688" s="2"/>
      <c r="O688" s="2"/>
      <c r="P688" s="2"/>
      <c r="Q688" s="2"/>
      <c r="R688" s="2"/>
      <c r="S688" s="2"/>
      <c r="T688" s="2"/>
      <c r="U688" s="2"/>
      <c r="V688" s="2"/>
      <c r="W688" s="158"/>
      <c r="X688" s="2"/>
      <c r="Y688" s="2"/>
      <c r="Z688" s="2"/>
    </row>
    <row r="689" spans="1:26" ht="13.5" customHeight="1">
      <c r="A689" s="2"/>
      <c r="B689" s="2"/>
      <c r="C689" s="2"/>
      <c r="D689" s="2"/>
      <c r="E689" s="2"/>
      <c r="F689" s="2"/>
      <c r="G689" s="2"/>
      <c r="H689" s="2"/>
      <c r="I689" s="2"/>
      <c r="J689" s="2"/>
      <c r="K689" s="2"/>
      <c r="L689" s="2"/>
      <c r="M689" s="2"/>
      <c r="N689" s="2"/>
      <c r="O689" s="2"/>
      <c r="P689" s="2"/>
      <c r="Q689" s="2"/>
      <c r="R689" s="2"/>
      <c r="S689" s="2"/>
      <c r="T689" s="2"/>
      <c r="U689" s="2"/>
      <c r="V689" s="2"/>
      <c r="W689" s="158"/>
      <c r="X689" s="2"/>
      <c r="Y689" s="2"/>
      <c r="Z689" s="2"/>
    </row>
    <row r="690" spans="1:26" ht="13.5" customHeight="1">
      <c r="A690" s="2"/>
      <c r="B690" s="2"/>
      <c r="C690" s="2"/>
      <c r="D690" s="2"/>
      <c r="E690" s="2"/>
      <c r="F690" s="2"/>
      <c r="G690" s="2"/>
      <c r="H690" s="2"/>
      <c r="I690" s="2"/>
      <c r="J690" s="2"/>
      <c r="K690" s="2"/>
      <c r="L690" s="2"/>
      <c r="M690" s="2"/>
      <c r="N690" s="2"/>
      <c r="O690" s="2"/>
      <c r="P690" s="2"/>
      <c r="Q690" s="2"/>
      <c r="R690" s="2"/>
      <c r="S690" s="2"/>
      <c r="T690" s="2"/>
      <c r="U690" s="2"/>
      <c r="V690" s="2"/>
      <c r="W690" s="158"/>
      <c r="X690" s="2"/>
      <c r="Y690" s="2"/>
      <c r="Z690" s="2"/>
    </row>
    <row r="691" spans="1:26" ht="13.5" customHeight="1">
      <c r="A691" s="2"/>
      <c r="B691" s="2"/>
      <c r="C691" s="2"/>
      <c r="D691" s="2"/>
      <c r="E691" s="2"/>
      <c r="F691" s="2"/>
      <c r="G691" s="2"/>
      <c r="H691" s="2"/>
      <c r="I691" s="2"/>
      <c r="J691" s="2"/>
      <c r="K691" s="2"/>
      <c r="L691" s="2"/>
      <c r="M691" s="2"/>
      <c r="N691" s="2"/>
      <c r="O691" s="2"/>
      <c r="P691" s="2"/>
      <c r="Q691" s="2"/>
      <c r="R691" s="2"/>
      <c r="S691" s="2"/>
      <c r="T691" s="2"/>
      <c r="U691" s="2"/>
      <c r="V691" s="2"/>
      <c r="W691" s="158"/>
      <c r="X691" s="2"/>
      <c r="Y691" s="2"/>
      <c r="Z691" s="2"/>
    </row>
    <row r="692" spans="1:26" ht="13.5" customHeight="1">
      <c r="A692" s="2"/>
      <c r="B692" s="2"/>
      <c r="C692" s="2"/>
      <c r="D692" s="2"/>
      <c r="E692" s="2"/>
      <c r="F692" s="2"/>
      <c r="G692" s="2"/>
      <c r="H692" s="2"/>
      <c r="I692" s="2"/>
      <c r="J692" s="2"/>
      <c r="K692" s="2"/>
      <c r="L692" s="2"/>
      <c r="M692" s="2"/>
      <c r="N692" s="2"/>
      <c r="O692" s="2"/>
      <c r="P692" s="2"/>
      <c r="Q692" s="2"/>
      <c r="R692" s="2"/>
      <c r="S692" s="2"/>
      <c r="T692" s="2"/>
      <c r="U692" s="2"/>
      <c r="V692" s="2"/>
      <c r="W692" s="158"/>
      <c r="X692" s="2"/>
      <c r="Y692" s="2"/>
      <c r="Z692" s="2"/>
    </row>
    <row r="693" spans="1:26" ht="13.5" customHeight="1">
      <c r="A693" s="2"/>
      <c r="B693" s="2"/>
      <c r="C693" s="2"/>
      <c r="D693" s="2"/>
      <c r="E693" s="2"/>
      <c r="F693" s="2"/>
      <c r="G693" s="2"/>
      <c r="H693" s="2"/>
      <c r="I693" s="2"/>
      <c r="J693" s="2"/>
      <c r="K693" s="2"/>
      <c r="L693" s="2"/>
      <c r="M693" s="2"/>
      <c r="N693" s="2"/>
      <c r="O693" s="2"/>
      <c r="P693" s="2"/>
      <c r="Q693" s="2"/>
      <c r="R693" s="2"/>
      <c r="S693" s="2"/>
      <c r="T693" s="2"/>
      <c r="U693" s="2"/>
      <c r="V693" s="2"/>
      <c r="W693" s="158"/>
      <c r="X693" s="2"/>
      <c r="Y693" s="2"/>
      <c r="Z693" s="2"/>
    </row>
    <row r="694" spans="1:26" ht="13.5" customHeight="1">
      <c r="A694" s="2"/>
      <c r="B694" s="2"/>
      <c r="C694" s="2"/>
      <c r="D694" s="2"/>
      <c r="E694" s="2"/>
      <c r="F694" s="2"/>
      <c r="G694" s="2"/>
      <c r="H694" s="2"/>
      <c r="I694" s="2"/>
      <c r="J694" s="2"/>
      <c r="K694" s="2"/>
      <c r="L694" s="2"/>
      <c r="M694" s="2"/>
      <c r="N694" s="2"/>
      <c r="O694" s="2"/>
      <c r="P694" s="2"/>
      <c r="Q694" s="2"/>
      <c r="R694" s="2"/>
      <c r="S694" s="2"/>
      <c r="T694" s="2"/>
      <c r="U694" s="2"/>
      <c r="V694" s="2"/>
      <c r="W694" s="158"/>
      <c r="X694" s="2"/>
      <c r="Y694" s="2"/>
      <c r="Z694" s="2"/>
    </row>
    <row r="695" spans="1:26" ht="13.5" customHeight="1">
      <c r="A695" s="2"/>
      <c r="B695" s="2"/>
      <c r="C695" s="2"/>
      <c r="D695" s="2"/>
      <c r="E695" s="2"/>
      <c r="F695" s="2"/>
      <c r="G695" s="2"/>
      <c r="H695" s="2"/>
      <c r="I695" s="2"/>
      <c r="J695" s="2"/>
      <c r="K695" s="2"/>
      <c r="L695" s="2"/>
      <c r="M695" s="2"/>
      <c r="N695" s="2"/>
      <c r="O695" s="2"/>
      <c r="P695" s="2"/>
      <c r="Q695" s="2"/>
      <c r="R695" s="2"/>
      <c r="S695" s="2"/>
      <c r="T695" s="2"/>
      <c r="U695" s="2"/>
      <c r="V695" s="2"/>
      <c r="W695" s="158"/>
      <c r="X695" s="2"/>
      <c r="Y695" s="2"/>
      <c r="Z695" s="2"/>
    </row>
    <row r="696" spans="1:26" ht="13.5" customHeight="1">
      <c r="A696" s="2"/>
      <c r="B696" s="2"/>
      <c r="C696" s="2"/>
      <c r="D696" s="2"/>
      <c r="E696" s="2"/>
      <c r="F696" s="2"/>
      <c r="G696" s="2"/>
      <c r="H696" s="2"/>
      <c r="I696" s="2"/>
      <c r="J696" s="2"/>
      <c r="K696" s="2"/>
      <c r="L696" s="2"/>
      <c r="M696" s="2"/>
      <c r="N696" s="2"/>
      <c r="O696" s="2"/>
      <c r="P696" s="2"/>
      <c r="Q696" s="2"/>
      <c r="R696" s="2"/>
      <c r="S696" s="2"/>
      <c r="T696" s="2"/>
      <c r="U696" s="2"/>
      <c r="V696" s="2"/>
      <c r="W696" s="158"/>
      <c r="X696" s="2"/>
      <c r="Y696" s="2"/>
      <c r="Z696" s="2"/>
    </row>
    <row r="697" spans="1:26" ht="13.5" customHeight="1">
      <c r="A697" s="2"/>
      <c r="B697" s="2"/>
      <c r="C697" s="2"/>
      <c r="D697" s="2"/>
      <c r="E697" s="2"/>
      <c r="F697" s="2"/>
      <c r="G697" s="2"/>
      <c r="H697" s="2"/>
      <c r="I697" s="2"/>
      <c r="J697" s="2"/>
      <c r="K697" s="2"/>
      <c r="L697" s="2"/>
      <c r="M697" s="2"/>
      <c r="N697" s="2"/>
      <c r="O697" s="2"/>
      <c r="P697" s="2"/>
      <c r="Q697" s="2"/>
      <c r="R697" s="2"/>
      <c r="S697" s="2"/>
      <c r="T697" s="2"/>
      <c r="U697" s="2"/>
      <c r="V697" s="2"/>
      <c r="W697" s="158"/>
      <c r="X697" s="2"/>
      <c r="Y697" s="2"/>
      <c r="Z697" s="2"/>
    </row>
    <row r="698" spans="1:26" ht="13.5" customHeight="1">
      <c r="A698" s="2"/>
      <c r="B698" s="2"/>
      <c r="C698" s="2"/>
      <c r="D698" s="2"/>
      <c r="E698" s="2"/>
      <c r="F698" s="2"/>
      <c r="G698" s="2"/>
      <c r="H698" s="2"/>
      <c r="I698" s="2"/>
      <c r="J698" s="2"/>
      <c r="K698" s="2"/>
      <c r="L698" s="2"/>
      <c r="M698" s="2"/>
      <c r="N698" s="2"/>
      <c r="O698" s="2"/>
      <c r="P698" s="2"/>
      <c r="Q698" s="2"/>
      <c r="R698" s="2"/>
      <c r="S698" s="2"/>
      <c r="T698" s="2"/>
      <c r="U698" s="2"/>
      <c r="V698" s="2"/>
      <c r="W698" s="158"/>
      <c r="X698" s="2"/>
      <c r="Y698" s="2"/>
      <c r="Z698" s="2"/>
    </row>
    <row r="699" spans="1:26" ht="13.5" customHeight="1">
      <c r="A699" s="2"/>
      <c r="B699" s="2"/>
      <c r="C699" s="2"/>
      <c r="D699" s="2"/>
      <c r="E699" s="2"/>
      <c r="F699" s="2"/>
      <c r="G699" s="2"/>
      <c r="H699" s="2"/>
      <c r="I699" s="2"/>
      <c r="J699" s="2"/>
      <c r="K699" s="2"/>
      <c r="L699" s="2"/>
      <c r="M699" s="2"/>
      <c r="N699" s="2"/>
      <c r="O699" s="2"/>
      <c r="P699" s="2"/>
      <c r="Q699" s="2"/>
      <c r="R699" s="2"/>
      <c r="S699" s="2"/>
      <c r="T699" s="2"/>
      <c r="U699" s="2"/>
      <c r="V699" s="2"/>
      <c r="W699" s="158"/>
      <c r="X699" s="2"/>
      <c r="Y699" s="2"/>
      <c r="Z699" s="2"/>
    </row>
    <row r="700" spans="1:26" ht="13.5" customHeight="1">
      <c r="A700" s="2"/>
      <c r="B700" s="2"/>
      <c r="C700" s="2"/>
      <c r="D700" s="2"/>
      <c r="E700" s="2"/>
      <c r="F700" s="2"/>
      <c r="G700" s="2"/>
      <c r="H700" s="2"/>
      <c r="I700" s="2"/>
      <c r="J700" s="2"/>
      <c r="K700" s="2"/>
      <c r="L700" s="2"/>
      <c r="M700" s="2"/>
      <c r="N700" s="2"/>
      <c r="O700" s="2"/>
      <c r="P700" s="2"/>
      <c r="Q700" s="2"/>
      <c r="R700" s="2"/>
      <c r="S700" s="2"/>
      <c r="T700" s="2"/>
      <c r="U700" s="2"/>
      <c r="V700" s="2"/>
      <c r="W700" s="158"/>
      <c r="X700" s="2"/>
      <c r="Y700" s="2"/>
      <c r="Z700" s="2"/>
    </row>
    <row r="701" spans="1:26" ht="13.5" customHeight="1">
      <c r="A701" s="2"/>
      <c r="B701" s="2"/>
      <c r="C701" s="2"/>
      <c r="D701" s="2"/>
      <c r="E701" s="2"/>
      <c r="F701" s="2"/>
      <c r="G701" s="2"/>
      <c r="H701" s="2"/>
      <c r="I701" s="2"/>
      <c r="J701" s="2"/>
      <c r="K701" s="2"/>
      <c r="L701" s="2"/>
      <c r="M701" s="2"/>
      <c r="N701" s="2"/>
      <c r="O701" s="2"/>
      <c r="P701" s="2"/>
      <c r="Q701" s="2"/>
      <c r="R701" s="2"/>
      <c r="S701" s="2"/>
      <c r="T701" s="2"/>
      <c r="U701" s="2"/>
      <c r="V701" s="2"/>
      <c r="W701" s="158"/>
      <c r="X701" s="2"/>
      <c r="Y701" s="2"/>
      <c r="Z701" s="2"/>
    </row>
    <row r="702" spans="1:26" ht="13.5" customHeight="1">
      <c r="A702" s="2"/>
      <c r="B702" s="2"/>
      <c r="C702" s="2"/>
      <c r="D702" s="2"/>
      <c r="E702" s="2"/>
      <c r="F702" s="2"/>
      <c r="G702" s="2"/>
      <c r="H702" s="2"/>
      <c r="I702" s="2"/>
      <c r="J702" s="2"/>
      <c r="K702" s="2"/>
      <c r="L702" s="2"/>
      <c r="M702" s="2"/>
      <c r="N702" s="2"/>
      <c r="O702" s="2"/>
      <c r="P702" s="2"/>
      <c r="Q702" s="2"/>
      <c r="R702" s="2"/>
      <c r="S702" s="2"/>
      <c r="T702" s="2"/>
      <c r="U702" s="2"/>
      <c r="V702" s="2"/>
      <c r="W702" s="158"/>
      <c r="X702" s="2"/>
      <c r="Y702" s="2"/>
      <c r="Z702" s="2"/>
    </row>
    <row r="703" spans="1:26" ht="13.5" customHeight="1">
      <c r="A703" s="2"/>
      <c r="B703" s="2"/>
      <c r="C703" s="2"/>
      <c r="D703" s="2"/>
      <c r="E703" s="2"/>
      <c r="F703" s="2"/>
      <c r="G703" s="2"/>
      <c r="H703" s="2"/>
      <c r="I703" s="2"/>
      <c r="J703" s="2"/>
      <c r="K703" s="2"/>
      <c r="L703" s="2"/>
      <c r="M703" s="2"/>
      <c r="N703" s="2"/>
      <c r="O703" s="2"/>
      <c r="P703" s="2"/>
      <c r="Q703" s="2"/>
      <c r="R703" s="2"/>
      <c r="S703" s="2"/>
      <c r="T703" s="2"/>
      <c r="U703" s="2"/>
      <c r="V703" s="2"/>
      <c r="W703" s="158"/>
      <c r="X703" s="2"/>
      <c r="Y703" s="2"/>
      <c r="Z703" s="2"/>
    </row>
    <row r="704" spans="1:26" ht="13.5" customHeight="1">
      <c r="A704" s="2"/>
      <c r="B704" s="2"/>
      <c r="C704" s="2"/>
      <c r="D704" s="2"/>
      <c r="E704" s="2"/>
      <c r="F704" s="2"/>
      <c r="G704" s="2"/>
      <c r="H704" s="2"/>
      <c r="I704" s="2"/>
      <c r="J704" s="2"/>
      <c r="K704" s="2"/>
      <c r="L704" s="2"/>
      <c r="M704" s="2"/>
      <c r="N704" s="2"/>
      <c r="O704" s="2"/>
      <c r="P704" s="2"/>
      <c r="Q704" s="2"/>
      <c r="R704" s="2"/>
      <c r="S704" s="2"/>
      <c r="T704" s="2"/>
      <c r="U704" s="2"/>
      <c r="V704" s="2"/>
      <c r="W704" s="158"/>
      <c r="X704" s="2"/>
      <c r="Y704" s="2"/>
      <c r="Z704" s="2"/>
    </row>
    <row r="705" spans="1:26" ht="13.5" customHeight="1">
      <c r="A705" s="2"/>
      <c r="B705" s="2"/>
      <c r="C705" s="2"/>
      <c r="D705" s="2"/>
      <c r="E705" s="2"/>
      <c r="F705" s="2"/>
      <c r="G705" s="2"/>
      <c r="H705" s="2"/>
      <c r="I705" s="2"/>
      <c r="J705" s="2"/>
      <c r="K705" s="2"/>
      <c r="L705" s="2"/>
      <c r="M705" s="2"/>
      <c r="N705" s="2"/>
      <c r="O705" s="2"/>
      <c r="P705" s="2"/>
      <c r="Q705" s="2"/>
      <c r="R705" s="2"/>
      <c r="S705" s="2"/>
      <c r="T705" s="2"/>
      <c r="U705" s="2"/>
      <c r="V705" s="2"/>
      <c r="W705" s="158"/>
      <c r="X705" s="2"/>
      <c r="Y705" s="2"/>
      <c r="Z705" s="2"/>
    </row>
    <row r="706" spans="1:26" ht="13.5" customHeight="1">
      <c r="A706" s="2"/>
      <c r="B706" s="2"/>
      <c r="C706" s="2"/>
      <c r="D706" s="2"/>
      <c r="E706" s="2"/>
      <c r="F706" s="2"/>
      <c r="G706" s="2"/>
      <c r="H706" s="2"/>
      <c r="I706" s="2"/>
      <c r="J706" s="2"/>
      <c r="K706" s="2"/>
      <c r="L706" s="2"/>
      <c r="M706" s="2"/>
      <c r="N706" s="2"/>
      <c r="O706" s="2"/>
      <c r="P706" s="2"/>
      <c r="Q706" s="2"/>
      <c r="R706" s="2"/>
      <c r="S706" s="2"/>
      <c r="T706" s="2"/>
      <c r="U706" s="2"/>
      <c r="V706" s="2"/>
      <c r="W706" s="158"/>
      <c r="X706" s="2"/>
      <c r="Y706" s="2"/>
      <c r="Z706" s="2"/>
    </row>
    <row r="707" spans="1:26" ht="13.5" customHeight="1">
      <c r="A707" s="2"/>
      <c r="B707" s="2"/>
      <c r="C707" s="2"/>
      <c r="D707" s="2"/>
      <c r="E707" s="2"/>
      <c r="F707" s="2"/>
      <c r="G707" s="2"/>
      <c r="H707" s="2"/>
      <c r="I707" s="2"/>
      <c r="J707" s="2"/>
      <c r="K707" s="2"/>
      <c r="L707" s="2"/>
      <c r="M707" s="2"/>
      <c r="N707" s="2"/>
      <c r="O707" s="2"/>
      <c r="P707" s="2"/>
      <c r="Q707" s="2"/>
      <c r="R707" s="2"/>
      <c r="S707" s="2"/>
      <c r="T707" s="2"/>
      <c r="U707" s="2"/>
      <c r="V707" s="2"/>
      <c r="W707" s="158"/>
      <c r="X707" s="2"/>
      <c r="Y707" s="2"/>
      <c r="Z707" s="2"/>
    </row>
    <row r="708" spans="1:26" ht="13.5" customHeight="1">
      <c r="A708" s="2"/>
      <c r="B708" s="2"/>
      <c r="C708" s="2"/>
      <c r="D708" s="2"/>
      <c r="E708" s="2"/>
      <c r="F708" s="2"/>
      <c r="G708" s="2"/>
      <c r="H708" s="2"/>
      <c r="I708" s="2"/>
      <c r="J708" s="2"/>
      <c r="K708" s="2"/>
      <c r="L708" s="2"/>
      <c r="M708" s="2"/>
      <c r="N708" s="2"/>
      <c r="O708" s="2"/>
      <c r="P708" s="2"/>
      <c r="Q708" s="2"/>
      <c r="R708" s="2"/>
      <c r="S708" s="2"/>
      <c r="T708" s="2"/>
      <c r="U708" s="2"/>
      <c r="V708" s="2"/>
      <c r="W708" s="158"/>
      <c r="X708" s="2"/>
      <c r="Y708" s="2"/>
      <c r="Z708" s="2"/>
    </row>
    <row r="709" spans="1:26" ht="13.5" customHeight="1">
      <c r="A709" s="2"/>
      <c r="B709" s="2"/>
      <c r="C709" s="2"/>
      <c r="D709" s="2"/>
      <c r="E709" s="2"/>
      <c r="F709" s="2"/>
      <c r="G709" s="2"/>
      <c r="H709" s="2"/>
      <c r="I709" s="2"/>
      <c r="J709" s="2"/>
      <c r="K709" s="2"/>
      <c r="L709" s="2"/>
      <c r="M709" s="2"/>
      <c r="N709" s="2"/>
      <c r="O709" s="2"/>
      <c r="P709" s="2"/>
      <c r="Q709" s="2"/>
      <c r="R709" s="2"/>
      <c r="S709" s="2"/>
      <c r="T709" s="2"/>
      <c r="U709" s="2"/>
      <c r="V709" s="2"/>
      <c r="W709" s="158"/>
      <c r="X709" s="2"/>
      <c r="Y709" s="2"/>
      <c r="Z709" s="2"/>
    </row>
    <row r="710" spans="1:26" ht="13.5" customHeight="1">
      <c r="A710" s="2"/>
      <c r="B710" s="2"/>
      <c r="C710" s="2"/>
      <c r="D710" s="2"/>
      <c r="E710" s="2"/>
      <c r="F710" s="2"/>
      <c r="G710" s="2"/>
      <c r="H710" s="2"/>
      <c r="I710" s="2"/>
      <c r="J710" s="2"/>
      <c r="K710" s="2"/>
      <c r="L710" s="2"/>
      <c r="M710" s="2"/>
      <c r="N710" s="2"/>
      <c r="O710" s="2"/>
      <c r="P710" s="2"/>
      <c r="Q710" s="2"/>
      <c r="R710" s="2"/>
      <c r="S710" s="2"/>
      <c r="T710" s="2"/>
      <c r="U710" s="2"/>
      <c r="V710" s="2"/>
      <c r="W710" s="158"/>
      <c r="X710" s="2"/>
      <c r="Y710" s="2"/>
      <c r="Z710" s="2"/>
    </row>
    <row r="711" spans="1:26" ht="13.5" customHeight="1">
      <c r="A711" s="2"/>
      <c r="B711" s="2"/>
      <c r="C711" s="2"/>
      <c r="D711" s="2"/>
      <c r="E711" s="2"/>
      <c r="F711" s="2"/>
      <c r="G711" s="2"/>
      <c r="H711" s="2"/>
      <c r="I711" s="2"/>
      <c r="J711" s="2"/>
      <c r="K711" s="2"/>
      <c r="L711" s="2"/>
      <c r="M711" s="2"/>
      <c r="N711" s="2"/>
      <c r="O711" s="2"/>
      <c r="P711" s="2"/>
      <c r="Q711" s="2"/>
      <c r="R711" s="2"/>
      <c r="S711" s="2"/>
      <c r="T711" s="2"/>
      <c r="U711" s="2"/>
      <c r="V711" s="2"/>
      <c r="W711" s="158"/>
      <c r="X711" s="2"/>
      <c r="Y711" s="2"/>
      <c r="Z711" s="2"/>
    </row>
    <row r="712" spans="1:26" ht="13.5" customHeight="1">
      <c r="A712" s="2"/>
      <c r="B712" s="2"/>
      <c r="C712" s="2"/>
      <c r="D712" s="2"/>
      <c r="E712" s="2"/>
      <c r="F712" s="2"/>
      <c r="G712" s="2"/>
      <c r="H712" s="2"/>
      <c r="I712" s="2"/>
      <c r="J712" s="2"/>
      <c r="K712" s="2"/>
      <c r="L712" s="2"/>
      <c r="M712" s="2"/>
      <c r="N712" s="2"/>
      <c r="O712" s="2"/>
      <c r="P712" s="2"/>
      <c r="Q712" s="2"/>
      <c r="R712" s="2"/>
      <c r="S712" s="2"/>
      <c r="T712" s="2"/>
      <c r="U712" s="2"/>
      <c r="V712" s="2"/>
      <c r="W712" s="158"/>
      <c r="X712" s="2"/>
      <c r="Y712" s="2"/>
      <c r="Z712" s="2"/>
    </row>
    <row r="713" spans="1:26" ht="13.5" customHeight="1">
      <c r="A713" s="2"/>
      <c r="B713" s="2"/>
      <c r="C713" s="2"/>
      <c r="D713" s="2"/>
      <c r="E713" s="2"/>
      <c r="F713" s="2"/>
      <c r="G713" s="2"/>
      <c r="H713" s="2"/>
      <c r="I713" s="2"/>
      <c r="J713" s="2"/>
      <c r="K713" s="2"/>
      <c r="L713" s="2"/>
      <c r="M713" s="2"/>
      <c r="N713" s="2"/>
      <c r="O713" s="2"/>
      <c r="P713" s="2"/>
      <c r="Q713" s="2"/>
      <c r="R713" s="2"/>
      <c r="S713" s="2"/>
      <c r="T713" s="2"/>
      <c r="U713" s="2"/>
      <c r="V713" s="2"/>
      <c r="W713" s="158"/>
      <c r="X713" s="2"/>
      <c r="Y713" s="2"/>
      <c r="Z713" s="2"/>
    </row>
    <row r="714" spans="1:26" ht="13.5" customHeight="1">
      <c r="A714" s="2"/>
      <c r="B714" s="2"/>
      <c r="C714" s="2"/>
      <c r="D714" s="2"/>
      <c r="E714" s="2"/>
      <c r="F714" s="2"/>
      <c r="G714" s="2"/>
      <c r="H714" s="2"/>
      <c r="I714" s="2"/>
      <c r="J714" s="2"/>
      <c r="K714" s="2"/>
      <c r="L714" s="2"/>
      <c r="M714" s="2"/>
      <c r="N714" s="2"/>
      <c r="O714" s="2"/>
      <c r="P714" s="2"/>
      <c r="Q714" s="2"/>
      <c r="R714" s="2"/>
      <c r="S714" s="2"/>
      <c r="T714" s="2"/>
      <c r="U714" s="2"/>
      <c r="V714" s="2"/>
      <c r="W714" s="158"/>
      <c r="X714" s="2"/>
      <c r="Y714" s="2"/>
      <c r="Z714" s="2"/>
    </row>
    <row r="715" spans="1:26" ht="13.5" customHeight="1">
      <c r="A715" s="2"/>
      <c r="B715" s="2"/>
      <c r="C715" s="2"/>
      <c r="D715" s="2"/>
      <c r="E715" s="2"/>
      <c r="F715" s="2"/>
      <c r="G715" s="2"/>
      <c r="H715" s="2"/>
      <c r="I715" s="2"/>
      <c r="J715" s="2"/>
      <c r="K715" s="2"/>
      <c r="L715" s="2"/>
      <c r="M715" s="2"/>
      <c r="N715" s="2"/>
      <c r="O715" s="2"/>
      <c r="P715" s="2"/>
      <c r="Q715" s="2"/>
      <c r="R715" s="2"/>
      <c r="S715" s="2"/>
      <c r="T715" s="2"/>
      <c r="U715" s="2"/>
      <c r="V715" s="2"/>
      <c r="W715" s="158"/>
      <c r="X715" s="2"/>
      <c r="Y715" s="2"/>
      <c r="Z715" s="2"/>
    </row>
    <row r="716" spans="1:26" ht="13.5" customHeight="1">
      <c r="A716" s="2"/>
      <c r="B716" s="2"/>
      <c r="C716" s="2"/>
      <c r="D716" s="2"/>
      <c r="E716" s="2"/>
      <c r="F716" s="2"/>
      <c r="G716" s="2"/>
      <c r="H716" s="2"/>
      <c r="I716" s="2"/>
      <c r="J716" s="2"/>
      <c r="K716" s="2"/>
      <c r="L716" s="2"/>
      <c r="M716" s="2"/>
      <c r="N716" s="2"/>
      <c r="O716" s="2"/>
      <c r="P716" s="2"/>
      <c r="Q716" s="2"/>
      <c r="R716" s="2"/>
      <c r="S716" s="2"/>
      <c r="T716" s="2"/>
      <c r="U716" s="2"/>
      <c r="V716" s="2"/>
      <c r="W716" s="158"/>
      <c r="X716" s="2"/>
      <c r="Y716" s="2"/>
      <c r="Z716" s="2"/>
    </row>
    <row r="717" spans="1:26" ht="13.5" customHeight="1">
      <c r="A717" s="2"/>
      <c r="B717" s="2"/>
      <c r="C717" s="2"/>
      <c r="D717" s="2"/>
      <c r="E717" s="2"/>
      <c r="F717" s="2"/>
      <c r="G717" s="2"/>
      <c r="H717" s="2"/>
      <c r="I717" s="2"/>
      <c r="J717" s="2"/>
      <c r="K717" s="2"/>
      <c r="L717" s="2"/>
      <c r="M717" s="2"/>
      <c r="N717" s="2"/>
      <c r="O717" s="2"/>
      <c r="P717" s="2"/>
      <c r="Q717" s="2"/>
      <c r="R717" s="2"/>
      <c r="S717" s="2"/>
      <c r="T717" s="2"/>
      <c r="U717" s="2"/>
      <c r="V717" s="2"/>
      <c r="W717" s="158"/>
      <c r="X717" s="2"/>
      <c r="Y717" s="2"/>
      <c r="Z717" s="2"/>
    </row>
    <row r="718" spans="1:26" ht="13.5" customHeight="1">
      <c r="A718" s="2"/>
      <c r="B718" s="2"/>
      <c r="C718" s="2"/>
      <c r="D718" s="2"/>
      <c r="E718" s="2"/>
      <c r="F718" s="2"/>
      <c r="G718" s="2"/>
      <c r="H718" s="2"/>
      <c r="I718" s="2"/>
      <c r="J718" s="2"/>
      <c r="K718" s="2"/>
      <c r="L718" s="2"/>
      <c r="M718" s="2"/>
      <c r="N718" s="2"/>
      <c r="O718" s="2"/>
      <c r="P718" s="2"/>
      <c r="Q718" s="2"/>
      <c r="R718" s="2"/>
      <c r="S718" s="2"/>
      <c r="T718" s="2"/>
      <c r="U718" s="2"/>
      <c r="V718" s="2"/>
      <c r="W718" s="158"/>
      <c r="X718" s="2"/>
      <c r="Y718" s="2"/>
      <c r="Z718" s="2"/>
    </row>
    <row r="719" spans="1:26" ht="13.5" customHeight="1">
      <c r="A719" s="2"/>
      <c r="B719" s="2"/>
      <c r="C719" s="2"/>
      <c r="D719" s="2"/>
      <c r="E719" s="2"/>
      <c r="F719" s="2"/>
      <c r="G719" s="2"/>
      <c r="H719" s="2"/>
      <c r="I719" s="2"/>
      <c r="J719" s="2"/>
      <c r="K719" s="2"/>
      <c r="L719" s="2"/>
      <c r="M719" s="2"/>
      <c r="N719" s="2"/>
      <c r="O719" s="2"/>
      <c r="P719" s="2"/>
      <c r="Q719" s="2"/>
      <c r="R719" s="2"/>
      <c r="S719" s="2"/>
      <c r="T719" s="2"/>
      <c r="U719" s="2"/>
      <c r="V719" s="2"/>
      <c r="W719" s="158"/>
      <c r="X719" s="2"/>
      <c r="Y719" s="2"/>
      <c r="Z719" s="2"/>
    </row>
    <row r="720" spans="1:26" ht="13.5" customHeight="1">
      <c r="A720" s="2"/>
      <c r="B720" s="2"/>
      <c r="C720" s="2"/>
      <c r="D720" s="2"/>
      <c r="E720" s="2"/>
      <c r="F720" s="2"/>
      <c r="G720" s="2"/>
      <c r="H720" s="2"/>
      <c r="I720" s="2"/>
      <c r="J720" s="2"/>
      <c r="K720" s="2"/>
      <c r="L720" s="2"/>
      <c r="M720" s="2"/>
      <c r="N720" s="2"/>
      <c r="O720" s="2"/>
      <c r="P720" s="2"/>
      <c r="Q720" s="2"/>
      <c r="R720" s="2"/>
      <c r="S720" s="2"/>
      <c r="T720" s="2"/>
      <c r="U720" s="2"/>
      <c r="V720" s="2"/>
      <c r="W720" s="158"/>
      <c r="X720" s="2"/>
      <c r="Y720" s="2"/>
      <c r="Z720" s="2"/>
    </row>
    <row r="721" spans="1:26" ht="13.5" customHeight="1">
      <c r="A721" s="2"/>
      <c r="B721" s="2"/>
      <c r="C721" s="2"/>
      <c r="D721" s="2"/>
      <c r="E721" s="2"/>
      <c r="F721" s="2"/>
      <c r="G721" s="2"/>
      <c r="H721" s="2"/>
      <c r="I721" s="2"/>
      <c r="J721" s="2"/>
      <c r="K721" s="2"/>
      <c r="L721" s="2"/>
      <c r="M721" s="2"/>
      <c r="N721" s="2"/>
      <c r="O721" s="2"/>
      <c r="P721" s="2"/>
      <c r="Q721" s="2"/>
      <c r="R721" s="2"/>
      <c r="S721" s="2"/>
      <c r="T721" s="2"/>
      <c r="U721" s="2"/>
      <c r="V721" s="2"/>
      <c r="W721" s="158"/>
      <c r="X721" s="2"/>
      <c r="Y721" s="2"/>
      <c r="Z721" s="2"/>
    </row>
    <row r="722" spans="1:26" ht="13.5" customHeight="1">
      <c r="A722" s="2"/>
      <c r="B722" s="2"/>
      <c r="C722" s="2"/>
      <c r="D722" s="2"/>
      <c r="E722" s="2"/>
      <c r="F722" s="2"/>
      <c r="G722" s="2"/>
      <c r="H722" s="2"/>
      <c r="I722" s="2"/>
      <c r="J722" s="2"/>
      <c r="K722" s="2"/>
      <c r="L722" s="2"/>
      <c r="M722" s="2"/>
      <c r="N722" s="2"/>
      <c r="O722" s="2"/>
      <c r="P722" s="2"/>
      <c r="Q722" s="2"/>
      <c r="R722" s="2"/>
      <c r="S722" s="2"/>
      <c r="T722" s="2"/>
      <c r="U722" s="2"/>
      <c r="V722" s="2"/>
      <c r="W722" s="158"/>
      <c r="X722" s="2"/>
      <c r="Y722" s="2"/>
      <c r="Z722" s="2"/>
    </row>
    <row r="723" spans="1:26" ht="13.5" customHeight="1">
      <c r="A723" s="2"/>
      <c r="B723" s="2"/>
      <c r="C723" s="2"/>
      <c r="D723" s="2"/>
      <c r="E723" s="2"/>
      <c r="F723" s="2"/>
      <c r="G723" s="2"/>
      <c r="H723" s="2"/>
      <c r="I723" s="2"/>
      <c r="J723" s="2"/>
      <c r="K723" s="2"/>
      <c r="L723" s="2"/>
      <c r="M723" s="2"/>
      <c r="N723" s="2"/>
      <c r="O723" s="2"/>
      <c r="P723" s="2"/>
      <c r="Q723" s="2"/>
      <c r="R723" s="2"/>
      <c r="S723" s="2"/>
      <c r="T723" s="2"/>
      <c r="U723" s="2"/>
      <c r="V723" s="2"/>
      <c r="W723" s="158"/>
      <c r="X723" s="2"/>
      <c r="Y723" s="2"/>
      <c r="Z723" s="2"/>
    </row>
    <row r="724" spans="1:26" ht="13.5" customHeight="1">
      <c r="A724" s="2"/>
      <c r="B724" s="2"/>
      <c r="C724" s="2"/>
      <c r="D724" s="2"/>
      <c r="E724" s="2"/>
      <c r="F724" s="2"/>
      <c r="G724" s="2"/>
      <c r="H724" s="2"/>
      <c r="I724" s="2"/>
      <c r="J724" s="2"/>
      <c r="K724" s="2"/>
      <c r="L724" s="2"/>
      <c r="M724" s="2"/>
      <c r="N724" s="2"/>
      <c r="O724" s="2"/>
      <c r="P724" s="2"/>
      <c r="Q724" s="2"/>
      <c r="R724" s="2"/>
      <c r="S724" s="2"/>
      <c r="T724" s="2"/>
      <c r="U724" s="2"/>
      <c r="V724" s="2"/>
      <c r="W724" s="158"/>
      <c r="X724" s="2"/>
      <c r="Y724" s="2"/>
      <c r="Z724" s="2"/>
    </row>
    <row r="725" spans="1:26" ht="13.5" customHeight="1">
      <c r="A725" s="2"/>
      <c r="B725" s="2"/>
      <c r="C725" s="2"/>
      <c r="D725" s="2"/>
      <c r="E725" s="2"/>
      <c r="F725" s="2"/>
      <c r="G725" s="2"/>
      <c r="H725" s="2"/>
      <c r="I725" s="2"/>
      <c r="J725" s="2"/>
      <c r="K725" s="2"/>
      <c r="L725" s="2"/>
      <c r="M725" s="2"/>
      <c r="N725" s="2"/>
      <c r="O725" s="2"/>
      <c r="P725" s="2"/>
      <c r="Q725" s="2"/>
      <c r="R725" s="2"/>
      <c r="S725" s="2"/>
      <c r="T725" s="2"/>
      <c r="U725" s="2"/>
      <c r="V725" s="2"/>
      <c r="W725" s="158"/>
      <c r="X725" s="2"/>
      <c r="Y725" s="2"/>
      <c r="Z725" s="2"/>
    </row>
    <row r="726" spans="1:26" ht="13.5" customHeight="1">
      <c r="A726" s="2"/>
      <c r="B726" s="2"/>
      <c r="C726" s="2"/>
      <c r="D726" s="2"/>
      <c r="E726" s="2"/>
      <c r="F726" s="2"/>
      <c r="G726" s="2"/>
      <c r="H726" s="2"/>
      <c r="I726" s="2"/>
      <c r="J726" s="2"/>
      <c r="K726" s="2"/>
      <c r="L726" s="2"/>
      <c r="M726" s="2"/>
      <c r="N726" s="2"/>
      <c r="O726" s="2"/>
      <c r="P726" s="2"/>
      <c r="Q726" s="2"/>
      <c r="R726" s="2"/>
      <c r="S726" s="2"/>
      <c r="T726" s="2"/>
      <c r="U726" s="2"/>
      <c r="V726" s="2"/>
      <c r="W726" s="158"/>
      <c r="X726" s="2"/>
      <c r="Y726" s="2"/>
      <c r="Z726" s="2"/>
    </row>
    <row r="727" spans="1:26" ht="13.5" customHeight="1">
      <c r="A727" s="2"/>
      <c r="B727" s="2"/>
      <c r="C727" s="2"/>
      <c r="D727" s="2"/>
      <c r="E727" s="2"/>
      <c r="F727" s="2"/>
      <c r="G727" s="2"/>
      <c r="H727" s="2"/>
      <c r="I727" s="2"/>
      <c r="J727" s="2"/>
      <c r="K727" s="2"/>
      <c r="L727" s="2"/>
      <c r="M727" s="2"/>
      <c r="N727" s="2"/>
      <c r="O727" s="2"/>
      <c r="P727" s="2"/>
      <c r="Q727" s="2"/>
      <c r="R727" s="2"/>
      <c r="S727" s="2"/>
      <c r="T727" s="2"/>
      <c r="U727" s="2"/>
      <c r="V727" s="2"/>
      <c r="W727" s="158"/>
      <c r="X727" s="2"/>
      <c r="Y727" s="2"/>
      <c r="Z727" s="2"/>
    </row>
    <row r="728" spans="1:26" ht="13.5" customHeight="1">
      <c r="A728" s="2"/>
      <c r="B728" s="2"/>
      <c r="C728" s="2"/>
      <c r="D728" s="2"/>
      <c r="E728" s="2"/>
      <c r="F728" s="2"/>
      <c r="G728" s="2"/>
      <c r="H728" s="2"/>
      <c r="I728" s="2"/>
      <c r="J728" s="2"/>
      <c r="K728" s="2"/>
      <c r="L728" s="2"/>
      <c r="M728" s="2"/>
      <c r="N728" s="2"/>
      <c r="O728" s="2"/>
      <c r="P728" s="2"/>
      <c r="Q728" s="2"/>
      <c r="R728" s="2"/>
      <c r="S728" s="2"/>
      <c r="T728" s="2"/>
      <c r="U728" s="2"/>
      <c r="V728" s="2"/>
      <c r="W728" s="158"/>
      <c r="X728" s="2"/>
      <c r="Y728" s="2"/>
      <c r="Z728" s="2"/>
    </row>
    <row r="729" spans="1:26" ht="13.5" customHeight="1">
      <c r="A729" s="2"/>
      <c r="B729" s="2"/>
      <c r="C729" s="2"/>
      <c r="D729" s="2"/>
      <c r="E729" s="2"/>
      <c r="F729" s="2"/>
      <c r="G729" s="2"/>
      <c r="H729" s="2"/>
      <c r="I729" s="2"/>
      <c r="J729" s="2"/>
      <c r="K729" s="2"/>
      <c r="L729" s="2"/>
      <c r="M729" s="2"/>
      <c r="N729" s="2"/>
      <c r="O729" s="2"/>
      <c r="P729" s="2"/>
      <c r="Q729" s="2"/>
      <c r="R729" s="2"/>
      <c r="S729" s="2"/>
      <c r="T729" s="2"/>
      <c r="U729" s="2"/>
      <c r="V729" s="2"/>
      <c r="W729" s="158"/>
      <c r="X729" s="2"/>
      <c r="Y729" s="2"/>
      <c r="Z729" s="2"/>
    </row>
    <row r="730" spans="1:26" ht="13.5" customHeight="1">
      <c r="A730" s="2"/>
      <c r="B730" s="2"/>
      <c r="C730" s="2"/>
      <c r="D730" s="2"/>
      <c r="E730" s="2"/>
      <c r="F730" s="2"/>
      <c r="G730" s="2"/>
      <c r="H730" s="2"/>
      <c r="I730" s="2"/>
      <c r="J730" s="2"/>
      <c r="K730" s="2"/>
      <c r="L730" s="2"/>
      <c r="M730" s="2"/>
      <c r="N730" s="2"/>
      <c r="O730" s="2"/>
      <c r="P730" s="2"/>
      <c r="Q730" s="2"/>
      <c r="R730" s="2"/>
      <c r="S730" s="2"/>
      <c r="T730" s="2"/>
      <c r="U730" s="2"/>
      <c r="V730" s="2"/>
      <c r="W730" s="158"/>
      <c r="X730" s="2"/>
      <c r="Y730" s="2"/>
      <c r="Z730" s="2"/>
    </row>
    <row r="731" spans="1:26" ht="13.5" customHeight="1">
      <c r="A731" s="2"/>
      <c r="B731" s="2"/>
      <c r="C731" s="2"/>
      <c r="D731" s="2"/>
      <c r="E731" s="2"/>
      <c r="F731" s="2"/>
      <c r="G731" s="2"/>
      <c r="H731" s="2"/>
      <c r="I731" s="2"/>
      <c r="J731" s="2"/>
      <c r="K731" s="2"/>
      <c r="L731" s="2"/>
      <c r="M731" s="2"/>
      <c r="N731" s="2"/>
      <c r="O731" s="2"/>
      <c r="P731" s="2"/>
      <c r="Q731" s="2"/>
      <c r="R731" s="2"/>
      <c r="S731" s="2"/>
      <c r="T731" s="2"/>
      <c r="U731" s="2"/>
      <c r="V731" s="2"/>
      <c r="W731" s="158"/>
      <c r="X731" s="2"/>
      <c r="Y731" s="2"/>
      <c r="Z731" s="2"/>
    </row>
    <row r="732" spans="1:26" ht="13.5" customHeight="1">
      <c r="A732" s="2"/>
      <c r="B732" s="2"/>
      <c r="C732" s="2"/>
      <c r="D732" s="2"/>
      <c r="E732" s="2"/>
      <c r="F732" s="2"/>
      <c r="G732" s="2"/>
      <c r="H732" s="2"/>
      <c r="I732" s="2"/>
      <c r="J732" s="2"/>
      <c r="K732" s="2"/>
      <c r="L732" s="2"/>
      <c r="M732" s="2"/>
      <c r="N732" s="2"/>
      <c r="O732" s="2"/>
      <c r="P732" s="2"/>
      <c r="Q732" s="2"/>
      <c r="R732" s="2"/>
      <c r="S732" s="2"/>
      <c r="T732" s="2"/>
      <c r="U732" s="2"/>
      <c r="V732" s="2"/>
      <c r="W732" s="158"/>
      <c r="X732" s="2"/>
      <c r="Y732" s="2"/>
      <c r="Z732" s="2"/>
    </row>
    <row r="733" spans="1:26" ht="13.5" customHeight="1">
      <c r="A733" s="2"/>
      <c r="B733" s="2"/>
      <c r="C733" s="2"/>
      <c r="D733" s="2"/>
      <c r="E733" s="2"/>
      <c r="F733" s="2"/>
      <c r="G733" s="2"/>
      <c r="H733" s="2"/>
      <c r="I733" s="2"/>
      <c r="J733" s="2"/>
      <c r="K733" s="2"/>
      <c r="L733" s="2"/>
      <c r="M733" s="2"/>
      <c r="N733" s="2"/>
      <c r="O733" s="2"/>
      <c r="P733" s="2"/>
      <c r="Q733" s="2"/>
      <c r="R733" s="2"/>
      <c r="S733" s="2"/>
      <c r="T733" s="2"/>
      <c r="U733" s="2"/>
      <c r="V733" s="2"/>
      <c r="W733" s="158"/>
      <c r="X733" s="2"/>
      <c r="Y733" s="2"/>
      <c r="Z733" s="2"/>
    </row>
    <row r="734" spans="1:26" ht="13.5" customHeight="1">
      <c r="A734" s="2"/>
      <c r="B734" s="2"/>
      <c r="C734" s="2"/>
      <c r="D734" s="2"/>
      <c r="E734" s="2"/>
      <c r="F734" s="2"/>
      <c r="G734" s="2"/>
      <c r="H734" s="2"/>
      <c r="I734" s="2"/>
      <c r="J734" s="2"/>
      <c r="K734" s="2"/>
      <c r="L734" s="2"/>
      <c r="M734" s="2"/>
      <c r="N734" s="2"/>
      <c r="O734" s="2"/>
      <c r="P734" s="2"/>
      <c r="Q734" s="2"/>
      <c r="R734" s="2"/>
      <c r="S734" s="2"/>
      <c r="T734" s="2"/>
      <c r="U734" s="2"/>
      <c r="V734" s="2"/>
      <c r="W734" s="158"/>
      <c r="X734" s="2"/>
      <c r="Y734" s="2"/>
      <c r="Z734" s="2"/>
    </row>
    <row r="735" spans="1:26" ht="13.5" customHeight="1">
      <c r="A735" s="2"/>
      <c r="B735" s="2"/>
      <c r="C735" s="2"/>
      <c r="D735" s="2"/>
      <c r="E735" s="2"/>
      <c r="F735" s="2"/>
      <c r="G735" s="2"/>
      <c r="H735" s="2"/>
      <c r="I735" s="2"/>
      <c r="J735" s="2"/>
      <c r="K735" s="2"/>
      <c r="L735" s="2"/>
      <c r="M735" s="2"/>
      <c r="N735" s="2"/>
      <c r="O735" s="2"/>
      <c r="P735" s="2"/>
      <c r="Q735" s="2"/>
      <c r="R735" s="2"/>
      <c r="S735" s="2"/>
      <c r="T735" s="2"/>
      <c r="U735" s="2"/>
      <c r="V735" s="2"/>
      <c r="W735" s="158"/>
      <c r="X735" s="2"/>
      <c r="Y735" s="2"/>
      <c r="Z735" s="2"/>
    </row>
    <row r="736" spans="1:26" ht="13.5" customHeight="1">
      <c r="A736" s="2"/>
      <c r="B736" s="2"/>
      <c r="C736" s="2"/>
      <c r="D736" s="2"/>
      <c r="E736" s="2"/>
      <c r="F736" s="2"/>
      <c r="G736" s="2"/>
      <c r="H736" s="2"/>
      <c r="I736" s="2"/>
      <c r="J736" s="2"/>
      <c r="K736" s="2"/>
      <c r="L736" s="2"/>
      <c r="M736" s="2"/>
      <c r="N736" s="2"/>
      <c r="O736" s="2"/>
      <c r="P736" s="2"/>
      <c r="Q736" s="2"/>
      <c r="R736" s="2"/>
      <c r="S736" s="2"/>
      <c r="T736" s="2"/>
      <c r="U736" s="2"/>
      <c r="V736" s="2"/>
      <c r="W736" s="158"/>
      <c r="X736" s="2"/>
      <c r="Y736" s="2"/>
      <c r="Z736" s="2"/>
    </row>
    <row r="737" spans="1:26" ht="13.5" customHeight="1">
      <c r="A737" s="2"/>
      <c r="B737" s="2"/>
      <c r="C737" s="2"/>
      <c r="D737" s="2"/>
      <c r="E737" s="2"/>
      <c r="F737" s="2"/>
      <c r="G737" s="2"/>
      <c r="H737" s="2"/>
      <c r="I737" s="2"/>
      <c r="J737" s="2"/>
      <c r="K737" s="2"/>
      <c r="L737" s="2"/>
      <c r="M737" s="2"/>
      <c r="N737" s="2"/>
      <c r="O737" s="2"/>
      <c r="P737" s="2"/>
      <c r="Q737" s="2"/>
      <c r="R737" s="2"/>
      <c r="S737" s="2"/>
      <c r="T737" s="2"/>
      <c r="U737" s="2"/>
      <c r="V737" s="2"/>
      <c r="W737" s="158"/>
      <c r="X737" s="2"/>
      <c r="Y737" s="2"/>
      <c r="Z737" s="2"/>
    </row>
    <row r="738" spans="1:26" ht="13.5" customHeight="1">
      <c r="A738" s="2"/>
      <c r="B738" s="2"/>
      <c r="C738" s="2"/>
      <c r="D738" s="2"/>
      <c r="E738" s="2"/>
      <c r="F738" s="2"/>
      <c r="G738" s="2"/>
      <c r="H738" s="2"/>
      <c r="I738" s="2"/>
      <c r="J738" s="2"/>
      <c r="K738" s="2"/>
      <c r="L738" s="2"/>
      <c r="M738" s="2"/>
      <c r="N738" s="2"/>
      <c r="O738" s="2"/>
      <c r="P738" s="2"/>
      <c r="Q738" s="2"/>
      <c r="R738" s="2"/>
      <c r="S738" s="2"/>
      <c r="T738" s="2"/>
      <c r="U738" s="2"/>
      <c r="V738" s="2"/>
      <c r="W738" s="158"/>
      <c r="X738" s="2"/>
      <c r="Y738" s="2"/>
      <c r="Z738" s="2"/>
    </row>
    <row r="739" spans="1:26" ht="13.5" customHeight="1">
      <c r="A739" s="2"/>
      <c r="B739" s="2"/>
      <c r="C739" s="2"/>
      <c r="D739" s="2"/>
      <c r="E739" s="2"/>
      <c r="F739" s="2"/>
      <c r="G739" s="2"/>
      <c r="H739" s="2"/>
      <c r="I739" s="2"/>
      <c r="J739" s="2"/>
      <c r="K739" s="2"/>
      <c r="L739" s="2"/>
      <c r="M739" s="2"/>
      <c r="N739" s="2"/>
      <c r="O739" s="2"/>
      <c r="P739" s="2"/>
      <c r="Q739" s="2"/>
      <c r="R739" s="2"/>
      <c r="S739" s="2"/>
      <c r="T739" s="2"/>
      <c r="U739" s="2"/>
      <c r="V739" s="2"/>
      <c r="W739" s="158"/>
      <c r="X739" s="2"/>
      <c r="Y739" s="2"/>
      <c r="Z739" s="2"/>
    </row>
    <row r="740" spans="1:26" ht="13.5" customHeight="1">
      <c r="A740" s="2"/>
      <c r="B740" s="2"/>
      <c r="C740" s="2"/>
      <c r="D740" s="2"/>
      <c r="E740" s="2"/>
      <c r="F740" s="2"/>
      <c r="G740" s="2"/>
      <c r="H740" s="2"/>
      <c r="I740" s="2"/>
      <c r="J740" s="2"/>
      <c r="K740" s="2"/>
      <c r="L740" s="2"/>
      <c r="M740" s="2"/>
      <c r="N740" s="2"/>
      <c r="O740" s="2"/>
      <c r="P740" s="2"/>
      <c r="Q740" s="2"/>
      <c r="R740" s="2"/>
      <c r="S740" s="2"/>
      <c r="T740" s="2"/>
      <c r="U740" s="2"/>
      <c r="V740" s="2"/>
      <c r="W740" s="158"/>
      <c r="X740" s="2"/>
      <c r="Y740" s="2"/>
      <c r="Z740" s="2"/>
    </row>
    <row r="741" spans="1:26" ht="13.5" customHeight="1">
      <c r="A741" s="2"/>
      <c r="B741" s="2"/>
      <c r="C741" s="2"/>
      <c r="D741" s="2"/>
      <c r="E741" s="2"/>
      <c r="F741" s="2"/>
      <c r="G741" s="2"/>
      <c r="H741" s="2"/>
      <c r="I741" s="2"/>
      <c r="J741" s="2"/>
      <c r="K741" s="2"/>
      <c r="L741" s="2"/>
      <c r="M741" s="2"/>
      <c r="N741" s="2"/>
      <c r="O741" s="2"/>
      <c r="P741" s="2"/>
      <c r="Q741" s="2"/>
      <c r="R741" s="2"/>
      <c r="S741" s="2"/>
      <c r="T741" s="2"/>
      <c r="U741" s="2"/>
      <c r="V741" s="2"/>
      <c r="W741" s="158"/>
      <c r="X741" s="2"/>
      <c r="Y741" s="2"/>
      <c r="Z741" s="2"/>
    </row>
    <row r="742" spans="1:26" ht="13.5" customHeight="1">
      <c r="A742" s="2"/>
      <c r="B742" s="2"/>
      <c r="C742" s="2"/>
      <c r="D742" s="2"/>
      <c r="E742" s="2"/>
      <c r="F742" s="2"/>
      <c r="G742" s="2"/>
      <c r="H742" s="2"/>
      <c r="I742" s="2"/>
      <c r="J742" s="2"/>
      <c r="K742" s="2"/>
      <c r="L742" s="2"/>
      <c r="M742" s="2"/>
      <c r="N742" s="2"/>
      <c r="O742" s="2"/>
      <c r="P742" s="2"/>
      <c r="Q742" s="2"/>
      <c r="R742" s="2"/>
      <c r="S742" s="2"/>
      <c r="T742" s="2"/>
      <c r="U742" s="2"/>
      <c r="V742" s="2"/>
      <c r="W742" s="158"/>
      <c r="X742" s="2"/>
      <c r="Y742" s="2"/>
      <c r="Z742" s="2"/>
    </row>
    <row r="743" spans="1:26" ht="13.5" customHeight="1">
      <c r="A743" s="2"/>
      <c r="B743" s="2"/>
      <c r="C743" s="2"/>
      <c r="D743" s="2"/>
      <c r="E743" s="2"/>
      <c r="F743" s="2"/>
      <c r="G743" s="2"/>
      <c r="H743" s="2"/>
      <c r="I743" s="2"/>
      <c r="J743" s="2"/>
      <c r="K743" s="2"/>
      <c r="L743" s="2"/>
      <c r="M743" s="2"/>
      <c r="N743" s="2"/>
      <c r="O743" s="2"/>
      <c r="P743" s="2"/>
      <c r="Q743" s="2"/>
      <c r="R743" s="2"/>
      <c r="S743" s="2"/>
      <c r="T743" s="2"/>
      <c r="U743" s="2"/>
      <c r="V743" s="2"/>
      <c r="W743" s="158"/>
      <c r="X743" s="2"/>
      <c r="Y743" s="2"/>
      <c r="Z743" s="2"/>
    </row>
    <row r="744" spans="1:26" ht="13.5" customHeight="1">
      <c r="A744" s="2"/>
      <c r="B744" s="2"/>
      <c r="C744" s="2"/>
      <c r="D744" s="2"/>
      <c r="E744" s="2"/>
      <c r="F744" s="2"/>
      <c r="G744" s="2"/>
      <c r="H744" s="2"/>
      <c r="I744" s="2"/>
      <c r="J744" s="2"/>
      <c r="K744" s="2"/>
      <c r="L744" s="2"/>
      <c r="M744" s="2"/>
      <c r="N744" s="2"/>
      <c r="O744" s="2"/>
      <c r="P744" s="2"/>
      <c r="Q744" s="2"/>
      <c r="R744" s="2"/>
      <c r="S744" s="2"/>
      <c r="T744" s="2"/>
      <c r="U744" s="2"/>
      <c r="V744" s="2"/>
      <c r="W744" s="158"/>
      <c r="X744" s="2"/>
      <c r="Y744" s="2"/>
      <c r="Z744" s="2"/>
    </row>
    <row r="745" spans="1:26" ht="13.5" customHeight="1">
      <c r="A745" s="2"/>
      <c r="B745" s="2"/>
      <c r="C745" s="2"/>
      <c r="D745" s="2"/>
      <c r="E745" s="2"/>
      <c r="F745" s="2"/>
      <c r="G745" s="2"/>
      <c r="H745" s="2"/>
      <c r="I745" s="2"/>
      <c r="J745" s="2"/>
      <c r="K745" s="2"/>
      <c r="L745" s="2"/>
      <c r="M745" s="2"/>
      <c r="N745" s="2"/>
      <c r="O745" s="2"/>
      <c r="P745" s="2"/>
      <c r="Q745" s="2"/>
      <c r="R745" s="2"/>
      <c r="S745" s="2"/>
      <c r="T745" s="2"/>
      <c r="U745" s="2"/>
      <c r="V745" s="2"/>
      <c r="W745" s="158"/>
      <c r="X745" s="2"/>
      <c r="Y745" s="2"/>
      <c r="Z745" s="2"/>
    </row>
    <row r="746" spans="1:26" ht="13.5" customHeight="1">
      <c r="A746" s="2"/>
      <c r="B746" s="2"/>
      <c r="C746" s="2"/>
      <c r="D746" s="2"/>
      <c r="E746" s="2"/>
      <c r="F746" s="2"/>
      <c r="G746" s="2"/>
      <c r="H746" s="2"/>
      <c r="I746" s="2"/>
      <c r="J746" s="2"/>
      <c r="K746" s="2"/>
      <c r="L746" s="2"/>
      <c r="M746" s="2"/>
      <c r="N746" s="2"/>
      <c r="O746" s="2"/>
      <c r="P746" s="2"/>
      <c r="Q746" s="2"/>
      <c r="R746" s="2"/>
      <c r="S746" s="2"/>
      <c r="T746" s="2"/>
      <c r="U746" s="2"/>
      <c r="V746" s="2"/>
      <c r="W746" s="158"/>
      <c r="X746" s="2"/>
      <c r="Y746" s="2"/>
      <c r="Z746" s="2"/>
    </row>
    <row r="747" spans="1:26" ht="13.5" customHeight="1">
      <c r="A747" s="2"/>
      <c r="B747" s="2"/>
      <c r="C747" s="2"/>
      <c r="D747" s="2"/>
      <c r="E747" s="2"/>
      <c r="F747" s="2"/>
      <c r="G747" s="2"/>
      <c r="H747" s="2"/>
      <c r="I747" s="2"/>
      <c r="J747" s="2"/>
      <c r="K747" s="2"/>
      <c r="L747" s="2"/>
      <c r="M747" s="2"/>
      <c r="N747" s="2"/>
      <c r="O747" s="2"/>
      <c r="P747" s="2"/>
      <c r="Q747" s="2"/>
      <c r="R747" s="2"/>
      <c r="S747" s="2"/>
      <c r="T747" s="2"/>
      <c r="U747" s="2"/>
      <c r="V747" s="2"/>
      <c r="W747" s="158"/>
      <c r="X747" s="2"/>
      <c r="Y747" s="2"/>
      <c r="Z747" s="2"/>
    </row>
    <row r="748" spans="1:26" ht="13.5" customHeight="1">
      <c r="A748" s="2"/>
      <c r="B748" s="2"/>
      <c r="C748" s="2"/>
      <c r="D748" s="2"/>
      <c r="E748" s="2"/>
      <c r="F748" s="2"/>
      <c r="G748" s="2"/>
      <c r="H748" s="2"/>
      <c r="I748" s="2"/>
      <c r="J748" s="2"/>
      <c r="K748" s="2"/>
      <c r="L748" s="2"/>
      <c r="M748" s="2"/>
      <c r="N748" s="2"/>
      <c r="O748" s="2"/>
      <c r="P748" s="2"/>
      <c r="Q748" s="2"/>
      <c r="R748" s="2"/>
      <c r="S748" s="2"/>
      <c r="T748" s="2"/>
      <c r="U748" s="2"/>
      <c r="V748" s="2"/>
      <c r="W748" s="158"/>
      <c r="X748" s="2"/>
      <c r="Y748" s="2"/>
      <c r="Z748" s="2"/>
    </row>
    <row r="749" spans="1:26" ht="13.5" customHeight="1">
      <c r="A749" s="2"/>
      <c r="B749" s="2"/>
      <c r="C749" s="2"/>
      <c r="D749" s="2"/>
      <c r="E749" s="2"/>
      <c r="F749" s="2"/>
      <c r="G749" s="2"/>
      <c r="H749" s="2"/>
      <c r="I749" s="2"/>
      <c r="J749" s="2"/>
      <c r="K749" s="2"/>
      <c r="L749" s="2"/>
      <c r="M749" s="2"/>
      <c r="N749" s="2"/>
      <c r="O749" s="2"/>
      <c r="P749" s="2"/>
      <c r="Q749" s="2"/>
      <c r="R749" s="2"/>
      <c r="S749" s="2"/>
      <c r="T749" s="2"/>
      <c r="U749" s="2"/>
      <c r="V749" s="2"/>
      <c r="W749" s="158"/>
      <c r="X749" s="2"/>
      <c r="Y749" s="2"/>
      <c r="Z749" s="2"/>
    </row>
    <row r="750" spans="1:26" ht="13.5" customHeight="1">
      <c r="A750" s="2"/>
      <c r="B750" s="2"/>
      <c r="C750" s="2"/>
      <c r="D750" s="2"/>
      <c r="E750" s="2"/>
      <c r="F750" s="2"/>
      <c r="G750" s="2"/>
      <c r="H750" s="2"/>
      <c r="I750" s="2"/>
      <c r="J750" s="2"/>
      <c r="K750" s="2"/>
      <c r="L750" s="2"/>
      <c r="M750" s="2"/>
      <c r="N750" s="2"/>
      <c r="O750" s="2"/>
      <c r="P750" s="2"/>
      <c r="Q750" s="2"/>
      <c r="R750" s="2"/>
      <c r="S750" s="2"/>
      <c r="T750" s="2"/>
      <c r="U750" s="2"/>
      <c r="V750" s="2"/>
      <c r="W750" s="158"/>
      <c r="X750" s="2"/>
      <c r="Y750" s="2"/>
      <c r="Z750" s="2"/>
    </row>
    <row r="751" spans="1:26" ht="13.5" customHeight="1">
      <c r="A751" s="2"/>
      <c r="B751" s="2"/>
      <c r="C751" s="2"/>
      <c r="D751" s="2"/>
      <c r="E751" s="2"/>
      <c r="F751" s="2"/>
      <c r="G751" s="2"/>
      <c r="H751" s="2"/>
      <c r="I751" s="2"/>
      <c r="J751" s="2"/>
      <c r="K751" s="2"/>
      <c r="L751" s="2"/>
      <c r="M751" s="2"/>
      <c r="N751" s="2"/>
      <c r="O751" s="2"/>
      <c r="P751" s="2"/>
      <c r="Q751" s="2"/>
      <c r="R751" s="2"/>
      <c r="S751" s="2"/>
      <c r="T751" s="2"/>
      <c r="U751" s="2"/>
      <c r="V751" s="2"/>
      <c r="W751" s="158"/>
      <c r="X751" s="2"/>
      <c r="Y751" s="2"/>
      <c r="Z751" s="2"/>
    </row>
    <row r="752" spans="1:26" ht="13.5" customHeight="1">
      <c r="A752" s="2"/>
      <c r="B752" s="2"/>
      <c r="C752" s="2"/>
      <c r="D752" s="2"/>
      <c r="E752" s="2"/>
      <c r="F752" s="2"/>
      <c r="G752" s="2"/>
      <c r="H752" s="2"/>
      <c r="I752" s="2"/>
      <c r="J752" s="2"/>
      <c r="K752" s="2"/>
      <c r="L752" s="2"/>
      <c r="M752" s="2"/>
      <c r="N752" s="2"/>
      <c r="O752" s="2"/>
      <c r="P752" s="2"/>
      <c r="Q752" s="2"/>
      <c r="R752" s="2"/>
      <c r="S752" s="2"/>
      <c r="T752" s="2"/>
      <c r="U752" s="2"/>
      <c r="V752" s="2"/>
      <c r="W752" s="158"/>
      <c r="X752" s="2"/>
      <c r="Y752" s="2"/>
      <c r="Z752" s="2"/>
    </row>
    <row r="753" spans="1:26" ht="13.5" customHeight="1">
      <c r="A753" s="2"/>
      <c r="B753" s="2"/>
      <c r="C753" s="2"/>
      <c r="D753" s="2"/>
      <c r="E753" s="2"/>
      <c r="F753" s="2"/>
      <c r="G753" s="2"/>
      <c r="H753" s="2"/>
      <c r="I753" s="2"/>
      <c r="J753" s="2"/>
      <c r="K753" s="2"/>
      <c r="L753" s="2"/>
      <c r="M753" s="2"/>
      <c r="N753" s="2"/>
      <c r="O753" s="2"/>
      <c r="P753" s="2"/>
      <c r="Q753" s="2"/>
      <c r="R753" s="2"/>
      <c r="S753" s="2"/>
      <c r="T753" s="2"/>
      <c r="U753" s="2"/>
      <c r="V753" s="2"/>
      <c r="W753" s="158"/>
      <c r="X753" s="2"/>
      <c r="Y753" s="2"/>
      <c r="Z753" s="2"/>
    </row>
    <row r="754" spans="1:26" ht="13.5" customHeight="1">
      <c r="A754" s="2"/>
      <c r="B754" s="2"/>
      <c r="C754" s="2"/>
      <c r="D754" s="2"/>
      <c r="E754" s="2"/>
      <c r="F754" s="2"/>
      <c r="G754" s="2"/>
      <c r="H754" s="2"/>
      <c r="I754" s="2"/>
      <c r="J754" s="2"/>
      <c r="K754" s="2"/>
      <c r="L754" s="2"/>
      <c r="M754" s="2"/>
      <c r="N754" s="2"/>
      <c r="O754" s="2"/>
      <c r="P754" s="2"/>
      <c r="Q754" s="2"/>
      <c r="R754" s="2"/>
      <c r="S754" s="2"/>
      <c r="T754" s="2"/>
      <c r="U754" s="2"/>
      <c r="V754" s="2"/>
      <c r="W754" s="158"/>
      <c r="X754" s="2"/>
      <c r="Y754" s="2"/>
      <c r="Z754" s="2"/>
    </row>
    <row r="755" spans="1:26" ht="13.5" customHeight="1">
      <c r="A755" s="2"/>
      <c r="B755" s="2"/>
      <c r="C755" s="2"/>
      <c r="D755" s="2"/>
      <c r="E755" s="2"/>
      <c r="F755" s="2"/>
      <c r="G755" s="2"/>
      <c r="H755" s="2"/>
      <c r="I755" s="2"/>
      <c r="J755" s="2"/>
      <c r="K755" s="2"/>
      <c r="L755" s="2"/>
      <c r="M755" s="2"/>
      <c r="N755" s="2"/>
      <c r="O755" s="2"/>
      <c r="P755" s="2"/>
      <c r="Q755" s="2"/>
      <c r="R755" s="2"/>
      <c r="S755" s="2"/>
      <c r="T755" s="2"/>
      <c r="U755" s="2"/>
      <c r="V755" s="2"/>
      <c r="W755" s="158"/>
      <c r="X755" s="2"/>
      <c r="Y755" s="2"/>
      <c r="Z755" s="2"/>
    </row>
    <row r="756" spans="1:26" ht="13.5" customHeight="1">
      <c r="A756" s="2"/>
      <c r="B756" s="2"/>
      <c r="C756" s="2"/>
      <c r="D756" s="2"/>
      <c r="E756" s="2"/>
      <c r="F756" s="2"/>
      <c r="G756" s="2"/>
      <c r="H756" s="2"/>
      <c r="I756" s="2"/>
      <c r="J756" s="2"/>
      <c r="K756" s="2"/>
      <c r="L756" s="2"/>
      <c r="M756" s="2"/>
      <c r="N756" s="2"/>
      <c r="O756" s="2"/>
      <c r="P756" s="2"/>
      <c r="Q756" s="2"/>
      <c r="R756" s="2"/>
      <c r="S756" s="2"/>
      <c r="T756" s="2"/>
      <c r="U756" s="2"/>
      <c r="V756" s="2"/>
      <c r="W756" s="158"/>
      <c r="X756" s="2"/>
      <c r="Y756" s="2"/>
      <c r="Z756" s="2"/>
    </row>
    <row r="757" spans="1:26" ht="13.5" customHeight="1">
      <c r="A757" s="2"/>
      <c r="B757" s="2"/>
      <c r="C757" s="2"/>
      <c r="D757" s="2"/>
      <c r="E757" s="2"/>
      <c r="F757" s="2"/>
      <c r="G757" s="2"/>
      <c r="H757" s="2"/>
      <c r="I757" s="2"/>
      <c r="J757" s="2"/>
      <c r="K757" s="2"/>
      <c r="L757" s="2"/>
      <c r="M757" s="2"/>
      <c r="N757" s="2"/>
      <c r="O757" s="2"/>
      <c r="P757" s="2"/>
      <c r="Q757" s="2"/>
      <c r="R757" s="2"/>
      <c r="S757" s="2"/>
      <c r="T757" s="2"/>
      <c r="U757" s="2"/>
      <c r="V757" s="2"/>
      <c r="W757" s="158"/>
      <c r="X757" s="2"/>
      <c r="Y757" s="2"/>
      <c r="Z757" s="2"/>
    </row>
    <row r="758" spans="1:26" ht="13.5" customHeight="1">
      <c r="A758" s="2"/>
      <c r="B758" s="2"/>
      <c r="C758" s="2"/>
      <c r="D758" s="2"/>
      <c r="E758" s="2"/>
      <c r="F758" s="2"/>
      <c r="G758" s="2"/>
      <c r="H758" s="2"/>
      <c r="I758" s="2"/>
      <c r="J758" s="2"/>
      <c r="K758" s="2"/>
      <c r="L758" s="2"/>
      <c r="M758" s="2"/>
      <c r="N758" s="2"/>
      <c r="O758" s="2"/>
      <c r="P758" s="2"/>
      <c r="Q758" s="2"/>
      <c r="R758" s="2"/>
      <c r="S758" s="2"/>
      <c r="T758" s="2"/>
      <c r="U758" s="2"/>
      <c r="V758" s="2"/>
      <c r="W758" s="158"/>
      <c r="X758" s="2"/>
      <c r="Y758" s="2"/>
      <c r="Z758" s="2"/>
    </row>
    <row r="759" spans="1:26" ht="13.5" customHeight="1">
      <c r="A759" s="2"/>
      <c r="B759" s="2"/>
      <c r="C759" s="2"/>
      <c r="D759" s="2"/>
      <c r="E759" s="2"/>
      <c r="F759" s="2"/>
      <c r="G759" s="2"/>
      <c r="H759" s="2"/>
      <c r="I759" s="2"/>
      <c r="J759" s="2"/>
      <c r="K759" s="2"/>
      <c r="L759" s="2"/>
      <c r="M759" s="2"/>
      <c r="N759" s="2"/>
      <c r="O759" s="2"/>
      <c r="P759" s="2"/>
      <c r="Q759" s="2"/>
      <c r="R759" s="2"/>
      <c r="S759" s="2"/>
      <c r="T759" s="2"/>
      <c r="U759" s="2"/>
      <c r="V759" s="2"/>
      <c r="W759" s="158"/>
      <c r="X759" s="2"/>
      <c r="Y759" s="2"/>
      <c r="Z759" s="2"/>
    </row>
    <row r="760" spans="1:26" ht="13.5" customHeight="1">
      <c r="A760" s="2"/>
      <c r="B760" s="2"/>
      <c r="C760" s="2"/>
      <c r="D760" s="2"/>
      <c r="E760" s="2"/>
      <c r="F760" s="2"/>
      <c r="G760" s="2"/>
      <c r="H760" s="2"/>
      <c r="I760" s="2"/>
      <c r="J760" s="2"/>
      <c r="K760" s="2"/>
      <c r="L760" s="2"/>
      <c r="M760" s="2"/>
      <c r="N760" s="2"/>
      <c r="O760" s="2"/>
      <c r="P760" s="2"/>
      <c r="Q760" s="2"/>
      <c r="R760" s="2"/>
      <c r="S760" s="2"/>
      <c r="T760" s="2"/>
      <c r="U760" s="2"/>
      <c r="V760" s="2"/>
      <c r="W760" s="158"/>
      <c r="X760" s="2"/>
      <c r="Y760" s="2"/>
      <c r="Z760" s="2"/>
    </row>
    <row r="761" spans="1:26" ht="13.5" customHeight="1">
      <c r="A761" s="2"/>
      <c r="B761" s="2"/>
      <c r="C761" s="2"/>
      <c r="D761" s="2"/>
      <c r="E761" s="2"/>
      <c r="F761" s="2"/>
      <c r="G761" s="2"/>
      <c r="H761" s="2"/>
      <c r="I761" s="2"/>
      <c r="J761" s="2"/>
      <c r="K761" s="2"/>
      <c r="L761" s="2"/>
      <c r="M761" s="2"/>
      <c r="N761" s="2"/>
      <c r="O761" s="2"/>
      <c r="P761" s="2"/>
      <c r="Q761" s="2"/>
      <c r="R761" s="2"/>
      <c r="S761" s="2"/>
      <c r="T761" s="2"/>
      <c r="U761" s="2"/>
      <c r="V761" s="2"/>
      <c r="W761" s="158"/>
      <c r="X761" s="2"/>
      <c r="Y761" s="2"/>
      <c r="Z761" s="2"/>
    </row>
    <row r="762" spans="1:26" ht="13.5" customHeight="1">
      <c r="A762" s="2"/>
      <c r="B762" s="2"/>
      <c r="C762" s="2"/>
      <c r="D762" s="2"/>
      <c r="E762" s="2"/>
      <c r="F762" s="2"/>
      <c r="G762" s="2"/>
      <c r="H762" s="2"/>
      <c r="I762" s="2"/>
      <c r="J762" s="2"/>
      <c r="K762" s="2"/>
      <c r="L762" s="2"/>
      <c r="M762" s="2"/>
      <c r="N762" s="2"/>
      <c r="O762" s="2"/>
      <c r="P762" s="2"/>
      <c r="Q762" s="2"/>
      <c r="R762" s="2"/>
      <c r="S762" s="2"/>
      <c r="T762" s="2"/>
      <c r="U762" s="2"/>
      <c r="V762" s="2"/>
      <c r="W762" s="158"/>
      <c r="X762" s="2"/>
      <c r="Y762" s="2"/>
      <c r="Z762" s="2"/>
    </row>
    <row r="763" spans="1:26" ht="13.5" customHeight="1">
      <c r="A763" s="2"/>
      <c r="B763" s="2"/>
      <c r="C763" s="2"/>
      <c r="D763" s="2"/>
      <c r="E763" s="2"/>
      <c r="F763" s="2"/>
      <c r="G763" s="2"/>
      <c r="H763" s="2"/>
      <c r="I763" s="2"/>
      <c r="J763" s="2"/>
      <c r="K763" s="2"/>
      <c r="L763" s="2"/>
      <c r="M763" s="2"/>
      <c r="N763" s="2"/>
      <c r="O763" s="2"/>
      <c r="P763" s="2"/>
      <c r="Q763" s="2"/>
      <c r="R763" s="2"/>
      <c r="S763" s="2"/>
      <c r="T763" s="2"/>
      <c r="U763" s="2"/>
      <c r="V763" s="2"/>
      <c r="W763" s="158"/>
      <c r="X763" s="2"/>
      <c r="Y763" s="2"/>
      <c r="Z763" s="2"/>
    </row>
    <row r="764" spans="1:26" ht="13.5" customHeight="1">
      <c r="A764" s="2"/>
      <c r="B764" s="2"/>
      <c r="C764" s="2"/>
      <c r="D764" s="2"/>
      <c r="E764" s="2"/>
      <c r="F764" s="2"/>
      <c r="G764" s="2"/>
      <c r="H764" s="2"/>
      <c r="I764" s="2"/>
      <c r="J764" s="2"/>
      <c r="K764" s="2"/>
      <c r="L764" s="2"/>
      <c r="M764" s="2"/>
      <c r="N764" s="2"/>
      <c r="O764" s="2"/>
      <c r="P764" s="2"/>
      <c r="Q764" s="2"/>
      <c r="R764" s="2"/>
      <c r="S764" s="2"/>
      <c r="T764" s="2"/>
      <c r="U764" s="2"/>
      <c r="V764" s="2"/>
      <c r="W764" s="158"/>
      <c r="X764" s="2"/>
      <c r="Y764" s="2"/>
      <c r="Z764" s="2"/>
    </row>
    <row r="765" spans="1:26" ht="13.5" customHeight="1">
      <c r="A765" s="2"/>
      <c r="B765" s="2"/>
      <c r="C765" s="2"/>
      <c r="D765" s="2"/>
      <c r="E765" s="2"/>
      <c r="F765" s="2"/>
      <c r="G765" s="2"/>
      <c r="H765" s="2"/>
      <c r="I765" s="2"/>
      <c r="J765" s="2"/>
      <c r="K765" s="2"/>
      <c r="L765" s="2"/>
      <c r="M765" s="2"/>
      <c r="N765" s="2"/>
      <c r="O765" s="2"/>
      <c r="P765" s="2"/>
      <c r="Q765" s="2"/>
      <c r="R765" s="2"/>
      <c r="S765" s="2"/>
      <c r="T765" s="2"/>
      <c r="U765" s="2"/>
      <c r="V765" s="2"/>
      <c r="W765" s="158"/>
      <c r="X765" s="2"/>
      <c r="Y765" s="2"/>
      <c r="Z765" s="2"/>
    </row>
    <row r="766" spans="1:26" ht="13.5" customHeight="1">
      <c r="A766" s="2"/>
      <c r="B766" s="2"/>
      <c r="C766" s="2"/>
      <c r="D766" s="2"/>
      <c r="E766" s="2"/>
      <c r="F766" s="2"/>
      <c r="G766" s="2"/>
      <c r="H766" s="2"/>
      <c r="I766" s="2"/>
      <c r="J766" s="2"/>
      <c r="K766" s="2"/>
      <c r="L766" s="2"/>
      <c r="M766" s="2"/>
      <c r="N766" s="2"/>
      <c r="O766" s="2"/>
      <c r="P766" s="2"/>
      <c r="Q766" s="2"/>
      <c r="R766" s="2"/>
      <c r="S766" s="2"/>
      <c r="T766" s="2"/>
      <c r="U766" s="2"/>
      <c r="V766" s="2"/>
      <c r="W766" s="158"/>
      <c r="X766" s="2"/>
      <c r="Y766" s="2"/>
      <c r="Z766" s="2"/>
    </row>
    <row r="767" spans="1:26" ht="13.5" customHeight="1">
      <c r="A767" s="2"/>
      <c r="B767" s="2"/>
      <c r="C767" s="2"/>
      <c r="D767" s="2"/>
      <c r="E767" s="2"/>
      <c r="F767" s="2"/>
      <c r="G767" s="2"/>
      <c r="H767" s="2"/>
      <c r="I767" s="2"/>
      <c r="J767" s="2"/>
      <c r="K767" s="2"/>
      <c r="L767" s="2"/>
      <c r="M767" s="2"/>
      <c r="N767" s="2"/>
      <c r="O767" s="2"/>
      <c r="P767" s="2"/>
      <c r="Q767" s="2"/>
      <c r="R767" s="2"/>
      <c r="S767" s="2"/>
      <c r="T767" s="2"/>
      <c r="U767" s="2"/>
      <c r="V767" s="2"/>
      <c r="W767" s="158"/>
      <c r="X767" s="2"/>
      <c r="Y767" s="2"/>
      <c r="Z767" s="2"/>
    </row>
    <row r="768" spans="1:26" ht="13.5" customHeight="1">
      <c r="A768" s="2"/>
      <c r="B768" s="2"/>
      <c r="C768" s="2"/>
      <c r="D768" s="2"/>
      <c r="E768" s="2"/>
      <c r="F768" s="2"/>
      <c r="G768" s="2"/>
      <c r="H768" s="2"/>
      <c r="I768" s="2"/>
      <c r="J768" s="2"/>
      <c r="K768" s="2"/>
      <c r="L768" s="2"/>
      <c r="M768" s="2"/>
      <c r="N768" s="2"/>
      <c r="O768" s="2"/>
      <c r="P768" s="2"/>
      <c r="Q768" s="2"/>
      <c r="R768" s="2"/>
      <c r="S768" s="2"/>
      <c r="T768" s="2"/>
      <c r="U768" s="2"/>
      <c r="V768" s="2"/>
      <c r="W768" s="158"/>
      <c r="X768" s="2"/>
      <c r="Y768" s="2"/>
      <c r="Z768" s="2"/>
    </row>
    <row r="769" spans="1:26" ht="13.5" customHeight="1">
      <c r="A769" s="2"/>
      <c r="B769" s="2"/>
      <c r="C769" s="2"/>
      <c r="D769" s="2"/>
      <c r="E769" s="2"/>
      <c r="F769" s="2"/>
      <c r="G769" s="2"/>
      <c r="H769" s="2"/>
      <c r="I769" s="2"/>
      <c r="J769" s="2"/>
      <c r="K769" s="2"/>
      <c r="L769" s="2"/>
      <c r="M769" s="2"/>
      <c r="N769" s="2"/>
      <c r="O769" s="2"/>
      <c r="P769" s="2"/>
      <c r="Q769" s="2"/>
      <c r="R769" s="2"/>
      <c r="S769" s="2"/>
      <c r="T769" s="2"/>
      <c r="U769" s="2"/>
      <c r="V769" s="2"/>
      <c r="W769" s="158"/>
      <c r="X769" s="2"/>
      <c r="Y769" s="2"/>
      <c r="Z769" s="2"/>
    </row>
    <row r="770" spans="1:26" ht="13.5" customHeight="1">
      <c r="A770" s="2"/>
      <c r="B770" s="2"/>
      <c r="C770" s="2"/>
      <c r="D770" s="2"/>
      <c r="E770" s="2"/>
      <c r="F770" s="2"/>
      <c r="G770" s="2"/>
      <c r="H770" s="2"/>
      <c r="I770" s="2"/>
      <c r="J770" s="2"/>
      <c r="K770" s="2"/>
      <c r="L770" s="2"/>
      <c r="M770" s="2"/>
      <c r="N770" s="2"/>
      <c r="O770" s="2"/>
      <c r="P770" s="2"/>
      <c r="Q770" s="2"/>
      <c r="R770" s="2"/>
      <c r="S770" s="2"/>
      <c r="T770" s="2"/>
      <c r="U770" s="2"/>
      <c r="V770" s="2"/>
      <c r="W770" s="158"/>
      <c r="X770" s="2"/>
      <c r="Y770" s="2"/>
      <c r="Z770" s="2"/>
    </row>
    <row r="771" spans="1:26" ht="13.5" customHeight="1">
      <c r="A771" s="2"/>
      <c r="B771" s="2"/>
      <c r="C771" s="2"/>
      <c r="D771" s="2"/>
      <c r="E771" s="2"/>
      <c r="F771" s="2"/>
      <c r="G771" s="2"/>
      <c r="H771" s="2"/>
      <c r="I771" s="2"/>
      <c r="J771" s="2"/>
      <c r="K771" s="2"/>
      <c r="L771" s="2"/>
      <c r="M771" s="2"/>
      <c r="N771" s="2"/>
      <c r="O771" s="2"/>
      <c r="P771" s="2"/>
      <c r="Q771" s="2"/>
      <c r="R771" s="2"/>
      <c r="S771" s="2"/>
      <c r="T771" s="2"/>
      <c r="U771" s="2"/>
      <c r="V771" s="2"/>
      <c r="W771" s="158"/>
      <c r="X771" s="2"/>
      <c r="Y771" s="2"/>
      <c r="Z771" s="2"/>
    </row>
    <row r="772" spans="1:26" ht="13.5" customHeight="1">
      <c r="A772" s="2"/>
      <c r="B772" s="2"/>
      <c r="C772" s="2"/>
      <c r="D772" s="2"/>
      <c r="E772" s="2"/>
      <c r="F772" s="2"/>
      <c r="G772" s="2"/>
      <c r="H772" s="2"/>
      <c r="I772" s="2"/>
      <c r="J772" s="2"/>
      <c r="K772" s="2"/>
      <c r="L772" s="2"/>
      <c r="M772" s="2"/>
      <c r="N772" s="2"/>
      <c r="O772" s="2"/>
      <c r="P772" s="2"/>
      <c r="Q772" s="2"/>
      <c r="R772" s="2"/>
      <c r="S772" s="2"/>
      <c r="T772" s="2"/>
      <c r="U772" s="2"/>
      <c r="V772" s="2"/>
      <c r="W772" s="158"/>
      <c r="X772" s="2"/>
      <c r="Y772" s="2"/>
      <c r="Z772" s="2"/>
    </row>
    <row r="773" spans="1:26" ht="13.5" customHeight="1">
      <c r="A773" s="2"/>
      <c r="B773" s="2"/>
      <c r="C773" s="2"/>
      <c r="D773" s="2"/>
      <c r="E773" s="2"/>
      <c r="F773" s="2"/>
      <c r="G773" s="2"/>
      <c r="H773" s="2"/>
      <c r="I773" s="2"/>
      <c r="J773" s="2"/>
      <c r="K773" s="2"/>
      <c r="L773" s="2"/>
      <c r="M773" s="2"/>
      <c r="N773" s="2"/>
      <c r="O773" s="2"/>
      <c r="P773" s="2"/>
      <c r="Q773" s="2"/>
      <c r="R773" s="2"/>
      <c r="S773" s="2"/>
      <c r="T773" s="2"/>
      <c r="U773" s="2"/>
      <c r="V773" s="2"/>
      <c r="W773" s="158"/>
      <c r="X773" s="2"/>
      <c r="Y773" s="2"/>
      <c r="Z773" s="2"/>
    </row>
    <row r="774" spans="1:26" ht="13.5" customHeight="1">
      <c r="A774" s="2"/>
      <c r="B774" s="2"/>
      <c r="C774" s="2"/>
      <c r="D774" s="2"/>
      <c r="E774" s="2"/>
      <c r="F774" s="2"/>
      <c r="G774" s="2"/>
      <c r="H774" s="2"/>
      <c r="I774" s="2"/>
      <c r="J774" s="2"/>
      <c r="K774" s="2"/>
      <c r="L774" s="2"/>
      <c r="M774" s="2"/>
      <c r="N774" s="2"/>
      <c r="O774" s="2"/>
      <c r="P774" s="2"/>
      <c r="Q774" s="2"/>
      <c r="R774" s="2"/>
      <c r="S774" s="2"/>
      <c r="T774" s="2"/>
      <c r="U774" s="2"/>
      <c r="V774" s="2"/>
      <c r="W774" s="158"/>
      <c r="X774" s="2"/>
      <c r="Y774" s="2"/>
      <c r="Z774" s="2"/>
    </row>
    <row r="775" spans="1:26" ht="13.5" customHeight="1">
      <c r="A775" s="2"/>
      <c r="B775" s="2"/>
      <c r="C775" s="2"/>
      <c r="D775" s="2"/>
      <c r="E775" s="2"/>
      <c r="F775" s="2"/>
      <c r="G775" s="2"/>
      <c r="H775" s="2"/>
      <c r="I775" s="2"/>
      <c r="J775" s="2"/>
      <c r="K775" s="2"/>
      <c r="L775" s="2"/>
      <c r="M775" s="2"/>
      <c r="N775" s="2"/>
      <c r="O775" s="2"/>
      <c r="P775" s="2"/>
      <c r="Q775" s="2"/>
      <c r="R775" s="2"/>
      <c r="S775" s="2"/>
      <c r="T775" s="2"/>
      <c r="U775" s="2"/>
      <c r="V775" s="2"/>
      <c r="W775" s="158"/>
      <c r="X775" s="2"/>
      <c r="Y775" s="2"/>
      <c r="Z775" s="2"/>
    </row>
    <row r="776" spans="1:26" ht="13.5" customHeight="1">
      <c r="A776" s="2"/>
      <c r="B776" s="2"/>
      <c r="C776" s="2"/>
      <c r="D776" s="2"/>
      <c r="E776" s="2"/>
      <c r="F776" s="2"/>
      <c r="G776" s="2"/>
      <c r="H776" s="2"/>
      <c r="I776" s="2"/>
      <c r="J776" s="2"/>
      <c r="K776" s="2"/>
      <c r="L776" s="2"/>
      <c r="M776" s="2"/>
      <c r="N776" s="2"/>
      <c r="O776" s="2"/>
      <c r="P776" s="2"/>
      <c r="Q776" s="2"/>
      <c r="R776" s="2"/>
      <c r="S776" s="2"/>
      <c r="T776" s="2"/>
      <c r="U776" s="2"/>
      <c r="V776" s="2"/>
      <c r="W776" s="158"/>
      <c r="X776" s="2"/>
      <c r="Y776" s="2"/>
      <c r="Z776" s="2"/>
    </row>
    <row r="777" spans="1:26" ht="13.5" customHeight="1">
      <c r="A777" s="2"/>
      <c r="B777" s="2"/>
      <c r="C777" s="2"/>
      <c r="D777" s="2"/>
      <c r="E777" s="2"/>
      <c r="F777" s="2"/>
      <c r="G777" s="2"/>
      <c r="H777" s="2"/>
      <c r="I777" s="2"/>
      <c r="J777" s="2"/>
      <c r="K777" s="2"/>
      <c r="L777" s="2"/>
      <c r="M777" s="2"/>
      <c r="N777" s="2"/>
      <c r="O777" s="2"/>
      <c r="P777" s="2"/>
      <c r="Q777" s="2"/>
      <c r="R777" s="2"/>
      <c r="S777" s="2"/>
      <c r="T777" s="2"/>
      <c r="U777" s="2"/>
      <c r="V777" s="2"/>
      <c r="W777" s="158"/>
      <c r="X777" s="2"/>
      <c r="Y777" s="2"/>
      <c r="Z777" s="2"/>
    </row>
    <row r="778" spans="1:26" ht="13.5" customHeight="1">
      <c r="A778" s="2"/>
      <c r="B778" s="2"/>
      <c r="C778" s="2"/>
      <c r="D778" s="2"/>
      <c r="E778" s="2"/>
      <c r="F778" s="2"/>
      <c r="G778" s="2"/>
      <c r="H778" s="2"/>
      <c r="I778" s="2"/>
      <c r="J778" s="2"/>
      <c r="K778" s="2"/>
      <c r="L778" s="2"/>
      <c r="M778" s="2"/>
      <c r="N778" s="2"/>
      <c r="O778" s="2"/>
      <c r="P778" s="2"/>
      <c r="Q778" s="2"/>
      <c r="R778" s="2"/>
      <c r="S778" s="2"/>
      <c r="T778" s="2"/>
      <c r="U778" s="2"/>
      <c r="V778" s="2"/>
      <c r="W778" s="158"/>
      <c r="X778" s="2"/>
      <c r="Y778" s="2"/>
      <c r="Z778" s="2"/>
    </row>
    <row r="779" spans="1:26" ht="13.5" customHeight="1">
      <c r="A779" s="2"/>
      <c r="B779" s="2"/>
      <c r="C779" s="2"/>
      <c r="D779" s="2"/>
      <c r="E779" s="2"/>
      <c r="F779" s="2"/>
      <c r="G779" s="2"/>
      <c r="H779" s="2"/>
      <c r="I779" s="2"/>
      <c r="J779" s="2"/>
      <c r="K779" s="2"/>
      <c r="L779" s="2"/>
      <c r="M779" s="2"/>
      <c r="N779" s="2"/>
      <c r="O779" s="2"/>
      <c r="P779" s="2"/>
      <c r="Q779" s="2"/>
      <c r="R779" s="2"/>
      <c r="S779" s="2"/>
      <c r="T779" s="2"/>
      <c r="U779" s="2"/>
      <c r="V779" s="2"/>
      <c r="W779" s="158"/>
      <c r="X779" s="2"/>
      <c r="Y779" s="2"/>
      <c r="Z779" s="2"/>
    </row>
    <row r="780" spans="1:26" ht="13.5" customHeight="1">
      <c r="A780" s="2"/>
      <c r="B780" s="2"/>
      <c r="C780" s="2"/>
      <c r="D780" s="2"/>
      <c r="E780" s="2"/>
      <c r="F780" s="2"/>
      <c r="G780" s="2"/>
      <c r="H780" s="2"/>
      <c r="I780" s="2"/>
      <c r="J780" s="2"/>
      <c r="K780" s="2"/>
      <c r="L780" s="2"/>
      <c r="M780" s="2"/>
      <c r="N780" s="2"/>
      <c r="O780" s="2"/>
      <c r="P780" s="2"/>
      <c r="Q780" s="2"/>
      <c r="R780" s="2"/>
      <c r="S780" s="2"/>
      <c r="T780" s="2"/>
      <c r="U780" s="2"/>
      <c r="V780" s="2"/>
      <c r="W780" s="158"/>
      <c r="X780" s="2"/>
      <c r="Y780" s="2"/>
      <c r="Z780" s="2"/>
    </row>
    <row r="781" spans="1:26" ht="13.5" customHeight="1">
      <c r="A781" s="2"/>
      <c r="B781" s="2"/>
      <c r="C781" s="2"/>
      <c r="D781" s="2"/>
      <c r="E781" s="2"/>
      <c r="F781" s="2"/>
      <c r="G781" s="2"/>
      <c r="H781" s="2"/>
      <c r="I781" s="2"/>
      <c r="J781" s="2"/>
      <c r="K781" s="2"/>
      <c r="L781" s="2"/>
      <c r="M781" s="2"/>
      <c r="N781" s="2"/>
      <c r="O781" s="2"/>
      <c r="P781" s="2"/>
      <c r="Q781" s="2"/>
      <c r="R781" s="2"/>
      <c r="S781" s="2"/>
      <c r="T781" s="2"/>
      <c r="U781" s="2"/>
      <c r="V781" s="2"/>
      <c r="W781" s="158"/>
      <c r="X781" s="2"/>
      <c r="Y781" s="2"/>
      <c r="Z781" s="2"/>
    </row>
    <row r="782" spans="1:26" ht="13.5" customHeight="1">
      <c r="A782" s="2"/>
      <c r="B782" s="2"/>
      <c r="C782" s="2"/>
      <c r="D782" s="2"/>
      <c r="E782" s="2"/>
      <c r="F782" s="2"/>
      <c r="G782" s="2"/>
      <c r="H782" s="2"/>
      <c r="I782" s="2"/>
      <c r="J782" s="2"/>
      <c r="K782" s="2"/>
      <c r="L782" s="2"/>
      <c r="M782" s="2"/>
      <c r="N782" s="2"/>
      <c r="O782" s="2"/>
      <c r="P782" s="2"/>
      <c r="Q782" s="2"/>
      <c r="R782" s="2"/>
      <c r="S782" s="2"/>
      <c r="T782" s="2"/>
      <c r="U782" s="2"/>
      <c r="V782" s="2"/>
      <c r="W782" s="158"/>
      <c r="X782" s="2"/>
      <c r="Y782" s="2"/>
      <c r="Z782" s="2"/>
    </row>
    <row r="783" spans="1:26" ht="13.5" customHeight="1">
      <c r="A783" s="2"/>
      <c r="B783" s="2"/>
      <c r="C783" s="2"/>
      <c r="D783" s="2"/>
      <c r="E783" s="2"/>
      <c r="F783" s="2"/>
      <c r="G783" s="2"/>
      <c r="H783" s="2"/>
      <c r="I783" s="2"/>
      <c r="J783" s="2"/>
      <c r="K783" s="2"/>
      <c r="L783" s="2"/>
      <c r="M783" s="2"/>
      <c r="N783" s="2"/>
      <c r="O783" s="2"/>
      <c r="P783" s="2"/>
      <c r="Q783" s="2"/>
      <c r="R783" s="2"/>
      <c r="S783" s="2"/>
      <c r="T783" s="2"/>
      <c r="U783" s="2"/>
      <c r="V783" s="2"/>
      <c r="W783" s="158"/>
      <c r="X783" s="2"/>
      <c r="Y783" s="2"/>
      <c r="Z783" s="2"/>
    </row>
    <row r="784" spans="1:26" ht="13.5" customHeight="1">
      <c r="A784" s="2"/>
      <c r="B784" s="2"/>
      <c r="C784" s="2"/>
      <c r="D784" s="2"/>
      <c r="E784" s="2"/>
      <c r="F784" s="2"/>
      <c r="G784" s="2"/>
      <c r="H784" s="2"/>
      <c r="I784" s="2"/>
      <c r="J784" s="2"/>
      <c r="K784" s="2"/>
      <c r="L784" s="2"/>
      <c r="M784" s="2"/>
      <c r="N784" s="2"/>
      <c r="O784" s="2"/>
      <c r="P784" s="2"/>
      <c r="Q784" s="2"/>
      <c r="R784" s="2"/>
      <c r="S784" s="2"/>
      <c r="T784" s="2"/>
      <c r="U784" s="2"/>
      <c r="V784" s="2"/>
      <c r="W784" s="158"/>
      <c r="X784" s="2"/>
      <c r="Y784" s="2"/>
      <c r="Z784" s="2"/>
    </row>
    <row r="785" spans="1:26" ht="13.5" customHeight="1">
      <c r="A785" s="2"/>
      <c r="B785" s="2"/>
      <c r="C785" s="2"/>
      <c r="D785" s="2"/>
      <c r="E785" s="2"/>
      <c r="F785" s="2"/>
      <c r="G785" s="2"/>
      <c r="H785" s="2"/>
      <c r="I785" s="2"/>
      <c r="J785" s="2"/>
      <c r="K785" s="2"/>
      <c r="L785" s="2"/>
      <c r="M785" s="2"/>
      <c r="N785" s="2"/>
      <c r="O785" s="2"/>
      <c r="P785" s="2"/>
      <c r="Q785" s="2"/>
      <c r="R785" s="2"/>
      <c r="S785" s="2"/>
      <c r="T785" s="2"/>
      <c r="U785" s="2"/>
      <c r="V785" s="2"/>
      <c r="W785" s="158"/>
      <c r="X785" s="2"/>
      <c r="Y785" s="2"/>
      <c r="Z785" s="2"/>
    </row>
    <row r="786" spans="1:26" ht="13.5" customHeight="1">
      <c r="A786" s="2"/>
      <c r="B786" s="2"/>
      <c r="C786" s="2"/>
      <c r="D786" s="2"/>
      <c r="E786" s="2"/>
      <c r="F786" s="2"/>
      <c r="G786" s="2"/>
      <c r="H786" s="2"/>
      <c r="I786" s="2"/>
      <c r="J786" s="2"/>
      <c r="K786" s="2"/>
      <c r="L786" s="2"/>
      <c r="M786" s="2"/>
      <c r="N786" s="2"/>
      <c r="O786" s="2"/>
      <c r="P786" s="2"/>
      <c r="Q786" s="2"/>
      <c r="R786" s="2"/>
      <c r="S786" s="2"/>
      <c r="T786" s="2"/>
      <c r="U786" s="2"/>
      <c r="V786" s="2"/>
      <c r="W786" s="158"/>
      <c r="X786" s="2"/>
      <c r="Y786" s="2"/>
      <c r="Z786" s="2"/>
    </row>
    <row r="787" spans="1:26" ht="13.5" customHeight="1">
      <c r="A787" s="2"/>
      <c r="B787" s="2"/>
      <c r="C787" s="2"/>
      <c r="D787" s="2"/>
      <c r="E787" s="2"/>
      <c r="F787" s="2"/>
      <c r="G787" s="2"/>
      <c r="H787" s="2"/>
      <c r="I787" s="2"/>
      <c r="J787" s="2"/>
      <c r="K787" s="2"/>
      <c r="L787" s="2"/>
      <c r="M787" s="2"/>
      <c r="N787" s="2"/>
      <c r="O787" s="2"/>
      <c r="P787" s="2"/>
      <c r="Q787" s="2"/>
      <c r="R787" s="2"/>
      <c r="S787" s="2"/>
      <c r="T787" s="2"/>
      <c r="U787" s="2"/>
      <c r="V787" s="2"/>
      <c r="W787" s="158"/>
      <c r="X787" s="2"/>
      <c r="Y787" s="2"/>
      <c r="Z787" s="2"/>
    </row>
    <row r="788" spans="1:26" ht="13.5" customHeight="1">
      <c r="A788" s="2"/>
      <c r="B788" s="2"/>
      <c r="C788" s="2"/>
      <c r="D788" s="2"/>
      <c r="E788" s="2"/>
      <c r="F788" s="2"/>
      <c r="G788" s="2"/>
      <c r="H788" s="2"/>
      <c r="I788" s="2"/>
      <c r="J788" s="2"/>
      <c r="K788" s="2"/>
      <c r="L788" s="2"/>
      <c r="M788" s="2"/>
      <c r="N788" s="2"/>
      <c r="O788" s="2"/>
      <c r="P788" s="2"/>
      <c r="Q788" s="2"/>
      <c r="R788" s="2"/>
      <c r="S788" s="2"/>
      <c r="T788" s="2"/>
      <c r="U788" s="2"/>
      <c r="V788" s="2"/>
      <c r="W788" s="158"/>
      <c r="X788" s="2"/>
      <c r="Y788" s="2"/>
      <c r="Z788" s="2"/>
    </row>
    <row r="789" spans="1:26" ht="13.5" customHeight="1">
      <c r="A789" s="2"/>
      <c r="B789" s="2"/>
      <c r="C789" s="2"/>
      <c r="D789" s="2"/>
      <c r="E789" s="2"/>
      <c r="F789" s="2"/>
      <c r="G789" s="2"/>
      <c r="H789" s="2"/>
      <c r="I789" s="2"/>
      <c r="J789" s="2"/>
      <c r="K789" s="2"/>
      <c r="L789" s="2"/>
      <c r="M789" s="2"/>
      <c r="N789" s="2"/>
      <c r="O789" s="2"/>
      <c r="P789" s="2"/>
      <c r="Q789" s="2"/>
      <c r="R789" s="2"/>
      <c r="S789" s="2"/>
      <c r="T789" s="2"/>
      <c r="U789" s="2"/>
      <c r="V789" s="2"/>
      <c r="W789" s="158"/>
      <c r="X789" s="2"/>
      <c r="Y789" s="2"/>
      <c r="Z789" s="2"/>
    </row>
    <row r="790" spans="1:26" ht="13.5" customHeight="1">
      <c r="A790" s="2"/>
      <c r="B790" s="2"/>
      <c r="C790" s="2"/>
      <c r="D790" s="2"/>
      <c r="E790" s="2"/>
      <c r="F790" s="2"/>
      <c r="G790" s="2"/>
      <c r="H790" s="2"/>
      <c r="I790" s="2"/>
      <c r="J790" s="2"/>
      <c r="K790" s="2"/>
      <c r="L790" s="2"/>
      <c r="M790" s="2"/>
      <c r="N790" s="2"/>
      <c r="O790" s="2"/>
      <c r="P790" s="2"/>
      <c r="Q790" s="2"/>
      <c r="R790" s="2"/>
      <c r="S790" s="2"/>
      <c r="T790" s="2"/>
      <c r="U790" s="2"/>
      <c r="V790" s="2"/>
      <c r="W790" s="158"/>
      <c r="X790" s="2"/>
      <c r="Y790" s="2"/>
      <c r="Z790" s="2"/>
    </row>
    <row r="791" spans="1:26" ht="13.5" customHeight="1">
      <c r="A791" s="2"/>
      <c r="B791" s="2"/>
      <c r="C791" s="2"/>
      <c r="D791" s="2"/>
      <c r="E791" s="2"/>
      <c r="F791" s="2"/>
      <c r="G791" s="2"/>
      <c r="H791" s="2"/>
      <c r="I791" s="2"/>
      <c r="J791" s="2"/>
      <c r="K791" s="2"/>
      <c r="L791" s="2"/>
      <c r="M791" s="2"/>
      <c r="N791" s="2"/>
      <c r="O791" s="2"/>
      <c r="P791" s="2"/>
      <c r="Q791" s="2"/>
      <c r="R791" s="2"/>
      <c r="S791" s="2"/>
      <c r="T791" s="2"/>
      <c r="U791" s="2"/>
      <c r="V791" s="2"/>
      <c r="W791" s="158"/>
      <c r="X791" s="2"/>
      <c r="Y791" s="2"/>
      <c r="Z791" s="2"/>
    </row>
    <row r="792" spans="1:26" ht="13.5" customHeight="1">
      <c r="A792" s="2"/>
      <c r="B792" s="2"/>
      <c r="C792" s="2"/>
      <c r="D792" s="2"/>
      <c r="E792" s="2"/>
      <c r="F792" s="2"/>
      <c r="G792" s="2"/>
      <c r="H792" s="2"/>
      <c r="I792" s="2"/>
      <c r="J792" s="2"/>
      <c r="K792" s="2"/>
      <c r="L792" s="2"/>
      <c r="M792" s="2"/>
      <c r="N792" s="2"/>
      <c r="O792" s="2"/>
      <c r="P792" s="2"/>
      <c r="Q792" s="2"/>
      <c r="R792" s="2"/>
      <c r="S792" s="2"/>
      <c r="T792" s="2"/>
      <c r="U792" s="2"/>
      <c r="V792" s="2"/>
      <c r="W792" s="158"/>
      <c r="X792" s="2"/>
      <c r="Y792" s="2"/>
      <c r="Z792" s="2"/>
    </row>
    <row r="793" spans="1:26" ht="13.5" customHeight="1">
      <c r="A793" s="2"/>
      <c r="B793" s="2"/>
      <c r="C793" s="2"/>
      <c r="D793" s="2"/>
      <c r="E793" s="2"/>
      <c r="F793" s="2"/>
      <c r="G793" s="2"/>
      <c r="H793" s="2"/>
      <c r="I793" s="2"/>
      <c r="J793" s="2"/>
      <c r="K793" s="2"/>
      <c r="L793" s="2"/>
      <c r="M793" s="2"/>
      <c r="N793" s="2"/>
      <c r="O793" s="2"/>
      <c r="P793" s="2"/>
      <c r="Q793" s="2"/>
      <c r="R793" s="2"/>
      <c r="S793" s="2"/>
      <c r="T793" s="2"/>
      <c r="U793" s="2"/>
      <c r="V793" s="2"/>
      <c r="W793" s="158"/>
      <c r="X793" s="2"/>
      <c r="Y793" s="2"/>
      <c r="Z793" s="2"/>
    </row>
    <row r="794" spans="1:26" ht="13.5" customHeight="1">
      <c r="A794" s="2"/>
      <c r="B794" s="2"/>
      <c r="C794" s="2"/>
      <c r="D794" s="2"/>
      <c r="E794" s="2"/>
      <c r="F794" s="2"/>
      <c r="G794" s="2"/>
      <c r="H794" s="2"/>
      <c r="I794" s="2"/>
      <c r="J794" s="2"/>
      <c r="K794" s="2"/>
      <c r="L794" s="2"/>
      <c r="M794" s="2"/>
      <c r="N794" s="2"/>
      <c r="O794" s="2"/>
      <c r="P794" s="2"/>
      <c r="Q794" s="2"/>
      <c r="R794" s="2"/>
      <c r="S794" s="2"/>
      <c r="T794" s="2"/>
      <c r="U794" s="2"/>
      <c r="V794" s="2"/>
      <c r="W794" s="158"/>
      <c r="X794" s="2"/>
      <c r="Y794" s="2"/>
      <c r="Z794" s="2"/>
    </row>
    <row r="795" spans="1:26" ht="13.5" customHeight="1">
      <c r="A795" s="2"/>
      <c r="B795" s="2"/>
      <c r="C795" s="2"/>
      <c r="D795" s="2"/>
      <c r="E795" s="2"/>
      <c r="F795" s="2"/>
      <c r="G795" s="2"/>
      <c r="H795" s="2"/>
      <c r="I795" s="2"/>
      <c r="J795" s="2"/>
      <c r="K795" s="2"/>
      <c r="L795" s="2"/>
      <c r="M795" s="2"/>
      <c r="N795" s="2"/>
      <c r="O795" s="2"/>
      <c r="P795" s="2"/>
      <c r="Q795" s="2"/>
      <c r="R795" s="2"/>
      <c r="S795" s="2"/>
      <c r="T795" s="2"/>
      <c r="U795" s="2"/>
      <c r="V795" s="2"/>
      <c r="W795" s="158"/>
      <c r="X795" s="2"/>
      <c r="Y795" s="2"/>
      <c r="Z795" s="2"/>
    </row>
    <row r="796" spans="1:26" ht="13.5" customHeight="1">
      <c r="A796" s="2"/>
      <c r="B796" s="2"/>
      <c r="C796" s="2"/>
      <c r="D796" s="2"/>
      <c r="E796" s="2"/>
      <c r="F796" s="2"/>
      <c r="G796" s="2"/>
      <c r="H796" s="2"/>
      <c r="I796" s="2"/>
      <c r="J796" s="2"/>
      <c r="K796" s="2"/>
      <c r="L796" s="2"/>
      <c r="M796" s="2"/>
      <c r="N796" s="2"/>
      <c r="O796" s="2"/>
      <c r="P796" s="2"/>
      <c r="Q796" s="2"/>
      <c r="R796" s="2"/>
      <c r="S796" s="2"/>
      <c r="T796" s="2"/>
      <c r="U796" s="2"/>
      <c r="V796" s="2"/>
      <c r="W796" s="158"/>
      <c r="X796" s="2"/>
      <c r="Y796" s="2"/>
      <c r="Z796" s="2"/>
    </row>
    <row r="797" spans="1:26" ht="13.5" customHeight="1">
      <c r="A797" s="2"/>
      <c r="B797" s="2"/>
      <c r="C797" s="2"/>
      <c r="D797" s="2"/>
      <c r="E797" s="2"/>
      <c r="F797" s="2"/>
      <c r="G797" s="2"/>
      <c r="H797" s="2"/>
      <c r="I797" s="2"/>
      <c r="J797" s="2"/>
      <c r="K797" s="2"/>
      <c r="L797" s="2"/>
      <c r="M797" s="2"/>
      <c r="N797" s="2"/>
      <c r="O797" s="2"/>
      <c r="P797" s="2"/>
      <c r="Q797" s="2"/>
      <c r="R797" s="2"/>
      <c r="S797" s="2"/>
      <c r="T797" s="2"/>
      <c r="U797" s="2"/>
      <c r="V797" s="2"/>
      <c r="W797" s="158"/>
      <c r="X797" s="2"/>
      <c r="Y797" s="2"/>
      <c r="Z797" s="2"/>
    </row>
    <row r="798" spans="1:26" ht="13.5" customHeight="1">
      <c r="A798" s="2"/>
      <c r="B798" s="2"/>
      <c r="C798" s="2"/>
      <c r="D798" s="2"/>
      <c r="E798" s="2"/>
      <c r="F798" s="2"/>
      <c r="G798" s="2"/>
      <c r="H798" s="2"/>
      <c r="I798" s="2"/>
      <c r="J798" s="2"/>
      <c r="K798" s="2"/>
      <c r="L798" s="2"/>
      <c r="M798" s="2"/>
      <c r="N798" s="2"/>
      <c r="O798" s="2"/>
      <c r="P798" s="2"/>
      <c r="Q798" s="2"/>
      <c r="R798" s="2"/>
      <c r="S798" s="2"/>
      <c r="T798" s="2"/>
      <c r="U798" s="2"/>
      <c r="V798" s="2"/>
      <c r="W798" s="158"/>
      <c r="X798" s="2"/>
      <c r="Y798" s="2"/>
      <c r="Z798" s="2"/>
    </row>
    <row r="799" spans="1:26" ht="13.5" customHeight="1">
      <c r="A799" s="2"/>
      <c r="B799" s="2"/>
      <c r="C799" s="2"/>
      <c r="D799" s="2"/>
      <c r="E799" s="2"/>
      <c r="F799" s="2"/>
      <c r="G799" s="2"/>
      <c r="H799" s="2"/>
      <c r="I799" s="2"/>
      <c r="J799" s="2"/>
      <c r="K799" s="2"/>
      <c r="L799" s="2"/>
      <c r="M799" s="2"/>
      <c r="N799" s="2"/>
      <c r="O799" s="2"/>
      <c r="P799" s="2"/>
      <c r="Q799" s="2"/>
      <c r="R799" s="2"/>
      <c r="S799" s="2"/>
      <c r="T799" s="2"/>
      <c r="U799" s="2"/>
      <c r="V799" s="2"/>
      <c r="W799" s="158"/>
      <c r="X799" s="2"/>
      <c r="Y799" s="2"/>
      <c r="Z799" s="2"/>
    </row>
    <row r="800" spans="1:26" ht="13.5" customHeight="1">
      <c r="A800" s="2"/>
      <c r="B800" s="2"/>
      <c r="C800" s="2"/>
      <c r="D800" s="2"/>
      <c r="E800" s="2"/>
      <c r="F800" s="2"/>
      <c r="G800" s="2"/>
      <c r="H800" s="2"/>
      <c r="I800" s="2"/>
      <c r="J800" s="2"/>
      <c r="K800" s="2"/>
      <c r="L800" s="2"/>
      <c r="M800" s="2"/>
      <c r="N800" s="2"/>
      <c r="O800" s="2"/>
      <c r="P800" s="2"/>
      <c r="Q800" s="2"/>
      <c r="R800" s="2"/>
      <c r="S800" s="2"/>
      <c r="T800" s="2"/>
      <c r="U800" s="2"/>
      <c r="V800" s="2"/>
      <c r="W800" s="158"/>
      <c r="X800" s="2"/>
      <c r="Y800" s="2"/>
      <c r="Z800" s="2"/>
    </row>
    <row r="801" spans="1:26" ht="13.5" customHeight="1">
      <c r="A801" s="2"/>
      <c r="B801" s="2"/>
      <c r="C801" s="2"/>
      <c r="D801" s="2"/>
      <c r="E801" s="2"/>
      <c r="F801" s="2"/>
      <c r="G801" s="2"/>
      <c r="H801" s="2"/>
      <c r="I801" s="2"/>
      <c r="J801" s="2"/>
      <c r="K801" s="2"/>
      <c r="L801" s="2"/>
      <c r="M801" s="2"/>
      <c r="N801" s="2"/>
      <c r="O801" s="2"/>
      <c r="P801" s="2"/>
      <c r="Q801" s="2"/>
      <c r="R801" s="2"/>
      <c r="S801" s="2"/>
      <c r="T801" s="2"/>
      <c r="U801" s="2"/>
      <c r="V801" s="2"/>
      <c r="W801" s="158"/>
      <c r="X801" s="2"/>
      <c r="Y801" s="2"/>
      <c r="Z801" s="2"/>
    </row>
    <row r="802" spans="1:26" ht="13.5" customHeight="1">
      <c r="A802" s="2"/>
      <c r="B802" s="2"/>
      <c r="C802" s="2"/>
      <c r="D802" s="2"/>
      <c r="E802" s="2"/>
      <c r="F802" s="2"/>
      <c r="G802" s="2"/>
      <c r="H802" s="2"/>
      <c r="I802" s="2"/>
      <c r="J802" s="2"/>
      <c r="K802" s="2"/>
      <c r="L802" s="2"/>
      <c r="M802" s="2"/>
      <c r="N802" s="2"/>
      <c r="O802" s="2"/>
      <c r="P802" s="2"/>
      <c r="Q802" s="2"/>
      <c r="R802" s="2"/>
      <c r="S802" s="2"/>
      <c r="T802" s="2"/>
      <c r="U802" s="2"/>
      <c r="V802" s="2"/>
      <c r="W802" s="158"/>
      <c r="X802" s="2"/>
      <c r="Y802" s="2"/>
      <c r="Z802" s="2"/>
    </row>
    <row r="803" spans="1:26" ht="13.5" customHeight="1">
      <c r="A803" s="2"/>
      <c r="B803" s="2"/>
      <c r="C803" s="2"/>
      <c r="D803" s="2"/>
      <c r="E803" s="2"/>
      <c r="F803" s="2"/>
      <c r="G803" s="2"/>
      <c r="H803" s="2"/>
      <c r="I803" s="2"/>
      <c r="J803" s="2"/>
      <c r="K803" s="2"/>
      <c r="L803" s="2"/>
      <c r="M803" s="2"/>
      <c r="N803" s="2"/>
      <c r="O803" s="2"/>
      <c r="P803" s="2"/>
      <c r="Q803" s="2"/>
      <c r="R803" s="2"/>
      <c r="S803" s="2"/>
      <c r="T803" s="2"/>
      <c r="U803" s="2"/>
      <c r="V803" s="2"/>
      <c r="W803" s="158"/>
      <c r="X803" s="2"/>
      <c r="Y803" s="2"/>
      <c r="Z803" s="2"/>
    </row>
    <row r="804" spans="1:26" ht="13.5" customHeight="1">
      <c r="A804" s="2"/>
      <c r="B804" s="2"/>
      <c r="C804" s="2"/>
      <c r="D804" s="2"/>
      <c r="E804" s="2"/>
      <c r="F804" s="2"/>
      <c r="G804" s="2"/>
      <c r="H804" s="2"/>
      <c r="I804" s="2"/>
      <c r="J804" s="2"/>
      <c r="K804" s="2"/>
      <c r="L804" s="2"/>
      <c r="M804" s="2"/>
      <c r="N804" s="2"/>
      <c r="O804" s="2"/>
      <c r="P804" s="2"/>
      <c r="Q804" s="2"/>
      <c r="R804" s="2"/>
      <c r="S804" s="2"/>
      <c r="T804" s="2"/>
      <c r="U804" s="2"/>
      <c r="V804" s="2"/>
      <c r="W804" s="158"/>
      <c r="X804" s="2"/>
      <c r="Y804" s="2"/>
      <c r="Z804" s="2"/>
    </row>
    <row r="805" spans="1:26" ht="13.5" customHeight="1">
      <c r="A805" s="2"/>
      <c r="B805" s="2"/>
      <c r="C805" s="2"/>
      <c r="D805" s="2"/>
      <c r="E805" s="2"/>
      <c r="F805" s="2"/>
      <c r="G805" s="2"/>
      <c r="H805" s="2"/>
      <c r="I805" s="2"/>
      <c r="J805" s="2"/>
      <c r="K805" s="2"/>
      <c r="L805" s="2"/>
      <c r="M805" s="2"/>
      <c r="N805" s="2"/>
      <c r="O805" s="2"/>
      <c r="P805" s="2"/>
      <c r="Q805" s="2"/>
      <c r="R805" s="2"/>
      <c r="S805" s="2"/>
      <c r="T805" s="2"/>
      <c r="U805" s="2"/>
      <c r="V805" s="2"/>
      <c r="W805" s="158"/>
      <c r="X805" s="2"/>
      <c r="Y805" s="2"/>
      <c r="Z805" s="2"/>
    </row>
    <row r="806" spans="1:26" ht="13.5" customHeight="1">
      <c r="A806" s="2"/>
      <c r="B806" s="2"/>
      <c r="C806" s="2"/>
      <c r="D806" s="2"/>
      <c r="E806" s="2"/>
      <c r="F806" s="2"/>
      <c r="G806" s="2"/>
      <c r="H806" s="2"/>
      <c r="I806" s="2"/>
      <c r="J806" s="2"/>
      <c r="K806" s="2"/>
      <c r="L806" s="2"/>
      <c r="M806" s="2"/>
      <c r="N806" s="2"/>
      <c r="O806" s="2"/>
      <c r="P806" s="2"/>
      <c r="Q806" s="2"/>
      <c r="R806" s="2"/>
      <c r="S806" s="2"/>
      <c r="T806" s="2"/>
      <c r="U806" s="2"/>
      <c r="V806" s="2"/>
      <c r="W806" s="158"/>
      <c r="X806" s="2"/>
      <c r="Y806" s="2"/>
      <c r="Z806" s="2"/>
    </row>
    <row r="807" spans="1:26" ht="13.5" customHeight="1">
      <c r="A807" s="2"/>
      <c r="B807" s="2"/>
      <c r="C807" s="2"/>
      <c r="D807" s="2"/>
      <c r="E807" s="2"/>
      <c r="F807" s="2"/>
      <c r="G807" s="2"/>
      <c r="H807" s="2"/>
      <c r="I807" s="2"/>
      <c r="J807" s="2"/>
      <c r="K807" s="2"/>
      <c r="L807" s="2"/>
      <c r="M807" s="2"/>
      <c r="N807" s="2"/>
      <c r="O807" s="2"/>
      <c r="P807" s="2"/>
      <c r="Q807" s="2"/>
      <c r="R807" s="2"/>
      <c r="S807" s="2"/>
      <c r="T807" s="2"/>
      <c r="U807" s="2"/>
      <c r="V807" s="2"/>
      <c r="W807" s="158"/>
      <c r="X807" s="2"/>
      <c r="Y807" s="2"/>
      <c r="Z807" s="2"/>
    </row>
    <row r="808" spans="1:26" ht="13.5" customHeight="1">
      <c r="A808" s="2"/>
      <c r="B808" s="2"/>
      <c r="C808" s="2"/>
      <c r="D808" s="2"/>
      <c r="E808" s="2"/>
      <c r="F808" s="2"/>
      <c r="G808" s="2"/>
      <c r="H808" s="2"/>
      <c r="I808" s="2"/>
      <c r="J808" s="2"/>
      <c r="K808" s="2"/>
      <c r="L808" s="2"/>
      <c r="M808" s="2"/>
      <c r="N808" s="2"/>
      <c r="O808" s="2"/>
      <c r="P808" s="2"/>
      <c r="Q808" s="2"/>
      <c r="R808" s="2"/>
      <c r="S808" s="2"/>
      <c r="T808" s="2"/>
      <c r="U808" s="2"/>
      <c r="V808" s="2"/>
      <c r="W808" s="158"/>
      <c r="X808" s="2"/>
      <c r="Y808" s="2"/>
      <c r="Z808" s="2"/>
    </row>
    <row r="809" spans="1:26" ht="13.5" customHeight="1">
      <c r="A809" s="2"/>
      <c r="B809" s="2"/>
      <c r="C809" s="2"/>
      <c r="D809" s="2"/>
      <c r="E809" s="2"/>
      <c r="F809" s="2"/>
      <c r="G809" s="2"/>
      <c r="H809" s="2"/>
      <c r="I809" s="2"/>
      <c r="J809" s="2"/>
      <c r="K809" s="2"/>
      <c r="L809" s="2"/>
      <c r="M809" s="2"/>
      <c r="N809" s="2"/>
      <c r="O809" s="2"/>
      <c r="P809" s="2"/>
      <c r="Q809" s="2"/>
      <c r="R809" s="2"/>
      <c r="S809" s="2"/>
      <c r="T809" s="2"/>
      <c r="U809" s="2"/>
      <c r="V809" s="2"/>
      <c r="W809" s="158"/>
      <c r="X809" s="2"/>
      <c r="Y809" s="2"/>
      <c r="Z809" s="2"/>
    </row>
    <row r="810" spans="1:26" ht="13.5" customHeight="1">
      <c r="A810" s="2"/>
      <c r="B810" s="2"/>
      <c r="C810" s="2"/>
      <c r="D810" s="2"/>
      <c r="E810" s="2"/>
      <c r="F810" s="2"/>
      <c r="G810" s="2"/>
      <c r="H810" s="2"/>
      <c r="I810" s="2"/>
      <c r="J810" s="2"/>
      <c r="K810" s="2"/>
      <c r="L810" s="2"/>
      <c r="M810" s="2"/>
      <c r="N810" s="2"/>
      <c r="O810" s="2"/>
      <c r="P810" s="2"/>
      <c r="Q810" s="2"/>
      <c r="R810" s="2"/>
      <c r="S810" s="2"/>
      <c r="T810" s="2"/>
      <c r="U810" s="2"/>
      <c r="V810" s="2"/>
      <c r="W810" s="158"/>
      <c r="X810" s="2"/>
      <c r="Y810" s="2"/>
      <c r="Z810" s="2"/>
    </row>
    <row r="811" spans="1:26" ht="13.5" customHeight="1">
      <c r="A811" s="2"/>
      <c r="B811" s="2"/>
      <c r="C811" s="2"/>
      <c r="D811" s="2"/>
      <c r="E811" s="2"/>
      <c r="F811" s="2"/>
      <c r="G811" s="2"/>
      <c r="H811" s="2"/>
      <c r="I811" s="2"/>
      <c r="J811" s="2"/>
      <c r="K811" s="2"/>
      <c r="L811" s="2"/>
      <c r="M811" s="2"/>
      <c r="N811" s="2"/>
      <c r="O811" s="2"/>
      <c r="P811" s="2"/>
      <c r="Q811" s="2"/>
      <c r="R811" s="2"/>
      <c r="S811" s="2"/>
      <c r="T811" s="2"/>
      <c r="U811" s="2"/>
      <c r="V811" s="2"/>
      <c r="W811" s="158"/>
      <c r="X811" s="2"/>
      <c r="Y811" s="2"/>
      <c r="Z811" s="2"/>
    </row>
    <row r="812" spans="1:26" ht="13.5" customHeight="1">
      <c r="A812" s="2"/>
      <c r="B812" s="2"/>
      <c r="C812" s="2"/>
      <c r="D812" s="2"/>
      <c r="E812" s="2"/>
      <c r="F812" s="2"/>
      <c r="G812" s="2"/>
      <c r="H812" s="2"/>
      <c r="I812" s="2"/>
      <c r="J812" s="2"/>
      <c r="K812" s="2"/>
      <c r="L812" s="2"/>
      <c r="M812" s="2"/>
      <c r="N812" s="2"/>
      <c r="O812" s="2"/>
      <c r="P812" s="2"/>
      <c r="Q812" s="2"/>
      <c r="R812" s="2"/>
      <c r="S812" s="2"/>
      <c r="T812" s="2"/>
      <c r="U812" s="2"/>
      <c r="V812" s="2"/>
      <c r="W812" s="158"/>
      <c r="X812" s="2"/>
      <c r="Y812" s="2"/>
      <c r="Z812" s="2"/>
    </row>
    <row r="813" spans="1:26" ht="13.5" customHeight="1">
      <c r="A813" s="2"/>
      <c r="B813" s="2"/>
      <c r="C813" s="2"/>
      <c r="D813" s="2"/>
      <c r="E813" s="2"/>
      <c r="F813" s="2"/>
      <c r="G813" s="2"/>
      <c r="H813" s="2"/>
      <c r="I813" s="2"/>
      <c r="J813" s="2"/>
      <c r="K813" s="2"/>
      <c r="L813" s="2"/>
      <c r="M813" s="2"/>
      <c r="N813" s="2"/>
      <c r="O813" s="2"/>
      <c r="P813" s="2"/>
      <c r="Q813" s="2"/>
      <c r="R813" s="2"/>
      <c r="S813" s="2"/>
      <c r="T813" s="2"/>
      <c r="U813" s="2"/>
      <c r="V813" s="2"/>
      <c r="W813" s="158"/>
      <c r="X813" s="2"/>
      <c r="Y813" s="2"/>
      <c r="Z813" s="2"/>
    </row>
    <row r="814" spans="1:26" ht="13.5" customHeight="1">
      <c r="A814" s="2"/>
      <c r="B814" s="2"/>
      <c r="C814" s="2"/>
      <c r="D814" s="2"/>
      <c r="E814" s="2"/>
      <c r="F814" s="2"/>
      <c r="G814" s="2"/>
      <c r="H814" s="2"/>
      <c r="I814" s="2"/>
      <c r="J814" s="2"/>
      <c r="K814" s="2"/>
      <c r="L814" s="2"/>
      <c r="M814" s="2"/>
      <c r="N814" s="2"/>
      <c r="O814" s="2"/>
      <c r="P814" s="2"/>
      <c r="Q814" s="2"/>
      <c r="R814" s="2"/>
      <c r="S814" s="2"/>
      <c r="T814" s="2"/>
      <c r="U814" s="2"/>
      <c r="V814" s="2"/>
      <c r="W814" s="158"/>
      <c r="X814" s="2"/>
      <c r="Y814" s="2"/>
      <c r="Z814" s="2"/>
    </row>
    <row r="815" spans="1:26" ht="13.5" customHeight="1">
      <c r="A815" s="2"/>
      <c r="B815" s="2"/>
      <c r="C815" s="2"/>
      <c r="D815" s="2"/>
      <c r="E815" s="2"/>
      <c r="F815" s="2"/>
      <c r="G815" s="2"/>
      <c r="H815" s="2"/>
      <c r="I815" s="2"/>
      <c r="J815" s="2"/>
      <c r="K815" s="2"/>
      <c r="L815" s="2"/>
      <c r="M815" s="2"/>
      <c r="N815" s="2"/>
      <c r="O815" s="2"/>
      <c r="P815" s="2"/>
      <c r="Q815" s="2"/>
      <c r="R815" s="2"/>
      <c r="S815" s="2"/>
      <c r="T815" s="2"/>
      <c r="U815" s="2"/>
      <c r="V815" s="2"/>
      <c r="W815" s="158"/>
      <c r="X815" s="2"/>
      <c r="Y815" s="2"/>
      <c r="Z815" s="2"/>
    </row>
    <row r="816" spans="1:26" ht="13.5" customHeight="1">
      <c r="A816" s="2"/>
      <c r="B816" s="2"/>
      <c r="C816" s="2"/>
      <c r="D816" s="2"/>
      <c r="E816" s="2"/>
      <c r="F816" s="2"/>
      <c r="G816" s="2"/>
      <c r="H816" s="2"/>
      <c r="I816" s="2"/>
      <c r="J816" s="2"/>
      <c r="K816" s="2"/>
      <c r="L816" s="2"/>
      <c r="M816" s="2"/>
      <c r="N816" s="2"/>
      <c r="O816" s="2"/>
      <c r="P816" s="2"/>
      <c r="Q816" s="2"/>
      <c r="R816" s="2"/>
      <c r="S816" s="2"/>
      <c r="T816" s="2"/>
      <c r="U816" s="2"/>
      <c r="V816" s="2"/>
      <c r="W816" s="158"/>
      <c r="X816" s="2"/>
      <c r="Y816" s="2"/>
      <c r="Z816" s="2"/>
    </row>
    <row r="817" spans="1:26" ht="13.5" customHeight="1">
      <c r="A817" s="2"/>
      <c r="B817" s="2"/>
      <c r="C817" s="2"/>
      <c r="D817" s="2"/>
      <c r="E817" s="2"/>
      <c r="F817" s="2"/>
      <c r="G817" s="2"/>
      <c r="H817" s="2"/>
      <c r="I817" s="2"/>
      <c r="J817" s="2"/>
      <c r="K817" s="2"/>
      <c r="L817" s="2"/>
      <c r="M817" s="2"/>
      <c r="N817" s="2"/>
      <c r="O817" s="2"/>
      <c r="P817" s="2"/>
      <c r="Q817" s="2"/>
      <c r="R817" s="2"/>
      <c r="S817" s="2"/>
      <c r="T817" s="2"/>
      <c r="U817" s="2"/>
      <c r="V817" s="2"/>
      <c r="W817" s="158"/>
      <c r="X817" s="2"/>
      <c r="Y817" s="2"/>
      <c r="Z817" s="2"/>
    </row>
    <row r="818" spans="1:26" ht="13.5" customHeight="1">
      <c r="A818" s="2"/>
      <c r="B818" s="2"/>
      <c r="C818" s="2"/>
      <c r="D818" s="2"/>
      <c r="E818" s="2"/>
      <c r="F818" s="2"/>
      <c r="G818" s="2"/>
      <c r="H818" s="2"/>
      <c r="I818" s="2"/>
      <c r="J818" s="2"/>
      <c r="K818" s="2"/>
      <c r="L818" s="2"/>
      <c r="M818" s="2"/>
      <c r="N818" s="2"/>
      <c r="O818" s="2"/>
      <c r="P818" s="2"/>
      <c r="Q818" s="2"/>
      <c r="R818" s="2"/>
      <c r="S818" s="2"/>
      <c r="T818" s="2"/>
      <c r="U818" s="2"/>
      <c r="V818" s="2"/>
      <c r="W818" s="158"/>
      <c r="X818" s="2"/>
      <c r="Y818" s="2"/>
      <c r="Z818" s="2"/>
    </row>
    <row r="819" spans="1:26" ht="13.5" customHeight="1">
      <c r="A819" s="2"/>
      <c r="B819" s="2"/>
      <c r="C819" s="2"/>
      <c r="D819" s="2"/>
      <c r="E819" s="2"/>
      <c r="F819" s="2"/>
      <c r="G819" s="2"/>
      <c r="H819" s="2"/>
      <c r="I819" s="2"/>
      <c r="J819" s="2"/>
      <c r="K819" s="2"/>
      <c r="L819" s="2"/>
      <c r="M819" s="2"/>
      <c r="N819" s="2"/>
      <c r="O819" s="2"/>
      <c r="P819" s="2"/>
      <c r="Q819" s="2"/>
      <c r="R819" s="2"/>
      <c r="S819" s="2"/>
      <c r="T819" s="2"/>
      <c r="U819" s="2"/>
      <c r="V819" s="2"/>
      <c r="W819" s="158"/>
      <c r="X819" s="2"/>
      <c r="Y819" s="2"/>
      <c r="Z819" s="2"/>
    </row>
    <row r="820" spans="1:26" ht="13.5" customHeight="1">
      <c r="A820" s="2"/>
      <c r="B820" s="2"/>
      <c r="C820" s="2"/>
      <c r="D820" s="2"/>
      <c r="E820" s="2"/>
      <c r="F820" s="2"/>
      <c r="G820" s="2"/>
      <c r="H820" s="2"/>
      <c r="I820" s="2"/>
      <c r="J820" s="2"/>
      <c r="K820" s="2"/>
      <c r="L820" s="2"/>
      <c r="M820" s="2"/>
      <c r="N820" s="2"/>
      <c r="O820" s="2"/>
      <c r="P820" s="2"/>
      <c r="Q820" s="2"/>
      <c r="R820" s="2"/>
      <c r="S820" s="2"/>
      <c r="T820" s="2"/>
      <c r="U820" s="2"/>
      <c r="V820" s="2"/>
      <c r="W820" s="158"/>
      <c r="X820" s="2"/>
      <c r="Y820" s="2"/>
      <c r="Z820" s="2"/>
    </row>
    <row r="821" spans="1:26" ht="13.5" customHeight="1">
      <c r="A821" s="2"/>
      <c r="B821" s="2"/>
      <c r="C821" s="2"/>
      <c r="D821" s="2"/>
      <c r="E821" s="2"/>
      <c r="F821" s="2"/>
      <c r="G821" s="2"/>
      <c r="H821" s="2"/>
      <c r="I821" s="2"/>
      <c r="J821" s="2"/>
      <c r="K821" s="2"/>
      <c r="L821" s="2"/>
      <c r="M821" s="2"/>
      <c r="N821" s="2"/>
      <c r="O821" s="2"/>
      <c r="P821" s="2"/>
      <c r="Q821" s="2"/>
      <c r="R821" s="2"/>
      <c r="S821" s="2"/>
      <c r="T821" s="2"/>
      <c r="U821" s="2"/>
      <c r="V821" s="2"/>
      <c r="W821" s="158"/>
      <c r="X821" s="2"/>
      <c r="Y821" s="2"/>
      <c r="Z821" s="2"/>
    </row>
    <row r="822" spans="1:26" ht="13.5" customHeight="1">
      <c r="A822" s="2"/>
      <c r="B822" s="2"/>
      <c r="C822" s="2"/>
      <c r="D822" s="2"/>
      <c r="E822" s="2"/>
      <c r="F822" s="2"/>
      <c r="G822" s="2"/>
      <c r="H822" s="2"/>
      <c r="I822" s="2"/>
      <c r="J822" s="2"/>
      <c r="K822" s="2"/>
      <c r="L822" s="2"/>
      <c r="M822" s="2"/>
      <c r="N822" s="2"/>
      <c r="O822" s="2"/>
      <c r="P822" s="2"/>
      <c r="Q822" s="2"/>
      <c r="R822" s="2"/>
      <c r="S822" s="2"/>
      <c r="T822" s="2"/>
      <c r="U822" s="2"/>
      <c r="V822" s="2"/>
      <c r="W822" s="158"/>
      <c r="X822" s="2"/>
      <c r="Y822" s="2"/>
      <c r="Z822" s="2"/>
    </row>
    <row r="823" spans="1:26" ht="13.5" customHeight="1">
      <c r="A823" s="2"/>
      <c r="B823" s="2"/>
      <c r="C823" s="2"/>
      <c r="D823" s="2"/>
      <c r="E823" s="2"/>
      <c r="F823" s="2"/>
      <c r="G823" s="2"/>
      <c r="H823" s="2"/>
      <c r="I823" s="2"/>
      <c r="J823" s="2"/>
      <c r="K823" s="2"/>
      <c r="L823" s="2"/>
      <c r="M823" s="2"/>
      <c r="N823" s="2"/>
      <c r="O823" s="2"/>
      <c r="P823" s="2"/>
      <c r="Q823" s="2"/>
      <c r="R823" s="2"/>
      <c r="S823" s="2"/>
      <c r="T823" s="2"/>
      <c r="U823" s="2"/>
      <c r="V823" s="2"/>
      <c r="W823" s="158"/>
      <c r="X823" s="2"/>
      <c r="Y823" s="2"/>
      <c r="Z823" s="2"/>
    </row>
    <row r="824" spans="1:26" ht="13.5" customHeight="1">
      <c r="A824" s="2"/>
      <c r="B824" s="2"/>
      <c r="C824" s="2"/>
      <c r="D824" s="2"/>
      <c r="E824" s="2"/>
      <c r="F824" s="2"/>
      <c r="G824" s="2"/>
      <c r="H824" s="2"/>
      <c r="I824" s="2"/>
      <c r="J824" s="2"/>
      <c r="K824" s="2"/>
      <c r="L824" s="2"/>
      <c r="M824" s="2"/>
      <c r="N824" s="2"/>
      <c r="O824" s="2"/>
      <c r="P824" s="2"/>
      <c r="Q824" s="2"/>
      <c r="R824" s="2"/>
      <c r="S824" s="2"/>
      <c r="T824" s="2"/>
      <c r="U824" s="2"/>
      <c r="V824" s="2"/>
      <c r="W824" s="158"/>
      <c r="X824" s="2"/>
      <c r="Y824" s="2"/>
      <c r="Z824" s="2"/>
    </row>
    <row r="825" spans="1:26" ht="13.5" customHeight="1">
      <c r="A825" s="2"/>
      <c r="B825" s="2"/>
      <c r="C825" s="2"/>
      <c r="D825" s="2"/>
      <c r="E825" s="2"/>
      <c r="F825" s="2"/>
      <c r="G825" s="2"/>
      <c r="H825" s="2"/>
      <c r="I825" s="2"/>
      <c r="J825" s="2"/>
      <c r="K825" s="2"/>
      <c r="L825" s="2"/>
      <c r="M825" s="2"/>
      <c r="N825" s="2"/>
      <c r="O825" s="2"/>
      <c r="P825" s="2"/>
      <c r="Q825" s="2"/>
      <c r="R825" s="2"/>
      <c r="S825" s="2"/>
      <c r="T825" s="2"/>
      <c r="U825" s="2"/>
      <c r="V825" s="2"/>
      <c r="W825" s="158"/>
      <c r="X825" s="2"/>
      <c r="Y825" s="2"/>
      <c r="Z825" s="2"/>
    </row>
    <row r="826" spans="1:26" ht="13.5" customHeight="1">
      <c r="A826" s="2"/>
      <c r="B826" s="2"/>
      <c r="C826" s="2"/>
      <c r="D826" s="2"/>
      <c r="E826" s="2"/>
      <c r="F826" s="2"/>
      <c r="G826" s="2"/>
      <c r="H826" s="2"/>
      <c r="I826" s="2"/>
      <c r="J826" s="2"/>
      <c r="K826" s="2"/>
      <c r="L826" s="2"/>
      <c r="M826" s="2"/>
      <c r="N826" s="2"/>
      <c r="O826" s="2"/>
      <c r="P826" s="2"/>
      <c r="Q826" s="2"/>
      <c r="R826" s="2"/>
      <c r="S826" s="2"/>
      <c r="T826" s="2"/>
      <c r="U826" s="2"/>
      <c r="V826" s="2"/>
      <c r="W826" s="158"/>
      <c r="X826" s="2"/>
      <c r="Y826" s="2"/>
      <c r="Z826" s="2"/>
    </row>
    <row r="827" spans="1:26" ht="13.5" customHeight="1">
      <c r="A827" s="2"/>
      <c r="B827" s="2"/>
      <c r="C827" s="2"/>
      <c r="D827" s="2"/>
      <c r="E827" s="2"/>
      <c r="F827" s="2"/>
      <c r="G827" s="2"/>
      <c r="H827" s="2"/>
      <c r="I827" s="2"/>
      <c r="J827" s="2"/>
      <c r="K827" s="2"/>
      <c r="L827" s="2"/>
      <c r="M827" s="2"/>
      <c r="N827" s="2"/>
      <c r="O827" s="2"/>
      <c r="P827" s="2"/>
      <c r="Q827" s="2"/>
      <c r="R827" s="2"/>
      <c r="S827" s="2"/>
      <c r="T827" s="2"/>
      <c r="U827" s="2"/>
      <c r="V827" s="2"/>
      <c r="W827" s="158"/>
      <c r="X827" s="2"/>
      <c r="Y827" s="2"/>
      <c r="Z827" s="2"/>
    </row>
    <row r="828" spans="1:26" ht="13.5" customHeight="1">
      <c r="A828" s="2"/>
      <c r="B828" s="2"/>
      <c r="C828" s="2"/>
      <c r="D828" s="2"/>
      <c r="E828" s="2"/>
      <c r="F828" s="2"/>
      <c r="G828" s="2"/>
      <c r="H828" s="2"/>
      <c r="I828" s="2"/>
      <c r="J828" s="2"/>
      <c r="K828" s="2"/>
      <c r="L828" s="2"/>
      <c r="M828" s="2"/>
      <c r="N828" s="2"/>
      <c r="O828" s="2"/>
      <c r="P828" s="2"/>
      <c r="Q828" s="2"/>
      <c r="R828" s="2"/>
      <c r="S828" s="2"/>
      <c r="T828" s="2"/>
      <c r="U828" s="2"/>
      <c r="V828" s="2"/>
      <c r="W828" s="158"/>
      <c r="X828" s="2"/>
      <c r="Y828" s="2"/>
      <c r="Z828" s="2"/>
    </row>
    <row r="829" spans="1:26" ht="13.5" customHeight="1">
      <c r="A829" s="2"/>
      <c r="B829" s="2"/>
      <c r="C829" s="2"/>
      <c r="D829" s="2"/>
      <c r="E829" s="2"/>
      <c r="F829" s="2"/>
      <c r="G829" s="2"/>
      <c r="H829" s="2"/>
      <c r="I829" s="2"/>
      <c r="J829" s="2"/>
      <c r="K829" s="2"/>
      <c r="L829" s="2"/>
      <c r="M829" s="2"/>
      <c r="N829" s="2"/>
      <c r="O829" s="2"/>
      <c r="P829" s="2"/>
      <c r="Q829" s="2"/>
      <c r="R829" s="2"/>
      <c r="S829" s="2"/>
      <c r="T829" s="2"/>
      <c r="U829" s="2"/>
      <c r="V829" s="2"/>
      <c r="W829" s="158"/>
      <c r="X829" s="2"/>
      <c r="Y829" s="2"/>
      <c r="Z829" s="2"/>
    </row>
    <row r="830" spans="1:26" ht="13.5" customHeight="1">
      <c r="A830" s="2"/>
      <c r="B830" s="2"/>
      <c r="C830" s="2"/>
      <c r="D830" s="2"/>
      <c r="E830" s="2"/>
      <c r="F830" s="2"/>
      <c r="G830" s="2"/>
      <c r="H830" s="2"/>
      <c r="I830" s="2"/>
      <c r="J830" s="2"/>
      <c r="K830" s="2"/>
      <c r="L830" s="2"/>
      <c r="M830" s="2"/>
      <c r="N830" s="2"/>
      <c r="O830" s="2"/>
      <c r="P830" s="2"/>
      <c r="Q830" s="2"/>
      <c r="R830" s="2"/>
      <c r="S830" s="2"/>
      <c r="T830" s="2"/>
      <c r="U830" s="2"/>
      <c r="V830" s="2"/>
      <c r="W830" s="158"/>
      <c r="X830" s="2"/>
      <c r="Y830" s="2"/>
      <c r="Z830" s="2"/>
    </row>
    <row r="831" spans="1:26" ht="13.5" customHeight="1">
      <c r="A831" s="2"/>
      <c r="B831" s="2"/>
      <c r="C831" s="2"/>
      <c r="D831" s="2"/>
      <c r="E831" s="2"/>
      <c r="F831" s="2"/>
      <c r="G831" s="2"/>
      <c r="H831" s="2"/>
      <c r="I831" s="2"/>
      <c r="J831" s="2"/>
      <c r="K831" s="2"/>
      <c r="L831" s="2"/>
      <c r="M831" s="2"/>
      <c r="N831" s="2"/>
      <c r="O831" s="2"/>
      <c r="P831" s="2"/>
      <c r="Q831" s="2"/>
      <c r="R831" s="2"/>
      <c r="S831" s="2"/>
      <c r="T831" s="2"/>
      <c r="U831" s="2"/>
      <c r="V831" s="2"/>
      <c r="W831" s="158"/>
      <c r="X831" s="2"/>
      <c r="Y831" s="2"/>
      <c r="Z831" s="2"/>
    </row>
    <row r="832" spans="1:26" ht="13.5" customHeight="1">
      <c r="A832" s="2"/>
      <c r="B832" s="2"/>
      <c r="C832" s="2"/>
      <c r="D832" s="2"/>
      <c r="E832" s="2"/>
      <c r="F832" s="2"/>
      <c r="G832" s="2"/>
      <c r="H832" s="2"/>
      <c r="I832" s="2"/>
      <c r="J832" s="2"/>
      <c r="K832" s="2"/>
      <c r="L832" s="2"/>
      <c r="M832" s="2"/>
      <c r="N832" s="2"/>
      <c r="O832" s="2"/>
      <c r="P832" s="2"/>
      <c r="Q832" s="2"/>
      <c r="R832" s="2"/>
      <c r="S832" s="2"/>
      <c r="T832" s="2"/>
      <c r="U832" s="2"/>
      <c r="V832" s="2"/>
      <c r="W832" s="158"/>
      <c r="X832" s="2"/>
      <c r="Y832" s="2"/>
      <c r="Z832" s="2"/>
    </row>
    <row r="833" spans="1:26" ht="13.5" customHeight="1">
      <c r="A833" s="2"/>
      <c r="B833" s="2"/>
      <c r="C833" s="2"/>
      <c r="D833" s="2"/>
      <c r="E833" s="2"/>
      <c r="F833" s="2"/>
      <c r="G833" s="2"/>
      <c r="H833" s="2"/>
      <c r="I833" s="2"/>
      <c r="J833" s="2"/>
      <c r="K833" s="2"/>
      <c r="L833" s="2"/>
      <c r="M833" s="2"/>
      <c r="N833" s="2"/>
      <c r="O833" s="2"/>
      <c r="P833" s="2"/>
      <c r="Q833" s="2"/>
      <c r="R833" s="2"/>
      <c r="S833" s="2"/>
      <c r="T833" s="2"/>
      <c r="U833" s="2"/>
      <c r="V833" s="2"/>
      <c r="W833" s="158"/>
      <c r="X833" s="2"/>
      <c r="Y833" s="2"/>
      <c r="Z833" s="2"/>
    </row>
    <row r="834" spans="1:26" ht="13.5" customHeight="1">
      <c r="A834" s="2"/>
      <c r="B834" s="2"/>
      <c r="C834" s="2"/>
      <c r="D834" s="2"/>
      <c r="E834" s="2"/>
      <c r="F834" s="2"/>
      <c r="G834" s="2"/>
      <c r="H834" s="2"/>
      <c r="I834" s="2"/>
      <c r="J834" s="2"/>
      <c r="K834" s="2"/>
      <c r="L834" s="2"/>
      <c r="M834" s="2"/>
      <c r="N834" s="2"/>
      <c r="O834" s="2"/>
      <c r="P834" s="2"/>
      <c r="Q834" s="2"/>
      <c r="R834" s="2"/>
      <c r="S834" s="2"/>
      <c r="T834" s="2"/>
      <c r="U834" s="2"/>
      <c r="V834" s="2"/>
      <c r="W834" s="158"/>
      <c r="X834" s="2"/>
      <c r="Y834" s="2"/>
      <c r="Z834" s="2"/>
    </row>
    <row r="835" spans="1:26" ht="13.5" customHeight="1">
      <c r="A835" s="2"/>
      <c r="B835" s="2"/>
      <c r="C835" s="2"/>
      <c r="D835" s="2"/>
      <c r="E835" s="2"/>
      <c r="F835" s="2"/>
      <c r="G835" s="2"/>
      <c r="H835" s="2"/>
      <c r="I835" s="2"/>
      <c r="J835" s="2"/>
      <c r="K835" s="2"/>
      <c r="L835" s="2"/>
      <c r="M835" s="2"/>
      <c r="N835" s="2"/>
      <c r="O835" s="2"/>
      <c r="P835" s="2"/>
      <c r="Q835" s="2"/>
      <c r="R835" s="2"/>
      <c r="S835" s="2"/>
      <c r="T835" s="2"/>
      <c r="U835" s="2"/>
      <c r="V835" s="2"/>
      <c r="W835" s="158"/>
      <c r="X835" s="2"/>
      <c r="Y835" s="2"/>
      <c r="Z835" s="2"/>
    </row>
    <row r="836" spans="1:26" ht="13.5" customHeight="1">
      <c r="A836" s="2"/>
      <c r="B836" s="2"/>
      <c r="C836" s="2"/>
      <c r="D836" s="2"/>
      <c r="E836" s="2"/>
      <c r="F836" s="2"/>
      <c r="G836" s="2"/>
      <c r="H836" s="2"/>
      <c r="I836" s="2"/>
      <c r="J836" s="2"/>
      <c r="K836" s="2"/>
      <c r="L836" s="2"/>
      <c r="M836" s="2"/>
      <c r="N836" s="2"/>
      <c r="O836" s="2"/>
      <c r="P836" s="2"/>
      <c r="Q836" s="2"/>
      <c r="R836" s="2"/>
      <c r="S836" s="2"/>
      <c r="T836" s="2"/>
      <c r="U836" s="2"/>
      <c r="V836" s="2"/>
      <c r="W836" s="158"/>
      <c r="X836" s="2"/>
      <c r="Y836" s="2"/>
      <c r="Z836" s="2"/>
    </row>
    <row r="837" spans="1:26" ht="13.5" customHeight="1">
      <c r="A837" s="2"/>
      <c r="B837" s="2"/>
      <c r="C837" s="2"/>
      <c r="D837" s="2"/>
      <c r="E837" s="2"/>
      <c r="F837" s="2"/>
      <c r="G837" s="2"/>
      <c r="H837" s="2"/>
      <c r="I837" s="2"/>
      <c r="J837" s="2"/>
      <c r="K837" s="2"/>
      <c r="L837" s="2"/>
      <c r="M837" s="2"/>
      <c r="N837" s="2"/>
      <c r="O837" s="2"/>
      <c r="P837" s="2"/>
      <c r="Q837" s="2"/>
      <c r="R837" s="2"/>
      <c r="S837" s="2"/>
      <c r="T837" s="2"/>
      <c r="U837" s="2"/>
      <c r="V837" s="2"/>
      <c r="W837" s="158"/>
      <c r="X837" s="2"/>
      <c r="Y837" s="2"/>
      <c r="Z837" s="2"/>
    </row>
    <row r="838" spans="1:26" ht="13.5" customHeight="1">
      <c r="A838" s="2"/>
      <c r="B838" s="2"/>
      <c r="C838" s="2"/>
      <c r="D838" s="2"/>
      <c r="E838" s="2"/>
      <c r="F838" s="2"/>
      <c r="G838" s="2"/>
      <c r="H838" s="2"/>
      <c r="I838" s="2"/>
      <c r="J838" s="2"/>
      <c r="K838" s="2"/>
      <c r="L838" s="2"/>
      <c r="M838" s="2"/>
      <c r="N838" s="2"/>
      <c r="O838" s="2"/>
      <c r="P838" s="2"/>
      <c r="Q838" s="2"/>
      <c r="R838" s="2"/>
      <c r="S838" s="2"/>
      <c r="T838" s="2"/>
      <c r="U838" s="2"/>
      <c r="V838" s="2"/>
      <c r="W838" s="158"/>
      <c r="X838" s="2"/>
      <c r="Y838" s="2"/>
      <c r="Z838" s="2"/>
    </row>
    <row r="839" spans="1:26" ht="13.5" customHeight="1">
      <c r="A839" s="2"/>
      <c r="B839" s="2"/>
      <c r="C839" s="2"/>
      <c r="D839" s="2"/>
      <c r="E839" s="2"/>
      <c r="F839" s="2"/>
      <c r="G839" s="2"/>
      <c r="H839" s="2"/>
      <c r="I839" s="2"/>
      <c r="J839" s="2"/>
      <c r="K839" s="2"/>
      <c r="L839" s="2"/>
      <c r="M839" s="2"/>
      <c r="N839" s="2"/>
      <c r="O839" s="2"/>
      <c r="P839" s="2"/>
      <c r="Q839" s="2"/>
      <c r="R839" s="2"/>
      <c r="S839" s="2"/>
      <c r="T839" s="2"/>
      <c r="U839" s="2"/>
      <c r="V839" s="2"/>
      <c r="W839" s="158"/>
      <c r="X839" s="2"/>
      <c r="Y839" s="2"/>
      <c r="Z839" s="2"/>
    </row>
    <row r="840" spans="1:26" ht="13.5" customHeight="1">
      <c r="A840" s="2"/>
      <c r="B840" s="2"/>
      <c r="C840" s="2"/>
      <c r="D840" s="2"/>
      <c r="E840" s="2"/>
      <c r="F840" s="2"/>
      <c r="G840" s="2"/>
      <c r="H840" s="2"/>
      <c r="I840" s="2"/>
      <c r="J840" s="2"/>
      <c r="K840" s="2"/>
      <c r="L840" s="2"/>
      <c r="M840" s="2"/>
      <c r="N840" s="2"/>
      <c r="O840" s="2"/>
      <c r="P840" s="2"/>
      <c r="Q840" s="2"/>
      <c r="R840" s="2"/>
      <c r="S840" s="2"/>
      <c r="T840" s="2"/>
      <c r="U840" s="2"/>
      <c r="V840" s="2"/>
      <c r="W840" s="158"/>
      <c r="X840" s="2"/>
      <c r="Y840" s="2"/>
      <c r="Z840" s="2"/>
    </row>
    <row r="841" spans="1:26" ht="13.5" customHeight="1">
      <c r="A841" s="2"/>
      <c r="B841" s="2"/>
      <c r="C841" s="2"/>
      <c r="D841" s="2"/>
      <c r="E841" s="2"/>
      <c r="F841" s="2"/>
      <c r="G841" s="2"/>
      <c r="H841" s="2"/>
      <c r="I841" s="2"/>
      <c r="J841" s="2"/>
      <c r="K841" s="2"/>
      <c r="L841" s="2"/>
      <c r="M841" s="2"/>
      <c r="N841" s="2"/>
      <c r="O841" s="2"/>
      <c r="P841" s="2"/>
      <c r="Q841" s="2"/>
      <c r="R841" s="2"/>
      <c r="S841" s="2"/>
      <c r="T841" s="2"/>
      <c r="U841" s="2"/>
      <c r="V841" s="2"/>
      <c r="W841" s="158"/>
      <c r="X841" s="2"/>
      <c r="Y841" s="2"/>
      <c r="Z841" s="2"/>
    </row>
    <row r="842" spans="1:26" ht="13.5" customHeight="1">
      <c r="A842" s="2"/>
      <c r="B842" s="2"/>
      <c r="C842" s="2"/>
      <c r="D842" s="2"/>
      <c r="E842" s="2"/>
      <c r="F842" s="2"/>
      <c r="G842" s="2"/>
      <c r="H842" s="2"/>
      <c r="I842" s="2"/>
      <c r="J842" s="2"/>
      <c r="K842" s="2"/>
      <c r="L842" s="2"/>
      <c r="M842" s="2"/>
      <c r="N842" s="2"/>
      <c r="O842" s="2"/>
      <c r="P842" s="2"/>
      <c r="Q842" s="2"/>
      <c r="R842" s="2"/>
      <c r="S842" s="2"/>
      <c r="T842" s="2"/>
      <c r="U842" s="2"/>
      <c r="V842" s="2"/>
      <c r="W842" s="158"/>
      <c r="X842" s="2"/>
      <c r="Y842" s="2"/>
      <c r="Z842" s="2"/>
    </row>
    <row r="843" spans="1:26" ht="13.5" customHeight="1">
      <c r="A843" s="2"/>
      <c r="B843" s="2"/>
      <c r="C843" s="2"/>
      <c r="D843" s="2"/>
      <c r="E843" s="2"/>
      <c r="F843" s="2"/>
      <c r="G843" s="2"/>
      <c r="H843" s="2"/>
      <c r="I843" s="2"/>
      <c r="J843" s="2"/>
      <c r="K843" s="2"/>
      <c r="L843" s="2"/>
      <c r="M843" s="2"/>
      <c r="N843" s="2"/>
      <c r="O843" s="2"/>
      <c r="P843" s="2"/>
      <c r="Q843" s="2"/>
      <c r="R843" s="2"/>
      <c r="S843" s="2"/>
      <c r="T843" s="2"/>
      <c r="U843" s="2"/>
      <c r="V843" s="2"/>
      <c r="W843" s="158"/>
      <c r="X843" s="2"/>
      <c r="Y843" s="2"/>
      <c r="Z843" s="2"/>
    </row>
    <row r="844" spans="1:26" ht="13.5" customHeight="1">
      <c r="A844" s="2"/>
      <c r="B844" s="2"/>
      <c r="C844" s="2"/>
      <c r="D844" s="2"/>
      <c r="E844" s="2"/>
      <c r="F844" s="2"/>
      <c r="G844" s="2"/>
      <c r="H844" s="2"/>
      <c r="I844" s="2"/>
      <c r="J844" s="2"/>
      <c r="K844" s="2"/>
      <c r="L844" s="2"/>
      <c r="M844" s="2"/>
      <c r="N844" s="2"/>
      <c r="O844" s="2"/>
      <c r="P844" s="2"/>
      <c r="Q844" s="2"/>
      <c r="R844" s="2"/>
      <c r="S844" s="2"/>
      <c r="T844" s="2"/>
      <c r="U844" s="2"/>
      <c r="V844" s="2"/>
      <c r="W844" s="158"/>
      <c r="X844" s="2"/>
      <c r="Y844" s="2"/>
      <c r="Z844" s="2"/>
    </row>
    <row r="845" spans="1:26" ht="13.5" customHeight="1">
      <c r="A845" s="2"/>
      <c r="B845" s="2"/>
      <c r="C845" s="2"/>
      <c r="D845" s="2"/>
      <c r="E845" s="2"/>
      <c r="F845" s="2"/>
      <c r="G845" s="2"/>
      <c r="H845" s="2"/>
      <c r="I845" s="2"/>
      <c r="J845" s="2"/>
      <c r="K845" s="2"/>
      <c r="L845" s="2"/>
      <c r="M845" s="2"/>
      <c r="N845" s="2"/>
      <c r="O845" s="2"/>
      <c r="P845" s="2"/>
      <c r="Q845" s="2"/>
      <c r="R845" s="2"/>
      <c r="S845" s="2"/>
      <c r="T845" s="2"/>
      <c r="U845" s="2"/>
      <c r="V845" s="2"/>
      <c r="W845" s="158"/>
      <c r="X845" s="2"/>
      <c r="Y845" s="2"/>
      <c r="Z845" s="2"/>
    </row>
    <row r="846" spans="1:26" ht="13.5" customHeight="1">
      <c r="A846" s="2"/>
      <c r="B846" s="2"/>
      <c r="C846" s="2"/>
      <c r="D846" s="2"/>
      <c r="E846" s="2"/>
      <c r="F846" s="2"/>
      <c r="G846" s="2"/>
      <c r="H846" s="2"/>
      <c r="I846" s="2"/>
      <c r="J846" s="2"/>
      <c r="K846" s="2"/>
      <c r="L846" s="2"/>
      <c r="M846" s="2"/>
      <c r="N846" s="2"/>
      <c r="O846" s="2"/>
      <c r="P846" s="2"/>
      <c r="Q846" s="2"/>
      <c r="R846" s="2"/>
      <c r="S846" s="2"/>
      <c r="T846" s="2"/>
      <c r="U846" s="2"/>
      <c r="V846" s="2"/>
      <c r="W846" s="158"/>
      <c r="X846" s="2"/>
      <c r="Y846" s="2"/>
      <c r="Z846" s="2"/>
    </row>
    <row r="847" spans="1:26" ht="13.5" customHeight="1">
      <c r="A847" s="2"/>
      <c r="B847" s="2"/>
      <c r="C847" s="2"/>
      <c r="D847" s="2"/>
      <c r="E847" s="2"/>
      <c r="F847" s="2"/>
      <c r="G847" s="2"/>
      <c r="H847" s="2"/>
      <c r="I847" s="2"/>
      <c r="J847" s="2"/>
      <c r="K847" s="2"/>
      <c r="L847" s="2"/>
      <c r="M847" s="2"/>
      <c r="N847" s="2"/>
      <c r="O847" s="2"/>
      <c r="P847" s="2"/>
      <c r="Q847" s="2"/>
      <c r="R847" s="2"/>
      <c r="S847" s="2"/>
      <c r="T847" s="2"/>
      <c r="U847" s="2"/>
      <c r="V847" s="2"/>
      <c r="W847" s="158"/>
      <c r="X847" s="2"/>
      <c r="Y847" s="2"/>
      <c r="Z847" s="2"/>
    </row>
    <row r="848" spans="1:26" ht="13.5" customHeight="1">
      <c r="A848" s="2"/>
      <c r="B848" s="2"/>
      <c r="C848" s="2"/>
      <c r="D848" s="2"/>
      <c r="E848" s="2"/>
      <c r="F848" s="2"/>
      <c r="G848" s="2"/>
      <c r="H848" s="2"/>
      <c r="I848" s="2"/>
      <c r="J848" s="2"/>
      <c r="K848" s="2"/>
      <c r="L848" s="2"/>
      <c r="M848" s="2"/>
      <c r="N848" s="2"/>
      <c r="O848" s="2"/>
      <c r="P848" s="2"/>
      <c r="Q848" s="2"/>
      <c r="R848" s="2"/>
      <c r="S848" s="2"/>
      <c r="T848" s="2"/>
      <c r="U848" s="2"/>
      <c r="V848" s="2"/>
      <c r="W848" s="158"/>
      <c r="X848" s="2"/>
      <c r="Y848" s="2"/>
      <c r="Z848" s="2"/>
    </row>
    <row r="849" spans="1:26" ht="13.5" customHeight="1">
      <c r="A849" s="2"/>
      <c r="B849" s="2"/>
      <c r="C849" s="2"/>
      <c r="D849" s="2"/>
      <c r="E849" s="2"/>
      <c r="F849" s="2"/>
      <c r="G849" s="2"/>
      <c r="H849" s="2"/>
      <c r="I849" s="2"/>
      <c r="J849" s="2"/>
      <c r="K849" s="2"/>
      <c r="L849" s="2"/>
      <c r="M849" s="2"/>
      <c r="N849" s="2"/>
      <c r="O849" s="2"/>
      <c r="P849" s="2"/>
      <c r="Q849" s="2"/>
      <c r="R849" s="2"/>
      <c r="S849" s="2"/>
      <c r="T849" s="2"/>
      <c r="U849" s="2"/>
      <c r="V849" s="2"/>
      <c r="W849" s="158"/>
      <c r="X849" s="2"/>
      <c r="Y849" s="2"/>
      <c r="Z849" s="2"/>
    </row>
    <row r="850" spans="1:26" ht="13.5" customHeight="1">
      <c r="A850" s="2"/>
      <c r="B850" s="2"/>
      <c r="C850" s="2"/>
      <c r="D850" s="2"/>
      <c r="E850" s="2"/>
      <c r="F850" s="2"/>
      <c r="G850" s="2"/>
      <c r="H850" s="2"/>
      <c r="I850" s="2"/>
      <c r="J850" s="2"/>
      <c r="K850" s="2"/>
      <c r="L850" s="2"/>
      <c r="M850" s="2"/>
      <c r="N850" s="2"/>
      <c r="O850" s="2"/>
      <c r="P850" s="2"/>
      <c r="Q850" s="2"/>
      <c r="R850" s="2"/>
      <c r="S850" s="2"/>
      <c r="T850" s="2"/>
      <c r="U850" s="2"/>
      <c r="V850" s="2"/>
      <c r="W850" s="158"/>
      <c r="X850" s="2"/>
      <c r="Y850" s="2"/>
      <c r="Z850" s="2"/>
    </row>
    <row r="851" spans="1:26" ht="13.5" customHeight="1">
      <c r="A851" s="2"/>
      <c r="B851" s="2"/>
      <c r="C851" s="2"/>
      <c r="D851" s="2"/>
      <c r="E851" s="2"/>
      <c r="F851" s="2"/>
      <c r="G851" s="2"/>
      <c r="H851" s="2"/>
      <c r="I851" s="2"/>
      <c r="J851" s="2"/>
      <c r="K851" s="2"/>
      <c r="L851" s="2"/>
      <c r="M851" s="2"/>
      <c r="N851" s="2"/>
      <c r="O851" s="2"/>
      <c r="P851" s="2"/>
      <c r="Q851" s="2"/>
      <c r="R851" s="2"/>
      <c r="S851" s="2"/>
      <c r="T851" s="2"/>
      <c r="U851" s="2"/>
      <c r="V851" s="2"/>
      <c r="W851" s="158"/>
      <c r="X851" s="2"/>
      <c r="Y851" s="2"/>
      <c r="Z851" s="2"/>
    </row>
    <row r="852" spans="1:26" ht="13.5" customHeight="1">
      <c r="A852" s="2"/>
      <c r="B852" s="2"/>
      <c r="C852" s="2"/>
      <c r="D852" s="2"/>
      <c r="E852" s="2"/>
      <c r="F852" s="2"/>
      <c r="G852" s="2"/>
      <c r="H852" s="2"/>
      <c r="I852" s="2"/>
      <c r="J852" s="2"/>
      <c r="K852" s="2"/>
      <c r="L852" s="2"/>
      <c r="M852" s="2"/>
      <c r="N852" s="2"/>
      <c r="O852" s="2"/>
      <c r="P852" s="2"/>
      <c r="Q852" s="2"/>
      <c r="R852" s="2"/>
      <c r="S852" s="2"/>
      <c r="T852" s="2"/>
      <c r="U852" s="2"/>
      <c r="V852" s="2"/>
      <c r="W852" s="158"/>
      <c r="X852" s="2"/>
      <c r="Y852" s="2"/>
      <c r="Z852" s="2"/>
    </row>
    <row r="853" spans="1:26" ht="13.5" customHeight="1">
      <c r="A853" s="2"/>
      <c r="B853" s="2"/>
      <c r="C853" s="2"/>
      <c r="D853" s="2"/>
      <c r="E853" s="2"/>
      <c r="F853" s="2"/>
      <c r="G853" s="2"/>
      <c r="H853" s="2"/>
      <c r="I853" s="2"/>
      <c r="J853" s="2"/>
      <c r="K853" s="2"/>
      <c r="L853" s="2"/>
      <c r="M853" s="2"/>
      <c r="N853" s="2"/>
      <c r="O853" s="2"/>
      <c r="P853" s="2"/>
      <c r="Q853" s="2"/>
      <c r="R853" s="2"/>
      <c r="S853" s="2"/>
      <c r="T853" s="2"/>
      <c r="U853" s="2"/>
      <c r="V853" s="2"/>
      <c r="W853" s="158"/>
      <c r="X853" s="2"/>
      <c r="Y853" s="2"/>
      <c r="Z853" s="2"/>
    </row>
    <row r="854" spans="1:26" ht="13.5" customHeight="1">
      <c r="A854" s="2"/>
      <c r="B854" s="2"/>
      <c r="C854" s="2"/>
      <c r="D854" s="2"/>
      <c r="E854" s="2"/>
      <c r="F854" s="2"/>
      <c r="G854" s="2"/>
      <c r="H854" s="2"/>
      <c r="I854" s="2"/>
      <c r="J854" s="2"/>
      <c r="K854" s="2"/>
      <c r="L854" s="2"/>
      <c r="M854" s="2"/>
      <c r="N854" s="2"/>
      <c r="O854" s="2"/>
      <c r="P854" s="2"/>
      <c r="Q854" s="2"/>
      <c r="R854" s="2"/>
      <c r="S854" s="2"/>
      <c r="T854" s="2"/>
      <c r="U854" s="2"/>
      <c r="V854" s="2"/>
      <c r="W854" s="158"/>
      <c r="X854" s="2"/>
      <c r="Y854" s="2"/>
      <c r="Z854" s="2"/>
    </row>
    <row r="855" spans="1:26" ht="13.5" customHeight="1">
      <c r="A855" s="2"/>
      <c r="B855" s="2"/>
      <c r="C855" s="2"/>
      <c r="D855" s="2"/>
      <c r="E855" s="2"/>
      <c r="F855" s="2"/>
      <c r="G855" s="2"/>
      <c r="H855" s="2"/>
      <c r="I855" s="2"/>
      <c r="J855" s="2"/>
      <c r="K855" s="2"/>
      <c r="L855" s="2"/>
      <c r="M855" s="2"/>
      <c r="N855" s="2"/>
      <c r="O855" s="2"/>
      <c r="P855" s="2"/>
      <c r="Q855" s="2"/>
      <c r="R855" s="2"/>
      <c r="S855" s="2"/>
      <c r="T855" s="2"/>
      <c r="U855" s="2"/>
      <c r="V855" s="2"/>
      <c r="W855" s="158"/>
      <c r="X855" s="2"/>
      <c r="Y855" s="2"/>
      <c r="Z855" s="2"/>
    </row>
    <row r="856" spans="1:26" ht="13.5" customHeight="1">
      <c r="A856" s="2"/>
      <c r="B856" s="2"/>
      <c r="C856" s="2"/>
      <c r="D856" s="2"/>
      <c r="E856" s="2"/>
      <c r="F856" s="2"/>
      <c r="G856" s="2"/>
      <c r="H856" s="2"/>
      <c r="I856" s="2"/>
      <c r="J856" s="2"/>
      <c r="K856" s="2"/>
      <c r="L856" s="2"/>
      <c r="M856" s="2"/>
      <c r="N856" s="2"/>
      <c r="O856" s="2"/>
      <c r="P856" s="2"/>
      <c r="Q856" s="2"/>
      <c r="R856" s="2"/>
      <c r="S856" s="2"/>
      <c r="T856" s="2"/>
      <c r="U856" s="2"/>
      <c r="V856" s="2"/>
      <c r="W856" s="158"/>
      <c r="X856" s="2"/>
      <c r="Y856" s="2"/>
      <c r="Z856" s="2"/>
    </row>
    <row r="857" spans="1:26" ht="13.5" customHeight="1">
      <c r="A857" s="2"/>
      <c r="B857" s="2"/>
      <c r="C857" s="2"/>
      <c r="D857" s="2"/>
      <c r="E857" s="2"/>
      <c r="F857" s="2"/>
      <c r="G857" s="2"/>
      <c r="H857" s="2"/>
      <c r="I857" s="2"/>
      <c r="J857" s="2"/>
      <c r="K857" s="2"/>
      <c r="L857" s="2"/>
      <c r="M857" s="2"/>
      <c r="N857" s="2"/>
      <c r="O857" s="2"/>
      <c r="P857" s="2"/>
      <c r="Q857" s="2"/>
      <c r="R857" s="2"/>
      <c r="S857" s="2"/>
      <c r="T857" s="2"/>
      <c r="U857" s="2"/>
      <c r="V857" s="2"/>
      <c r="W857" s="158"/>
      <c r="X857" s="2"/>
      <c r="Y857" s="2"/>
      <c r="Z857" s="2"/>
    </row>
    <row r="858" spans="1:26" ht="13.5" customHeight="1">
      <c r="A858" s="2"/>
      <c r="B858" s="2"/>
      <c r="C858" s="2"/>
      <c r="D858" s="2"/>
      <c r="E858" s="2"/>
      <c r="F858" s="2"/>
      <c r="G858" s="2"/>
      <c r="H858" s="2"/>
      <c r="I858" s="2"/>
      <c r="J858" s="2"/>
      <c r="K858" s="2"/>
      <c r="L858" s="2"/>
      <c r="M858" s="2"/>
      <c r="N858" s="2"/>
      <c r="O858" s="2"/>
      <c r="P858" s="2"/>
      <c r="Q858" s="2"/>
      <c r="R858" s="2"/>
      <c r="S858" s="2"/>
      <c r="T858" s="2"/>
      <c r="U858" s="2"/>
      <c r="V858" s="2"/>
      <c r="W858" s="158"/>
      <c r="X858" s="2"/>
      <c r="Y858" s="2"/>
      <c r="Z858" s="2"/>
    </row>
    <row r="859" spans="1:26" ht="13.5" customHeight="1">
      <c r="A859" s="2"/>
      <c r="B859" s="2"/>
      <c r="C859" s="2"/>
      <c r="D859" s="2"/>
      <c r="E859" s="2"/>
      <c r="F859" s="2"/>
      <c r="G859" s="2"/>
      <c r="H859" s="2"/>
      <c r="I859" s="2"/>
      <c r="J859" s="2"/>
      <c r="K859" s="2"/>
      <c r="L859" s="2"/>
      <c r="M859" s="2"/>
      <c r="N859" s="2"/>
      <c r="O859" s="2"/>
      <c r="P859" s="2"/>
      <c r="Q859" s="2"/>
      <c r="R859" s="2"/>
      <c r="S859" s="2"/>
      <c r="T859" s="2"/>
      <c r="U859" s="2"/>
      <c r="V859" s="2"/>
      <c r="W859" s="158"/>
      <c r="X859" s="2"/>
      <c r="Y859" s="2"/>
      <c r="Z859" s="2"/>
    </row>
    <row r="860" spans="1:26" ht="13.5" customHeight="1">
      <c r="A860" s="2"/>
      <c r="B860" s="2"/>
      <c r="C860" s="2"/>
      <c r="D860" s="2"/>
      <c r="E860" s="2"/>
      <c r="F860" s="2"/>
      <c r="G860" s="2"/>
      <c r="H860" s="2"/>
      <c r="I860" s="2"/>
      <c r="J860" s="2"/>
      <c r="K860" s="2"/>
      <c r="L860" s="2"/>
      <c r="M860" s="2"/>
      <c r="N860" s="2"/>
      <c r="O860" s="2"/>
      <c r="P860" s="2"/>
      <c r="Q860" s="2"/>
      <c r="R860" s="2"/>
      <c r="S860" s="2"/>
      <c r="T860" s="2"/>
      <c r="U860" s="2"/>
      <c r="V860" s="2"/>
      <c r="W860" s="158"/>
      <c r="X860" s="2"/>
      <c r="Y860" s="2"/>
      <c r="Z860" s="2"/>
    </row>
    <row r="861" spans="1:26" ht="13.5" customHeight="1">
      <c r="A861" s="2"/>
      <c r="B861" s="2"/>
      <c r="C861" s="2"/>
      <c r="D861" s="2"/>
      <c r="E861" s="2"/>
      <c r="F861" s="2"/>
      <c r="G861" s="2"/>
      <c r="H861" s="2"/>
      <c r="I861" s="2"/>
      <c r="J861" s="2"/>
      <c r="K861" s="2"/>
      <c r="L861" s="2"/>
      <c r="M861" s="2"/>
      <c r="N861" s="2"/>
      <c r="O861" s="2"/>
      <c r="P861" s="2"/>
      <c r="Q861" s="2"/>
      <c r="R861" s="2"/>
      <c r="S861" s="2"/>
      <c r="T861" s="2"/>
      <c r="U861" s="2"/>
      <c r="V861" s="2"/>
      <c r="W861" s="158"/>
      <c r="X861" s="2"/>
      <c r="Y861" s="2"/>
      <c r="Z861" s="2"/>
    </row>
    <row r="862" spans="1:26" ht="13.5" customHeight="1">
      <c r="A862" s="2"/>
      <c r="B862" s="2"/>
      <c r="C862" s="2"/>
      <c r="D862" s="2"/>
      <c r="E862" s="2"/>
      <c r="F862" s="2"/>
      <c r="G862" s="2"/>
      <c r="H862" s="2"/>
      <c r="I862" s="2"/>
      <c r="J862" s="2"/>
      <c r="K862" s="2"/>
      <c r="L862" s="2"/>
      <c r="M862" s="2"/>
      <c r="N862" s="2"/>
      <c r="O862" s="2"/>
      <c r="P862" s="2"/>
      <c r="Q862" s="2"/>
      <c r="R862" s="2"/>
      <c r="S862" s="2"/>
      <c r="T862" s="2"/>
      <c r="U862" s="2"/>
      <c r="V862" s="2"/>
      <c r="W862" s="158"/>
      <c r="X862" s="2"/>
      <c r="Y862" s="2"/>
      <c r="Z862" s="2"/>
    </row>
    <row r="863" spans="1:26" ht="13.5" customHeight="1">
      <c r="A863" s="2"/>
      <c r="B863" s="2"/>
      <c r="C863" s="2"/>
      <c r="D863" s="2"/>
      <c r="E863" s="2"/>
      <c r="F863" s="2"/>
      <c r="G863" s="2"/>
      <c r="H863" s="2"/>
      <c r="I863" s="2"/>
      <c r="J863" s="2"/>
      <c r="K863" s="2"/>
      <c r="L863" s="2"/>
      <c r="M863" s="2"/>
      <c r="N863" s="2"/>
      <c r="O863" s="2"/>
      <c r="P863" s="2"/>
      <c r="Q863" s="2"/>
      <c r="R863" s="2"/>
      <c r="S863" s="2"/>
      <c r="T863" s="2"/>
      <c r="U863" s="2"/>
      <c r="V863" s="2"/>
      <c r="W863" s="158"/>
      <c r="X863" s="2"/>
      <c r="Y863" s="2"/>
      <c r="Z863" s="2"/>
    </row>
    <row r="864" spans="1:26" ht="13.5" customHeight="1">
      <c r="A864" s="2"/>
      <c r="B864" s="2"/>
      <c r="C864" s="2"/>
      <c r="D864" s="2"/>
      <c r="E864" s="2"/>
      <c r="F864" s="2"/>
      <c r="G864" s="2"/>
      <c r="H864" s="2"/>
      <c r="I864" s="2"/>
      <c r="J864" s="2"/>
      <c r="K864" s="2"/>
      <c r="L864" s="2"/>
      <c r="M864" s="2"/>
      <c r="N864" s="2"/>
      <c r="O864" s="2"/>
      <c r="P864" s="2"/>
      <c r="Q864" s="2"/>
      <c r="R864" s="2"/>
      <c r="S864" s="2"/>
      <c r="T864" s="2"/>
      <c r="U864" s="2"/>
      <c r="V864" s="2"/>
      <c r="W864" s="158"/>
      <c r="X864" s="2"/>
      <c r="Y864" s="2"/>
      <c r="Z864" s="2"/>
    </row>
    <row r="865" spans="1:26" ht="13.5" customHeight="1">
      <c r="A865" s="2"/>
      <c r="B865" s="2"/>
      <c r="C865" s="2"/>
      <c r="D865" s="2"/>
      <c r="E865" s="2"/>
      <c r="F865" s="2"/>
      <c r="G865" s="2"/>
      <c r="H865" s="2"/>
      <c r="I865" s="2"/>
      <c r="J865" s="2"/>
      <c r="K865" s="2"/>
      <c r="L865" s="2"/>
      <c r="M865" s="2"/>
      <c r="N865" s="2"/>
      <c r="O865" s="2"/>
      <c r="P865" s="2"/>
      <c r="Q865" s="2"/>
      <c r="R865" s="2"/>
      <c r="S865" s="2"/>
      <c r="T865" s="2"/>
      <c r="U865" s="2"/>
      <c r="V865" s="2"/>
      <c r="W865" s="158"/>
      <c r="X865" s="2"/>
      <c r="Y865" s="2"/>
      <c r="Z865" s="2"/>
    </row>
    <row r="866" spans="1:26" ht="13.5" customHeight="1">
      <c r="A866" s="2"/>
      <c r="B866" s="2"/>
      <c r="C866" s="2"/>
      <c r="D866" s="2"/>
      <c r="E866" s="2"/>
      <c r="F866" s="2"/>
      <c r="G866" s="2"/>
      <c r="H866" s="2"/>
      <c r="I866" s="2"/>
      <c r="J866" s="2"/>
      <c r="K866" s="2"/>
      <c r="L866" s="2"/>
      <c r="M866" s="2"/>
      <c r="N866" s="2"/>
      <c r="O866" s="2"/>
      <c r="P866" s="2"/>
      <c r="Q866" s="2"/>
      <c r="R866" s="2"/>
      <c r="S866" s="2"/>
      <c r="T866" s="2"/>
      <c r="U866" s="2"/>
      <c r="V866" s="2"/>
      <c r="W866" s="158"/>
      <c r="X866" s="2"/>
      <c r="Y866" s="2"/>
      <c r="Z866" s="2"/>
    </row>
    <row r="867" spans="1:26" ht="13.5" customHeight="1">
      <c r="A867" s="2"/>
      <c r="B867" s="2"/>
      <c r="C867" s="2"/>
      <c r="D867" s="2"/>
      <c r="E867" s="2"/>
      <c r="F867" s="2"/>
      <c r="G867" s="2"/>
      <c r="H867" s="2"/>
      <c r="I867" s="2"/>
      <c r="J867" s="2"/>
      <c r="K867" s="2"/>
      <c r="L867" s="2"/>
      <c r="M867" s="2"/>
      <c r="N867" s="2"/>
      <c r="O867" s="2"/>
      <c r="P867" s="2"/>
      <c r="Q867" s="2"/>
      <c r="R867" s="2"/>
      <c r="S867" s="2"/>
      <c r="T867" s="2"/>
      <c r="U867" s="2"/>
      <c r="V867" s="2"/>
      <c r="W867" s="158"/>
      <c r="X867" s="2"/>
      <c r="Y867" s="2"/>
      <c r="Z867" s="2"/>
    </row>
    <row r="868" spans="1:26" ht="13.5" customHeight="1">
      <c r="A868" s="2"/>
      <c r="B868" s="2"/>
      <c r="C868" s="2"/>
      <c r="D868" s="2"/>
      <c r="E868" s="2"/>
      <c r="F868" s="2"/>
      <c r="G868" s="2"/>
      <c r="H868" s="2"/>
      <c r="I868" s="2"/>
      <c r="J868" s="2"/>
      <c r="K868" s="2"/>
      <c r="L868" s="2"/>
      <c r="M868" s="2"/>
      <c r="N868" s="2"/>
      <c r="O868" s="2"/>
      <c r="P868" s="2"/>
      <c r="Q868" s="2"/>
      <c r="R868" s="2"/>
      <c r="S868" s="2"/>
      <c r="T868" s="2"/>
      <c r="U868" s="2"/>
      <c r="V868" s="2"/>
      <c r="W868" s="158"/>
      <c r="X868" s="2"/>
      <c r="Y868" s="2"/>
      <c r="Z868" s="2"/>
    </row>
    <row r="869" spans="1:26" ht="13.5" customHeight="1">
      <c r="A869" s="2"/>
      <c r="B869" s="2"/>
      <c r="C869" s="2"/>
      <c r="D869" s="2"/>
      <c r="E869" s="2"/>
      <c r="F869" s="2"/>
      <c r="G869" s="2"/>
      <c r="H869" s="2"/>
      <c r="I869" s="2"/>
      <c r="J869" s="2"/>
      <c r="K869" s="2"/>
      <c r="L869" s="2"/>
      <c r="M869" s="2"/>
      <c r="N869" s="2"/>
      <c r="O869" s="2"/>
      <c r="P869" s="2"/>
      <c r="Q869" s="2"/>
      <c r="R869" s="2"/>
      <c r="S869" s="2"/>
      <c r="T869" s="2"/>
      <c r="U869" s="2"/>
      <c r="V869" s="2"/>
      <c r="W869" s="158"/>
      <c r="X869" s="2"/>
      <c r="Y869" s="2"/>
      <c r="Z869" s="2"/>
    </row>
    <row r="870" spans="1:26" ht="13.5" customHeight="1">
      <c r="A870" s="2"/>
      <c r="B870" s="2"/>
      <c r="C870" s="2"/>
      <c r="D870" s="2"/>
      <c r="E870" s="2"/>
      <c r="F870" s="2"/>
      <c r="G870" s="2"/>
      <c r="H870" s="2"/>
      <c r="I870" s="2"/>
      <c r="J870" s="2"/>
      <c r="K870" s="2"/>
      <c r="L870" s="2"/>
      <c r="M870" s="2"/>
      <c r="N870" s="2"/>
      <c r="O870" s="2"/>
      <c r="P870" s="2"/>
      <c r="Q870" s="2"/>
      <c r="R870" s="2"/>
      <c r="S870" s="2"/>
      <c r="T870" s="2"/>
      <c r="U870" s="2"/>
      <c r="V870" s="2"/>
      <c r="W870" s="158"/>
      <c r="X870" s="2"/>
      <c r="Y870" s="2"/>
      <c r="Z870" s="2"/>
    </row>
    <row r="871" spans="1:26" ht="13.5" customHeight="1">
      <c r="A871" s="2"/>
      <c r="B871" s="2"/>
      <c r="C871" s="2"/>
      <c r="D871" s="2"/>
      <c r="E871" s="2"/>
      <c r="F871" s="2"/>
      <c r="G871" s="2"/>
      <c r="H871" s="2"/>
      <c r="I871" s="2"/>
      <c r="J871" s="2"/>
      <c r="K871" s="2"/>
      <c r="L871" s="2"/>
      <c r="M871" s="2"/>
      <c r="N871" s="2"/>
      <c r="O871" s="2"/>
      <c r="P871" s="2"/>
      <c r="Q871" s="2"/>
      <c r="R871" s="2"/>
      <c r="S871" s="2"/>
      <c r="T871" s="2"/>
      <c r="U871" s="2"/>
      <c r="V871" s="2"/>
      <c r="W871" s="158"/>
      <c r="X871" s="2"/>
      <c r="Y871" s="2"/>
      <c r="Z871" s="2"/>
    </row>
    <row r="872" spans="1:26" ht="13.5" customHeight="1">
      <c r="A872" s="2"/>
      <c r="B872" s="2"/>
      <c r="C872" s="2"/>
      <c r="D872" s="2"/>
      <c r="E872" s="2"/>
      <c r="F872" s="2"/>
      <c r="G872" s="2"/>
      <c r="H872" s="2"/>
      <c r="I872" s="2"/>
      <c r="J872" s="2"/>
      <c r="K872" s="2"/>
      <c r="L872" s="2"/>
      <c r="M872" s="2"/>
      <c r="N872" s="2"/>
      <c r="O872" s="2"/>
      <c r="P872" s="2"/>
      <c r="Q872" s="2"/>
      <c r="R872" s="2"/>
      <c r="S872" s="2"/>
      <c r="T872" s="2"/>
      <c r="U872" s="2"/>
      <c r="V872" s="2"/>
      <c r="W872" s="158"/>
      <c r="X872" s="2"/>
      <c r="Y872" s="2"/>
      <c r="Z872" s="2"/>
    </row>
    <row r="873" spans="1:26" ht="13.5" customHeight="1">
      <c r="A873" s="2"/>
      <c r="B873" s="2"/>
      <c r="C873" s="2"/>
      <c r="D873" s="2"/>
      <c r="E873" s="2"/>
      <c r="F873" s="2"/>
      <c r="G873" s="2"/>
      <c r="H873" s="2"/>
      <c r="I873" s="2"/>
      <c r="J873" s="2"/>
      <c r="K873" s="2"/>
      <c r="L873" s="2"/>
      <c r="M873" s="2"/>
      <c r="N873" s="2"/>
      <c r="O873" s="2"/>
      <c r="P873" s="2"/>
      <c r="Q873" s="2"/>
      <c r="R873" s="2"/>
      <c r="S873" s="2"/>
      <c r="T873" s="2"/>
      <c r="U873" s="2"/>
      <c r="V873" s="2"/>
      <c r="W873" s="158"/>
      <c r="X873" s="2"/>
      <c r="Y873" s="2"/>
      <c r="Z873" s="2"/>
    </row>
    <row r="874" spans="1:26" ht="13.5" customHeight="1">
      <c r="A874" s="2"/>
      <c r="B874" s="2"/>
      <c r="C874" s="2"/>
      <c r="D874" s="2"/>
      <c r="E874" s="2"/>
      <c r="F874" s="2"/>
      <c r="G874" s="2"/>
      <c r="H874" s="2"/>
      <c r="I874" s="2"/>
      <c r="J874" s="2"/>
      <c r="K874" s="2"/>
      <c r="L874" s="2"/>
      <c r="M874" s="2"/>
      <c r="N874" s="2"/>
      <c r="O874" s="2"/>
      <c r="P874" s="2"/>
      <c r="Q874" s="2"/>
      <c r="R874" s="2"/>
      <c r="S874" s="2"/>
      <c r="T874" s="2"/>
      <c r="U874" s="2"/>
      <c r="V874" s="2"/>
      <c r="W874" s="158"/>
      <c r="X874" s="2"/>
      <c r="Y874" s="2"/>
      <c r="Z874" s="2"/>
    </row>
    <row r="875" spans="1:26" ht="13.5" customHeight="1">
      <c r="A875" s="2"/>
      <c r="B875" s="2"/>
      <c r="C875" s="2"/>
      <c r="D875" s="2"/>
      <c r="E875" s="2"/>
      <c r="F875" s="2"/>
      <c r="G875" s="2"/>
      <c r="H875" s="2"/>
      <c r="I875" s="2"/>
      <c r="J875" s="2"/>
      <c r="K875" s="2"/>
      <c r="L875" s="2"/>
      <c r="M875" s="2"/>
      <c r="N875" s="2"/>
      <c r="O875" s="2"/>
      <c r="P875" s="2"/>
      <c r="Q875" s="2"/>
      <c r="R875" s="2"/>
      <c r="S875" s="2"/>
      <c r="T875" s="2"/>
      <c r="U875" s="2"/>
      <c r="V875" s="2"/>
      <c r="W875" s="158"/>
      <c r="X875" s="2"/>
      <c r="Y875" s="2"/>
      <c r="Z875" s="2"/>
    </row>
    <row r="876" spans="1:26" ht="13.5" customHeight="1">
      <c r="A876" s="2"/>
      <c r="B876" s="2"/>
      <c r="C876" s="2"/>
      <c r="D876" s="2"/>
      <c r="E876" s="2"/>
      <c r="F876" s="2"/>
      <c r="G876" s="2"/>
      <c r="H876" s="2"/>
      <c r="I876" s="2"/>
      <c r="J876" s="2"/>
      <c r="K876" s="2"/>
      <c r="L876" s="2"/>
      <c r="M876" s="2"/>
      <c r="N876" s="2"/>
      <c r="O876" s="2"/>
      <c r="P876" s="2"/>
      <c r="Q876" s="2"/>
      <c r="R876" s="2"/>
      <c r="S876" s="2"/>
      <c r="T876" s="2"/>
      <c r="U876" s="2"/>
      <c r="V876" s="2"/>
      <c r="W876" s="158"/>
      <c r="X876" s="2"/>
      <c r="Y876" s="2"/>
      <c r="Z876" s="2"/>
    </row>
    <row r="877" spans="1:26" ht="13.5" customHeight="1">
      <c r="A877" s="2"/>
      <c r="B877" s="2"/>
      <c r="C877" s="2"/>
      <c r="D877" s="2"/>
      <c r="E877" s="2"/>
      <c r="F877" s="2"/>
      <c r="G877" s="2"/>
      <c r="H877" s="2"/>
      <c r="I877" s="2"/>
      <c r="J877" s="2"/>
      <c r="K877" s="2"/>
      <c r="L877" s="2"/>
      <c r="M877" s="2"/>
      <c r="N877" s="2"/>
      <c r="O877" s="2"/>
      <c r="P877" s="2"/>
      <c r="Q877" s="2"/>
      <c r="R877" s="2"/>
      <c r="S877" s="2"/>
      <c r="T877" s="2"/>
      <c r="U877" s="2"/>
      <c r="V877" s="2"/>
      <c r="W877" s="158"/>
      <c r="X877" s="2"/>
      <c r="Y877" s="2"/>
      <c r="Z877" s="2"/>
    </row>
    <row r="878" spans="1:26" ht="13.5" customHeight="1">
      <c r="A878" s="2"/>
      <c r="B878" s="2"/>
      <c r="C878" s="2"/>
      <c r="D878" s="2"/>
      <c r="E878" s="2"/>
      <c r="F878" s="2"/>
      <c r="G878" s="2"/>
      <c r="H878" s="2"/>
      <c r="I878" s="2"/>
      <c r="J878" s="2"/>
      <c r="K878" s="2"/>
      <c r="L878" s="2"/>
      <c r="M878" s="2"/>
      <c r="N878" s="2"/>
      <c r="O878" s="2"/>
      <c r="P878" s="2"/>
      <c r="Q878" s="2"/>
      <c r="R878" s="2"/>
      <c r="S878" s="2"/>
      <c r="T878" s="2"/>
      <c r="U878" s="2"/>
      <c r="V878" s="2"/>
      <c r="W878" s="158"/>
      <c r="X878" s="2"/>
      <c r="Y878" s="2"/>
      <c r="Z878" s="2"/>
    </row>
    <row r="879" spans="1:26" ht="13.5" customHeight="1">
      <c r="A879" s="2"/>
      <c r="B879" s="2"/>
      <c r="C879" s="2"/>
      <c r="D879" s="2"/>
      <c r="E879" s="2"/>
      <c r="F879" s="2"/>
      <c r="G879" s="2"/>
      <c r="H879" s="2"/>
      <c r="I879" s="2"/>
      <c r="J879" s="2"/>
      <c r="K879" s="2"/>
      <c r="L879" s="2"/>
      <c r="M879" s="2"/>
      <c r="N879" s="2"/>
      <c r="O879" s="2"/>
      <c r="P879" s="2"/>
      <c r="Q879" s="2"/>
      <c r="R879" s="2"/>
      <c r="S879" s="2"/>
      <c r="T879" s="2"/>
      <c r="U879" s="2"/>
      <c r="V879" s="2"/>
      <c r="W879" s="158"/>
      <c r="X879" s="2"/>
      <c r="Y879" s="2"/>
      <c r="Z879" s="2"/>
    </row>
    <row r="880" spans="1:26" ht="13.5" customHeight="1">
      <c r="A880" s="2"/>
      <c r="B880" s="2"/>
      <c r="C880" s="2"/>
      <c r="D880" s="2"/>
      <c r="E880" s="2"/>
      <c r="F880" s="2"/>
      <c r="G880" s="2"/>
      <c r="H880" s="2"/>
      <c r="I880" s="2"/>
      <c r="J880" s="2"/>
      <c r="K880" s="2"/>
      <c r="L880" s="2"/>
      <c r="M880" s="2"/>
      <c r="N880" s="2"/>
      <c r="O880" s="2"/>
      <c r="P880" s="2"/>
      <c r="Q880" s="2"/>
      <c r="R880" s="2"/>
      <c r="S880" s="2"/>
      <c r="T880" s="2"/>
      <c r="U880" s="2"/>
      <c r="V880" s="2"/>
      <c r="W880" s="158"/>
      <c r="X880" s="2"/>
      <c r="Y880" s="2"/>
      <c r="Z880" s="2"/>
    </row>
    <row r="881" spans="1:26" ht="13.5" customHeight="1">
      <c r="A881" s="2"/>
      <c r="B881" s="2"/>
      <c r="C881" s="2"/>
      <c r="D881" s="2"/>
      <c r="E881" s="2"/>
      <c r="F881" s="2"/>
      <c r="G881" s="2"/>
      <c r="H881" s="2"/>
      <c r="I881" s="2"/>
      <c r="J881" s="2"/>
      <c r="K881" s="2"/>
      <c r="L881" s="2"/>
      <c r="M881" s="2"/>
      <c r="N881" s="2"/>
      <c r="O881" s="2"/>
      <c r="P881" s="2"/>
      <c r="Q881" s="2"/>
      <c r="R881" s="2"/>
      <c r="S881" s="2"/>
      <c r="T881" s="2"/>
      <c r="U881" s="2"/>
      <c r="V881" s="2"/>
      <c r="W881" s="158"/>
      <c r="X881" s="2"/>
      <c r="Y881" s="2"/>
      <c r="Z881" s="2"/>
    </row>
    <row r="882" spans="1:26" ht="13.5" customHeight="1">
      <c r="A882" s="2"/>
      <c r="B882" s="2"/>
      <c r="C882" s="2"/>
      <c r="D882" s="2"/>
      <c r="E882" s="2"/>
      <c r="F882" s="2"/>
      <c r="G882" s="2"/>
      <c r="H882" s="2"/>
      <c r="I882" s="2"/>
      <c r="J882" s="2"/>
      <c r="K882" s="2"/>
      <c r="L882" s="2"/>
      <c r="M882" s="2"/>
      <c r="N882" s="2"/>
      <c r="O882" s="2"/>
      <c r="P882" s="2"/>
      <c r="Q882" s="2"/>
      <c r="R882" s="2"/>
      <c r="S882" s="2"/>
      <c r="T882" s="2"/>
      <c r="U882" s="2"/>
      <c r="V882" s="2"/>
      <c r="W882" s="158"/>
      <c r="X882" s="2"/>
      <c r="Y882" s="2"/>
      <c r="Z882" s="2"/>
    </row>
    <row r="883" spans="1:26" ht="13.5" customHeight="1">
      <c r="A883" s="2"/>
      <c r="B883" s="2"/>
      <c r="C883" s="2"/>
      <c r="D883" s="2"/>
      <c r="E883" s="2"/>
      <c r="F883" s="2"/>
      <c r="G883" s="2"/>
      <c r="H883" s="2"/>
      <c r="I883" s="2"/>
      <c r="J883" s="2"/>
      <c r="K883" s="2"/>
      <c r="L883" s="2"/>
      <c r="M883" s="2"/>
      <c r="N883" s="2"/>
      <c r="O883" s="2"/>
      <c r="P883" s="2"/>
      <c r="Q883" s="2"/>
      <c r="R883" s="2"/>
      <c r="S883" s="2"/>
      <c r="T883" s="2"/>
      <c r="U883" s="2"/>
      <c r="V883" s="2"/>
      <c r="W883" s="158"/>
      <c r="X883" s="2"/>
      <c r="Y883" s="2"/>
      <c r="Z883" s="2"/>
    </row>
    <row r="884" spans="1:26" ht="13.5" customHeight="1">
      <c r="A884" s="2"/>
      <c r="B884" s="2"/>
      <c r="C884" s="2"/>
      <c r="D884" s="2"/>
      <c r="E884" s="2"/>
      <c r="F884" s="2"/>
      <c r="G884" s="2"/>
      <c r="H884" s="2"/>
      <c r="I884" s="2"/>
      <c r="J884" s="2"/>
      <c r="K884" s="2"/>
      <c r="L884" s="2"/>
      <c r="M884" s="2"/>
      <c r="N884" s="2"/>
      <c r="O884" s="2"/>
      <c r="P884" s="2"/>
      <c r="Q884" s="2"/>
      <c r="R884" s="2"/>
      <c r="S884" s="2"/>
      <c r="T884" s="2"/>
      <c r="U884" s="2"/>
      <c r="V884" s="2"/>
      <c r="W884" s="158"/>
      <c r="X884" s="2"/>
      <c r="Y884" s="2"/>
      <c r="Z884" s="2"/>
    </row>
    <row r="885" spans="1:26" ht="13.5" customHeight="1">
      <c r="A885" s="2"/>
      <c r="B885" s="2"/>
      <c r="C885" s="2"/>
      <c r="D885" s="2"/>
      <c r="E885" s="2"/>
      <c r="F885" s="2"/>
      <c r="G885" s="2"/>
      <c r="H885" s="2"/>
      <c r="I885" s="2"/>
      <c r="J885" s="2"/>
      <c r="K885" s="2"/>
      <c r="L885" s="2"/>
      <c r="M885" s="2"/>
      <c r="N885" s="2"/>
      <c r="O885" s="2"/>
      <c r="P885" s="2"/>
      <c r="Q885" s="2"/>
      <c r="R885" s="2"/>
      <c r="S885" s="2"/>
      <c r="T885" s="2"/>
      <c r="U885" s="2"/>
      <c r="V885" s="2"/>
      <c r="W885" s="158"/>
      <c r="X885" s="2"/>
      <c r="Y885" s="2"/>
      <c r="Z885" s="2"/>
    </row>
    <row r="886" spans="1:26" ht="13.5" customHeight="1">
      <c r="A886" s="2"/>
      <c r="B886" s="2"/>
      <c r="C886" s="2"/>
      <c r="D886" s="2"/>
      <c r="E886" s="2"/>
      <c r="F886" s="2"/>
      <c r="G886" s="2"/>
      <c r="H886" s="2"/>
      <c r="I886" s="2"/>
      <c r="J886" s="2"/>
      <c r="K886" s="2"/>
      <c r="L886" s="2"/>
      <c r="M886" s="2"/>
      <c r="N886" s="2"/>
      <c r="O886" s="2"/>
      <c r="P886" s="2"/>
      <c r="Q886" s="2"/>
      <c r="R886" s="2"/>
      <c r="S886" s="2"/>
      <c r="T886" s="2"/>
      <c r="U886" s="2"/>
      <c r="V886" s="2"/>
      <c r="W886" s="158"/>
      <c r="X886" s="2"/>
      <c r="Y886" s="2"/>
      <c r="Z886" s="2"/>
    </row>
    <row r="887" spans="1:26" ht="13.5" customHeight="1">
      <c r="A887" s="2"/>
      <c r="B887" s="2"/>
      <c r="C887" s="2"/>
      <c r="D887" s="2"/>
      <c r="E887" s="2"/>
      <c r="F887" s="2"/>
      <c r="G887" s="2"/>
      <c r="H887" s="2"/>
      <c r="I887" s="2"/>
      <c r="J887" s="2"/>
      <c r="K887" s="2"/>
      <c r="L887" s="2"/>
      <c r="M887" s="2"/>
      <c r="N887" s="2"/>
      <c r="O887" s="2"/>
      <c r="P887" s="2"/>
      <c r="Q887" s="2"/>
      <c r="R887" s="2"/>
      <c r="S887" s="2"/>
      <c r="T887" s="2"/>
      <c r="U887" s="2"/>
      <c r="V887" s="2"/>
      <c r="W887" s="158"/>
      <c r="X887" s="2"/>
      <c r="Y887" s="2"/>
      <c r="Z887" s="2"/>
    </row>
    <row r="888" spans="1:26" ht="13.5" customHeight="1">
      <c r="A888" s="2"/>
      <c r="B888" s="2"/>
      <c r="C888" s="2"/>
      <c r="D888" s="2"/>
      <c r="E888" s="2"/>
      <c r="F888" s="2"/>
      <c r="G888" s="2"/>
      <c r="H888" s="2"/>
      <c r="I888" s="2"/>
      <c r="J888" s="2"/>
      <c r="K888" s="2"/>
      <c r="L888" s="2"/>
      <c r="M888" s="2"/>
      <c r="N888" s="2"/>
      <c r="O888" s="2"/>
      <c r="P888" s="2"/>
      <c r="Q888" s="2"/>
      <c r="R888" s="2"/>
      <c r="S888" s="2"/>
      <c r="T888" s="2"/>
      <c r="U888" s="2"/>
      <c r="V888" s="2"/>
      <c r="W888" s="158"/>
      <c r="X888" s="2"/>
      <c r="Y888" s="2"/>
      <c r="Z888" s="2"/>
    </row>
    <row r="889" spans="1:26" ht="13.5" customHeight="1">
      <c r="A889" s="2"/>
      <c r="B889" s="2"/>
      <c r="C889" s="2"/>
      <c r="D889" s="2"/>
      <c r="E889" s="2"/>
      <c r="F889" s="2"/>
      <c r="G889" s="2"/>
      <c r="H889" s="2"/>
      <c r="I889" s="2"/>
      <c r="J889" s="2"/>
      <c r="K889" s="2"/>
      <c r="L889" s="2"/>
      <c r="M889" s="2"/>
      <c r="N889" s="2"/>
      <c r="O889" s="2"/>
      <c r="P889" s="2"/>
      <c r="Q889" s="2"/>
      <c r="R889" s="2"/>
      <c r="S889" s="2"/>
      <c r="T889" s="2"/>
      <c r="U889" s="2"/>
      <c r="V889" s="2"/>
      <c r="W889" s="158"/>
      <c r="X889" s="2"/>
      <c r="Y889" s="2"/>
      <c r="Z889" s="2"/>
    </row>
    <row r="890" spans="1:26" ht="13.5" customHeight="1">
      <c r="A890" s="2"/>
      <c r="B890" s="2"/>
      <c r="C890" s="2"/>
      <c r="D890" s="2"/>
      <c r="E890" s="2"/>
      <c r="F890" s="2"/>
      <c r="G890" s="2"/>
      <c r="H890" s="2"/>
      <c r="I890" s="2"/>
      <c r="J890" s="2"/>
      <c r="K890" s="2"/>
      <c r="L890" s="2"/>
      <c r="M890" s="2"/>
      <c r="N890" s="2"/>
      <c r="O890" s="2"/>
      <c r="P890" s="2"/>
      <c r="Q890" s="2"/>
      <c r="R890" s="2"/>
      <c r="S890" s="2"/>
      <c r="T890" s="2"/>
      <c r="U890" s="2"/>
      <c r="V890" s="2"/>
      <c r="W890" s="158"/>
      <c r="X890" s="2"/>
      <c r="Y890" s="2"/>
      <c r="Z890" s="2"/>
    </row>
    <row r="891" spans="1:26" ht="13.5" customHeight="1">
      <c r="A891" s="2"/>
      <c r="B891" s="2"/>
      <c r="C891" s="2"/>
      <c r="D891" s="2"/>
      <c r="E891" s="2"/>
      <c r="F891" s="2"/>
      <c r="G891" s="2"/>
      <c r="H891" s="2"/>
      <c r="I891" s="2"/>
      <c r="J891" s="2"/>
      <c r="K891" s="2"/>
      <c r="L891" s="2"/>
      <c r="M891" s="2"/>
      <c r="N891" s="2"/>
      <c r="O891" s="2"/>
      <c r="P891" s="2"/>
      <c r="Q891" s="2"/>
      <c r="R891" s="2"/>
      <c r="S891" s="2"/>
      <c r="T891" s="2"/>
      <c r="U891" s="2"/>
      <c r="V891" s="2"/>
      <c r="W891" s="158"/>
      <c r="X891" s="2"/>
      <c r="Y891" s="2"/>
      <c r="Z891" s="2"/>
    </row>
    <row r="892" spans="1:26" ht="13.5" customHeight="1">
      <c r="A892" s="2"/>
      <c r="B892" s="2"/>
      <c r="C892" s="2"/>
      <c r="D892" s="2"/>
      <c r="E892" s="2"/>
      <c r="F892" s="2"/>
      <c r="G892" s="2"/>
      <c r="H892" s="2"/>
      <c r="I892" s="2"/>
      <c r="J892" s="2"/>
      <c r="K892" s="2"/>
      <c r="L892" s="2"/>
      <c r="M892" s="2"/>
      <c r="N892" s="2"/>
      <c r="O892" s="2"/>
      <c r="P892" s="2"/>
      <c r="Q892" s="2"/>
      <c r="R892" s="2"/>
      <c r="S892" s="2"/>
      <c r="T892" s="2"/>
      <c r="U892" s="2"/>
      <c r="V892" s="2"/>
      <c r="W892" s="158"/>
      <c r="X892" s="2"/>
      <c r="Y892" s="2"/>
      <c r="Z892" s="2"/>
    </row>
    <row r="893" spans="1:26" ht="13.5" customHeight="1">
      <c r="A893" s="2"/>
      <c r="B893" s="2"/>
      <c r="C893" s="2"/>
      <c r="D893" s="2"/>
      <c r="E893" s="2"/>
      <c r="F893" s="2"/>
      <c r="G893" s="2"/>
      <c r="H893" s="2"/>
      <c r="I893" s="2"/>
      <c r="J893" s="2"/>
      <c r="K893" s="2"/>
      <c r="L893" s="2"/>
      <c r="M893" s="2"/>
      <c r="N893" s="2"/>
      <c r="O893" s="2"/>
      <c r="P893" s="2"/>
      <c r="Q893" s="2"/>
      <c r="R893" s="2"/>
      <c r="S893" s="2"/>
      <c r="T893" s="2"/>
      <c r="U893" s="2"/>
      <c r="V893" s="2"/>
      <c r="W893" s="158"/>
      <c r="X893" s="2"/>
      <c r="Y893" s="2"/>
      <c r="Z893" s="2"/>
    </row>
    <row r="894" spans="1:26" ht="13.5" customHeight="1">
      <c r="A894" s="2"/>
      <c r="B894" s="2"/>
      <c r="C894" s="2"/>
      <c r="D894" s="2"/>
      <c r="E894" s="2"/>
      <c r="F894" s="2"/>
      <c r="G894" s="2"/>
      <c r="H894" s="2"/>
      <c r="I894" s="2"/>
      <c r="J894" s="2"/>
      <c r="K894" s="2"/>
      <c r="L894" s="2"/>
      <c r="M894" s="2"/>
      <c r="N894" s="2"/>
      <c r="O894" s="2"/>
      <c r="P894" s="2"/>
      <c r="Q894" s="2"/>
      <c r="R894" s="2"/>
      <c r="S894" s="2"/>
      <c r="T894" s="2"/>
      <c r="U894" s="2"/>
      <c r="V894" s="2"/>
      <c r="W894" s="158"/>
      <c r="X894" s="2"/>
      <c r="Y894" s="2"/>
      <c r="Z894" s="2"/>
    </row>
    <row r="895" spans="1:26" ht="13.5" customHeight="1">
      <c r="A895" s="2"/>
      <c r="B895" s="2"/>
      <c r="C895" s="2"/>
      <c r="D895" s="2"/>
      <c r="E895" s="2"/>
      <c r="F895" s="2"/>
      <c r="G895" s="2"/>
      <c r="H895" s="2"/>
      <c r="I895" s="2"/>
      <c r="J895" s="2"/>
      <c r="K895" s="2"/>
      <c r="L895" s="2"/>
      <c r="M895" s="2"/>
      <c r="N895" s="2"/>
      <c r="O895" s="2"/>
      <c r="P895" s="2"/>
      <c r="Q895" s="2"/>
      <c r="R895" s="2"/>
      <c r="S895" s="2"/>
      <c r="T895" s="2"/>
      <c r="U895" s="2"/>
      <c r="V895" s="2"/>
      <c r="W895" s="158"/>
      <c r="X895" s="2"/>
      <c r="Y895" s="2"/>
      <c r="Z895" s="2"/>
    </row>
    <row r="896" spans="1:26" ht="13.5" customHeight="1">
      <c r="A896" s="2"/>
      <c r="B896" s="2"/>
      <c r="C896" s="2"/>
      <c r="D896" s="2"/>
      <c r="E896" s="2"/>
      <c r="F896" s="2"/>
      <c r="G896" s="2"/>
      <c r="H896" s="2"/>
      <c r="I896" s="2"/>
      <c r="J896" s="2"/>
      <c r="K896" s="2"/>
      <c r="L896" s="2"/>
      <c r="M896" s="2"/>
      <c r="N896" s="2"/>
      <c r="O896" s="2"/>
      <c r="P896" s="2"/>
      <c r="Q896" s="2"/>
      <c r="R896" s="2"/>
      <c r="S896" s="2"/>
      <c r="T896" s="2"/>
      <c r="U896" s="2"/>
      <c r="V896" s="2"/>
      <c r="W896" s="158"/>
      <c r="X896" s="2"/>
      <c r="Y896" s="2"/>
      <c r="Z896" s="2"/>
    </row>
    <row r="897" spans="1:26" ht="13.5" customHeight="1">
      <c r="A897" s="2"/>
      <c r="B897" s="2"/>
      <c r="C897" s="2"/>
      <c r="D897" s="2"/>
      <c r="E897" s="2"/>
      <c r="F897" s="2"/>
      <c r="G897" s="2"/>
      <c r="H897" s="2"/>
      <c r="I897" s="2"/>
      <c r="J897" s="2"/>
      <c r="K897" s="2"/>
      <c r="L897" s="2"/>
      <c r="M897" s="2"/>
      <c r="N897" s="2"/>
      <c r="O897" s="2"/>
      <c r="P897" s="2"/>
      <c r="Q897" s="2"/>
      <c r="R897" s="2"/>
      <c r="S897" s="2"/>
      <c r="T897" s="2"/>
      <c r="U897" s="2"/>
      <c r="V897" s="2"/>
      <c r="W897" s="158"/>
      <c r="X897" s="2"/>
      <c r="Y897" s="2"/>
      <c r="Z897" s="2"/>
    </row>
    <row r="898" spans="1:26" ht="13.5" customHeight="1">
      <c r="A898" s="2"/>
      <c r="B898" s="2"/>
      <c r="C898" s="2"/>
      <c r="D898" s="2"/>
      <c r="E898" s="2"/>
      <c r="F898" s="2"/>
      <c r="G898" s="2"/>
      <c r="H898" s="2"/>
      <c r="I898" s="2"/>
      <c r="J898" s="2"/>
      <c r="K898" s="2"/>
      <c r="L898" s="2"/>
      <c r="M898" s="2"/>
      <c r="N898" s="2"/>
      <c r="O898" s="2"/>
      <c r="P898" s="2"/>
      <c r="Q898" s="2"/>
      <c r="R898" s="2"/>
      <c r="S898" s="2"/>
      <c r="T898" s="2"/>
      <c r="U898" s="2"/>
      <c r="V898" s="2"/>
      <c r="W898" s="158"/>
      <c r="X898" s="2"/>
      <c r="Y898" s="2"/>
      <c r="Z898" s="2"/>
    </row>
    <row r="899" spans="1:26" ht="13.5" customHeight="1">
      <c r="A899" s="2"/>
      <c r="B899" s="2"/>
      <c r="C899" s="2"/>
      <c r="D899" s="2"/>
      <c r="E899" s="2"/>
      <c r="F899" s="2"/>
      <c r="G899" s="2"/>
      <c r="H899" s="2"/>
      <c r="I899" s="2"/>
      <c r="J899" s="2"/>
      <c r="K899" s="2"/>
      <c r="L899" s="2"/>
      <c r="M899" s="2"/>
      <c r="N899" s="2"/>
      <c r="O899" s="2"/>
      <c r="P899" s="2"/>
      <c r="Q899" s="2"/>
      <c r="R899" s="2"/>
      <c r="S899" s="2"/>
      <c r="T899" s="2"/>
      <c r="U899" s="2"/>
      <c r="V899" s="2"/>
      <c r="W899" s="158"/>
      <c r="X899" s="2"/>
      <c r="Y899" s="2"/>
      <c r="Z899" s="2"/>
    </row>
    <row r="900" spans="1:26" ht="13.5" customHeight="1">
      <c r="A900" s="2"/>
      <c r="B900" s="2"/>
      <c r="C900" s="2"/>
      <c r="D900" s="2"/>
      <c r="E900" s="2"/>
      <c r="F900" s="2"/>
      <c r="G900" s="2"/>
      <c r="H900" s="2"/>
      <c r="I900" s="2"/>
      <c r="J900" s="2"/>
      <c r="K900" s="2"/>
      <c r="L900" s="2"/>
      <c r="M900" s="2"/>
      <c r="N900" s="2"/>
      <c r="O900" s="2"/>
      <c r="P900" s="2"/>
      <c r="Q900" s="2"/>
      <c r="R900" s="2"/>
      <c r="S900" s="2"/>
      <c r="T900" s="2"/>
      <c r="U900" s="2"/>
      <c r="V900" s="2"/>
      <c r="W900" s="158"/>
      <c r="X900" s="2"/>
      <c r="Y900" s="2"/>
      <c r="Z900" s="2"/>
    </row>
    <row r="901" spans="1:26" ht="13.5" customHeight="1">
      <c r="A901" s="2"/>
      <c r="B901" s="2"/>
      <c r="C901" s="2"/>
      <c r="D901" s="2"/>
      <c r="E901" s="2"/>
      <c r="F901" s="2"/>
      <c r="G901" s="2"/>
      <c r="H901" s="2"/>
      <c r="I901" s="2"/>
      <c r="J901" s="2"/>
      <c r="K901" s="2"/>
      <c r="L901" s="2"/>
      <c r="M901" s="2"/>
      <c r="N901" s="2"/>
      <c r="O901" s="2"/>
      <c r="P901" s="2"/>
      <c r="Q901" s="2"/>
      <c r="R901" s="2"/>
      <c r="S901" s="2"/>
      <c r="T901" s="2"/>
      <c r="U901" s="2"/>
      <c r="V901" s="2"/>
      <c r="W901" s="158"/>
      <c r="X901" s="2"/>
      <c r="Y901" s="2"/>
      <c r="Z901" s="2"/>
    </row>
    <row r="902" spans="1:26" ht="13.5" customHeight="1">
      <c r="A902" s="2"/>
      <c r="B902" s="2"/>
      <c r="C902" s="2"/>
      <c r="D902" s="2"/>
      <c r="E902" s="2"/>
      <c r="F902" s="2"/>
      <c r="G902" s="2"/>
      <c r="H902" s="2"/>
      <c r="I902" s="2"/>
      <c r="J902" s="2"/>
      <c r="K902" s="2"/>
      <c r="L902" s="2"/>
      <c r="M902" s="2"/>
      <c r="N902" s="2"/>
      <c r="O902" s="2"/>
      <c r="P902" s="2"/>
      <c r="Q902" s="2"/>
      <c r="R902" s="2"/>
      <c r="S902" s="2"/>
      <c r="T902" s="2"/>
      <c r="U902" s="2"/>
      <c r="V902" s="2"/>
      <c r="W902" s="158"/>
      <c r="X902" s="2"/>
      <c r="Y902" s="2"/>
      <c r="Z902" s="2"/>
    </row>
    <row r="903" spans="1:26" ht="13.5" customHeight="1">
      <c r="A903" s="2"/>
      <c r="B903" s="2"/>
      <c r="C903" s="2"/>
      <c r="D903" s="2"/>
      <c r="E903" s="2"/>
      <c r="F903" s="2"/>
      <c r="G903" s="2"/>
      <c r="H903" s="2"/>
      <c r="I903" s="2"/>
      <c r="J903" s="2"/>
      <c r="K903" s="2"/>
      <c r="L903" s="2"/>
      <c r="M903" s="2"/>
      <c r="N903" s="2"/>
      <c r="O903" s="2"/>
      <c r="P903" s="2"/>
      <c r="Q903" s="2"/>
      <c r="R903" s="2"/>
      <c r="S903" s="2"/>
      <c r="T903" s="2"/>
      <c r="U903" s="2"/>
      <c r="V903" s="2"/>
      <c r="W903" s="158"/>
      <c r="X903" s="2"/>
      <c r="Y903" s="2"/>
      <c r="Z903" s="2"/>
    </row>
    <row r="904" spans="1:26" ht="13.5" customHeight="1">
      <c r="A904" s="2"/>
      <c r="B904" s="2"/>
      <c r="C904" s="2"/>
      <c r="D904" s="2"/>
      <c r="E904" s="2"/>
      <c r="F904" s="2"/>
      <c r="G904" s="2"/>
      <c r="H904" s="2"/>
      <c r="I904" s="2"/>
      <c r="J904" s="2"/>
      <c r="K904" s="2"/>
      <c r="L904" s="2"/>
      <c r="M904" s="2"/>
      <c r="N904" s="2"/>
      <c r="O904" s="2"/>
      <c r="P904" s="2"/>
      <c r="Q904" s="2"/>
      <c r="R904" s="2"/>
      <c r="S904" s="2"/>
      <c r="T904" s="2"/>
      <c r="U904" s="2"/>
      <c r="V904" s="2"/>
      <c r="W904" s="158"/>
      <c r="X904" s="2"/>
      <c r="Y904" s="2"/>
      <c r="Z904" s="2"/>
    </row>
    <row r="905" spans="1:26" ht="13.5" customHeight="1">
      <c r="A905" s="2"/>
      <c r="B905" s="2"/>
      <c r="C905" s="2"/>
      <c r="D905" s="2"/>
      <c r="E905" s="2"/>
      <c r="F905" s="2"/>
      <c r="G905" s="2"/>
      <c r="H905" s="2"/>
      <c r="I905" s="2"/>
      <c r="J905" s="2"/>
      <c r="K905" s="2"/>
      <c r="L905" s="2"/>
      <c r="M905" s="2"/>
      <c r="N905" s="2"/>
      <c r="O905" s="2"/>
      <c r="P905" s="2"/>
      <c r="Q905" s="2"/>
      <c r="R905" s="2"/>
      <c r="S905" s="2"/>
      <c r="T905" s="2"/>
      <c r="U905" s="2"/>
      <c r="V905" s="2"/>
      <c r="W905" s="158"/>
      <c r="X905" s="2"/>
      <c r="Y905" s="2"/>
      <c r="Z905" s="2"/>
    </row>
    <row r="906" spans="1:26" ht="13.5" customHeight="1">
      <c r="A906" s="2"/>
      <c r="B906" s="2"/>
      <c r="C906" s="2"/>
      <c r="D906" s="2"/>
      <c r="E906" s="2"/>
      <c r="F906" s="2"/>
      <c r="G906" s="2"/>
      <c r="H906" s="2"/>
      <c r="I906" s="2"/>
      <c r="J906" s="2"/>
      <c r="K906" s="2"/>
      <c r="L906" s="2"/>
      <c r="M906" s="2"/>
      <c r="N906" s="2"/>
      <c r="O906" s="2"/>
      <c r="P906" s="2"/>
      <c r="Q906" s="2"/>
      <c r="R906" s="2"/>
      <c r="S906" s="2"/>
      <c r="T906" s="2"/>
      <c r="U906" s="2"/>
      <c r="V906" s="2"/>
      <c r="W906" s="158"/>
      <c r="X906" s="2"/>
      <c r="Y906" s="2"/>
      <c r="Z906" s="2"/>
    </row>
    <row r="907" spans="1:26" ht="13.5" customHeight="1">
      <c r="A907" s="2"/>
      <c r="B907" s="2"/>
      <c r="C907" s="2"/>
      <c r="D907" s="2"/>
      <c r="E907" s="2"/>
      <c r="F907" s="2"/>
      <c r="G907" s="2"/>
      <c r="H907" s="2"/>
      <c r="I907" s="2"/>
      <c r="J907" s="2"/>
      <c r="K907" s="2"/>
      <c r="L907" s="2"/>
      <c r="M907" s="2"/>
      <c r="N907" s="2"/>
      <c r="O907" s="2"/>
      <c r="P907" s="2"/>
      <c r="Q907" s="2"/>
      <c r="R907" s="2"/>
      <c r="S907" s="2"/>
      <c r="T907" s="2"/>
      <c r="U907" s="2"/>
      <c r="V907" s="2"/>
      <c r="W907" s="158"/>
      <c r="X907" s="2"/>
      <c r="Y907" s="2"/>
      <c r="Z907" s="2"/>
    </row>
    <row r="908" spans="1:26" ht="13.5" customHeight="1">
      <c r="A908" s="2"/>
      <c r="B908" s="2"/>
      <c r="C908" s="2"/>
      <c r="D908" s="2"/>
      <c r="E908" s="2"/>
      <c r="F908" s="2"/>
      <c r="G908" s="2"/>
      <c r="H908" s="2"/>
      <c r="I908" s="2"/>
      <c r="J908" s="2"/>
      <c r="K908" s="2"/>
      <c r="L908" s="2"/>
      <c r="M908" s="2"/>
      <c r="N908" s="2"/>
      <c r="O908" s="2"/>
      <c r="P908" s="2"/>
      <c r="Q908" s="2"/>
      <c r="R908" s="2"/>
      <c r="S908" s="2"/>
      <c r="T908" s="2"/>
      <c r="U908" s="2"/>
      <c r="V908" s="2"/>
      <c r="W908" s="158"/>
      <c r="X908" s="2"/>
      <c r="Y908" s="2"/>
      <c r="Z908" s="2"/>
    </row>
    <row r="909" spans="1:26" ht="13.5" customHeight="1">
      <c r="A909" s="2"/>
      <c r="B909" s="2"/>
      <c r="C909" s="2"/>
      <c r="D909" s="2"/>
      <c r="E909" s="2"/>
      <c r="F909" s="2"/>
      <c r="G909" s="2"/>
      <c r="H909" s="2"/>
      <c r="I909" s="2"/>
      <c r="J909" s="2"/>
      <c r="K909" s="2"/>
      <c r="L909" s="2"/>
      <c r="M909" s="2"/>
      <c r="N909" s="2"/>
      <c r="O909" s="2"/>
      <c r="P909" s="2"/>
      <c r="Q909" s="2"/>
      <c r="R909" s="2"/>
      <c r="S909" s="2"/>
      <c r="T909" s="2"/>
      <c r="U909" s="2"/>
      <c r="V909" s="2"/>
      <c r="W909" s="158"/>
      <c r="X909" s="2"/>
      <c r="Y909" s="2"/>
      <c r="Z909" s="2"/>
    </row>
    <row r="910" spans="1:26" ht="13.5" customHeight="1">
      <c r="A910" s="2"/>
      <c r="B910" s="2"/>
      <c r="C910" s="2"/>
      <c r="D910" s="2"/>
      <c r="E910" s="2"/>
      <c r="F910" s="2"/>
      <c r="G910" s="2"/>
      <c r="H910" s="2"/>
      <c r="I910" s="2"/>
      <c r="J910" s="2"/>
      <c r="K910" s="2"/>
      <c r="L910" s="2"/>
      <c r="M910" s="2"/>
      <c r="N910" s="2"/>
      <c r="O910" s="2"/>
      <c r="P910" s="2"/>
      <c r="Q910" s="2"/>
      <c r="R910" s="2"/>
      <c r="S910" s="2"/>
      <c r="T910" s="2"/>
      <c r="U910" s="2"/>
      <c r="V910" s="2"/>
      <c r="W910" s="158"/>
      <c r="X910" s="2"/>
      <c r="Y910" s="2"/>
      <c r="Z910" s="2"/>
    </row>
    <row r="911" spans="1:26" ht="13.5" customHeight="1">
      <c r="A911" s="2"/>
      <c r="B911" s="2"/>
      <c r="C911" s="2"/>
      <c r="D911" s="2"/>
      <c r="E911" s="2"/>
      <c r="F911" s="2"/>
      <c r="G911" s="2"/>
      <c r="H911" s="2"/>
      <c r="I911" s="2"/>
      <c r="J911" s="2"/>
      <c r="K911" s="2"/>
      <c r="L911" s="2"/>
      <c r="M911" s="2"/>
      <c r="N911" s="2"/>
      <c r="O911" s="2"/>
      <c r="P911" s="2"/>
      <c r="Q911" s="2"/>
      <c r="R911" s="2"/>
      <c r="S911" s="2"/>
      <c r="T911" s="2"/>
      <c r="U911" s="2"/>
      <c r="V911" s="2"/>
      <c r="W911" s="158"/>
      <c r="X911" s="2"/>
      <c r="Y911" s="2"/>
      <c r="Z911" s="2"/>
    </row>
    <row r="912" spans="1:26" ht="13.5" customHeight="1">
      <c r="A912" s="2"/>
      <c r="B912" s="2"/>
      <c r="C912" s="2"/>
      <c r="D912" s="2"/>
      <c r="E912" s="2"/>
      <c r="F912" s="2"/>
      <c r="G912" s="2"/>
      <c r="H912" s="2"/>
      <c r="I912" s="2"/>
      <c r="J912" s="2"/>
      <c r="K912" s="2"/>
      <c r="L912" s="2"/>
      <c r="M912" s="2"/>
      <c r="N912" s="2"/>
      <c r="O912" s="2"/>
      <c r="P912" s="2"/>
      <c r="Q912" s="2"/>
      <c r="R912" s="2"/>
      <c r="S912" s="2"/>
      <c r="T912" s="2"/>
      <c r="U912" s="2"/>
      <c r="V912" s="2"/>
      <c r="W912" s="158"/>
      <c r="X912" s="2"/>
      <c r="Y912" s="2"/>
      <c r="Z912" s="2"/>
    </row>
    <row r="913" spans="1:26" ht="13.5" customHeight="1">
      <c r="A913" s="2"/>
      <c r="B913" s="2"/>
      <c r="C913" s="2"/>
      <c r="D913" s="2"/>
      <c r="E913" s="2"/>
      <c r="F913" s="2"/>
      <c r="G913" s="2"/>
      <c r="H913" s="2"/>
      <c r="I913" s="2"/>
      <c r="J913" s="2"/>
      <c r="K913" s="2"/>
      <c r="L913" s="2"/>
      <c r="M913" s="2"/>
      <c r="N913" s="2"/>
      <c r="O913" s="2"/>
      <c r="P913" s="2"/>
      <c r="Q913" s="2"/>
      <c r="R913" s="2"/>
      <c r="S913" s="2"/>
      <c r="T913" s="2"/>
      <c r="U913" s="2"/>
      <c r="V913" s="2"/>
      <c r="W913" s="158"/>
      <c r="X913" s="2"/>
      <c r="Y913" s="2"/>
      <c r="Z913" s="2"/>
    </row>
    <row r="914" spans="1:26" ht="13.5" customHeight="1">
      <c r="A914" s="2"/>
      <c r="B914" s="2"/>
      <c r="C914" s="2"/>
      <c r="D914" s="2"/>
      <c r="E914" s="2"/>
      <c r="F914" s="2"/>
      <c r="G914" s="2"/>
      <c r="H914" s="2"/>
      <c r="I914" s="2"/>
      <c r="J914" s="2"/>
      <c r="K914" s="2"/>
      <c r="L914" s="2"/>
      <c r="M914" s="2"/>
      <c r="N914" s="2"/>
      <c r="O914" s="2"/>
      <c r="P914" s="2"/>
      <c r="Q914" s="2"/>
      <c r="R914" s="2"/>
      <c r="S914" s="2"/>
      <c r="T914" s="2"/>
      <c r="U914" s="2"/>
      <c r="V914" s="2"/>
      <c r="W914" s="158"/>
      <c r="X914" s="2"/>
      <c r="Y914" s="2"/>
      <c r="Z914" s="2"/>
    </row>
    <row r="915" spans="1:26" ht="13.5" customHeight="1">
      <c r="A915" s="2"/>
      <c r="B915" s="2"/>
      <c r="C915" s="2"/>
      <c r="D915" s="2"/>
      <c r="E915" s="2"/>
      <c r="F915" s="2"/>
      <c r="G915" s="2"/>
      <c r="H915" s="2"/>
      <c r="I915" s="2"/>
      <c r="J915" s="2"/>
      <c r="K915" s="2"/>
      <c r="L915" s="2"/>
      <c r="M915" s="2"/>
      <c r="N915" s="2"/>
      <c r="O915" s="2"/>
      <c r="P915" s="2"/>
      <c r="Q915" s="2"/>
      <c r="R915" s="2"/>
      <c r="S915" s="2"/>
      <c r="T915" s="2"/>
      <c r="U915" s="2"/>
      <c r="V915" s="2"/>
      <c r="W915" s="158"/>
      <c r="X915" s="2"/>
      <c r="Y915" s="2"/>
      <c r="Z915" s="2"/>
    </row>
    <row r="916" spans="1:26" ht="13.5" customHeight="1">
      <c r="A916" s="2"/>
      <c r="B916" s="2"/>
      <c r="C916" s="2"/>
      <c r="D916" s="2"/>
      <c r="E916" s="2"/>
      <c r="F916" s="2"/>
      <c r="G916" s="2"/>
      <c r="H916" s="2"/>
      <c r="I916" s="2"/>
      <c r="J916" s="2"/>
      <c r="K916" s="2"/>
      <c r="L916" s="2"/>
      <c r="M916" s="2"/>
      <c r="N916" s="2"/>
      <c r="O916" s="2"/>
      <c r="P916" s="2"/>
      <c r="Q916" s="2"/>
      <c r="R916" s="2"/>
      <c r="S916" s="2"/>
      <c r="T916" s="2"/>
      <c r="U916" s="2"/>
      <c r="V916" s="2"/>
      <c r="W916" s="158"/>
      <c r="X916" s="2"/>
      <c r="Y916" s="2"/>
      <c r="Z916" s="2"/>
    </row>
    <row r="917" spans="1:26" ht="13.5" customHeight="1">
      <c r="A917" s="2"/>
      <c r="B917" s="2"/>
      <c r="C917" s="2"/>
      <c r="D917" s="2"/>
      <c r="E917" s="2"/>
      <c r="F917" s="2"/>
      <c r="G917" s="2"/>
      <c r="H917" s="2"/>
      <c r="I917" s="2"/>
      <c r="J917" s="2"/>
      <c r="K917" s="2"/>
      <c r="L917" s="2"/>
      <c r="M917" s="2"/>
      <c r="N917" s="2"/>
      <c r="O917" s="2"/>
      <c r="P917" s="2"/>
      <c r="Q917" s="2"/>
      <c r="R917" s="2"/>
      <c r="S917" s="2"/>
      <c r="T917" s="2"/>
      <c r="U917" s="2"/>
      <c r="V917" s="2"/>
      <c r="W917" s="158"/>
      <c r="X917" s="2"/>
      <c r="Y917" s="2"/>
      <c r="Z917" s="2"/>
    </row>
    <row r="918" spans="1:26" ht="13.5" customHeight="1">
      <c r="A918" s="2"/>
      <c r="B918" s="2"/>
      <c r="C918" s="2"/>
      <c r="D918" s="2"/>
      <c r="E918" s="2"/>
      <c r="F918" s="2"/>
      <c r="G918" s="2"/>
      <c r="H918" s="2"/>
      <c r="I918" s="2"/>
      <c r="J918" s="2"/>
      <c r="K918" s="2"/>
      <c r="L918" s="2"/>
      <c r="M918" s="2"/>
      <c r="N918" s="2"/>
      <c r="O918" s="2"/>
      <c r="P918" s="2"/>
      <c r="Q918" s="2"/>
      <c r="R918" s="2"/>
      <c r="S918" s="2"/>
      <c r="T918" s="2"/>
      <c r="U918" s="2"/>
      <c r="V918" s="2"/>
      <c r="W918" s="158"/>
      <c r="X918" s="2"/>
      <c r="Y918" s="2"/>
      <c r="Z918" s="2"/>
    </row>
    <row r="919" spans="1:26" ht="13.5" customHeight="1">
      <c r="A919" s="2"/>
      <c r="B919" s="2"/>
      <c r="C919" s="2"/>
      <c r="D919" s="2"/>
      <c r="E919" s="2"/>
      <c r="F919" s="2"/>
      <c r="G919" s="2"/>
      <c r="H919" s="2"/>
      <c r="I919" s="2"/>
      <c r="J919" s="2"/>
      <c r="K919" s="2"/>
      <c r="L919" s="2"/>
      <c r="M919" s="2"/>
      <c r="N919" s="2"/>
      <c r="O919" s="2"/>
      <c r="P919" s="2"/>
      <c r="Q919" s="2"/>
      <c r="R919" s="2"/>
      <c r="S919" s="2"/>
      <c r="T919" s="2"/>
      <c r="U919" s="2"/>
      <c r="V919" s="2"/>
      <c r="W919" s="158"/>
      <c r="X919" s="2"/>
      <c r="Y919" s="2"/>
      <c r="Z919" s="2"/>
    </row>
    <row r="920" spans="1:26" ht="13.5" customHeight="1">
      <c r="A920" s="2"/>
      <c r="B920" s="2"/>
      <c r="C920" s="2"/>
      <c r="D920" s="2"/>
      <c r="E920" s="2"/>
      <c r="F920" s="2"/>
      <c r="G920" s="2"/>
      <c r="H920" s="2"/>
      <c r="I920" s="2"/>
      <c r="J920" s="2"/>
      <c r="K920" s="2"/>
      <c r="L920" s="2"/>
      <c r="M920" s="2"/>
      <c r="N920" s="2"/>
      <c r="O920" s="2"/>
      <c r="P920" s="2"/>
      <c r="Q920" s="2"/>
      <c r="R920" s="2"/>
      <c r="S920" s="2"/>
      <c r="T920" s="2"/>
      <c r="U920" s="2"/>
      <c r="V920" s="2"/>
      <c r="W920" s="158"/>
      <c r="X920" s="2"/>
      <c r="Y920" s="2"/>
      <c r="Z920" s="2"/>
    </row>
    <row r="921" spans="1:26" ht="13.5" customHeight="1">
      <c r="A921" s="2"/>
      <c r="B921" s="2"/>
      <c r="C921" s="2"/>
      <c r="D921" s="2"/>
      <c r="E921" s="2"/>
      <c r="F921" s="2"/>
      <c r="G921" s="2"/>
      <c r="H921" s="2"/>
      <c r="I921" s="2"/>
      <c r="J921" s="2"/>
      <c r="K921" s="2"/>
      <c r="L921" s="2"/>
      <c r="M921" s="2"/>
      <c r="N921" s="2"/>
      <c r="O921" s="2"/>
      <c r="P921" s="2"/>
      <c r="Q921" s="2"/>
      <c r="R921" s="2"/>
      <c r="S921" s="2"/>
      <c r="T921" s="2"/>
      <c r="U921" s="2"/>
      <c r="V921" s="2"/>
      <c r="W921" s="158"/>
      <c r="X921" s="2"/>
      <c r="Y921" s="2"/>
      <c r="Z921" s="2"/>
    </row>
    <row r="922" spans="1:26" ht="13.5" customHeight="1">
      <c r="A922" s="2"/>
      <c r="B922" s="2"/>
      <c r="C922" s="2"/>
      <c r="D922" s="2"/>
      <c r="E922" s="2"/>
      <c r="F922" s="2"/>
      <c r="G922" s="2"/>
      <c r="H922" s="2"/>
      <c r="I922" s="2"/>
      <c r="J922" s="2"/>
      <c r="K922" s="2"/>
      <c r="L922" s="2"/>
      <c r="M922" s="2"/>
      <c r="N922" s="2"/>
      <c r="O922" s="2"/>
      <c r="P922" s="2"/>
      <c r="Q922" s="2"/>
      <c r="R922" s="2"/>
      <c r="S922" s="2"/>
      <c r="T922" s="2"/>
      <c r="U922" s="2"/>
      <c r="V922" s="2"/>
      <c r="W922" s="158"/>
      <c r="X922" s="2"/>
      <c r="Y922" s="2"/>
      <c r="Z922" s="2"/>
    </row>
    <row r="923" spans="1:26" ht="13.5" customHeight="1">
      <c r="A923" s="2"/>
      <c r="B923" s="2"/>
      <c r="C923" s="2"/>
      <c r="D923" s="2"/>
      <c r="E923" s="2"/>
      <c r="F923" s="2"/>
      <c r="G923" s="2"/>
      <c r="H923" s="2"/>
      <c r="I923" s="2"/>
      <c r="J923" s="2"/>
      <c r="K923" s="2"/>
      <c r="L923" s="2"/>
      <c r="M923" s="2"/>
      <c r="N923" s="2"/>
      <c r="O923" s="2"/>
      <c r="P923" s="2"/>
      <c r="Q923" s="2"/>
      <c r="R923" s="2"/>
      <c r="S923" s="2"/>
      <c r="T923" s="2"/>
      <c r="U923" s="2"/>
      <c r="V923" s="2"/>
      <c r="W923" s="158"/>
      <c r="X923" s="2"/>
      <c r="Y923" s="2"/>
      <c r="Z923" s="2"/>
    </row>
    <row r="924" spans="1:26" ht="13.5" customHeight="1">
      <c r="A924" s="2"/>
      <c r="B924" s="2"/>
      <c r="C924" s="2"/>
      <c r="D924" s="2"/>
      <c r="E924" s="2"/>
      <c r="F924" s="2"/>
      <c r="G924" s="2"/>
      <c r="H924" s="2"/>
      <c r="I924" s="2"/>
      <c r="J924" s="2"/>
      <c r="K924" s="2"/>
      <c r="L924" s="2"/>
      <c r="M924" s="2"/>
      <c r="N924" s="2"/>
      <c r="O924" s="2"/>
      <c r="P924" s="2"/>
      <c r="Q924" s="2"/>
      <c r="R924" s="2"/>
      <c r="S924" s="2"/>
      <c r="T924" s="2"/>
      <c r="U924" s="2"/>
      <c r="V924" s="2"/>
      <c r="W924" s="158"/>
      <c r="X924" s="2"/>
      <c r="Y924" s="2"/>
      <c r="Z924" s="2"/>
    </row>
    <row r="925" spans="1:26" ht="13.5" customHeight="1">
      <c r="A925" s="2"/>
      <c r="B925" s="2"/>
      <c r="C925" s="2"/>
      <c r="D925" s="2"/>
      <c r="E925" s="2"/>
      <c r="F925" s="2"/>
      <c r="G925" s="2"/>
      <c r="H925" s="2"/>
      <c r="I925" s="2"/>
      <c r="J925" s="2"/>
      <c r="K925" s="2"/>
      <c r="L925" s="2"/>
      <c r="M925" s="2"/>
      <c r="N925" s="2"/>
      <c r="O925" s="2"/>
      <c r="P925" s="2"/>
      <c r="Q925" s="2"/>
      <c r="R925" s="2"/>
      <c r="S925" s="2"/>
      <c r="T925" s="2"/>
      <c r="U925" s="2"/>
      <c r="V925" s="2"/>
      <c r="W925" s="158"/>
      <c r="X925" s="2"/>
      <c r="Y925" s="2"/>
      <c r="Z925" s="2"/>
    </row>
    <row r="926" spans="1:26" ht="13.5" customHeight="1">
      <c r="A926" s="2"/>
      <c r="B926" s="2"/>
      <c r="C926" s="2"/>
      <c r="D926" s="2"/>
      <c r="E926" s="2"/>
      <c r="F926" s="2"/>
      <c r="G926" s="2"/>
      <c r="H926" s="2"/>
      <c r="I926" s="2"/>
      <c r="J926" s="2"/>
      <c r="K926" s="2"/>
      <c r="L926" s="2"/>
      <c r="M926" s="2"/>
      <c r="N926" s="2"/>
      <c r="O926" s="2"/>
      <c r="P926" s="2"/>
      <c r="Q926" s="2"/>
      <c r="R926" s="2"/>
      <c r="S926" s="2"/>
      <c r="T926" s="2"/>
      <c r="U926" s="2"/>
      <c r="V926" s="2"/>
      <c r="W926" s="158"/>
      <c r="X926" s="2"/>
      <c r="Y926" s="2"/>
      <c r="Z926" s="2"/>
    </row>
    <row r="927" spans="1:26" ht="13.5" customHeight="1">
      <c r="A927" s="2"/>
      <c r="B927" s="2"/>
      <c r="C927" s="2"/>
      <c r="D927" s="2"/>
      <c r="E927" s="2"/>
      <c r="F927" s="2"/>
      <c r="G927" s="2"/>
      <c r="H927" s="2"/>
      <c r="I927" s="2"/>
      <c r="J927" s="2"/>
      <c r="K927" s="2"/>
      <c r="L927" s="2"/>
      <c r="M927" s="2"/>
      <c r="N927" s="2"/>
      <c r="O927" s="2"/>
      <c r="P927" s="2"/>
      <c r="Q927" s="2"/>
      <c r="R927" s="2"/>
      <c r="S927" s="2"/>
      <c r="T927" s="2"/>
      <c r="U927" s="2"/>
      <c r="V927" s="2"/>
      <c r="W927" s="158"/>
      <c r="X927" s="2"/>
      <c r="Y927" s="2"/>
      <c r="Z927" s="2"/>
    </row>
    <row r="928" spans="1:26" ht="13.5" customHeight="1">
      <c r="A928" s="2"/>
      <c r="B928" s="2"/>
      <c r="C928" s="2"/>
      <c r="D928" s="2"/>
      <c r="E928" s="2"/>
      <c r="F928" s="2"/>
      <c r="G928" s="2"/>
      <c r="H928" s="2"/>
      <c r="I928" s="2"/>
      <c r="J928" s="2"/>
      <c r="K928" s="2"/>
      <c r="L928" s="2"/>
      <c r="M928" s="2"/>
      <c r="N928" s="2"/>
      <c r="O928" s="2"/>
      <c r="P928" s="2"/>
      <c r="Q928" s="2"/>
      <c r="R928" s="2"/>
      <c r="S928" s="2"/>
      <c r="T928" s="2"/>
      <c r="U928" s="2"/>
      <c r="V928" s="2"/>
      <c r="W928" s="158"/>
      <c r="X928" s="2"/>
      <c r="Y928" s="2"/>
      <c r="Z928" s="2"/>
    </row>
    <row r="929" spans="1:26" ht="13.5" customHeight="1">
      <c r="A929" s="2"/>
      <c r="B929" s="2"/>
      <c r="C929" s="2"/>
      <c r="D929" s="2"/>
      <c r="E929" s="2"/>
      <c r="F929" s="2"/>
      <c r="G929" s="2"/>
      <c r="H929" s="2"/>
      <c r="I929" s="2"/>
      <c r="J929" s="2"/>
      <c r="K929" s="2"/>
      <c r="L929" s="2"/>
      <c r="M929" s="2"/>
      <c r="N929" s="2"/>
      <c r="O929" s="2"/>
      <c r="P929" s="2"/>
      <c r="Q929" s="2"/>
      <c r="R929" s="2"/>
      <c r="S929" s="2"/>
      <c r="T929" s="2"/>
      <c r="U929" s="2"/>
      <c r="V929" s="2"/>
      <c r="W929" s="158"/>
      <c r="X929" s="2"/>
      <c r="Y929" s="2"/>
      <c r="Z929" s="2"/>
    </row>
    <row r="930" spans="1:26" ht="13.5" customHeight="1">
      <c r="A930" s="2"/>
      <c r="B930" s="2"/>
      <c r="C930" s="2"/>
      <c r="D930" s="2"/>
      <c r="E930" s="2"/>
      <c r="F930" s="2"/>
      <c r="G930" s="2"/>
      <c r="H930" s="2"/>
      <c r="I930" s="2"/>
      <c r="J930" s="2"/>
      <c r="K930" s="2"/>
      <c r="L930" s="2"/>
      <c r="M930" s="2"/>
      <c r="N930" s="2"/>
      <c r="O930" s="2"/>
      <c r="P930" s="2"/>
      <c r="Q930" s="2"/>
      <c r="R930" s="2"/>
      <c r="S930" s="2"/>
      <c r="T930" s="2"/>
      <c r="U930" s="2"/>
      <c r="V930" s="2"/>
      <c r="W930" s="158"/>
      <c r="X930" s="2"/>
      <c r="Y930" s="2"/>
      <c r="Z930" s="2"/>
    </row>
    <row r="931" spans="1:26" ht="13.5" customHeight="1">
      <c r="A931" s="2"/>
      <c r="B931" s="2"/>
      <c r="C931" s="2"/>
      <c r="D931" s="2"/>
      <c r="E931" s="2"/>
      <c r="F931" s="2"/>
      <c r="G931" s="2"/>
      <c r="H931" s="2"/>
      <c r="I931" s="2"/>
      <c r="J931" s="2"/>
      <c r="K931" s="2"/>
      <c r="L931" s="2"/>
      <c r="M931" s="2"/>
      <c r="N931" s="2"/>
      <c r="O931" s="2"/>
      <c r="P931" s="2"/>
      <c r="Q931" s="2"/>
      <c r="R931" s="2"/>
      <c r="S931" s="2"/>
      <c r="T931" s="2"/>
      <c r="U931" s="2"/>
      <c r="V931" s="2"/>
      <c r="W931" s="158"/>
      <c r="X931" s="2"/>
      <c r="Y931" s="2"/>
      <c r="Z931" s="2"/>
    </row>
    <row r="932" spans="1:26" ht="13.5" customHeight="1">
      <c r="A932" s="2"/>
      <c r="B932" s="2"/>
      <c r="C932" s="2"/>
      <c r="D932" s="2"/>
      <c r="E932" s="2"/>
      <c r="F932" s="2"/>
      <c r="G932" s="2"/>
      <c r="H932" s="2"/>
      <c r="I932" s="2"/>
      <c r="J932" s="2"/>
      <c r="K932" s="2"/>
      <c r="L932" s="2"/>
      <c r="M932" s="2"/>
      <c r="N932" s="2"/>
      <c r="O932" s="2"/>
      <c r="P932" s="2"/>
      <c r="Q932" s="2"/>
      <c r="R932" s="2"/>
      <c r="S932" s="2"/>
      <c r="T932" s="2"/>
      <c r="U932" s="2"/>
      <c r="V932" s="2"/>
      <c r="W932" s="158"/>
      <c r="X932" s="2"/>
      <c r="Y932" s="2"/>
      <c r="Z932" s="2"/>
    </row>
    <row r="933" spans="1:26" ht="13.5" customHeight="1">
      <c r="A933" s="2"/>
      <c r="B933" s="2"/>
      <c r="C933" s="2"/>
      <c r="D933" s="2"/>
      <c r="E933" s="2"/>
      <c r="F933" s="2"/>
      <c r="G933" s="2"/>
      <c r="H933" s="2"/>
      <c r="I933" s="2"/>
      <c r="J933" s="2"/>
      <c r="K933" s="2"/>
      <c r="L933" s="2"/>
      <c r="M933" s="2"/>
      <c r="N933" s="2"/>
      <c r="O933" s="2"/>
      <c r="P933" s="2"/>
      <c r="Q933" s="2"/>
      <c r="R933" s="2"/>
      <c r="S933" s="2"/>
      <c r="T933" s="2"/>
      <c r="U933" s="2"/>
      <c r="V933" s="2"/>
      <c r="W933" s="158"/>
      <c r="X933" s="2"/>
      <c r="Y933" s="2"/>
      <c r="Z933" s="2"/>
    </row>
    <row r="934" spans="1:26" ht="13.5" customHeight="1">
      <c r="A934" s="2"/>
      <c r="B934" s="2"/>
      <c r="C934" s="2"/>
      <c r="D934" s="2"/>
      <c r="E934" s="2"/>
      <c r="F934" s="2"/>
      <c r="G934" s="2"/>
      <c r="H934" s="2"/>
      <c r="I934" s="2"/>
      <c r="J934" s="2"/>
      <c r="K934" s="2"/>
      <c r="L934" s="2"/>
      <c r="M934" s="2"/>
      <c r="N934" s="2"/>
      <c r="O934" s="2"/>
      <c r="P934" s="2"/>
      <c r="Q934" s="2"/>
      <c r="R934" s="2"/>
      <c r="S934" s="2"/>
      <c r="T934" s="2"/>
      <c r="U934" s="2"/>
      <c r="V934" s="2"/>
      <c r="W934" s="158"/>
      <c r="X934" s="2"/>
      <c r="Y934" s="2"/>
      <c r="Z934" s="2"/>
    </row>
    <row r="935" spans="1:26" ht="13.5" customHeight="1">
      <c r="A935" s="2"/>
      <c r="B935" s="2"/>
      <c r="C935" s="2"/>
      <c r="D935" s="2"/>
      <c r="E935" s="2"/>
      <c r="F935" s="2"/>
      <c r="G935" s="2"/>
      <c r="H935" s="2"/>
      <c r="I935" s="2"/>
      <c r="J935" s="2"/>
      <c r="K935" s="2"/>
      <c r="L935" s="2"/>
      <c r="M935" s="2"/>
      <c r="N935" s="2"/>
      <c r="O935" s="2"/>
      <c r="P935" s="2"/>
      <c r="Q935" s="2"/>
      <c r="R935" s="2"/>
      <c r="S935" s="2"/>
      <c r="T935" s="2"/>
      <c r="U935" s="2"/>
      <c r="V935" s="2"/>
      <c r="W935" s="158"/>
      <c r="X935" s="2"/>
      <c r="Y935" s="2"/>
      <c r="Z935" s="2"/>
    </row>
    <row r="936" spans="1:26" ht="13.5" customHeight="1">
      <c r="A936" s="2"/>
      <c r="B936" s="2"/>
      <c r="C936" s="2"/>
      <c r="D936" s="2"/>
      <c r="E936" s="2"/>
      <c r="F936" s="2"/>
      <c r="G936" s="2"/>
      <c r="H936" s="2"/>
      <c r="I936" s="2"/>
      <c r="J936" s="2"/>
      <c r="K936" s="2"/>
      <c r="L936" s="2"/>
      <c r="M936" s="2"/>
      <c r="N936" s="2"/>
      <c r="O936" s="2"/>
      <c r="P936" s="2"/>
      <c r="Q936" s="2"/>
      <c r="R936" s="2"/>
      <c r="S936" s="2"/>
      <c r="T936" s="2"/>
      <c r="U936" s="2"/>
      <c r="V936" s="2"/>
      <c r="W936" s="158"/>
      <c r="X936" s="2"/>
      <c r="Y936" s="2"/>
      <c r="Z936" s="2"/>
    </row>
    <row r="937" spans="1:26" ht="13.5" customHeight="1">
      <c r="A937" s="2"/>
      <c r="B937" s="2"/>
      <c r="C937" s="2"/>
      <c r="D937" s="2"/>
      <c r="E937" s="2"/>
      <c r="F937" s="2"/>
      <c r="G937" s="2"/>
      <c r="H937" s="2"/>
      <c r="I937" s="2"/>
      <c r="J937" s="2"/>
      <c r="K937" s="2"/>
      <c r="L937" s="2"/>
      <c r="M937" s="2"/>
      <c r="N937" s="2"/>
      <c r="O937" s="2"/>
      <c r="P937" s="2"/>
      <c r="Q937" s="2"/>
      <c r="R937" s="2"/>
      <c r="S937" s="2"/>
      <c r="T937" s="2"/>
      <c r="U937" s="2"/>
      <c r="V937" s="2"/>
      <c r="W937" s="158"/>
      <c r="X937" s="2"/>
      <c r="Y937" s="2"/>
      <c r="Z937" s="2"/>
    </row>
    <row r="938" spans="1:26" ht="13.5" customHeight="1">
      <c r="A938" s="2"/>
      <c r="B938" s="2"/>
      <c r="C938" s="2"/>
      <c r="D938" s="2"/>
      <c r="E938" s="2"/>
      <c r="F938" s="2"/>
      <c r="G938" s="2"/>
      <c r="H938" s="2"/>
      <c r="I938" s="2"/>
      <c r="J938" s="2"/>
      <c r="K938" s="2"/>
      <c r="L938" s="2"/>
      <c r="M938" s="2"/>
      <c r="N938" s="2"/>
      <c r="O938" s="2"/>
      <c r="P938" s="2"/>
      <c r="Q938" s="2"/>
      <c r="R938" s="2"/>
      <c r="S938" s="2"/>
      <c r="T938" s="2"/>
      <c r="U938" s="2"/>
      <c r="V938" s="2"/>
      <c r="W938" s="158"/>
      <c r="X938" s="2"/>
      <c r="Y938" s="2"/>
      <c r="Z938" s="2"/>
    </row>
    <row r="939" spans="1:26" ht="13.5" customHeight="1">
      <c r="A939" s="2"/>
      <c r="B939" s="2"/>
      <c r="C939" s="2"/>
      <c r="D939" s="2"/>
      <c r="E939" s="2"/>
      <c r="F939" s="2"/>
      <c r="G939" s="2"/>
      <c r="H939" s="2"/>
      <c r="I939" s="2"/>
      <c r="J939" s="2"/>
      <c r="K939" s="2"/>
      <c r="L939" s="2"/>
      <c r="M939" s="2"/>
      <c r="N939" s="2"/>
      <c r="O939" s="2"/>
      <c r="P939" s="2"/>
      <c r="Q939" s="2"/>
      <c r="R939" s="2"/>
      <c r="S939" s="2"/>
      <c r="T939" s="2"/>
      <c r="U939" s="2"/>
      <c r="V939" s="2"/>
      <c r="W939" s="158"/>
      <c r="X939" s="2"/>
      <c r="Y939" s="2"/>
      <c r="Z939" s="2"/>
    </row>
    <row r="940" spans="1:26" ht="13.5" customHeight="1">
      <c r="A940" s="2"/>
      <c r="B940" s="2"/>
      <c r="C940" s="2"/>
      <c r="D940" s="2"/>
      <c r="E940" s="2"/>
      <c r="F940" s="2"/>
      <c r="G940" s="2"/>
      <c r="H940" s="2"/>
      <c r="I940" s="2"/>
      <c r="J940" s="2"/>
      <c r="K940" s="2"/>
      <c r="L940" s="2"/>
      <c r="M940" s="2"/>
      <c r="N940" s="2"/>
      <c r="O940" s="2"/>
      <c r="P940" s="2"/>
      <c r="Q940" s="2"/>
      <c r="R940" s="2"/>
      <c r="S940" s="2"/>
      <c r="T940" s="2"/>
      <c r="U940" s="2"/>
      <c r="V940" s="2"/>
      <c r="W940" s="158"/>
      <c r="X940" s="2"/>
      <c r="Y940" s="2"/>
      <c r="Z940" s="2"/>
    </row>
    <row r="941" spans="1:26" ht="13.5" customHeight="1">
      <c r="A941" s="2"/>
      <c r="B941" s="2"/>
      <c r="C941" s="2"/>
      <c r="D941" s="2"/>
      <c r="E941" s="2"/>
      <c r="F941" s="2"/>
      <c r="G941" s="2"/>
      <c r="H941" s="2"/>
      <c r="I941" s="2"/>
      <c r="J941" s="2"/>
      <c r="K941" s="2"/>
      <c r="L941" s="2"/>
      <c r="M941" s="2"/>
      <c r="N941" s="2"/>
      <c r="O941" s="2"/>
      <c r="P941" s="2"/>
      <c r="Q941" s="2"/>
      <c r="R941" s="2"/>
      <c r="S941" s="2"/>
      <c r="T941" s="2"/>
      <c r="U941" s="2"/>
      <c r="V941" s="2"/>
      <c r="W941" s="158"/>
      <c r="X941" s="2"/>
      <c r="Y941" s="2"/>
      <c r="Z941" s="2"/>
    </row>
    <row r="942" spans="1:26" ht="13.5" customHeight="1">
      <c r="A942" s="2"/>
      <c r="B942" s="2"/>
      <c r="C942" s="2"/>
      <c r="D942" s="2"/>
      <c r="E942" s="2"/>
      <c r="F942" s="2"/>
      <c r="G942" s="2"/>
      <c r="H942" s="2"/>
      <c r="I942" s="2"/>
      <c r="J942" s="2"/>
      <c r="K942" s="2"/>
      <c r="L942" s="2"/>
      <c r="M942" s="2"/>
      <c r="N942" s="2"/>
      <c r="O942" s="2"/>
      <c r="P942" s="2"/>
      <c r="Q942" s="2"/>
      <c r="R942" s="2"/>
      <c r="S942" s="2"/>
      <c r="T942" s="2"/>
      <c r="U942" s="2"/>
      <c r="V942" s="2"/>
      <c r="W942" s="158"/>
      <c r="X942" s="2"/>
      <c r="Y942" s="2"/>
      <c r="Z942" s="2"/>
    </row>
    <row r="943" spans="1:26" ht="13.5" customHeight="1">
      <c r="A943" s="2"/>
      <c r="B943" s="2"/>
      <c r="C943" s="2"/>
      <c r="D943" s="2"/>
      <c r="E943" s="2"/>
      <c r="F943" s="2"/>
      <c r="G943" s="2"/>
      <c r="H943" s="2"/>
      <c r="I943" s="2"/>
      <c r="J943" s="2"/>
      <c r="K943" s="2"/>
      <c r="L943" s="2"/>
      <c r="M943" s="2"/>
      <c r="N943" s="2"/>
      <c r="O943" s="2"/>
      <c r="P943" s="2"/>
      <c r="Q943" s="2"/>
      <c r="R943" s="2"/>
      <c r="S943" s="2"/>
      <c r="T943" s="2"/>
      <c r="U943" s="2"/>
      <c r="V943" s="2"/>
      <c r="W943" s="158"/>
      <c r="X943" s="2"/>
      <c r="Y943" s="2"/>
      <c r="Z943" s="2"/>
    </row>
    <row r="944" spans="1:26" ht="13.5" customHeight="1">
      <c r="A944" s="2"/>
      <c r="B944" s="2"/>
      <c r="C944" s="2"/>
      <c r="D944" s="2"/>
      <c r="E944" s="2"/>
      <c r="F944" s="2"/>
      <c r="G944" s="2"/>
      <c r="H944" s="2"/>
      <c r="I944" s="2"/>
      <c r="J944" s="2"/>
      <c r="K944" s="2"/>
      <c r="L944" s="2"/>
      <c r="M944" s="2"/>
      <c r="N944" s="2"/>
      <c r="O944" s="2"/>
      <c r="P944" s="2"/>
      <c r="Q944" s="2"/>
      <c r="R944" s="2"/>
      <c r="S944" s="2"/>
      <c r="T944" s="2"/>
      <c r="U944" s="2"/>
      <c r="V944" s="2"/>
      <c r="W944" s="158"/>
      <c r="X944" s="2"/>
      <c r="Y944" s="2"/>
      <c r="Z944" s="2"/>
    </row>
    <row r="945" spans="1:26" ht="13.5" customHeight="1">
      <c r="A945" s="2"/>
      <c r="B945" s="2"/>
      <c r="C945" s="2"/>
      <c r="D945" s="2"/>
      <c r="E945" s="2"/>
      <c r="F945" s="2"/>
      <c r="G945" s="2"/>
      <c r="H945" s="2"/>
      <c r="I945" s="2"/>
      <c r="J945" s="2"/>
      <c r="K945" s="2"/>
      <c r="L945" s="2"/>
      <c r="M945" s="2"/>
      <c r="N945" s="2"/>
      <c r="O945" s="2"/>
      <c r="P945" s="2"/>
      <c r="Q945" s="2"/>
      <c r="R945" s="2"/>
      <c r="S945" s="2"/>
      <c r="T945" s="2"/>
      <c r="U945" s="2"/>
      <c r="V945" s="2"/>
      <c r="W945" s="158"/>
      <c r="X945" s="2"/>
      <c r="Y945" s="2"/>
      <c r="Z945" s="2"/>
    </row>
    <row r="946" spans="1:26" ht="13.5" customHeight="1">
      <c r="A946" s="2"/>
      <c r="B946" s="2"/>
      <c r="C946" s="2"/>
      <c r="D946" s="2"/>
      <c r="E946" s="2"/>
      <c r="F946" s="2"/>
      <c r="G946" s="2"/>
      <c r="H946" s="2"/>
      <c r="I946" s="2"/>
      <c r="J946" s="2"/>
      <c r="K946" s="2"/>
      <c r="L946" s="2"/>
      <c r="M946" s="2"/>
      <c r="N946" s="2"/>
      <c r="O946" s="2"/>
      <c r="P946" s="2"/>
      <c r="Q946" s="2"/>
      <c r="R946" s="2"/>
      <c r="S946" s="2"/>
      <c r="T946" s="2"/>
      <c r="U946" s="2"/>
      <c r="V946" s="2"/>
      <c r="W946" s="158"/>
      <c r="X946" s="2"/>
      <c r="Y946" s="2"/>
      <c r="Z946" s="2"/>
    </row>
    <row r="947" spans="1:26" ht="13.5" customHeight="1">
      <c r="A947" s="2"/>
      <c r="B947" s="2"/>
      <c r="C947" s="2"/>
      <c r="D947" s="2"/>
      <c r="E947" s="2"/>
      <c r="F947" s="2"/>
      <c r="G947" s="2"/>
      <c r="H947" s="2"/>
      <c r="I947" s="2"/>
      <c r="J947" s="2"/>
      <c r="K947" s="2"/>
      <c r="L947" s="2"/>
      <c r="M947" s="2"/>
      <c r="N947" s="2"/>
      <c r="O947" s="2"/>
      <c r="P947" s="2"/>
      <c r="Q947" s="2"/>
      <c r="R947" s="2"/>
      <c r="S947" s="2"/>
      <c r="T947" s="2"/>
      <c r="U947" s="2"/>
      <c r="V947" s="2"/>
      <c r="W947" s="158"/>
      <c r="X947" s="2"/>
      <c r="Y947" s="2"/>
      <c r="Z947" s="2"/>
    </row>
    <row r="948" spans="1:26" ht="13.5" customHeight="1">
      <c r="A948" s="2"/>
      <c r="B948" s="2"/>
      <c r="C948" s="2"/>
      <c r="D948" s="2"/>
      <c r="E948" s="2"/>
      <c r="F948" s="2"/>
      <c r="G948" s="2"/>
      <c r="H948" s="2"/>
      <c r="I948" s="2"/>
      <c r="J948" s="2"/>
      <c r="K948" s="2"/>
      <c r="L948" s="2"/>
      <c r="M948" s="2"/>
      <c r="N948" s="2"/>
      <c r="O948" s="2"/>
      <c r="P948" s="2"/>
      <c r="Q948" s="2"/>
      <c r="R948" s="2"/>
      <c r="S948" s="2"/>
      <c r="T948" s="2"/>
      <c r="U948" s="2"/>
      <c r="V948" s="2"/>
      <c r="W948" s="158"/>
      <c r="X948" s="2"/>
      <c r="Y948" s="2"/>
      <c r="Z948" s="2"/>
    </row>
    <row r="949" spans="1:26" ht="13.5" customHeight="1">
      <c r="A949" s="2"/>
      <c r="B949" s="2"/>
      <c r="C949" s="2"/>
      <c r="D949" s="2"/>
      <c r="E949" s="2"/>
      <c r="F949" s="2"/>
      <c r="G949" s="2"/>
      <c r="H949" s="2"/>
      <c r="I949" s="2"/>
      <c r="J949" s="2"/>
      <c r="K949" s="2"/>
      <c r="L949" s="2"/>
      <c r="M949" s="2"/>
      <c r="N949" s="2"/>
      <c r="O949" s="2"/>
      <c r="P949" s="2"/>
      <c r="Q949" s="2"/>
      <c r="R949" s="2"/>
      <c r="S949" s="2"/>
      <c r="T949" s="2"/>
      <c r="U949" s="2"/>
      <c r="V949" s="2"/>
      <c r="W949" s="158"/>
      <c r="X949" s="2"/>
      <c r="Y949" s="2"/>
      <c r="Z949" s="2"/>
    </row>
    <row r="950" spans="1:26" ht="13.5" customHeight="1">
      <c r="A950" s="2"/>
      <c r="B950" s="2"/>
      <c r="C950" s="2"/>
      <c r="D950" s="2"/>
      <c r="E950" s="2"/>
      <c r="F950" s="2"/>
      <c r="G950" s="2"/>
      <c r="H950" s="2"/>
      <c r="I950" s="2"/>
      <c r="J950" s="2"/>
      <c r="K950" s="2"/>
      <c r="L950" s="2"/>
      <c r="M950" s="2"/>
      <c r="N950" s="2"/>
      <c r="O950" s="2"/>
      <c r="P950" s="2"/>
      <c r="Q950" s="2"/>
      <c r="R950" s="2"/>
      <c r="S950" s="2"/>
      <c r="T950" s="2"/>
      <c r="U950" s="2"/>
      <c r="V950" s="2"/>
      <c r="W950" s="158"/>
      <c r="X950" s="2"/>
      <c r="Y950" s="2"/>
      <c r="Z950" s="2"/>
    </row>
    <row r="951" spans="1:26" ht="13.5" customHeight="1">
      <c r="A951" s="2"/>
      <c r="B951" s="2"/>
      <c r="C951" s="2"/>
      <c r="D951" s="2"/>
      <c r="E951" s="2"/>
      <c r="F951" s="2"/>
      <c r="G951" s="2"/>
      <c r="H951" s="2"/>
      <c r="I951" s="2"/>
      <c r="J951" s="2"/>
      <c r="K951" s="2"/>
      <c r="L951" s="2"/>
      <c r="M951" s="2"/>
      <c r="N951" s="2"/>
      <c r="O951" s="2"/>
      <c r="P951" s="2"/>
      <c r="Q951" s="2"/>
      <c r="R951" s="2"/>
      <c r="S951" s="2"/>
      <c r="T951" s="2"/>
      <c r="U951" s="2"/>
      <c r="V951" s="2"/>
      <c r="W951" s="158"/>
      <c r="X951" s="2"/>
      <c r="Y951" s="2"/>
      <c r="Z951" s="2"/>
    </row>
    <row r="952" spans="1:26" ht="13.5" customHeight="1">
      <c r="A952" s="2"/>
      <c r="B952" s="2"/>
      <c r="C952" s="2"/>
      <c r="D952" s="2"/>
      <c r="E952" s="2"/>
      <c r="F952" s="2"/>
      <c r="G952" s="2"/>
      <c r="H952" s="2"/>
      <c r="I952" s="2"/>
      <c r="J952" s="2"/>
      <c r="K952" s="2"/>
      <c r="L952" s="2"/>
      <c r="M952" s="2"/>
      <c r="N952" s="2"/>
      <c r="O952" s="2"/>
      <c r="P952" s="2"/>
      <c r="Q952" s="2"/>
      <c r="R952" s="2"/>
      <c r="S952" s="2"/>
      <c r="T952" s="2"/>
      <c r="U952" s="2"/>
      <c r="V952" s="2"/>
      <c r="W952" s="158"/>
      <c r="X952" s="2"/>
      <c r="Y952" s="2"/>
      <c r="Z952" s="2"/>
    </row>
    <row r="953" spans="1:26" ht="13.5" customHeight="1">
      <c r="A953" s="2"/>
      <c r="B953" s="2"/>
      <c r="C953" s="2"/>
      <c r="D953" s="2"/>
      <c r="E953" s="2"/>
      <c r="F953" s="2"/>
      <c r="G953" s="2"/>
      <c r="H953" s="2"/>
      <c r="I953" s="2"/>
      <c r="J953" s="2"/>
      <c r="K953" s="2"/>
      <c r="L953" s="2"/>
      <c r="M953" s="2"/>
      <c r="N953" s="2"/>
      <c r="O953" s="2"/>
      <c r="P953" s="2"/>
      <c r="Q953" s="2"/>
      <c r="R953" s="2"/>
      <c r="S953" s="2"/>
      <c r="T953" s="2"/>
      <c r="U953" s="2"/>
      <c r="V953" s="2"/>
      <c r="W953" s="158"/>
      <c r="X953" s="2"/>
      <c r="Y953" s="2"/>
      <c r="Z953" s="2"/>
    </row>
    <row r="954" spans="1:26" ht="13.5" customHeight="1">
      <c r="A954" s="2"/>
      <c r="B954" s="2"/>
      <c r="C954" s="2"/>
      <c r="D954" s="2"/>
      <c r="E954" s="2"/>
      <c r="F954" s="2"/>
      <c r="G954" s="2"/>
      <c r="H954" s="2"/>
      <c r="I954" s="2"/>
      <c r="J954" s="2"/>
      <c r="K954" s="2"/>
      <c r="L954" s="2"/>
      <c r="M954" s="2"/>
      <c r="N954" s="2"/>
      <c r="O954" s="2"/>
      <c r="P954" s="2"/>
      <c r="Q954" s="2"/>
      <c r="R954" s="2"/>
      <c r="S954" s="2"/>
      <c r="T954" s="2"/>
      <c r="U954" s="2"/>
      <c r="V954" s="2"/>
      <c r="W954" s="158"/>
      <c r="X954" s="2"/>
      <c r="Y954" s="2"/>
      <c r="Z954" s="2"/>
    </row>
    <row r="955" spans="1:26" ht="13.5" customHeight="1">
      <c r="A955" s="2"/>
      <c r="B955" s="2"/>
      <c r="C955" s="2"/>
      <c r="D955" s="2"/>
      <c r="E955" s="2"/>
      <c r="F955" s="2"/>
      <c r="G955" s="2"/>
      <c r="H955" s="2"/>
      <c r="I955" s="2"/>
      <c r="J955" s="2"/>
      <c r="K955" s="2"/>
      <c r="L955" s="2"/>
      <c r="M955" s="2"/>
      <c r="N955" s="2"/>
      <c r="O955" s="2"/>
      <c r="P955" s="2"/>
      <c r="Q955" s="2"/>
      <c r="R955" s="2"/>
      <c r="S955" s="2"/>
      <c r="T955" s="2"/>
      <c r="U955" s="2"/>
      <c r="V955" s="2"/>
      <c r="W955" s="158"/>
      <c r="X955" s="2"/>
      <c r="Y955" s="2"/>
      <c r="Z955" s="2"/>
    </row>
    <row r="956" spans="1:26" ht="13.5" customHeight="1">
      <c r="A956" s="2"/>
      <c r="B956" s="2"/>
      <c r="C956" s="2"/>
      <c r="D956" s="2"/>
      <c r="E956" s="2"/>
      <c r="F956" s="2"/>
      <c r="G956" s="2"/>
      <c r="H956" s="2"/>
      <c r="I956" s="2"/>
      <c r="J956" s="2"/>
      <c r="K956" s="2"/>
      <c r="L956" s="2"/>
      <c r="M956" s="2"/>
      <c r="N956" s="2"/>
      <c r="O956" s="2"/>
      <c r="P956" s="2"/>
      <c r="Q956" s="2"/>
      <c r="R956" s="2"/>
      <c r="S956" s="2"/>
      <c r="T956" s="2"/>
      <c r="U956" s="2"/>
      <c r="V956" s="2"/>
      <c r="W956" s="158"/>
      <c r="X956" s="2"/>
      <c r="Y956" s="2"/>
      <c r="Z956" s="2"/>
    </row>
    <row r="957" spans="1:26" ht="13.5" customHeight="1">
      <c r="A957" s="2"/>
      <c r="B957" s="2"/>
      <c r="C957" s="2"/>
      <c r="D957" s="2"/>
      <c r="E957" s="2"/>
      <c r="F957" s="2"/>
      <c r="G957" s="2"/>
      <c r="H957" s="2"/>
      <c r="I957" s="2"/>
      <c r="J957" s="2"/>
      <c r="K957" s="2"/>
      <c r="L957" s="2"/>
      <c r="M957" s="2"/>
      <c r="N957" s="2"/>
      <c r="O957" s="2"/>
      <c r="P957" s="2"/>
      <c r="Q957" s="2"/>
      <c r="R957" s="2"/>
      <c r="S957" s="2"/>
      <c r="T957" s="2"/>
      <c r="U957" s="2"/>
      <c r="V957" s="2"/>
      <c r="W957" s="158"/>
      <c r="X957" s="2"/>
      <c r="Y957" s="2"/>
      <c r="Z957" s="2"/>
    </row>
    <row r="958" spans="1:26" ht="13.5" customHeight="1">
      <c r="A958" s="2"/>
      <c r="B958" s="2"/>
      <c r="C958" s="2"/>
      <c r="D958" s="2"/>
      <c r="E958" s="2"/>
      <c r="F958" s="2"/>
      <c r="G958" s="2"/>
      <c r="H958" s="2"/>
      <c r="I958" s="2"/>
      <c r="J958" s="2"/>
      <c r="K958" s="2"/>
      <c r="L958" s="2"/>
      <c r="M958" s="2"/>
      <c r="N958" s="2"/>
      <c r="O958" s="2"/>
      <c r="P958" s="2"/>
      <c r="Q958" s="2"/>
      <c r="R958" s="2"/>
      <c r="S958" s="2"/>
      <c r="T958" s="2"/>
      <c r="U958" s="2"/>
      <c r="V958" s="2"/>
      <c r="W958" s="158"/>
      <c r="X958" s="2"/>
      <c r="Y958" s="2"/>
      <c r="Z958" s="2"/>
    </row>
    <row r="959" spans="1:26" ht="13.5" customHeight="1">
      <c r="A959" s="2"/>
      <c r="B959" s="2"/>
      <c r="C959" s="2"/>
      <c r="D959" s="2"/>
      <c r="E959" s="2"/>
      <c r="F959" s="2"/>
      <c r="G959" s="2"/>
      <c r="H959" s="2"/>
      <c r="I959" s="2"/>
      <c r="J959" s="2"/>
      <c r="K959" s="2"/>
      <c r="L959" s="2"/>
      <c r="M959" s="2"/>
      <c r="N959" s="2"/>
      <c r="O959" s="2"/>
      <c r="P959" s="2"/>
      <c r="Q959" s="2"/>
      <c r="R959" s="2"/>
      <c r="S959" s="2"/>
      <c r="T959" s="2"/>
      <c r="U959" s="2"/>
      <c r="V959" s="2"/>
      <c r="W959" s="158"/>
      <c r="X959" s="2"/>
      <c r="Y959" s="2"/>
      <c r="Z959" s="2"/>
    </row>
    <row r="960" spans="1:26" ht="13.5" customHeight="1">
      <c r="A960" s="2"/>
      <c r="B960" s="2"/>
      <c r="C960" s="2"/>
      <c r="D960" s="2"/>
      <c r="E960" s="2"/>
      <c r="F960" s="2"/>
      <c r="G960" s="2"/>
      <c r="H960" s="2"/>
      <c r="I960" s="2"/>
      <c r="J960" s="2"/>
      <c r="K960" s="2"/>
      <c r="L960" s="2"/>
      <c r="M960" s="2"/>
      <c r="N960" s="2"/>
      <c r="O960" s="2"/>
      <c r="P960" s="2"/>
      <c r="Q960" s="2"/>
      <c r="R960" s="2"/>
      <c r="S960" s="2"/>
      <c r="T960" s="2"/>
      <c r="U960" s="2"/>
      <c r="V960" s="2"/>
      <c r="W960" s="158"/>
      <c r="X960" s="2"/>
      <c r="Y960" s="2"/>
      <c r="Z960" s="2"/>
    </row>
    <row r="961" spans="1:26" ht="13.5" customHeight="1">
      <c r="A961" s="2"/>
      <c r="B961" s="2"/>
      <c r="C961" s="2"/>
      <c r="D961" s="2"/>
      <c r="E961" s="2"/>
      <c r="F961" s="2"/>
      <c r="G961" s="2"/>
      <c r="H961" s="2"/>
      <c r="I961" s="2"/>
      <c r="J961" s="2"/>
      <c r="K961" s="2"/>
      <c r="L961" s="2"/>
      <c r="M961" s="2"/>
      <c r="N961" s="2"/>
      <c r="O961" s="2"/>
      <c r="P961" s="2"/>
      <c r="Q961" s="2"/>
      <c r="R961" s="2"/>
      <c r="S961" s="2"/>
      <c r="T961" s="2"/>
      <c r="U961" s="2"/>
      <c r="V961" s="2"/>
      <c r="W961" s="158"/>
      <c r="X961" s="2"/>
      <c r="Y961" s="2"/>
      <c r="Z961" s="2"/>
    </row>
    <row r="962" spans="1:26" ht="13.5" customHeight="1">
      <c r="A962" s="2"/>
      <c r="B962" s="2"/>
      <c r="C962" s="2"/>
      <c r="D962" s="2"/>
      <c r="E962" s="2"/>
      <c r="F962" s="2"/>
      <c r="G962" s="2"/>
      <c r="H962" s="2"/>
      <c r="I962" s="2"/>
      <c r="J962" s="2"/>
      <c r="K962" s="2"/>
      <c r="L962" s="2"/>
      <c r="M962" s="2"/>
      <c r="N962" s="2"/>
      <c r="O962" s="2"/>
      <c r="P962" s="2"/>
      <c r="Q962" s="2"/>
      <c r="R962" s="2"/>
      <c r="S962" s="2"/>
      <c r="T962" s="2"/>
      <c r="U962" s="2"/>
      <c r="V962" s="2"/>
      <c r="W962" s="158"/>
      <c r="X962" s="2"/>
      <c r="Y962" s="2"/>
      <c r="Z962" s="2"/>
    </row>
    <row r="963" spans="1:26" ht="13.5" customHeight="1">
      <c r="A963" s="2"/>
      <c r="B963" s="2"/>
      <c r="C963" s="2"/>
      <c r="D963" s="2"/>
      <c r="E963" s="2"/>
      <c r="F963" s="2"/>
      <c r="G963" s="2"/>
      <c r="H963" s="2"/>
      <c r="I963" s="2"/>
      <c r="J963" s="2"/>
      <c r="K963" s="2"/>
      <c r="L963" s="2"/>
      <c r="M963" s="2"/>
      <c r="N963" s="2"/>
      <c r="O963" s="2"/>
      <c r="P963" s="2"/>
      <c r="Q963" s="2"/>
      <c r="R963" s="2"/>
      <c r="S963" s="2"/>
      <c r="T963" s="2"/>
      <c r="U963" s="2"/>
      <c r="V963" s="2"/>
      <c r="W963" s="158"/>
      <c r="X963" s="2"/>
      <c r="Y963" s="2"/>
      <c r="Z963" s="2"/>
    </row>
    <row r="964" spans="1:26" ht="13.5" customHeight="1">
      <c r="A964" s="2"/>
      <c r="B964" s="2"/>
      <c r="C964" s="2"/>
      <c r="D964" s="2"/>
      <c r="E964" s="2"/>
      <c r="F964" s="2"/>
      <c r="G964" s="2"/>
      <c r="H964" s="2"/>
      <c r="I964" s="2"/>
      <c r="J964" s="2"/>
      <c r="K964" s="2"/>
      <c r="L964" s="2"/>
      <c r="M964" s="2"/>
      <c r="N964" s="2"/>
      <c r="O964" s="2"/>
      <c r="P964" s="2"/>
      <c r="Q964" s="2"/>
      <c r="R964" s="2"/>
      <c r="S964" s="2"/>
      <c r="T964" s="2"/>
      <c r="U964" s="2"/>
      <c r="V964" s="2"/>
      <c r="W964" s="158"/>
      <c r="X964" s="2"/>
      <c r="Y964" s="2"/>
      <c r="Z964" s="2"/>
    </row>
    <row r="965" spans="1:26" ht="13.5" customHeight="1">
      <c r="A965" s="2"/>
      <c r="B965" s="2"/>
      <c r="C965" s="2"/>
      <c r="D965" s="2"/>
      <c r="E965" s="2"/>
      <c r="F965" s="2"/>
      <c r="G965" s="2"/>
      <c r="H965" s="2"/>
      <c r="I965" s="2"/>
      <c r="J965" s="2"/>
      <c r="K965" s="2"/>
      <c r="L965" s="2"/>
      <c r="M965" s="2"/>
      <c r="N965" s="2"/>
      <c r="O965" s="2"/>
      <c r="P965" s="2"/>
      <c r="Q965" s="2"/>
      <c r="R965" s="2"/>
      <c r="S965" s="2"/>
      <c r="T965" s="2"/>
      <c r="U965" s="2"/>
      <c r="V965" s="2"/>
      <c r="W965" s="158"/>
      <c r="X965" s="2"/>
      <c r="Y965" s="2"/>
      <c r="Z965" s="2"/>
    </row>
    <row r="966" spans="1:26" ht="13.5" customHeight="1">
      <c r="A966" s="2"/>
      <c r="B966" s="2"/>
      <c r="C966" s="2"/>
      <c r="D966" s="2"/>
      <c r="E966" s="2"/>
      <c r="F966" s="2"/>
      <c r="G966" s="2"/>
      <c r="H966" s="2"/>
      <c r="I966" s="2"/>
      <c r="J966" s="2"/>
      <c r="K966" s="2"/>
      <c r="L966" s="2"/>
      <c r="M966" s="2"/>
      <c r="N966" s="2"/>
      <c r="O966" s="2"/>
      <c r="P966" s="2"/>
      <c r="Q966" s="2"/>
      <c r="R966" s="2"/>
      <c r="S966" s="2"/>
      <c r="T966" s="2"/>
      <c r="U966" s="2"/>
      <c r="V966" s="2"/>
      <c r="W966" s="158"/>
      <c r="X966" s="2"/>
      <c r="Y966" s="2"/>
      <c r="Z966" s="2"/>
    </row>
    <row r="967" spans="1:26" ht="13.5" customHeight="1">
      <c r="A967" s="2"/>
      <c r="B967" s="2"/>
      <c r="C967" s="2"/>
      <c r="D967" s="2"/>
      <c r="E967" s="2"/>
      <c r="F967" s="2"/>
      <c r="G967" s="2"/>
      <c r="H967" s="2"/>
      <c r="I967" s="2"/>
      <c r="J967" s="2"/>
      <c r="K967" s="2"/>
      <c r="L967" s="2"/>
      <c r="M967" s="2"/>
      <c r="N967" s="2"/>
      <c r="O967" s="2"/>
      <c r="P967" s="2"/>
      <c r="Q967" s="2"/>
      <c r="R967" s="2"/>
      <c r="S967" s="2"/>
      <c r="T967" s="2"/>
      <c r="U967" s="2"/>
      <c r="V967" s="2"/>
      <c r="W967" s="158"/>
      <c r="X967" s="2"/>
      <c r="Y967" s="2"/>
      <c r="Z967" s="2"/>
    </row>
    <row r="968" spans="1:26" ht="13.5" customHeight="1">
      <c r="A968" s="2"/>
      <c r="B968" s="2"/>
      <c r="C968" s="2"/>
      <c r="D968" s="2"/>
      <c r="E968" s="2"/>
      <c r="F968" s="2"/>
      <c r="G968" s="2"/>
      <c r="H968" s="2"/>
      <c r="I968" s="2"/>
      <c r="J968" s="2"/>
      <c r="K968" s="2"/>
      <c r="L968" s="2"/>
      <c r="M968" s="2"/>
      <c r="N968" s="2"/>
      <c r="O968" s="2"/>
      <c r="P968" s="2"/>
      <c r="Q968" s="2"/>
      <c r="R968" s="2"/>
      <c r="S968" s="2"/>
      <c r="T968" s="2"/>
      <c r="U968" s="2"/>
      <c r="V968" s="2"/>
      <c r="W968" s="158"/>
      <c r="X968" s="2"/>
      <c r="Y968" s="2"/>
      <c r="Z968" s="2"/>
    </row>
    <row r="969" spans="1:26" ht="13.5" customHeight="1">
      <c r="A969" s="2"/>
      <c r="B969" s="2"/>
      <c r="C969" s="2"/>
      <c r="D969" s="2"/>
      <c r="E969" s="2"/>
      <c r="F969" s="2"/>
      <c r="G969" s="2"/>
      <c r="H969" s="2"/>
      <c r="I969" s="2"/>
      <c r="J969" s="2"/>
      <c r="K969" s="2"/>
      <c r="L969" s="2"/>
      <c r="M969" s="2"/>
      <c r="N969" s="2"/>
      <c r="O969" s="2"/>
      <c r="P969" s="2"/>
      <c r="Q969" s="2"/>
      <c r="R969" s="2"/>
      <c r="S969" s="2"/>
      <c r="T969" s="2"/>
      <c r="U969" s="2"/>
      <c r="V969" s="2"/>
      <c r="W969" s="158"/>
      <c r="X969" s="2"/>
      <c r="Y969" s="2"/>
      <c r="Z969" s="2"/>
    </row>
    <row r="970" spans="1:26" ht="13.5" customHeight="1">
      <c r="A970" s="2"/>
      <c r="B970" s="2"/>
      <c r="C970" s="2"/>
      <c r="D970" s="2"/>
      <c r="E970" s="2"/>
      <c r="F970" s="2"/>
      <c r="G970" s="2"/>
      <c r="H970" s="2"/>
      <c r="I970" s="2"/>
      <c r="J970" s="2"/>
      <c r="K970" s="2"/>
      <c r="L970" s="2"/>
      <c r="M970" s="2"/>
      <c r="N970" s="2"/>
      <c r="O970" s="2"/>
      <c r="P970" s="2"/>
      <c r="Q970" s="2"/>
      <c r="R970" s="2"/>
      <c r="S970" s="2"/>
      <c r="T970" s="2"/>
      <c r="U970" s="2"/>
      <c r="V970" s="2"/>
      <c r="W970" s="158"/>
      <c r="X970" s="2"/>
      <c r="Y970" s="2"/>
      <c r="Z970" s="2"/>
    </row>
    <row r="971" spans="1:26" ht="13.5" customHeight="1">
      <c r="A971" s="2"/>
      <c r="B971" s="2"/>
      <c r="C971" s="2"/>
      <c r="D971" s="2"/>
      <c r="E971" s="2"/>
      <c r="F971" s="2"/>
      <c r="G971" s="2"/>
      <c r="H971" s="2"/>
      <c r="I971" s="2"/>
      <c r="J971" s="2"/>
      <c r="K971" s="2"/>
      <c r="L971" s="2"/>
      <c r="M971" s="2"/>
      <c r="N971" s="2"/>
      <c r="O971" s="2"/>
      <c r="P971" s="2"/>
      <c r="Q971" s="2"/>
      <c r="R971" s="2"/>
      <c r="S971" s="2"/>
      <c r="T971" s="2"/>
      <c r="U971" s="2"/>
      <c r="V971" s="2"/>
      <c r="W971" s="158"/>
      <c r="X971" s="2"/>
      <c r="Y971" s="2"/>
      <c r="Z971" s="2"/>
    </row>
    <row r="972" spans="1:26" ht="13.5" customHeight="1">
      <c r="A972" s="2"/>
      <c r="B972" s="2"/>
      <c r="C972" s="2"/>
      <c r="D972" s="2"/>
      <c r="E972" s="2"/>
      <c r="F972" s="2"/>
      <c r="G972" s="2"/>
      <c r="H972" s="2"/>
      <c r="I972" s="2"/>
      <c r="J972" s="2"/>
      <c r="K972" s="2"/>
      <c r="L972" s="2"/>
      <c r="M972" s="2"/>
      <c r="N972" s="2"/>
      <c r="O972" s="2"/>
      <c r="P972" s="2"/>
      <c r="Q972" s="2"/>
      <c r="R972" s="2"/>
      <c r="S972" s="2"/>
      <c r="T972" s="2"/>
      <c r="U972" s="2"/>
      <c r="V972" s="2"/>
      <c r="W972" s="158"/>
      <c r="X972" s="2"/>
      <c r="Y972" s="2"/>
      <c r="Z972" s="2"/>
    </row>
    <row r="973" spans="1:26" ht="13.5" customHeight="1">
      <c r="A973" s="2"/>
      <c r="B973" s="2"/>
      <c r="C973" s="2"/>
      <c r="D973" s="2"/>
      <c r="E973" s="2"/>
      <c r="F973" s="2"/>
      <c r="G973" s="2"/>
      <c r="H973" s="2"/>
      <c r="I973" s="2"/>
      <c r="J973" s="2"/>
      <c r="K973" s="2"/>
      <c r="L973" s="2"/>
      <c r="M973" s="2"/>
      <c r="N973" s="2"/>
      <c r="O973" s="2"/>
      <c r="P973" s="2"/>
      <c r="Q973" s="2"/>
      <c r="R973" s="2"/>
      <c r="S973" s="2"/>
      <c r="T973" s="2"/>
      <c r="U973" s="2"/>
      <c r="V973" s="2"/>
      <c r="W973" s="158"/>
      <c r="X973" s="2"/>
      <c r="Y973" s="2"/>
      <c r="Z973" s="2"/>
    </row>
    <row r="974" spans="1:26" ht="13.5" customHeight="1">
      <c r="A974" s="2"/>
      <c r="B974" s="2"/>
      <c r="C974" s="2"/>
      <c r="D974" s="2"/>
      <c r="E974" s="2"/>
      <c r="F974" s="2"/>
      <c r="G974" s="2"/>
      <c r="H974" s="2"/>
      <c r="I974" s="2"/>
      <c r="J974" s="2"/>
      <c r="K974" s="2"/>
      <c r="L974" s="2"/>
      <c r="M974" s="2"/>
      <c r="N974" s="2"/>
      <c r="O974" s="2"/>
      <c r="P974" s="2"/>
      <c r="Q974" s="2"/>
      <c r="R974" s="2"/>
      <c r="S974" s="2"/>
      <c r="T974" s="2"/>
      <c r="U974" s="2"/>
      <c r="V974" s="2"/>
      <c r="W974" s="158"/>
      <c r="X974" s="2"/>
      <c r="Y974" s="2"/>
      <c r="Z974" s="2"/>
    </row>
    <row r="975" spans="1:26" ht="13.5" customHeight="1">
      <c r="A975" s="2"/>
      <c r="B975" s="2"/>
      <c r="C975" s="2"/>
      <c r="D975" s="2"/>
      <c r="E975" s="2"/>
      <c r="F975" s="2"/>
      <c r="G975" s="2"/>
      <c r="H975" s="2"/>
      <c r="I975" s="2"/>
      <c r="J975" s="2"/>
      <c r="K975" s="2"/>
      <c r="L975" s="2"/>
      <c r="M975" s="2"/>
      <c r="N975" s="2"/>
      <c r="O975" s="2"/>
      <c r="P975" s="2"/>
      <c r="Q975" s="2"/>
      <c r="R975" s="2"/>
      <c r="S975" s="2"/>
      <c r="T975" s="2"/>
      <c r="U975" s="2"/>
      <c r="V975" s="2"/>
      <c r="W975" s="158"/>
      <c r="X975" s="2"/>
      <c r="Y975" s="2"/>
      <c r="Z975" s="2"/>
    </row>
    <row r="976" spans="1:26" ht="13.5" customHeight="1">
      <c r="A976" s="2"/>
      <c r="B976" s="2"/>
      <c r="C976" s="2"/>
      <c r="D976" s="2"/>
      <c r="E976" s="2"/>
      <c r="F976" s="2"/>
      <c r="G976" s="2"/>
      <c r="H976" s="2"/>
      <c r="I976" s="2"/>
      <c r="J976" s="2"/>
      <c r="K976" s="2"/>
      <c r="L976" s="2"/>
      <c r="M976" s="2"/>
      <c r="N976" s="2"/>
      <c r="O976" s="2"/>
      <c r="P976" s="2"/>
      <c r="Q976" s="2"/>
      <c r="R976" s="2"/>
      <c r="S976" s="2"/>
      <c r="T976" s="2"/>
      <c r="U976" s="2"/>
      <c r="V976" s="2"/>
      <c r="W976" s="158"/>
      <c r="X976" s="2"/>
      <c r="Y976" s="2"/>
      <c r="Z976" s="2"/>
    </row>
    <row r="977" spans="1:26" ht="13.5" customHeight="1">
      <c r="A977" s="2"/>
      <c r="B977" s="2"/>
      <c r="C977" s="2"/>
      <c r="D977" s="2"/>
      <c r="E977" s="2"/>
      <c r="F977" s="2"/>
      <c r="G977" s="2"/>
      <c r="H977" s="2"/>
      <c r="I977" s="2"/>
      <c r="J977" s="2"/>
      <c r="K977" s="2"/>
      <c r="L977" s="2"/>
      <c r="M977" s="2"/>
      <c r="N977" s="2"/>
      <c r="O977" s="2"/>
      <c r="P977" s="2"/>
      <c r="Q977" s="2"/>
      <c r="R977" s="2"/>
      <c r="S977" s="2"/>
      <c r="T977" s="2"/>
      <c r="U977" s="2"/>
      <c r="V977" s="2"/>
      <c r="W977" s="158"/>
      <c r="X977" s="2"/>
      <c r="Y977" s="2"/>
      <c r="Z977" s="2"/>
    </row>
    <row r="978" spans="1:26" ht="13.5" customHeight="1">
      <c r="A978" s="2"/>
      <c r="B978" s="2"/>
      <c r="C978" s="2"/>
      <c r="D978" s="2"/>
      <c r="E978" s="2"/>
      <c r="F978" s="2"/>
      <c r="G978" s="2"/>
      <c r="H978" s="2"/>
      <c r="I978" s="2"/>
      <c r="J978" s="2"/>
      <c r="K978" s="2"/>
      <c r="L978" s="2"/>
      <c r="M978" s="2"/>
      <c r="N978" s="2"/>
      <c r="O978" s="2"/>
      <c r="P978" s="2"/>
      <c r="Q978" s="2"/>
      <c r="R978" s="2"/>
      <c r="S978" s="2"/>
      <c r="T978" s="2"/>
      <c r="U978" s="2"/>
      <c r="V978" s="2"/>
      <c r="W978" s="158"/>
      <c r="X978" s="2"/>
      <c r="Y978" s="2"/>
      <c r="Z978" s="2"/>
    </row>
    <row r="979" spans="1:26" ht="13.5" customHeight="1">
      <c r="A979" s="2"/>
      <c r="B979" s="2"/>
      <c r="C979" s="2"/>
      <c r="D979" s="2"/>
      <c r="E979" s="2"/>
      <c r="F979" s="2"/>
      <c r="G979" s="2"/>
      <c r="H979" s="2"/>
      <c r="I979" s="2"/>
      <c r="J979" s="2"/>
      <c r="K979" s="2"/>
      <c r="L979" s="2"/>
      <c r="M979" s="2"/>
      <c r="N979" s="2"/>
      <c r="O979" s="2"/>
      <c r="P979" s="2"/>
      <c r="Q979" s="2"/>
      <c r="R979" s="2"/>
      <c r="S979" s="2"/>
      <c r="T979" s="2"/>
      <c r="U979" s="2"/>
      <c r="V979" s="2"/>
      <c r="W979" s="158"/>
      <c r="X979" s="2"/>
      <c r="Y979" s="2"/>
      <c r="Z979" s="2"/>
    </row>
    <row r="980" spans="1:26" ht="13.5" customHeight="1">
      <c r="A980" s="2"/>
      <c r="B980" s="2"/>
      <c r="C980" s="2"/>
      <c r="D980" s="2"/>
      <c r="E980" s="2"/>
      <c r="F980" s="2"/>
      <c r="G980" s="2"/>
      <c r="H980" s="2"/>
      <c r="I980" s="2"/>
      <c r="J980" s="2"/>
      <c r="K980" s="2"/>
      <c r="L980" s="2"/>
      <c r="M980" s="2"/>
      <c r="N980" s="2"/>
      <c r="O980" s="2"/>
      <c r="P980" s="2"/>
      <c r="Q980" s="2"/>
      <c r="R980" s="2"/>
      <c r="S980" s="2"/>
      <c r="T980" s="2"/>
      <c r="U980" s="2"/>
      <c r="V980" s="2"/>
      <c r="W980" s="158"/>
      <c r="X980" s="2"/>
      <c r="Y980" s="2"/>
      <c r="Z980" s="2"/>
    </row>
    <row r="981" spans="1:26" ht="13.5" customHeight="1">
      <c r="A981" s="2"/>
      <c r="B981" s="2"/>
      <c r="C981" s="2"/>
      <c r="D981" s="2"/>
      <c r="E981" s="2"/>
      <c r="F981" s="2"/>
      <c r="G981" s="2"/>
      <c r="H981" s="2"/>
      <c r="I981" s="2"/>
      <c r="J981" s="2"/>
      <c r="K981" s="2"/>
      <c r="L981" s="2"/>
      <c r="M981" s="2"/>
      <c r="N981" s="2"/>
      <c r="O981" s="2"/>
      <c r="P981" s="2"/>
      <c r="Q981" s="2"/>
      <c r="R981" s="2"/>
      <c r="S981" s="2"/>
      <c r="T981" s="2"/>
      <c r="U981" s="2"/>
      <c r="V981" s="2"/>
      <c r="W981" s="158"/>
      <c r="X981" s="2"/>
      <c r="Y981" s="2"/>
      <c r="Z981" s="2"/>
    </row>
    <row r="982" spans="1:26" ht="13.5" customHeight="1">
      <c r="A982" s="2"/>
      <c r="B982" s="2"/>
      <c r="C982" s="2"/>
      <c r="D982" s="2"/>
      <c r="E982" s="2"/>
      <c r="F982" s="2"/>
      <c r="G982" s="2"/>
      <c r="H982" s="2"/>
      <c r="I982" s="2"/>
      <c r="J982" s="2"/>
      <c r="K982" s="2"/>
      <c r="L982" s="2"/>
      <c r="M982" s="2"/>
      <c r="N982" s="2"/>
      <c r="O982" s="2"/>
      <c r="P982" s="2"/>
      <c r="Q982" s="2"/>
      <c r="R982" s="2"/>
      <c r="S982" s="2"/>
      <c r="T982" s="2"/>
      <c r="U982" s="2"/>
      <c r="V982" s="2"/>
      <c r="W982" s="158"/>
      <c r="X982" s="2"/>
      <c r="Y982" s="2"/>
      <c r="Z982" s="2"/>
    </row>
    <row r="983" spans="1:26" ht="13.5" customHeight="1">
      <c r="A983" s="2"/>
      <c r="B983" s="2"/>
      <c r="C983" s="2"/>
      <c r="D983" s="2"/>
      <c r="E983" s="2"/>
      <c r="F983" s="2"/>
      <c r="G983" s="2"/>
      <c r="H983" s="2"/>
      <c r="I983" s="2"/>
      <c r="J983" s="2"/>
      <c r="K983" s="2"/>
      <c r="L983" s="2"/>
      <c r="M983" s="2"/>
      <c r="N983" s="2"/>
      <c r="O983" s="2"/>
      <c r="P983" s="2"/>
      <c r="Q983" s="2"/>
      <c r="R983" s="2"/>
      <c r="S983" s="2"/>
      <c r="T983" s="2"/>
      <c r="U983" s="2"/>
      <c r="V983" s="2"/>
      <c r="W983" s="158"/>
      <c r="X983" s="2"/>
      <c r="Y983" s="2"/>
      <c r="Z983" s="2"/>
    </row>
    <row r="984" spans="1:26" ht="13.5" customHeight="1">
      <c r="A984" s="2"/>
      <c r="B984" s="2"/>
      <c r="C984" s="2"/>
      <c r="D984" s="2"/>
      <c r="E984" s="2"/>
      <c r="F984" s="2"/>
      <c r="G984" s="2"/>
      <c r="H984" s="2"/>
      <c r="I984" s="2"/>
      <c r="J984" s="2"/>
      <c r="K984" s="2"/>
      <c r="L984" s="2"/>
      <c r="M984" s="2"/>
      <c r="N984" s="2"/>
      <c r="O984" s="2"/>
      <c r="P984" s="2"/>
      <c r="Q984" s="2"/>
      <c r="R984" s="2"/>
      <c r="S984" s="2"/>
      <c r="T984" s="2"/>
      <c r="U984" s="2"/>
      <c r="V984" s="2"/>
      <c r="W984" s="158"/>
      <c r="X984" s="2"/>
      <c r="Y984" s="2"/>
      <c r="Z984" s="2"/>
    </row>
    <row r="985" spans="1:26" ht="13.5" customHeight="1">
      <c r="A985" s="2"/>
      <c r="B985" s="2"/>
      <c r="C985" s="2"/>
      <c r="D985" s="2"/>
      <c r="E985" s="2"/>
      <c r="F985" s="2"/>
      <c r="G985" s="2"/>
      <c r="H985" s="2"/>
      <c r="I985" s="2"/>
      <c r="J985" s="2"/>
      <c r="K985" s="2"/>
      <c r="L985" s="2"/>
      <c r="M985" s="2"/>
      <c r="N985" s="2"/>
      <c r="O985" s="2"/>
      <c r="P985" s="2"/>
      <c r="Q985" s="2"/>
      <c r="R985" s="2"/>
      <c r="S985" s="2"/>
      <c r="T985" s="2"/>
      <c r="U985" s="2"/>
      <c r="V985" s="2"/>
      <c r="W985" s="158"/>
      <c r="X985" s="2"/>
      <c r="Y985" s="2"/>
      <c r="Z985" s="2"/>
    </row>
    <row r="986" spans="1:26" ht="13.5" customHeight="1">
      <c r="A986" s="2"/>
      <c r="B986" s="2"/>
      <c r="C986" s="2"/>
      <c r="D986" s="2"/>
      <c r="E986" s="2"/>
      <c r="F986" s="2"/>
      <c r="G986" s="2"/>
      <c r="H986" s="2"/>
      <c r="I986" s="2"/>
      <c r="J986" s="2"/>
      <c r="K986" s="2"/>
      <c r="L986" s="2"/>
      <c r="M986" s="2"/>
      <c r="N986" s="2"/>
      <c r="O986" s="2"/>
      <c r="P986" s="2"/>
      <c r="Q986" s="2"/>
      <c r="R986" s="2"/>
      <c r="S986" s="2"/>
      <c r="T986" s="2"/>
      <c r="U986" s="2"/>
      <c r="V986" s="2"/>
      <c r="W986" s="158"/>
      <c r="X986" s="2"/>
      <c r="Y986" s="2"/>
      <c r="Z986" s="2"/>
    </row>
    <row r="987" spans="1:26" ht="13.5" customHeight="1">
      <c r="A987" s="2"/>
      <c r="B987" s="2"/>
      <c r="C987" s="2"/>
      <c r="D987" s="2"/>
      <c r="E987" s="2"/>
      <c r="F987" s="2"/>
      <c r="G987" s="2"/>
      <c r="H987" s="2"/>
      <c r="I987" s="2"/>
      <c r="J987" s="2"/>
      <c r="K987" s="2"/>
      <c r="L987" s="2"/>
      <c r="M987" s="2"/>
      <c r="N987" s="2"/>
      <c r="O987" s="2"/>
      <c r="P987" s="2"/>
      <c r="Q987" s="2"/>
      <c r="R987" s="2"/>
      <c r="S987" s="2"/>
      <c r="T987" s="2"/>
      <c r="U987" s="2"/>
      <c r="V987" s="2"/>
      <c r="W987" s="158"/>
      <c r="X987" s="2"/>
      <c r="Y987" s="2"/>
      <c r="Z987" s="2"/>
    </row>
    <row r="988" spans="1:26" ht="13.5" customHeight="1">
      <c r="A988" s="2"/>
      <c r="B988" s="2"/>
      <c r="C988" s="2"/>
      <c r="D988" s="2"/>
      <c r="E988" s="2"/>
      <c r="F988" s="2"/>
      <c r="G988" s="2"/>
      <c r="H988" s="2"/>
      <c r="I988" s="2"/>
      <c r="J988" s="2"/>
      <c r="K988" s="2"/>
      <c r="L988" s="2"/>
      <c r="M988" s="2"/>
      <c r="N988" s="2"/>
      <c r="O988" s="2"/>
      <c r="P988" s="2"/>
      <c r="Q988" s="2"/>
      <c r="R988" s="2"/>
      <c r="S988" s="2"/>
      <c r="T988" s="2"/>
      <c r="U988" s="2"/>
      <c r="V988" s="2"/>
      <c r="W988" s="158"/>
      <c r="X988" s="2"/>
      <c r="Y988" s="2"/>
      <c r="Z988" s="2"/>
    </row>
    <row r="989" spans="1:26" ht="13.5" customHeight="1">
      <c r="A989" s="2"/>
      <c r="B989" s="2"/>
      <c r="C989" s="2"/>
      <c r="D989" s="2"/>
      <c r="E989" s="2"/>
      <c r="F989" s="2"/>
      <c r="G989" s="2"/>
      <c r="H989" s="2"/>
      <c r="I989" s="2"/>
      <c r="J989" s="2"/>
      <c r="K989" s="2"/>
      <c r="L989" s="2"/>
      <c r="M989" s="2"/>
      <c r="N989" s="2"/>
      <c r="O989" s="2"/>
      <c r="P989" s="2"/>
      <c r="Q989" s="2"/>
      <c r="R989" s="2"/>
      <c r="S989" s="2"/>
      <c r="T989" s="2"/>
      <c r="U989" s="2"/>
      <c r="V989" s="2"/>
      <c r="W989" s="158"/>
      <c r="X989" s="2"/>
      <c r="Y989" s="2"/>
      <c r="Z989" s="2"/>
    </row>
    <row r="990" spans="1:26" ht="13.5" customHeight="1">
      <c r="A990" s="2"/>
      <c r="B990" s="2"/>
      <c r="C990" s="2"/>
      <c r="D990" s="2"/>
      <c r="E990" s="2"/>
      <c r="F990" s="2"/>
      <c r="G990" s="2"/>
      <c r="H990" s="2"/>
      <c r="I990" s="2"/>
      <c r="J990" s="2"/>
      <c r="K990" s="2"/>
      <c r="L990" s="2"/>
      <c r="M990" s="2"/>
      <c r="N990" s="2"/>
      <c r="O990" s="2"/>
      <c r="P990" s="2"/>
      <c r="Q990" s="2"/>
      <c r="R990" s="2"/>
      <c r="S990" s="2"/>
      <c r="T990" s="2"/>
      <c r="U990" s="2"/>
      <c r="V990" s="2"/>
      <c r="W990" s="158"/>
      <c r="X990" s="2"/>
      <c r="Y990" s="2"/>
      <c r="Z990" s="2"/>
    </row>
    <row r="991" spans="1:26" ht="13.5" customHeight="1">
      <c r="A991" s="2"/>
      <c r="B991" s="2"/>
      <c r="C991" s="2"/>
      <c r="D991" s="2"/>
      <c r="E991" s="2"/>
      <c r="F991" s="2"/>
      <c r="G991" s="2"/>
      <c r="H991" s="2"/>
      <c r="I991" s="2"/>
      <c r="J991" s="2"/>
      <c r="K991" s="2"/>
      <c r="L991" s="2"/>
      <c r="M991" s="2"/>
      <c r="N991" s="2"/>
      <c r="O991" s="2"/>
      <c r="P991" s="2"/>
      <c r="Q991" s="2"/>
      <c r="R991" s="2"/>
      <c r="S991" s="2"/>
      <c r="T991" s="2"/>
      <c r="U991" s="2"/>
      <c r="V991" s="2"/>
      <c r="W991" s="158"/>
      <c r="X991" s="2"/>
      <c r="Y991" s="2"/>
      <c r="Z991" s="2"/>
    </row>
    <row r="992" spans="1:26" ht="13.5" customHeight="1">
      <c r="A992" s="2"/>
      <c r="B992" s="2"/>
      <c r="C992" s="2"/>
      <c r="D992" s="2"/>
      <c r="E992" s="2"/>
      <c r="F992" s="2"/>
      <c r="G992" s="2"/>
      <c r="H992" s="2"/>
      <c r="I992" s="2"/>
      <c r="J992" s="2"/>
      <c r="K992" s="2"/>
      <c r="L992" s="2"/>
      <c r="M992" s="2"/>
      <c r="N992" s="2"/>
      <c r="O992" s="2"/>
      <c r="P992" s="2"/>
      <c r="Q992" s="2"/>
      <c r="R992" s="2"/>
      <c r="S992" s="2"/>
      <c r="T992" s="2"/>
      <c r="U992" s="2"/>
      <c r="V992" s="2"/>
      <c r="W992" s="158"/>
      <c r="X992" s="2"/>
      <c r="Y992" s="2"/>
      <c r="Z992" s="2"/>
    </row>
    <row r="993" spans="1:26" ht="13.5" customHeight="1">
      <c r="A993" s="2"/>
      <c r="B993" s="2"/>
      <c r="C993" s="2"/>
      <c r="D993" s="2"/>
      <c r="E993" s="2"/>
      <c r="F993" s="2"/>
      <c r="G993" s="2"/>
      <c r="H993" s="2"/>
      <c r="I993" s="2"/>
      <c r="J993" s="2"/>
      <c r="K993" s="2"/>
      <c r="L993" s="2"/>
      <c r="M993" s="2"/>
      <c r="N993" s="2"/>
      <c r="O993" s="2"/>
      <c r="P993" s="2"/>
      <c r="Q993" s="2"/>
      <c r="R993" s="2"/>
      <c r="S993" s="2"/>
      <c r="T993" s="2"/>
      <c r="U993" s="2"/>
      <c r="V993" s="2"/>
      <c r="W993" s="158"/>
      <c r="X993" s="2"/>
      <c r="Y993" s="2"/>
      <c r="Z993" s="2"/>
    </row>
    <row r="994" spans="1:26" ht="13.5" customHeight="1">
      <c r="A994" s="2"/>
      <c r="B994" s="2"/>
      <c r="C994" s="2"/>
      <c r="D994" s="2"/>
      <c r="E994" s="2"/>
      <c r="F994" s="2"/>
      <c r="G994" s="2"/>
      <c r="H994" s="2"/>
      <c r="I994" s="2"/>
      <c r="J994" s="2"/>
      <c r="K994" s="2"/>
      <c r="L994" s="2"/>
      <c r="M994" s="2"/>
      <c r="N994" s="2"/>
      <c r="O994" s="2"/>
      <c r="P994" s="2"/>
      <c r="Q994" s="2"/>
      <c r="R994" s="2"/>
      <c r="S994" s="2"/>
      <c r="T994" s="2"/>
      <c r="U994" s="2"/>
      <c r="V994" s="2"/>
      <c r="W994" s="158"/>
      <c r="X994" s="2"/>
      <c r="Y994" s="2"/>
      <c r="Z994" s="2"/>
    </row>
    <row r="995" spans="1:26" ht="13.5" customHeight="1">
      <c r="A995" s="2"/>
      <c r="B995" s="2"/>
      <c r="C995" s="2"/>
      <c r="D995" s="2"/>
      <c r="E995" s="2"/>
      <c r="F995" s="2"/>
      <c r="G995" s="2"/>
      <c r="H995" s="2"/>
      <c r="I995" s="2"/>
      <c r="J995" s="2"/>
      <c r="K995" s="2"/>
      <c r="L995" s="2"/>
      <c r="M995" s="2"/>
      <c r="N995" s="2"/>
      <c r="O995" s="2"/>
      <c r="P995" s="2"/>
      <c r="Q995" s="2"/>
      <c r="R995" s="2"/>
      <c r="S995" s="2"/>
      <c r="T995" s="2"/>
      <c r="U995" s="2"/>
      <c r="V995" s="2"/>
      <c r="W995" s="158"/>
      <c r="X995" s="2"/>
      <c r="Y995" s="2"/>
      <c r="Z995" s="2"/>
    </row>
    <row r="996" spans="1:26" ht="13.5" customHeight="1">
      <c r="A996" s="2"/>
      <c r="B996" s="2"/>
      <c r="C996" s="2"/>
      <c r="D996" s="2"/>
      <c r="E996" s="2"/>
      <c r="F996" s="2"/>
      <c r="G996" s="2"/>
      <c r="H996" s="2"/>
      <c r="I996" s="2"/>
      <c r="J996" s="2"/>
      <c r="K996" s="2"/>
      <c r="L996" s="2"/>
      <c r="M996" s="2"/>
      <c r="N996" s="2"/>
      <c r="O996" s="2"/>
      <c r="P996" s="2"/>
      <c r="Q996" s="2"/>
      <c r="R996" s="2"/>
      <c r="S996" s="2"/>
      <c r="T996" s="2"/>
      <c r="U996" s="2"/>
      <c r="V996" s="2"/>
      <c r="W996" s="158"/>
      <c r="X996" s="2"/>
      <c r="Y996" s="2"/>
      <c r="Z996" s="2"/>
    </row>
    <row r="997" spans="1:26" ht="13.5" customHeight="1">
      <c r="A997" s="2"/>
      <c r="B997" s="2"/>
      <c r="C997" s="2"/>
      <c r="D997" s="2"/>
      <c r="E997" s="2"/>
      <c r="F997" s="2"/>
      <c r="G997" s="2"/>
      <c r="H997" s="2"/>
      <c r="I997" s="2"/>
      <c r="J997" s="2"/>
      <c r="K997" s="2"/>
      <c r="L997" s="2"/>
      <c r="M997" s="2"/>
      <c r="N997" s="2"/>
      <c r="O997" s="2"/>
      <c r="P997" s="2"/>
      <c r="Q997" s="2"/>
      <c r="R997" s="2"/>
      <c r="S997" s="2"/>
      <c r="T997" s="2"/>
      <c r="U997" s="2"/>
      <c r="V997" s="2"/>
      <c r="W997" s="158"/>
      <c r="X997" s="2"/>
      <c r="Y997" s="2"/>
      <c r="Z997" s="2"/>
    </row>
    <row r="998" spans="1:26" ht="13.5" customHeight="1">
      <c r="A998" s="2"/>
      <c r="B998" s="2"/>
      <c r="C998" s="2"/>
      <c r="D998" s="2"/>
      <c r="E998" s="2"/>
      <c r="F998" s="2"/>
      <c r="G998" s="2"/>
      <c r="H998" s="2"/>
      <c r="I998" s="2"/>
      <c r="J998" s="2"/>
      <c r="K998" s="2"/>
      <c r="L998" s="2"/>
      <c r="M998" s="2"/>
      <c r="N998" s="2"/>
      <c r="O998" s="2"/>
      <c r="P998" s="2"/>
      <c r="Q998" s="2"/>
      <c r="R998" s="2"/>
      <c r="S998" s="2"/>
      <c r="T998" s="2"/>
      <c r="U998" s="2"/>
      <c r="V998" s="2"/>
      <c r="W998" s="158"/>
      <c r="X998" s="2"/>
      <c r="Y998" s="2"/>
      <c r="Z998" s="2"/>
    </row>
    <row r="999" spans="1:26" ht="13.5" customHeight="1">
      <c r="A999" s="2"/>
      <c r="B999" s="2"/>
      <c r="C999" s="2"/>
      <c r="D999" s="2"/>
      <c r="E999" s="2"/>
      <c r="F999" s="2"/>
      <c r="G999" s="2"/>
      <c r="H999" s="2"/>
      <c r="I999" s="2"/>
      <c r="J999" s="2"/>
      <c r="K999" s="2"/>
      <c r="L999" s="2"/>
      <c r="M999" s="2"/>
      <c r="N999" s="2"/>
      <c r="O999" s="2"/>
      <c r="P999" s="2"/>
      <c r="Q999" s="2"/>
      <c r="R999" s="2"/>
      <c r="S999" s="2"/>
      <c r="T999" s="2"/>
      <c r="U999" s="2"/>
      <c r="V999" s="2"/>
      <c r="W999" s="158"/>
      <c r="X999" s="2"/>
      <c r="Y999" s="2"/>
      <c r="Z999" s="2"/>
    </row>
    <row r="1000" spans="1:26"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158"/>
      <c r="X1000" s="2"/>
      <c r="Y1000" s="2"/>
      <c r="Z1000" s="2"/>
    </row>
  </sheetData>
  <pageMargins left="0.7" right="0.7" top="0.75" bottom="0.75" header="0" footer="0"/>
  <pageSetup scale="43"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DEF6"/>
  </sheetPr>
  <dimension ref="A1:Z1000"/>
  <sheetViews>
    <sheetView showGridLines="0" zoomScale="80" zoomScaleNormal="80" workbookViewId="0">
      <pane xSplit="1" ySplit="1" topLeftCell="B2" activePane="bottomRight" state="frozen"/>
      <selection activeCell="X35" sqref="X35"/>
      <selection pane="topRight" activeCell="X35" sqref="X35"/>
      <selection pane="bottomLeft" activeCell="X35" sqref="X35"/>
      <selection pane="bottomRight"/>
    </sheetView>
  </sheetViews>
  <sheetFormatPr defaultColWidth="14.44140625" defaultRowHeight="15" customHeight="1"/>
  <cols>
    <col min="1" max="2" width="1.6640625" customWidth="1"/>
    <col min="3" max="3" width="29.5546875" customWidth="1"/>
    <col min="4" max="4" width="22.33203125" customWidth="1"/>
    <col min="5" max="5" width="25.6640625" customWidth="1"/>
    <col min="6" max="6" width="32.5546875" customWidth="1"/>
    <col min="7" max="7" width="1.6640625" customWidth="1"/>
    <col min="8" max="26" width="9.109375" customWidth="1"/>
  </cols>
  <sheetData>
    <row r="1" spans="1:26" ht="13.5" customHeight="1">
      <c r="A1" s="2"/>
      <c r="B1" s="2"/>
      <c r="C1" s="5" t="str">
        <f ca="1">Company_Name&amp;" - "&amp;MID(CELL("filename",A1),FIND("]",CELL("filename",A1))+1,255)</f>
        <v>Hamilton Lane Inc. - Integrity</v>
      </c>
      <c r="D1" s="2"/>
      <c r="E1" s="2"/>
      <c r="F1" s="2"/>
      <c r="G1" s="2"/>
      <c r="H1" s="2"/>
      <c r="I1" s="2"/>
      <c r="J1" s="2"/>
      <c r="K1" s="2"/>
      <c r="L1" s="2"/>
      <c r="M1" s="2"/>
      <c r="N1" s="2"/>
      <c r="O1" s="2"/>
      <c r="P1" s="2"/>
      <c r="Q1" s="2"/>
      <c r="R1" s="2"/>
      <c r="S1" s="2"/>
      <c r="T1" s="2"/>
      <c r="U1" s="2"/>
      <c r="V1" s="2"/>
      <c r="W1" s="2"/>
      <c r="X1" s="2"/>
      <c r="Y1" s="2"/>
      <c r="Z1" s="2"/>
    </row>
    <row r="2" spans="1:26" ht="13.5" customHeight="1">
      <c r="A2" s="2"/>
      <c r="B2" s="2"/>
      <c r="C2" s="2"/>
      <c r="D2" s="2"/>
      <c r="E2" s="2"/>
      <c r="F2" s="2"/>
      <c r="G2" s="2"/>
      <c r="H2" s="2"/>
      <c r="I2" s="2"/>
      <c r="J2" s="2"/>
      <c r="K2" s="2"/>
      <c r="L2" s="2"/>
      <c r="M2" s="2"/>
      <c r="N2" s="2"/>
      <c r="O2" s="2"/>
      <c r="P2" s="2"/>
      <c r="Q2" s="2"/>
      <c r="R2" s="2"/>
      <c r="S2" s="2"/>
      <c r="T2" s="2"/>
      <c r="U2" s="2"/>
      <c r="V2" s="2"/>
      <c r="W2" s="2"/>
      <c r="X2" s="2"/>
      <c r="Y2" s="2"/>
      <c r="Z2" s="2"/>
    </row>
    <row r="3" spans="1:26" ht="13.5" customHeight="1">
      <c r="A3" s="3"/>
      <c r="B3" s="2"/>
      <c r="C3" s="159" t="s">
        <v>34</v>
      </c>
      <c r="D3" s="160"/>
      <c r="E3" s="160"/>
      <c r="F3" s="159"/>
      <c r="G3" s="159"/>
      <c r="H3" s="2"/>
      <c r="I3" s="2"/>
      <c r="J3" s="2"/>
      <c r="K3" s="2"/>
      <c r="L3" s="2"/>
      <c r="M3" s="2"/>
      <c r="N3" s="2"/>
      <c r="O3" s="2"/>
      <c r="P3" s="2"/>
      <c r="Q3" s="2"/>
      <c r="R3" s="2"/>
      <c r="S3" s="2"/>
      <c r="T3" s="2"/>
      <c r="U3" s="2"/>
      <c r="V3" s="2"/>
      <c r="W3" s="2"/>
      <c r="X3" s="2"/>
      <c r="Y3" s="2"/>
      <c r="Z3" s="2"/>
    </row>
    <row r="4" spans="1:26" ht="13.5" customHeight="1">
      <c r="A4" s="2"/>
      <c r="B4" s="2"/>
      <c r="C4" s="161" t="s">
        <v>163</v>
      </c>
      <c r="D4" s="162"/>
      <c r="E4" s="162"/>
      <c r="F4" s="162"/>
      <c r="G4" s="163"/>
      <c r="H4" s="2"/>
      <c r="I4" s="2"/>
      <c r="J4" s="2"/>
      <c r="K4" s="2"/>
      <c r="L4" s="2"/>
      <c r="M4" s="2"/>
      <c r="N4" s="2"/>
      <c r="O4" s="2"/>
      <c r="P4" s="2"/>
      <c r="Q4" s="2"/>
      <c r="R4" s="2"/>
      <c r="S4" s="2"/>
      <c r="T4" s="2"/>
      <c r="U4" s="2"/>
      <c r="V4" s="2"/>
      <c r="W4" s="2"/>
      <c r="X4" s="2"/>
      <c r="Y4" s="2"/>
      <c r="Z4" s="2"/>
    </row>
    <row r="5" spans="1:26" ht="13.5" customHeight="1">
      <c r="A5" s="2"/>
      <c r="B5" s="2"/>
      <c r="C5" s="164"/>
      <c r="D5" s="165"/>
      <c r="E5" s="2"/>
      <c r="F5" s="2"/>
      <c r="G5" s="2"/>
      <c r="H5" s="2"/>
      <c r="I5" s="2"/>
      <c r="J5" s="2"/>
      <c r="K5" s="2"/>
      <c r="L5" s="2"/>
      <c r="M5" s="2"/>
      <c r="N5" s="2"/>
      <c r="O5" s="2"/>
      <c r="P5" s="2"/>
      <c r="Q5" s="2"/>
      <c r="R5" s="2"/>
      <c r="S5" s="2"/>
      <c r="T5" s="2"/>
      <c r="U5" s="2"/>
      <c r="V5" s="2"/>
      <c r="W5" s="2"/>
      <c r="X5" s="2"/>
      <c r="Y5" s="2"/>
      <c r="Z5" s="2"/>
    </row>
    <row r="6" spans="1:26" ht="13.5" customHeight="1">
      <c r="A6" s="2"/>
      <c r="B6" s="2"/>
      <c r="C6" s="4" t="s">
        <v>164</v>
      </c>
      <c r="D6" s="165"/>
      <c r="E6" s="2"/>
      <c r="F6" s="2"/>
      <c r="G6" s="2"/>
      <c r="H6" s="2"/>
      <c r="I6" s="2"/>
      <c r="J6" s="2"/>
      <c r="K6" s="2"/>
      <c r="L6" s="2"/>
      <c r="M6" s="2"/>
      <c r="N6" s="2"/>
      <c r="O6" s="2"/>
      <c r="P6" s="2"/>
      <c r="Q6" s="2"/>
      <c r="R6" s="2"/>
      <c r="S6" s="2"/>
      <c r="T6" s="2"/>
      <c r="U6" s="2"/>
      <c r="V6" s="2"/>
      <c r="W6" s="2"/>
      <c r="X6" s="2"/>
      <c r="Y6" s="2"/>
      <c r="Z6" s="2"/>
    </row>
    <row r="7" spans="1:26" ht="13.5" customHeight="1">
      <c r="A7" s="2"/>
      <c r="B7" s="2"/>
      <c r="C7" s="164" t="s">
        <v>165</v>
      </c>
      <c r="D7" s="165">
        <f ca="1">SUM(Model!F159:AG159)</f>
        <v>0</v>
      </c>
      <c r="E7" s="2"/>
      <c r="F7" s="2"/>
      <c r="G7" s="2"/>
      <c r="H7" s="2"/>
      <c r="I7" s="2"/>
      <c r="J7" s="2"/>
      <c r="K7" s="2"/>
      <c r="L7" s="2"/>
      <c r="M7" s="2"/>
      <c r="N7" s="2"/>
      <c r="O7" s="2"/>
      <c r="P7" s="2"/>
      <c r="Q7" s="2"/>
      <c r="R7" s="2"/>
      <c r="S7" s="2"/>
      <c r="T7" s="2"/>
      <c r="U7" s="2"/>
      <c r="V7" s="2"/>
      <c r="W7" s="2"/>
      <c r="X7" s="2"/>
      <c r="Y7" s="2"/>
      <c r="Z7" s="2"/>
    </row>
    <row r="8" spans="1:26" ht="13.5" customHeight="1">
      <c r="A8" s="2"/>
      <c r="B8" s="2"/>
      <c r="C8" s="164" t="s">
        <v>166</v>
      </c>
      <c r="D8" s="165" t="str">
        <f>IF(Case_Scenario="Base","OK!","Check!")</f>
        <v>OK!</v>
      </c>
      <c r="E8" s="2"/>
      <c r="F8" s="2"/>
      <c r="G8" s="2"/>
      <c r="H8" s="2"/>
      <c r="I8" s="2"/>
      <c r="J8" s="2"/>
      <c r="K8" s="2"/>
      <c r="L8" s="2"/>
      <c r="M8" s="2"/>
      <c r="N8" s="2"/>
      <c r="O8" s="2"/>
      <c r="P8" s="2"/>
      <c r="Q8" s="2"/>
      <c r="R8" s="2"/>
      <c r="S8" s="2"/>
      <c r="T8" s="2"/>
      <c r="U8" s="2"/>
      <c r="V8" s="2"/>
      <c r="W8" s="2"/>
      <c r="X8" s="2"/>
      <c r="Y8" s="2"/>
      <c r="Z8" s="2"/>
    </row>
    <row r="9" spans="1:26" ht="13.5" customHeight="1">
      <c r="A9" s="2"/>
      <c r="B9" s="2"/>
      <c r="C9" s="164" t="s">
        <v>167</v>
      </c>
      <c r="D9" s="165" t="str">
        <f>IF(Model!C8="On","OK!","CHECK - OFF")</f>
        <v>OK!</v>
      </c>
      <c r="E9" s="2"/>
      <c r="F9" s="2"/>
      <c r="G9" s="2"/>
      <c r="H9" s="2"/>
      <c r="I9" s="2"/>
      <c r="J9" s="2"/>
      <c r="K9" s="2"/>
      <c r="L9" s="2"/>
      <c r="M9" s="2"/>
      <c r="N9" s="2"/>
      <c r="O9" s="2"/>
      <c r="P9" s="2"/>
      <c r="Q9" s="2"/>
      <c r="R9" s="2"/>
      <c r="S9" s="2"/>
      <c r="T9" s="2"/>
      <c r="U9" s="2"/>
      <c r="V9" s="2"/>
      <c r="W9" s="2"/>
      <c r="X9" s="2"/>
      <c r="Y9" s="2"/>
      <c r="Z9" s="2"/>
    </row>
    <row r="10" spans="1:26" ht="13.5" customHeight="1">
      <c r="A10" s="2"/>
      <c r="B10" s="2"/>
      <c r="C10" s="164" t="s">
        <v>135</v>
      </c>
      <c r="D10" s="165"/>
      <c r="E10" s="2"/>
      <c r="F10" s="2"/>
      <c r="G10" s="2"/>
      <c r="H10" s="2"/>
      <c r="I10" s="2"/>
      <c r="J10" s="2"/>
      <c r="K10" s="2"/>
      <c r="L10" s="2"/>
      <c r="M10" s="2"/>
      <c r="N10" s="2"/>
      <c r="O10" s="2"/>
      <c r="P10" s="2"/>
      <c r="Q10" s="2"/>
      <c r="R10" s="2"/>
      <c r="S10" s="2"/>
      <c r="T10" s="2"/>
      <c r="U10" s="2"/>
      <c r="V10" s="2"/>
      <c r="W10" s="2"/>
      <c r="X10" s="2"/>
      <c r="Y10" s="2"/>
      <c r="Z10" s="2"/>
    </row>
    <row r="11" spans="1:26" ht="13.5" customHeight="1">
      <c r="A11" s="2"/>
      <c r="B11" s="2"/>
      <c r="C11" s="166"/>
      <c r="D11" s="165"/>
      <c r="E11" s="2"/>
      <c r="F11" s="2"/>
      <c r="G11" s="2"/>
      <c r="H11" s="2"/>
      <c r="I11" s="2"/>
      <c r="J11" s="2"/>
      <c r="K11" s="2"/>
      <c r="L11" s="2"/>
      <c r="M11" s="2"/>
      <c r="N11" s="2"/>
      <c r="O11" s="2"/>
      <c r="P11" s="2"/>
      <c r="Q11" s="2"/>
      <c r="R11" s="2"/>
      <c r="S11" s="2"/>
      <c r="T11" s="2"/>
      <c r="U11" s="2"/>
      <c r="V11" s="2"/>
      <c r="W11" s="2"/>
      <c r="X11" s="2"/>
      <c r="Y11" s="2"/>
      <c r="Z11" s="2"/>
    </row>
    <row r="12" spans="1:26" ht="13.5" customHeight="1">
      <c r="A12" s="2"/>
      <c r="B12" s="2"/>
      <c r="C12" s="4" t="s">
        <v>168</v>
      </c>
      <c r="D12" s="165"/>
      <c r="E12" s="2"/>
      <c r="F12" s="2"/>
      <c r="G12" s="2"/>
      <c r="H12" s="2"/>
      <c r="I12" s="2"/>
      <c r="J12" s="2"/>
      <c r="K12" s="2"/>
      <c r="L12" s="2"/>
      <c r="M12" s="2"/>
      <c r="N12" s="2"/>
      <c r="O12" s="2"/>
      <c r="P12" s="2"/>
      <c r="Q12" s="2"/>
      <c r="R12" s="2"/>
      <c r="S12" s="2"/>
      <c r="T12" s="2"/>
      <c r="U12" s="2"/>
      <c r="V12" s="2"/>
      <c r="W12" s="2"/>
      <c r="X12" s="2"/>
      <c r="Y12" s="2"/>
      <c r="Z12" s="2"/>
    </row>
    <row r="13" spans="1:26" ht="13.5" customHeight="1">
      <c r="A13" s="2"/>
      <c r="B13" s="2"/>
      <c r="C13" s="164" t="s">
        <v>169</v>
      </c>
      <c r="D13" s="165">
        <f ca="1">SUM(Valuation!F92,Valuation!K92,Valuation!P92,Valuation!F151:F155,Valuation!L151:L155,Valuation!F227:F231,Valuation!L227:L231)</f>
        <v>0</v>
      </c>
      <c r="E13" s="2"/>
      <c r="F13" s="2"/>
      <c r="G13" s="2"/>
      <c r="H13" s="2"/>
      <c r="I13" s="2"/>
      <c r="J13" s="2"/>
      <c r="K13" s="2"/>
      <c r="L13" s="2"/>
      <c r="M13" s="2"/>
      <c r="N13" s="2"/>
      <c r="O13" s="2"/>
      <c r="P13" s="2"/>
      <c r="Q13" s="2"/>
      <c r="R13" s="2"/>
      <c r="S13" s="2"/>
      <c r="T13" s="2"/>
      <c r="U13" s="2"/>
      <c r="V13" s="2"/>
      <c r="W13" s="2"/>
      <c r="X13" s="2"/>
      <c r="Y13" s="2"/>
      <c r="Z13" s="2"/>
    </row>
    <row r="14" spans="1:26" ht="13.5" customHeight="1">
      <c r="A14" s="2"/>
      <c r="B14" s="2"/>
      <c r="C14" s="164" t="s">
        <v>170</v>
      </c>
      <c r="D14" s="165">
        <f ca="1">SUM(WACC!Q20,WACC!N33:N37)</f>
        <v>0</v>
      </c>
      <c r="E14" s="2"/>
      <c r="F14" s="2"/>
      <c r="G14" s="2"/>
      <c r="H14" s="2"/>
      <c r="I14" s="2"/>
      <c r="J14" s="2"/>
      <c r="K14" s="2"/>
      <c r="L14" s="2"/>
      <c r="M14" s="2"/>
      <c r="N14" s="2"/>
      <c r="O14" s="2"/>
      <c r="P14" s="2"/>
      <c r="Q14" s="2"/>
      <c r="R14" s="2"/>
      <c r="S14" s="2"/>
      <c r="T14" s="2"/>
      <c r="U14" s="2"/>
      <c r="V14" s="2"/>
      <c r="W14" s="2"/>
      <c r="X14" s="2"/>
      <c r="Y14" s="2"/>
      <c r="Z14" s="2"/>
    </row>
    <row r="15" spans="1:26" ht="13.5" customHeight="1">
      <c r="A15" s="2"/>
      <c r="B15" s="2"/>
      <c r="C15" s="164"/>
      <c r="D15" s="2"/>
      <c r="E15" s="2"/>
      <c r="F15" s="2"/>
      <c r="G15" s="2"/>
      <c r="H15" s="2"/>
      <c r="I15" s="2"/>
      <c r="J15" s="2"/>
      <c r="K15" s="2"/>
      <c r="L15" s="2"/>
      <c r="M15" s="2"/>
      <c r="N15" s="2"/>
      <c r="O15" s="2"/>
      <c r="P15" s="2"/>
      <c r="Q15" s="2"/>
      <c r="R15" s="2"/>
      <c r="S15" s="2"/>
      <c r="T15" s="2"/>
      <c r="U15" s="2"/>
      <c r="V15" s="2"/>
      <c r="W15" s="2"/>
      <c r="X15" s="2"/>
      <c r="Y15" s="2"/>
      <c r="Z15" s="2"/>
    </row>
    <row r="16" spans="1:26" ht="13.5" customHeight="1">
      <c r="A16" s="2"/>
      <c r="B16" s="2"/>
      <c r="C16" s="167" t="s">
        <v>171</v>
      </c>
      <c r="D16" s="2"/>
      <c r="E16" s="2"/>
      <c r="F16" s="2"/>
      <c r="G16" s="2"/>
      <c r="H16" s="2"/>
      <c r="I16" s="2"/>
      <c r="J16" s="2"/>
      <c r="K16" s="2"/>
      <c r="L16" s="2"/>
      <c r="M16" s="2"/>
      <c r="N16" s="2"/>
      <c r="O16" s="2"/>
      <c r="P16" s="2"/>
      <c r="Q16" s="2"/>
      <c r="R16" s="2"/>
      <c r="S16" s="2"/>
      <c r="T16" s="2"/>
      <c r="U16" s="2"/>
      <c r="V16" s="2"/>
      <c r="W16" s="2"/>
      <c r="X16" s="2"/>
      <c r="Y16" s="2"/>
      <c r="Z16" s="2"/>
    </row>
    <row r="17" spans="1:26" ht="13.5" customHeight="1">
      <c r="A17" s="2"/>
      <c r="B17" s="2"/>
      <c r="C17" s="164" t="s">
        <v>172</v>
      </c>
      <c r="D17" s="158" t="str">
        <f>Cover!$Q$2</f>
        <v>Report</v>
      </c>
      <c r="E17" s="2"/>
      <c r="F17" s="2"/>
      <c r="G17" s="2"/>
      <c r="H17" s="2"/>
      <c r="I17" s="2"/>
      <c r="J17" s="2"/>
      <c r="K17" s="2"/>
      <c r="L17" s="2"/>
      <c r="M17" s="2"/>
      <c r="N17" s="2"/>
      <c r="O17" s="2"/>
      <c r="P17" s="2"/>
      <c r="Q17" s="2"/>
      <c r="R17" s="2"/>
      <c r="S17" s="2"/>
      <c r="T17" s="2"/>
      <c r="U17" s="2"/>
      <c r="V17" s="2"/>
      <c r="W17" s="2"/>
      <c r="X17" s="2"/>
      <c r="Y17" s="2"/>
      <c r="Z17" s="2"/>
    </row>
    <row r="18" spans="1:26" ht="13.5" customHeight="1">
      <c r="A18" s="2"/>
      <c r="B18" s="2"/>
      <c r="C18" s="164" t="s">
        <v>173</v>
      </c>
      <c r="D18" s="158" t="str">
        <f>'Revenue Build'!$C$22</f>
        <v>Report</v>
      </c>
      <c r="E18" s="2"/>
      <c r="F18" s="2"/>
      <c r="G18" s="2"/>
      <c r="H18" s="2"/>
      <c r="I18" s="2"/>
      <c r="J18" s="2"/>
      <c r="K18" s="2"/>
      <c r="L18" s="2"/>
      <c r="M18" s="2"/>
      <c r="N18" s="2"/>
      <c r="O18" s="2"/>
      <c r="P18" s="2"/>
      <c r="Q18" s="2"/>
      <c r="R18" s="2"/>
      <c r="S18" s="2"/>
      <c r="T18" s="2"/>
      <c r="U18" s="2"/>
      <c r="V18" s="2"/>
      <c r="W18" s="2"/>
      <c r="X18" s="2"/>
      <c r="Y18" s="2"/>
      <c r="Z18" s="2"/>
    </row>
    <row r="19" spans="1:26" ht="13.5" customHeight="1">
      <c r="A19" s="2"/>
      <c r="B19" s="2"/>
      <c r="C19" s="164" t="s">
        <v>164</v>
      </c>
      <c r="D19" s="158" t="str">
        <f>Model!$C$5</f>
        <v>Report</v>
      </c>
      <c r="E19" s="2"/>
      <c r="F19" s="2"/>
      <c r="G19" s="2"/>
      <c r="H19" s="2"/>
      <c r="I19" s="2"/>
      <c r="J19" s="2"/>
      <c r="K19" s="2"/>
      <c r="L19" s="2"/>
      <c r="M19" s="2"/>
      <c r="N19" s="2"/>
      <c r="O19" s="2"/>
      <c r="P19" s="2"/>
      <c r="Q19" s="2"/>
      <c r="R19" s="2"/>
      <c r="S19" s="2"/>
      <c r="T19" s="2"/>
      <c r="U19" s="2"/>
      <c r="V19" s="2"/>
      <c r="W19" s="2"/>
      <c r="X19" s="2"/>
      <c r="Y19" s="2"/>
      <c r="Z19" s="2"/>
    </row>
    <row r="20" spans="1:26" ht="13.5" customHeight="1">
      <c r="A20" s="2"/>
      <c r="B20" s="2"/>
      <c r="C20" s="164" t="s">
        <v>42</v>
      </c>
      <c r="D20" s="158" t="str">
        <f>WACC!R5</f>
        <v>Report</v>
      </c>
      <c r="E20" s="2"/>
      <c r="F20" s="2"/>
      <c r="G20" s="2"/>
      <c r="H20" s="2"/>
      <c r="I20" s="2"/>
      <c r="J20" s="2"/>
      <c r="K20" s="2"/>
      <c r="L20" s="2"/>
      <c r="M20" s="2"/>
      <c r="N20" s="2"/>
      <c r="O20" s="2"/>
      <c r="P20" s="2"/>
      <c r="Q20" s="2"/>
      <c r="R20" s="2"/>
      <c r="S20" s="2"/>
      <c r="T20" s="2"/>
      <c r="U20" s="2"/>
      <c r="V20" s="2"/>
      <c r="W20" s="2"/>
      <c r="X20" s="2"/>
      <c r="Y20" s="2"/>
      <c r="Z20" s="2"/>
    </row>
    <row r="21" spans="1:26" ht="13.5" customHeight="1">
      <c r="A21" s="2"/>
      <c r="B21" s="2"/>
      <c r="C21" s="164" t="s">
        <v>174</v>
      </c>
      <c r="D21" s="158" t="str">
        <f>Valuation!$R$2</f>
        <v>Report</v>
      </c>
      <c r="E21" s="2"/>
      <c r="F21" s="2"/>
      <c r="G21" s="2"/>
      <c r="H21" s="2"/>
      <c r="I21" s="2"/>
      <c r="J21" s="2"/>
      <c r="K21" s="2"/>
      <c r="L21" s="2"/>
      <c r="M21" s="2"/>
      <c r="N21" s="2"/>
      <c r="O21" s="2"/>
      <c r="P21" s="2"/>
      <c r="Q21" s="2"/>
      <c r="R21" s="2"/>
      <c r="S21" s="2"/>
      <c r="T21" s="2"/>
      <c r="U21" s="2"/>
      <c r="V21" s="2"/>
      <c r="W21" s="2"/>
      <c r="X21" s="2"/>
      <c r="Y21" s="2"/>
      <c r="Z21" s="2"/>
    </row>
    <row r="22" spans="1:26"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3.5" customHeight="1">
      <c r="A23" s="2"/>
      <c r="B23" s="2"/>
      <c r="C23" s="159" t="s">
        <v>175</v>
      </c>
      <c r="D23" s="160"/>
      <c r="E23" s="160"/>
      <c r="F23" s="159"/>
      <c r="G23" s="159"/>
      <c r="H23" s="2"/>
      <c r="I23" s="2"/>
      <c r="J23" s="2"/>
      <c r="K23" s="2"/>
      <c r="L23" s="2"/>
      <c r="M23" s="2"/>
      <c r="N23" s="2"/>
      <c r="O23" s="2"/>
      <c r="P23" s="2"/>
      <c r="Q23" s="2"/>
      <c r="R23" s="2"/>
      <c r="S23" s="2"/>
      <c r="T23" s="2"/>
      <c r="U23" s="2"/>
      <c r="V23" s="2"/>
      <c r="W23" s="2"/>
      <c r="X23" s="2"/>
      <c r="Y23" s="2"/>
      <c r="Z23" s="2"/>
    </row>
    <row r="24" spans="1:26" ht="13.5" customHeight="1">
      <c r="A24" s="2"/>
      <c r="B24" s="2"/>
      <c r="C24" s="161" t="s">
        <v>176</v>
      </c>
      <c r="D24" s="162" t="s">
        <v>177</v>
      </c>
      <c r="E24" s="162" t="s">
        <v>178</v>
      </c>
      <c r="F24" s="168" t="s">
        <v>179</v>
      </c>
      <c r="G24" s="163"/>
      <c r="H24" s="2"/>
      <c r="I24" s="2"/>
      <c r="J24" s="2"/>
      <c r="K24" s="2"/>
      <c r="L24" s="2"/>
      <c r="M24" s="2"/>
      <c r="N24" s="2"/>
      <c r="O24" s="2"/>
      <c r="P24" s="2"/>
      <c r="Q24" s="2"/>
      <c r="R24" s="2"/>
      <c r="S24" s="2"/>
      <c r="T24" s="2"/>
      <c r="U24" s="2"/>
      <c r="V24" s="2"/>
      <c r="W24" s="2"/>
      <c r="X24" s="2"/>
      <c r="Y24" s="2"/>
      <c r="Z24" s="2"/>
    </row>
    <row r="25" spans="1:26" ht="13.5" customHeight="1">
      <c r="A25" s="2"/>
      <c r="B25" s="2"/>
      <c r="C25" s="169">
        <v>44476</v>
      </c>
      <c r="D25" s="170" t="s">
        <v>180</v>
      </c>
      <c r="E25" s="169" t="s">
        <v>181</v>
      </c>
      <c r="F25" s="171" t="s">
        <v>182</v>
      </c>
      <c r="G25" s="2"/>
      <c r="H25" s="2"/>
      <c r="I25" s="2"/>
      <c r="J25" s="2"/>
      <c r="K25" s="2"/>
      <c r="L25" s="2"/>
      <c r="M25" s="2"/>
      <c r="N25" s="2"/>
      <c r="O25" s="2"/>
      <c r="P25" s="2"/>
      <c r="Q25" s="2"/>
      <c r="R25" s="2"/>
      <c r="S25" s="2"/>
      <c r="T25" s="2"/>
      <c r="U25" s="2"/>
      <c r="V25" s="2"/>
      <c r="W25" s="2"/>
      <c r="X25" s="2"/>
      <c r="Y25" s="2"/>
      <c r="Z25" s="2"/>
    </row>
    <row r="26" spans="1:26" ht="13.5" customHeight="1">
      <c r="A26" s="2"/>
      <c r="B26" s="2"/>
      <c r="C26" s="172">
        <v>44476</v>
      </c>
      <c r="D26" s="158" t="s">
        <v>183</v>
      </c>
      <c r="E26" s="169" t="s">
        <v>184</v>
      </c>
      <c r="F26" s="171" t="s">
        <v>185</v>
      </c>
      <c r="G26" s="2"/>
      <c r="H26" s="2"/>
      <c r="I26" s="2"/>
      <c r="J26" s="2"/>
      <c r="K26" s="2"/>
      <c r="L26" s="2"/>
      <c r="M26" s="2"/>
      <c r="N26" s="2"/>
      <c r="O26" s="2"/>
      <c r="P26" s="2"/>
      <c r="Q26" s="2"/>
      <c r="R26" s="2"/>
      <c r="S26" s="2"/>
      <c r="T26" s="2"/>
      <c r="U26" s="2"/>
      <c r="V26" s="2"/>
      <c r="W26" s="2"/>
      <c r="X26" s="2"/>
      <c r="Y26" s="2"/>
      <c r="Z26" s="2"/>
    </row>
    <row r="27" spans="1:26" ht="13.5" customHeight="1">
      <c r="A27" s="2"/>
      <c r="B27" s="2"/>
      <c r="C27" s="169">
        <v>44480</v>
      </c>
      <c r="D27" s="170" t="s">
        <v>186</v>
      </c>
      <c r="E27" s="169" t="s">
        <v>181</v>
      </c>
      <c r="F27" s="171" t="s">
        <v>187</v>
      </c>
      <c r="G27" s="2"/>
      <c r="H27" s="2"/>
      <c r="I27" s="2"/>
      <c r="J27" s="2"/>
      <c r="K27" s="2"/>
      <c r="L27" s="2"/>
      <c r="M27" s="2"/>
      <c r="N27" s="2"/>
      <c r="O27" s="2"/>
      <c r="P27" s="2"/>
      <c r="Q27" s="2"/>
      <c r="R27" s="2"/>
      <c r="S27" s="2"/>
      <c r="T27" s="2"/>
      <c r="U27" s="2"/>
      <c r="V27" s="2"/>
      <c r="W27" s="2"/>
      <c r="X27" s="2"/>
      <c r="Y27" s="2"/>
      <c r="Z27" s="2"/>
    </row>
    <row r="28" spans="1:26" ht="13.5" customHeight="1">
      <c r="A28" s="2"/>
      <c r="B28" s="2"/>
      <c r="C28" s="169">
        <v>44488</v>
      </c>
      <c r="D28" s="170" t="s">
        <v>188</v>
      </c>
      <c r="E28" s="169" t="s">
        <v>181</v>
      </c>
      <c r="F28" s="171" t="s">
        <v>189</v>
      </c>
      <c r="G28" s="2"/>
      <c r="H28" s="2"/>
      <c r="I28" s="2"/>
      <c r="J28" s="2"/>
      <c r="K28" s="2"/>
      <c r="L28" s="2"/>
      <c r="M28" s="2"/>
      <c r="N28" s="2"/>
      <c r="O28" s="2"/>
      <c r="P28" s="2"/>
      <c r="Q28" s="2"/>
      <c r="R28" s="2"/>
      <c r="S28" s="2"/>
      <c r="T28" s="2"/>
      <c r="U28" s="2"/>
      <c r="V28" s="2"/>
      <c r="W28" s="2"/>
      <c r="X28" s="2"/>
      <c r="Y28" s="2"/>
      <c r="Z28" s="2"/>
    </row>
    <row r="29" spans="1:26" ht="13.5" customHeight="1">
      <c r="A29" s="2"/>
      <c r="B29" s="2"/>
      <c r="C29" s="172">
        <v>44489</v>
      </c>
      <c r="D29" s="158" t="s">
        <v>190</v>
      </c>
      <c r="E29" s="166" t="s">
        <v>191</v>
      </c>
      <c r="F29" s="171" t="s">
        <v>192</v>
      </c>
      <c r="G29" s="2"/>
      <c r="H29" s="2"/>
      <c r="I29" s="2"/>
      <c r="J29" s="2"/>
      <c r="K29" s="2"/>
      <c r="L29" s="2"/>
      <c r="M29" s="2"/>
      <c r="N29" s="2"/>
      <c r="O29" s="2"/>
      <c r="P29" s="2"/>
      <c r="Q29" s="2"/>
      <c r="R29" s="2"/>
      <c r="S29" s="2"/>
      <c r="T29" s="2"/>
      <c r="U29" s="2"/>
      <c r="V29" s="2"/>
      <c r="W29" s="2"/>
      <c r="X29" s="2"/>
      <c r="Y29" s="2"/>
      <c r="Z29" s="2"/>
    </row>
    <row r="30" spans="1:26" ht="13.5" customHeight="1">
      <c r="A30" s="2"/>
      <c r="B30" s="2"/>
      <c r="C30" s="172">
        <v>44491</v>
      </c>
      <c r="D30" s="158" t="s">
        <v>193</v>
      </c>
      <c r="E30" s="166" t="s">
        <v>191</v>
      </c>
      <c r="F30" s="171" t="s">
        <v>194</v>
      </c>
      <c r="G30" s="2"/>
      <c r="H30" s="2"/>
      <c r="I30" s="2"/>
      <c r="J30" s="2"/>
      <c r="K30" s="2"/>
      <c r="L30" s="2"/>
      <c r="M30" s="2"/>
      <c r="N30" s="2"/>
      <c r="O30" s="2"/>
      <c r="P30" s="2"/>
      <c r="Q30" s="2"/>
      <c r="R30" s="2"/>
      <c r="S30" s="2"/>
      <c r="T30" s="2"/>
      <c r="U30" s="2"/>
      <c r="V30" s="2"/>
      <c r="W30" s="2"/>
      <c r="X30" s="2"/>
      <c r="Y30" s="2"/>
      <c r="Z30" s="2"/>
    </row>
    <row r="31" spans="1:26" ht="13.5" customHeight="1">
      <c r="A31" s="2"/>
      <c r="B31" s="2"/>
      <c r="C31" s="173">
        <v>44496</v>
      </c>
      <c r="D31" s="158" t="s">
        <v>195</v>
      </c>
      <c r="E31" s="174" t="s">
        <v>184</v>
      </c>
      <c r="F31" s="175" t="s">
        <v>196</v>
      </c>
      <c r="G31" s="2"/>
      <c r="H31" s="2"/>
      <c r="I31" s="2"/>
      <c r="J31" s="2"/>
      <c r="K31" s="2"/>
      <c r="L31" s="2"/>
      <c r="M31" s="2"/>
      <c r="N31" s="2"/>
      <c r="O31" s="2"/>
      <c r="P31" s="2"/>
      <c r="Q31" s="2"/>
      <c r="R31" s="2"/>
      <c r="S31" s="2"/>
      <c r="T31" s="2"/>
      <c r="U31" s="2"/>
      <c r="V31" s="2"/>
      <c r="W31" s="2"/>
      <c r="X31" s="2"/>
      <c r="Y31" s="2"/>
      <c r="Z31" s="2"/>
    </row>
    <row r="32" spans="1:26" ht="13.5" customHeight="1">
      <c r="A32" s="2"/>
      <c r="B32" s="2"/>
      <c r="C32" s="173">
        <v>44503</v>
      </c>
      <c r="D32" s="158" t="s">
        <v>197</v>
      </c>
      <c r="E32" s="174" t="s">
        <v>191</v>
      </c>
      <c r="F32" s="175" t="s">
        <v>198</v>
      </c>
      <c r="G32" s="2"/>
      <c r="H32" s="2"/>
      <c r="I32" s="2"/>
      <c r="J32" s="2"/>
      <c r="K32" s="2"/>
      <c r="L32" s="2"/>
      <c r="M32" s="2"/>
      <c r="N32" s="2"/>
      <c r="O32" s="2"/>
      <c r="P32" s="2"/>
      <c r="Q32" s="2"/>
      <c r="R32" s="2"/>
      <c r="S32" s="2"/>
      <c r="T32" s="2"/>
      <c r="U32" s="2"/>
      <c r="V32" s="2"/>
      <c r="W32" s="2"/>
      <c r="X32" s="2"/>
      <c r="Y32" s="2"/>
      <c r="Z32" s="2"/>
    </row>
    <row r="33" spans="1:26" ht="13.5" customHeight="1">
      <c r="A33" s="2"/>
      <c r="B33" s="2"/>
      <c r="C33" s="173">
        <v>44512</v>
      </c>
      <c r="D33" s="158" t="s">
        <v>199</v>
      </c>
      <c r="E33" s="2" t="s">
        <v>191</v>
      </c>
      <c r="F33" s="176" t="s">
        <v>200</v>
      </c>
      <c r="G33" s="2"/>
      <c r="H33" s="2"/>
      <c r="I33" s="2"/>
      <c r="J33" s="2"/>
      <c r="K33" s="2"/>
      <c r="L33" s="2"/>
      <c r="M33" s="2"/>
      <c r="N33" s="2"/>
      <c r="O33" s="2"/>
      <c r="P33" s="2"/>
      <c r="Q33" s="2"/>
      <c r="R33" s="2"/>
      <c r="S33" s="2"/>
      <c r="T33" s="2"/>
      <c r="U33" s="2"/>
      <c r="V33" s="2"/>
      <c r="W33" s="2"/>
      <c r="X33" s="2"/>
      <c r="Y33" s="2"/>
      <c r="Z33" s="2"/>
    </row>
    <row r="34" spans="1:26" ht="13.5" customHeight="1">
      <c r="A34" s="2"/>
      <c r="B34" s="2"/>
      <c r="C34" s="173">
        <v>44522</v>
      </c>
      <c r="D34" s="158" t="s">
        <v>201</v>
      </c>
      <c r="E34" s="2" t="s">
        <v>191</v>
      </c>
      <c r="F34" s="176" t="s">
        <v>202</v>
      </c>
      <c r="G34" s="2"/>
      <c r="H34" s="2"/>
      <c r="I34" s="2"/>
      <c r="J34" s="2"/>
      <c r="K34" s="2"/>
      <c r="L34" s="2"/>
      <c r="M34" s="2"/>
      <c r="N34" s="2"/>
      <c r="O34" s="2"/>
      <c r="P34" s="2"/>
      <c r="Q34" s="2"/>
      <c r="R34" s="2"/>
      <c r="S34" s="2"/>
      <c r="T34" s="2"/>
      <c r="U34" s="2"/>
      <c r="V34" s="2"/>
      <c r="W34" s="2"/>
      <c r="X34" s="2"/>
      <c r="Y34" s="2"/>
      <c r="Z34" s="2"/>
    </row>
    <row r="35" spans="1:26" ht="13.5" customHeight="1">
      <c r="A35" s="2"/>
      <c r="B35" s="2"/>
      <c r="C35" s="173">
        <v>44582</v>
      </c>
      <c r="D35" s="158" t="s">
        <v>203</v>
      </c>
      <c r="E35" s="2" t="s">
        <v>184</v>
      </c>
      <c r="F35" s="176" t="s">
        <v>204</v>
      </c>
      <c r="G35" s="2"/>
      <c r="H35" s="2"/>
      <c r="I35" s="2"/>
      <c r="J35" s="2"/>
      <c r="K35" s="2"/>
      <c r="L35" s="2"/>
      <c r="M35" s="2"/>
      <c r="N35" s="2"/>
      <c r="O35" s="2"/>
      <c r="P35" s="2"/>
      <c r="Q35" s="2"/>
      <c r="R35" s="2"/>
      <c r="S35" s="2"/>
      <c r="T35" s="2"/>
      <c r="U35" s="2"/>
      <c r="V35" s="2"/>
      <c r="W35" s="2"/>
      <c r="X35" s="2"/>
      <c r="Y35" s="2"/>
      <c r="Z35" s="2"/>
    </row>
    <row r="36" spans="1:26" ht="13.5" customHeight="1">
      <c r="A36" s="2"/>
      <c r="B36" s="2"/>
      <c r="C36" s="173">
        <v>44584</v>
      </c>
      <c r="D36" s="158" t="s">
        <v>205</v>
      </c>
      <c r="E36" s="2" t="s">
        <v>206</v>
      </c>
      <c r="F36" s="166" t="s">
        <v>207</v>
      </c>
      <c r="G36" s="2"/>
      <c r="H36" s="2"/>
      <c r="I36" s="2"/>
      <c r="J36" s="2"/>
      <c r="K36" s="2"/>
      <c r="L36" s="2"/>
      <c r="M36" s="2"/>
      <c r="N36" s="2"/>
      <c r="O36" s="2"/>
      <c r="P36" s="2"/>
      <c r="Q36" s="2"/>
      <c r="R36" s="2"/>
      <c r="S36" s="2"/>
      <c r="T36" s="2"/>
      <c r="U36" s="2"/>
      <c r="V36" s="2"/>
      <c r="W36" s="2"/>
      <c r="X36" s="2"/>
      <c r="Y36" s="2"/>
      <c r="Z36" s="2"/>
    </row>
    <row r="37" spans="1:26" ht="153.75" customHeight="1">
      <c r="A37" s="2"/>
      <c r="B37" s="2"/>
      <c r="C37" s="173">
        <v>44587</v>
      </c>
      <c r="D37" s="158" t="s">
        <v>208</v>
      </c>
      <c r="E37" s="174" t="s">
        <v>184</v>
      </c>
      <c r="F37" s="176" t="s">
        <v>209</v>
      </c>
      <c r="G37" s="2"/>
      <c r="H37" s="2"/>
      <c r="I37" s="2"/>
      <c r="J37" s="2"/>
      <c r="K37" s="2"/>
      <c r="L37" s="2"/>
      <c r="M37" s="2"/>
      <c r="N37" s="2"/>
      <c r="O37" s="2"/>
      <c r="P37" s="2"/>
      <c r="Q37" s="2"/>
      <c r="R37" s="2"/>
      <c r="S37" s="2"/>
      <c r="T37" s="2"/>
      <c r="U37" s="2"/>
      <c r="V37" s="2"/>
      <c r="W37" s="2"/>
      <c r="X37" s="2"/>
      <c r="Y37" s="2"/>
      <c r="Z37" s="2"/>
    </row>
    <row r="38" spans="1:26" ht="13.5" customHeight="1">
      <c r="A38" s="2"/>
      <c r="B38" s="2"/>
      <c r="C38" s="173">
        <v>44607</v>
      </c>
      <c r="D38" s="158" t="s">
        <v>210</v>
      </c>
      <c r="E38" s="174" t="s">
        <v>191</v>
      </c>
      <c r="F38" s="176" t="s">
        <v>211</v>
      </c>
      <c r="G38" s="2"/>
      <c r="H38" s="2"/>
      <c r="I38" s="2"/>
      <c r="J38" s="2"/>
      <c r="K38" s="2"/>
      <c r="L38" s="2"/>
      <c r="M38" s="2"/>
      <c r="N38" s="2"/>
      <c r="O38" s="2"/>
      <c r="P38" s="2"/>
      <c r="Q38" s="2"/>
      <c r="R38" s="2"/>
      <c r="S38" s="2"/>
      <c r="T38" s="2"/>
      <c r="U38" s="2"/>
      <c r="V38" s="2"/>
      <c r="W38" s="2"/>
      <c r="X38" s="2"/>
      <c r="Y38" s="2"/>
      <c r="Z38" s="2"/>
    </row>
    <row r="39" spans="1:26" ht="13.5" customHeight="1">
      <c r="A39" s="2"/>
      <c r="B39" s="2"/>
      <c r="C39" s="172">
        <v>44979</v>
      </c>
      <c r="D39" s="158" t="s">
        <v>212</v>
      </c>
      <c r="E39" s="177" t="s">
        <v>213</v>
      </c>
      <c r="F39" s="178" t="s">
        <v>214</v>
      </c>
      <c r="G39" s="2"/>
      <c r="H39" s="2"/>
      <c r="I39" s="2"/>
      <c r="J39" s="2"/>
      <c r="K39" s="2"/>
      <c r="L39" s="2"/>
      <c r="M39" s="2"/>
      <c r="N39" s="2"/>
      <c r="O39" s="2"/>
      <c r="P39" s="2"/>
      <c r="Q39" s="2"/>
      <c r="R39" s="2"/>
      <c r="S39" s="2"/>
      <c r="T39" s="2"/>
      <c r="U39" s="2"/>
      <c r="V39" s="2"/>
      <c r="W39" s="2"/>
      <c r="X39" s="2"/>
      <c r="Y39" s="2"/>
      <c r="Z39" s="2"/>
    </row>
    <row r="40" spans="1:26" ht="13.5" customHeight="1">
      <c r="A40" s="2"/>
      <c r="B40" s="2"/>
      <c r="C40" s="172">
        <v>44990</v>
      </c>
      <c r="D40" s="158" t="s">
        <v>215</v>
      </c>
      <c r="E40" s="177" t="s">
        <v>216</v>
      </c>
      <c r="F40" s="178" t="s">
        <v>217</v>
      </c>
      <c r="G40" s="2"/>
      <c r="H40" s="2"/>
      <c r="I40" s="2"/>
      <c r="J40" s="2"/>
      <c r="K40" s="2"/>
      <c r="L40" s="2"/>
      <c r="M40" s="2"/>
      <c r="N40" s="2"/>
      <c r="O40" s="2"/>
      <c r="P40" s="2"/>
      <c r="Q40" s="2"/>
      <c r="R40" s="2"/>
      <c r="S40" s="2"/>
      <c r="T40" s="2"/>
      <c r="U40" s="2"/>
      <c r="V40" s="2"/>
      <c r="W40" s="2"/>
      <c r="X40" s="2"/>
      <c r="Y40" s="2"/>
      <c r="Z40" s="2"/>
    </row>
    <row r="41" spans="1:26" ht="13.5" customHeight="1">
      <c r="A41" s="2"/>
      <c r="B41" s="2"/>
      <c r="C41" s="172">
        <v>44991</v>
      </c>
      <c r="D41" s="158" t="s">
        <v>218</v>
      </c>
      <c r="E41" s="177" t="s">
        <v>216</v>
      </c>
      <c r="F41" s="178" t="s">
        <v>219</v>
      </c>
      <c r="G41" s="2"/>
      <c r="H41" s="2"/>
      <c r="I41" s="2"/>
      <c r="J41" s="2"/>
      <c r="K41" s="2"/>
      <c r="L41" s="2"/>
      <c r="M41" s="2"/>
      <c r="N41" s="2"/>
      <c r="O41" s="2"/>
      <c r="P41" s="2"/>
      <c r="Q41" s="2"/>
      <c r="R41" s="2"/>
      <c r="S41" s="2"/>
      <c r="T41" s="2"/>
      <c r="U41" s="2"/>
      <c r="V41" s="2"/>
      <c r="W41" s="2"/>
      <c r="X41" s="2"/>
      <c r="Y41" s="2"/>
      <c r="Z41" s="2"/>
    </row>
    <row r="42" spans="1:26" ht="13.5" customHeight="1">
      <c r="A42" s="2"/>
      <c r="B42" s="2"/>
      <c r="C42" s="172">
        <v>45005</v>
      </c>
      <c r="D42" s="158" t="s">
        <v>220</v>
      </c>
      <c r="E42" s="177" t="s">
        <v>221</v>
      </c>
      <c r="F42" s="178" t="s">
        <v>222</v>
      </c>
      <c r="G42" s="2"/>
      <c r="H42" s="2"/>
      <c r="I42" s="2"/>
      <c r="J42" s="2"/>
      <c r="K42" s="2"/>
      <c r="L42" s="2"/>
      <c r="M42" s="2"/>
      <c r="N42" s="2"/>
      <c r="O42" s="2"/>
      <c r="P42" s="2"/>
      <c r="Q42" s="2"/>
      <c r="R42" s="2"/>
      <c r="S42" s="2"/>
      <c r="T42" s="2"/>
      <c r="U42" s="2"/>
      <c r="V42" s="2"/>
      <c r="W42" s="2"/>
      <c r="X42" s="2"/>
      <c r="Y42" s="2"/>
      <c r="Z42" s="2"/>
    </row>
    <row r="43" spans="1:26" ht="13.5" customHeight="1">
      <c r="A43" s="2"/>
      <c r="B43" s="2"/>
      <c r="C43" s="172">
        <v>45130</v>
      </c>
      <c r="D43" s="158" t="s">
        <v>223</v>
      </c>
      <c r="E43" s="177" t="s">
        <v>224</v>
      </c>
      <c r="F43" s="178" t="s">
        <v>225</v>
      </c>
      <c r="G43" s="2"/>
      <c r="H43" s="2"/>
      <c r="I43" s="2"/>
      <c r="J43" s="2"/>
      <c r="K43" s="2"/>
      <c r="L43" s="2"/>
      <c r="M43" s="2"/>
      <c r="N43" s="2"/>
      <c r="O43" s="2"/>
      <c r="P43" s="2"/>
      <c r="Q43" s="2"/>
      <c r="R43" s="2"/>
      <c r="S43" s="2"/>
      <c r="T43" s="2"/>
      <c r="U43" s="2"/>
      <c r="V43" s="2"/>
      <c r="W43" s="2"/>
      <c r="X43" s="2"/>
      <c r="Y43" s="2"/>
      <c r="Z43" s="2"/>
    </row>
    <row r="44" spans="1:26" ht="107.25" customHeight="1">
      <c r="A44" s="2"/>
      <c r="B44" s="2"/>
      <c r="C44" s="172">
        <v>45230</v>
      </c>
      <c r="D44" s="158" t="s">
        <v>226</v>
      </c>
      <c r="E44" s="177" t="s">
        <v>224</v>
      </c>
      <c r="F44" s="178" t="s">
        <v>227</v>
      </c>
      <c r="G44" s="2"/>
      <c r="H44" s="2"/>
      <c r="I44" s="2"/>
      <c r="J44" s="2"/>
      <c r="K44" s="2"/>
      <c r="L44" s="2"/>
      <c r="M44" s="2"/>
      <c r="N44" s="2"/>
      <c r="O44" s="2"/>
      <c r="P44" s="2"/>
      <c r="Q44" s="2"/>
      <c r="R44" s="2"/>
      <c r="S44" s="2"/>
      <c r="T44" s="2"/>
      <c r="U44" s="2"/>
      <c r="V44" s="2"/>
      <c r="W44" s="2"/>
      <c r="X44" s="2"/>
      <c r="Y44" s="2"/>
      <c r="Z44" s="2"/>
    </row>
    <row r="45" spans="1:26" ht="13.5" customHeight="1">
      <c r="A45" s="2"/>
      <c r="B45" s="2"/>
      <c r="C45" s="172">
        <v>45325</v>
      </c>
      <c r="D45" s="158" t="s">
        <v>228</v>
      </c>
      <c r="E45" s="177" t="s">
        <v>229</v>
      </c>
      <c r="F45" s="178" t="s">
        <v>230</v>
      </c>
      <c r="G45" s="2"/>
      <c r="H45" s="2"/>
      <c r="I45" s="2"/>
      <c r="J45" s="2"/>
      <c r="K45" s="2"/>
      <c r="L45" s="2"/>
      <c r="M45" s="2"/>
      <c r="N45" s="2"/>
      <c r="O45" s="2"/>
      <c r="P45" s="2"/>
      <c r="Q45" s="2"/>
      <c r="R45" s="2"/>
      <c r="S45" s="2"/>
      <c r="T45" s="2"/>
      <c r="U45" s="2"/>
      <c r="V45" s="2"/>
      <c r="W45" s="2"/>
      <c r="X45" s="2"/>
      <c r="Y45" s="2"/>
      <c r="Z45" s="2"/>
    </row>
    <row r="46" spans="1:26" ht="90" customHeight="1">
      <c r="A46" s="2"/>
      <c r="B46" s="2"/>
      <c r="C46" s="172">
        <v>45376</v>
      </c>
      <c r="D46" s="158" t="s">
        <v>231</v>
      </c>
      <c r="E46" s="177" t="s">
        <v>224</v>
      </c>
      <c r="F46" s="178" t="s">
        <v>232</v>
      </c>
      <c r="G46" s="2"/>
      <c r="H46" s="2"/>
      <c r="I46" s="2"/>
      <c r="J46" s="2"/>
      <c r="K46" s="2"/>
      <c r="L46" s="2"/>
      <c r="M46" s="2"/>
      <c r="N46" s="2"/>
      <c r="O46" s="2"/>
      <c r="P46" s="2"/>
      <c r="Q46" s="2"/>
      <c r="R46" s="2"/>
      <c r="S46" s="2"/>
      <c r="T46" s="2"/>
      <c r="U46" s="2"/>
      <c r="V46" s="2"/>
      <c r="W46" s="2"/>
      <c r="X46" s="2"/>
      <c r="Y46" s="2"/>
      <c r="Z46" s="2"/>
    </row>
    <row r="47" spans="1:26" ht="13.5" customHeight="1">
      <c r="A47" s="2"/>
      <c r="B47" s="2"/>
      <c r="C47" s="172">
        <v>45581</v>
      </c>
      <c r="D47" s="158" t="s">
        <v>233</v>
      </c>
      <c r="E47" s="177" t="s">
        <v>234</v>
      </c>
      <c r="F47" s="178" t="s">
        <v>235</v>
      </c>
      <c r="G47" s="2"/>
      <c r="H47" s="2"/>
      <c r="I47" s="2"/>
      <c r="J47" s="2"/>
      <c r="K47" s="2"/>
      <c r="L47" s="2"/>
      <c r="M47" s="2"/>
      <c r="N47" s="2"/>
      <c r="O47" s="2"/>
      <c r="P47" s="2"/>
      <c r="Q47" s="2"/>
      <c r="R47" s="2"/>
      <c r="S47" s="2"/>
      <c r="T47" s="2"/>
      <c r="U47" s="2"/>
      <c r="V47" s="2"/>
      <c r="W47" s="2"/>
      <c r="X47" s="2"/>
      <c r="Y47" s="2"/>
      <c r="Z47" s="2"/>
    </row>
    <row r="48" spans="1:26"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D5:D14">
    <cfRule type="expression" dxfId="130" priority="1">
      <formula>$AM$2="Report"</formula>
    </cfRule>
  </conditionalFormatting>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355F"/>
  </sheetPr>
  <dimension ref="A1:AJ1000"/>
  <sheetViews>
    <sheetView showGridLines="0" zoomScale="80" zoomScaleNormal="80" workbookViewId="0"/>
  </sheetViews>
  <sheetFormatPr defaultColWidth="14.44140625" defaultRowHeight="15" customHeight="1" outlineLevelRow="1" outlineLevelCol="1"/>
  <cols>
    <col min="1" max="2" width="1.6640625" customWidth="1"/>
    <col min="3" max="3" width="51.33203125" customWidth="1"/>
    <col min="4" max="5" width="1.6640625" customWidth="1"/>
    <col min="6" max="7" width="12.88671875" hidden="1" customWidth="1" outlineLevel="1"/>
    <col min="8" max="8" width="13.109375" hidden="1" customWidth="1" outlineLevel="1"/>
    <col min="9" max="9" width="12.88671875" hidden="1" customWidth="1" outlineLevel="1"/>
    <col min="10" max="10" width="12.88671875" customWidth="1" collapsed="1"/>
    <col min="11" max="11" width="12.88671875" hidden="1" customWidth="1" outlineLevel="1"/>
    <col min="12" max="12" width="13.109375" hidden="1" customWidth="1" outlineLevel="1"/>
    <col min="13" max="14" width="12.88671875" hidden="1" customWidth="1" outlineLevel="1"/>
    <col min="15" max="15" width="12.88671875" customWidth="1" collapsed="1"/>
    <col min="16" max="19" width="12.88671875" hidden="1" customWidth="1" outlineLevel="1"/>
    <col min="20" max="20" width="13.44140625" customWidth="1" collapsed="1"/>
    <col min="21" max="21" width="12.88671875" hidden="1" customWidth="1" outlineLevel="1"/>
    <col min="22" max="22" width="13.109375" hidden="1" customWidth="1" outlineLevel="1"/>
    <col min="23" max="24" width="12.88671875" hidden="1" customWidth="1" outlineLevel="1"/>
    <col min="25" max="25" width="12.88671875" customWidth="1" collapsed="1"/>
    <col min="26" max="27" width="13.109375" hidden="1" customWidth="1" outlineLevel="1"/>
    <col min="28" max="28" width="12.88671875" hidden="1" customWidth="1" outlineLevel="1"/>
    <col min="29" max="29" width="13.109375" hidden="1" customWidth="1" outlineLevel="1"/>
    <col min="30" max="30" width="13.44140625" customWidth="1" collapsed="1"/>
    <col min="31" max="33" width="13.44140625" customWidth="1"/>
    <col min="34" max="34" width="1.6640625" customWidth="1"/>
    <col min="35" max="36" width="12.88671875" customWidth="1"/>
  </cols>
  <sheetData>
    <row r="1" spans="1:36" ht="12.75" customHeight="1">
      <c r="A1" s="179"/>
      <c r="B1" s="179"/>
      <c r="C1" s="5" t="str">
        <f ca="1">Company_Name&amp;" - "&amp;MID(CELL("filename",A1),FIND("]",CELL("filename",A1))+1,255)&amp;": "&amp;Case_Scenario&amp;" Case"</f>
        <v>Hamilton Lane Inc. - Revenue Build: Base Case</v>
      </c>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row>
    <row r="2" spans="1:36" ht="12.75" customHeight="1">
      <c r="A2" s="9"/>
      <c r="B2" s="9"/>
      <c r="C2" s="7" t="str">
        <f>Cover!C2</f>
        <v>$ in Millions Except Per Share Data</v>
      </c>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row>
    <row r="3" spans="1:36" ht="12.75" customHeight="1">
      <c r="A3" s="3"/>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spans="1:36" ht="12.75" customHeight="1">
      <c r="A4" s="180" t="s">
        <v>0</v>
      </c>
      <c r="B4" s="9"/>
      <c r="C4" s="50" t="s">
        <v>236</v>
      </c>
      <c r="D4" s="13"/>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spans="1:36" ht="12.75" hidden="1" customHeight="1" outlineLevel="1">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row>
    <row r="6" spans="1:36" ht="12.75" hidden="1" customHeight="1" outlineLevel="1">
      <c r="A6" s="9"/>
      <c r="B6" s="9"/>
      <c r="C6" s="95" t="str">
        <f>C30&amp;" Methodology"</f>
        <v>Total Company Revenue Methodology</v>
      </c>
      <c r="D6" s="181"/>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spans="1:36" ht="12.75" hidden="1" customHeight="1" outlineLevel="1">
      <c r="A7" s="9"/>
      <c r="B7" s="9"/>
      <c r="C7" s="103" t="s">
        <v>237</v>
      </c>
      <c r="D7" s="37"/>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row>
    <row r="8" spans="1:36" ht="12.75" hidden="1" customHeight="1" outlineLevel="1">
      <c r="A8" s="9"/>
      <c r="B8" s="9"/>
      <c r="C8" s="95" t="str">
        <f>C32&amp;" Methodology"</f>
        <v>Management &amp; Advisory Fees Methodology</v>
      </c>
      <c r="D8" s="181"/>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row>
    <row r="9" spans="1:36" ht="12.75" hidden="1" customHeight="1" outlineLevel="1">
      <c r="A9" s="9"/>
      <c r="B9" s="9"/>
      <c r="C9" s="103" t="str">
        <f>IF(Company_Rev_Methodology="Segment","Segment",IF(Company_Rev_Methodology="Activity-Based","Activity-Based",IF(Company_Rev_Methodology="Backlog","Backlog",IF(Company_Rev_Methodology="Mixed",D9,"--"))))</f>
        <v>Segment</v>
      </c>
      <c r="D9" s="37" t="s">
        <v>238</v>
      </c>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row>
    <row r="10" spans="1:36" ht="12.75" hidden="1" customHeight="1" outlineLevel="1">
      <c r="A10" s="9"/>
      <c r="B10" s="9"/>
      <c r="C10" s="95" t="str">
        <f>C35&amp;" Methodology"</f>
        <v>Incentive Fees Methodology</v>
      </c>
      <c r="D10" s="181"/>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row>
    <row r="11" spans="1:36" ht="12.75" hidden="1" customHeight="1" outlineLevel="1">
      <c r="A11" s="9"/>
      <c r="B11" s="9"/>
      <c r="C11" s="103" t="str">
        <f>IF(Company_Rev_Methodology="Segment","Segment",IF(Company_Rev_Methodology="Activity-Based","Activity-Based",IF(Company_Rev_Methodology="Backlog","Backlog",IF(Company_Rev_Methodology="Mixed",D11,"--"))))</f>
        <v>Segment</v>
      </c>
      <c r="D11" s="37" t="s">
        <v>239</v>
      </c>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row>
    <row r="12" spans="1:36" ht="12.75" hidden="1" customHeight="1" outlineLevel="1">
      <c r="A12" s="9"/>
      <c r="B12" s="9"/>
      <c r="C12" s="95" t="str">
        <f>C38&amp;" Methodology"</f>
        <v>Segment 3 Revenue Methodology</v>
      </c>
      <c r="D12" s="181"/>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row>
    <row r="13" spans="1:36" ht="12.75" hidden="1" customHeight="1" outlineLevel="1">
      <c r="A13" s="9"/>
      <c r="B13" s="9"/>
      <c r="C13" s="103" t="str">
        <f>IF(Company_Rev_Methodology="Segment","Segment",IF(Company_Rev_Methodology="Activity-Based","Activity-Based",IF(Company_Rev_Methodology="Backlog","Backlog",IF(Company_Rev_Methodology="Mixed",D13,"--"))))</f>
        <v>Segment</v>
      </c>
      <c r="D13" s="37" t="s">
        <v>237</v>
      </c>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row>
    <row r="14" spans="1:36" ht="12.75" hidden="1" customHeight="1" outlineLevel="1">
      <c r="A14" s="9"/>
      <c r="B14" s="9"/>
      <c r="C14" s="95" t="str">
        <f>C41&amp;" Methodology"</f>
        <v>Segment 4 Revenue Methodology</v>
      </c>
      <c r="D14" s="181"/>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row>
    <row r="15" spans="1:36" ht="12.75" hidden="1" customHeight="1" outlineLevel="1">
      <c r="A15" s="9"/>
      <c r="B15" s="9"/>
      <c r="C15" s="103" t="str">
        <f>IF(Company_Rev_Methodology="Segment","Segment",IF(Company_Rev_Methodology="Activity-Based","Activity-Based",IF(Company_Rev_Methodology="Backlog","Backlog",IF(Company_Rev_Methodology="Mixed",D15,"--"))))</f>
        <v>Segment</v>
      </c>
      <c r="D15" s="37" t="s">
        <v>237</v>
      </c>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row>
    <row r="16" spans="1:36" ht="12.75" hidden="1" customHeight="1" outlineLevel="1">
      <c r="A16" s="9"/>
      <c r="B16" s="9"/>
      <c r="C16" s="95" t="str">
        <f>C44&amp;" Methodology"</f>
        <v>Segment 5 Revenue Methodology</v>
      </c>
      <c r="D16" s="181"/>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row>
    <row r="17" spans="1:36" ht="12.75" hidden="1" customHeight="1" outlineLevel="1">
      <c r="A17" s="9"/>
      <c r="B17" s="9"/>
      <c r="C17" s="103" t="str">
        <f>IF(Company_Rev_Methodology="Segment","Segment",IF(Company_Rev_Methodology="Activity-Based","Activity-Based",IF(Company_Rev_Methodology="Backlog","Backlog",IF(Company_Rev_Methodology="Mixed",D17,"--"))))</f>
        <v>Segment</v>
      </c>
      <c r="D17" s="37" t="s">
        <v>237</v>
      </c>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row>
    <row r="18" spans="1:36" ht="12.75" hidden="1" customHeight="1" outlineLevel="1">
      <c r="A18" s="9"/>
      <c r="B18" s="9"/>
      <c r="C18" s="95" t="str">
        <f>C47&amp;" Methodology"</f>
        <v>Segment 6 Revenue Methodology</v>
      </c>
      <c r="D18" s="181"/>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row>
    <row r="19" spans="1:36" ht="12.75" hidden="1" customHeight="1" outlineLevel="1">
      <c r="A19" s="9"/>
      <c r="B19" s="9"/>
      <c r="C19" s="103" t="str">
        <f>IF(Company_Rev_Methodology="Segment","Segment",IF(Company_Rev_Methodology="Activity-Based","Activity-Based",IF(Company_Rev_Methodology="Backlog","Backlog",IF(Company_Rev_Methodology="Mixed",D19,"--"))))</f>
        <v>Segment</v>
      </c>
      <c r="D19" s="37" t="s">
        <v>237</v>
      </c>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row>
    <row r="20" spans="1:36" ht="12.75" customHeight="1" collapsed="1">
      <c r="A20" s="9"/>
      <c r="B20" s="9"/>
      <c r="C20" s="103"/>
      <c r="D20" s="37"/>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row>
    <row r="21" spans="1:36" ht="12.75" customHeight="1">
      <c r="A21" s="9"/>
      <c r="B21" s="9"/>
      <c r="C21" s="182" t="s">
        <v>1</v>
      </c>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row>
    <row r="22" spans="1:36" ht="12.75" customHeight="1">
      <c r="A22" s="9"/>
      <c r="B22" s="9"/>
      <c r="C22" s="183" t="s">
        <v>1153</v>
      </c>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row>
    <row r="23" spans="1:36" ht="12.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row>
    <row r="24" spans="1:36" ht="12.75" customHeight="1">
      <c r="A24" s="9"/>
      <c r="B24" s="9"/>
      <c r="C24" s="184" t="s">
        <v>240</v>
      </c>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row>
    <row r="25" spans="1:36" ht="12.75" customHeight="1">
      <c r="A25" s="9"/>
      <c r="B25" s="9"/>
      <c r="C25" s="183" t="s">
        <v>97</v>
      </c>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row>
    <row r="26" spans="1:36" ht="12.75" hidden="1" customHeight="1" outlineLevel="1">
      <c r="A26" s="180"/>
      <c r="B26" s="9"/>
      <c r="C26" s="9"/>
      <c r="D26" s="9"/>
      <c r="E26" s="9"/>
      <c r="F26" s="9"/>
      <c r="G26" s="9"/>
      <c r="H26" s="9"/>
      <c r="I26" s="9"/>
      <c r="J26" s="37">
        <v>1</v>
      </c>
      <c r="K26" s="37"/>
      <c r="L26" s="37"/>
      <c r="M26" s="37"/>
      <c r="N26" s="37"/>
      <c r="O26" s="37">
        <v>2</v>
      </c>
      <c r="P26" s="37"/>
      <c r="Q26" s="37"/>
      <c r="R26" s="37"/>
      <c r="S26" s="37"/>
      <c r="T26" s="37">
        <v>3</v>
      </c>
      <c r="U26" s="37"/>
      <c r="V26" s="37"/>
      <c r="W26" s="37"/>
      <c r="X26" s="37"/>
      <c r="Y26" s="37">
        <v>4</v>
      </c>
      <c r="Z26" s="37"/>
      <c r="AA26" s="37"/>
      <c r="AB26" s="37"/>
      <c r="AC26" s="37"/>
      <c r="AD26" s="37">
        <v>5</v>
      </c>
      <c r="AE26" s="37">
        <v>6</v>
      </c>
      <c r="AF26" s="37">
        <v>7</v>
      </c>
      <c r="AG26" s="37">
        <v>8</v>
      </c>
      <c r="AH26" s="9"/>
      <c r="AI26" s="9"/>
      <c r="AJ26" s="9"/>
    </row>
    <row r="27" spans="1:36" ht="12.75" customHeight="1" collapsed="1">
      <c r="A27" s="180"/>
      <c r="B27" s="185"/>
      <c r="C27" s="186"/>
      <c r="D27" s="187"/>
      <c r="E27" s="187"/>
      <c r="F27" s="187"/>
      <c r="G27" s="187"/>
      <c r="H27" s="187"/>
      <c r="I27" s="187"/>
      <c r="J27" s="187"/>
      <c r="K27" s="187"/>
      <c r="L27" s="187"/>
      <c r="M27" s="187"/>
      <c r="N27" s="187"/>
      <c r="O27" s="187"/>
      <c r="P27" s="187"/>
      <c r="Q27" s="187"/>
      <c r="R27" s="187"/>
      <c r="S27" s="187"/>
      <c r="T27" s="187"/>
      <c r="U27" s="187"/>
      <c r="V27" s="187"/>
      <c r="W27" s="187"/>
      <c r="X27" s="187"/>
      <c r="Y27" s="187"/>
      <c r="Z27" s="187"/>
      <c r="AA27" s="187"/>
      <c r="AB27" s="187"/>
      <c r="AC27" s="187"/>
      <c r="AD27" s="187"/>
      <c r="AE27" s="187"/>
      <c r="AF27" s="187"/>
      <c r="AG27" s="188"/>
      <c r="AH27" s="185"/>
      <c r="AI27" s="1024" t="s">
        <v>98</v>
      </c>
      <c r="AJ27" s="1025"/>
    </row>
    <row r="28" spans="1:36" ht="12.75" customHeight="1">
      <c r="A28" s="180" t="s">
        <v>0</v>
      </c>
      <c r="B28" s="9"/>
      <c r="C28" s="189" t="s">
        <v>30</v>
      </c>
      <c r="D28" s="190"/>
      <c r="E28" s="190"/>
      <c r="F28" s="191" t="str">
        <f>Model!F$25</f>
        <v>1Q23</v>
      </c>
      <c r="G28" s="140" t="str">
        <f>Model!G$25</f>
        <v>2Q23</v>
      </c>
      <c r="H28" s="140" t="str">
        <f>Model!H$25</f>
        <v>3Q23</v>
      </c>
      <c r="I28" s="140" t="str">
        <f>Model!I$25</f>
        <v>4Q23</v>
      </c>
      <c r="J28" s="140">
        <f>Model!J$25</f>
        <v>2023</v>
      </c>
      <c r="K28" s="140" t="str">
        <f>Model!K$25</f>
        <v>1Q24</v>
      </c>
      <c r="L28" s="140" t="str">
        <f>Model!L$25</f>
        <v>2Q24</v>
      </c>
      <c r="M28" s="140" t="str">
        <f>Model!M$25</f>
        <v>3Q24</v>
      </c>
      <c r="N28" s="140" t="str">
        <f>Model!N$25</f>
        <v>4Q24</v>
      </c>
      <c r="O28" s="140">
        <f>Model!O$25</f>
        <v>2024</v>
      </c>
      <c r="P28" s="140" t="str">
        <f>Model!P$25</f>
        <v>1Q25</v>
      </c>
      <c r="Q28" s="140" t="str">
        <f>Model!Q$25</f>
        <v>2Q25</v>
      </c>
      <c r="R28" s="140" t="str">
        <f>Model!R$25</f>
        <v>3Q25</v>
      </c>
      <c r="S28" s="140" t="str">
        <f>Model!S$25</f>
        <v>4Q25</v>
      </c>
      <c r="T28" s="140">
        <f>Model!T$25</f>
        <v>2025</v>
      </c>
      <c r="U28" s="140" t="str">
        <f>Model!U$25</f>
        <v>1Q26</v>
      </c>
      <c r="V28" s="140" t="str">
        <f>Model!V$25</f>
        <v>2Q26e</v>
      </c>
      <c r="W28" s="140" t="str">
        <f>Model!W$25</f>
        <v>3Q26e</v>
      </c>
      <c r="X28" s="140" t="str">
        <f>Model!X$25</f>
        <v>4Q26e</v>
      </c>
      <c r="Y28" s="140" t="str">
        <f>Model!Y$25</f>
        <v>2026e</v>
      </c>
      <c r="Z28" s="140" t="str">
        <f>Model!Z$25</f>
        <v>1Q27e</v>
      </c>
      <c r="AA28" s="140" t="str">
        <f>Model!AA$25</f>
        <v>2Q27e</v>
      </c>
      <c r="AB28" s="140" t="str">
        <f>Model!AB$25</f>
        <v>3Q27e</v>
      </c>
      <c r="AC28" s="140" t="str">
        <f>Model!AC$25</f>
        <v>4Q27e</v>
      </c>
      <c r="AD28" s="140" t="str">
        <f>Model!AD$25</f>
        <v>2027e</v>
      </c>
      <c r="AE28" s="140" t="str">
        <f>Model!AE$25</f>
        <v>2028e</v>
      </c>
      <c r="AF28" s="140" t="str">
        <f>Model!AF$25</f>
        <v>2029e</v>
      </c>
      <c r="AG28" s="141" t="str">
        <f>Model!AG$25</f>
        <v>2030e</v>
      </c>
      <c r="AH28" s="192"/>
      <c r="AI28" s="193" t="s">
        <v>99</v>
      </c>
      <c r="AJ28" s="141" t="s">
        <v>100</v>
      </c>
    </row>
    <row r="29" spans="1:36" ht="12.75" customHeight="1">
      <c r="A29" s="9"/>
      <c r="B29" s="9"/>
      <c r="C29" s="9"/>
      <c r="D29" s="9"/>
      <c r="E29" s="9"/>
      <c r="F29" s="194"/>
      <c r="G29" s="194"/>
      <c r="H29" s="194"/>
      <c r="I29" s="194"/>
      <c r="J29" s="195"/>
      <c r="K29" s="194"/>
      <c r="L29" s="194"/>
      <c r="M29" s="194"/>
      <c r="N29" s="194"/>
      <c r="O29" s="195"/>
      <c r="P29" s="194"/>
      <c r="Q29" s="194"/>
      <c r="R29" s="194"/>
      <c r="S29" s="194"/>
      <c r="T29" s="195"/>
      <c r="U29" s="194"/>
      <c r="V29" s="196"/>
      <c r="W29" s="196"/>
      <c r="X29" s="196"/>
      <c r="Y29" s="197"/>
      <c r="Z29" s="196"/>
      <c r="AA29" s="196"/>
      <c r="AB29" s="196"/>
      <c r="AC29" s="196"/>
      <c r="AD29" s="197"/>
      <c r="AE29" s="197"/>
      <c r="AF29" s="197"/>
      <c r="AG29" s="197"/>
      <c r="AH29" s="9"/>
      <c r="AI29" s="136"/>
      <c r="AJ29" s="198"/>
    </row>
    <row r="30" spans="1:36" ht="12.75" customHeight="1">
      <c r="A30" s="9"/>
      <c r="B30" s="9"/>
      <c r="C30" s="9" t="s">
        <v>241</v>
      </c>
      <c r="D30" s="9"/>
      <c r="E30" s="9"/>
      <c r="F30" s="199">
        <f>'Segment Analysis'!F7</f>
        <v>135.50900000000001</v>
      </c>
      <c r="G30" s="199">
        <f>'Segment Analysis'!G7</f>
        <v>153.38200000000001</v>
      </c>
      <c r="H30" s="199">
        <f>'Segment Analysis'!H7</f>
        <v>127.07399999999998</v>
      </c>
      <c r="I30" s="199">
        <f>'Segment Analysis'!I7</f>
        <v>112.788</v>
      </c>
      <c r="J30" s="200">
        <f>'Segment Analysis'!J7</f>
        <v>528.75300000000004</v>
      </c>
      <c r="K30" s="199">
        <f>'Segment Analysis'!K7</f>
        <v>125.03700000000001</v>
      </c>
      <c r="L30" s="199">
        <f>'Segment Analysis'!L7</f>
        <v>126.876</v>
      </c>
      <c r="M30" s="199">
        <f>'Segment Analysis'!M7</f>
        <v>125.26400000000001</v>
      </c>
      <c r="N30" s="199">
        <f>'Segment Analysis'!N7</f>
        <v>176.66499999999999</v>
      </c>
      <c r="O30" s="200">
        <f>'Segment Analysis'!O7</f>
        <v>553.84199999999998</v>
      </c>
      <c r="P30" s="199">
        <f>'Segment Analysis'!P7</f>
        <v>196.73099999999999</v>
      </c>
      <c r="Q30" s="199">
        <f>'Segment Analysis'!Q7</f>
        <v>149.999</v>
      </c>
      <c r="R30" s="199">
        <f>'Segment Analysis'!R7</f>
        <v>168.261</v>
      </c>
      <c r="S30" s="199">
        <f>'Segment Analysis'!S7</f>
        <v>197.97300000000001</v>
      </c>
      <c r="T30" s="200">
        <f>'Segment Analysis'!T7</f>
        <v>712.96399999999994</v>
      </c>
      <c r="U30" s="199">
        <f>'Segment Analysis'!U7</f>
        <v>175.958</v>
      </c>
      <c r="V30" s="201">
        <f>SUM(V32,V35,V38,V41,V44,V47,)</f>
        <v>183.91066000000001</v>
      </c>
      <c r="W30" s="201">
        <f>SUM(W32,W35,W38,W41,W44,W47,)</f>
        <v>195.211905</v>
      </c>
      <c r="X30" s="201">
        <f>SUM(X32,X35,X38,X41,X44,X47,)</f>
        <v>211.57638516</v>
      </c>
      <c r="Y30" s="202">
        <f>SUM(U30:X30)</f>
        <v>766.65695015999995</v>
      </c>
      <c r="Z30" s="201">
        <f>SUM(Z32,Z35,Z38,Z41,Z44,Z47,)</f>
        <v>224.5177825758</v>
      </c>
      <c r="AA30" s="201">
        <f>SUM(AA32,AA35,AA38,AA41,AA44,AA47,)</f>
        <v>237.98884953034801</v>
      </c>
      <c r="AB30" s="201">
        <f>SUM(AB32,AB35,AB38,AB41,AB44,AB47,)</f>
        <v>249.25560509975202</v>
      </c>
      <c r="AC30" s="201">
        <f>SUM(AC32,AC35,AC38,AC41,AC44,AC47,)</f>
        <v>260.7660605763748</v>
      </c>
      <c r="AD30" s="202">
        <f>SUM(Z30:AC30)</f>
        <v>972.52829778227476</v>
      </c>
      <c r="AE30" s="202">
        <f>SUM(AE32,AE35,AE38,AE41,AE44,AE47,)</f>
        <v>1040.6052786270343</v>
      </c>
      <c r="AF30" s="202">
        <f>SUM(AF32,AF35,AF38,AF41,AF44,AF47,)</f>
        <v>1097.838568951521</v>
      </c>
      <c r="AG30" s="202">
        <f>SUM(AG32,AG35,AG38,AG41,AG44,AG47,)</f>
        <v>1169.5212445076716</v>
      </c>
      <c r="AH30" s="9"/>
      <c r="AI30" s="203">
        <f>IFERROR((T30/J30)^(1/3)-1,"--")</f>
        <v>0.1047692703468428</v>
      </c>
      <c r="AJ30" s="204">
        <f>IFERROR((AG30/T30)^(1/5)-1,"--")</f>
        <v>0.10404837476077167</v>
      </c>
    </row>
    <row r="31" spans="1:36" ht="12.75" customHeight="1">
      <c r="A31" s="205"/>
      <c r="B31" s="206"/>
      <c r="C31" s="207" t="str">
        <f>IF($C$25="Quarterly","% Growth QoQ","% Growth YoY")</f>
        <v>% Growth QoQ</v>
      </c>
      <c r="D31" s="206"/>
      <c r="E31" s="206"/>
      <c r="F31" s="208"/>
      <c r="G31" s="209">
        <f>IF($C$25="Annual",'Segment Analysis'!G162,'Segment Analysis'!G182)</f>
        <v>0.13189529846726034</v>
      </c>
      <c r="H31" s="209">
        <f>IF($C$25="Annual",'Segment Analysis'!H162,'Segment Analysis'!H182)</f>
        <v>-0.17151947425382397</v>
      </c>
      <c r="I31" s="209">
        <f>IF($C$25="Annual",'Segment Analysis'!I162,'Segment Analysis'!I182)</f>
        <v>-0.11242268284621548</v>
      </c>
      <c r="J31" s="210"/>
      <c r="K31" s="209">
        <f>IF($C$25="Annual",'Segment Analysis'!K162,'Segment Analysis'!K182)</f>
        <v>0.1086019789339292</v>
      </c>
      <c r="L31" s="209">
        <f>IF($C$25="Annual",'Segment Analysis'!L162,'Segment Analysis'!L182)</f>
        <v>1.4707646536625152E-2</v>
      </c>
      <c r="M31" s="209">
        <f>IF($C$25="Annual",'Segment Analysis'!M162,'Segment Analysis'!M182)</f>
        <v>-1.2705318578769775E-2</v>
      </c>
      <c r="N31" s="209">
        <f>IF($C$25="Annual",'Segment Analysis'!N162,'Segment Analysis'!N182)</f>
        <v>0.41034135904968694</v>
      </c>
      <c r="O31" s="210">
        <f>'Segment Analysis'!O162</f>
        <v>4.7449376173752E-2</v>
      </c>
      <c r="P31" s="209">
        <f>IF($C$25="Annual",'Segment Analysis'!P162,'Segment Analysis'!P182)</f>
        <v>0.11358220360569438</v>
      </c>
      <c r="Q31" s="209">
        <f>IF($C$25="Annual",'Segment Analysis'!Q162,'Segment Analysis'!Q182)</f>
        <v>-0.23754263435859113</v>
      </c>
      <c r="R31" s="209">
        <f>IF($C$25="Annual",'Segment Analysis'!R162,'Segment Analysis'!R182)</f>
        <v>0.12174747831652222</v>
      </c>
      <c r="S31" s="209">
        <f>IF($C$25="Annual",'Segment Analysis'!S162,'Segment Analysis'!S182)</f>
        <v>0.1765828088505359</v>
      </c>
      <c r="T31" s="210">
        <f>'Segment Analysis'!T162</f>
        <v>0.28730576590435541</v>
      </c>
      <c r="U31" s="209">
        <f>IF($C$25="Annual",'Segment Analysis'!U162,'Segment Analysis'!U182)</f>
        <v>-0.11120203260040518</v>
      </c>
      <c r="V31" s="211">
        <f>IFERROR(V30/U30-1,"--")</f>
        <v>4.5196353675308831E-2</v>
      </c>
      <c r="W31" s="211">
        <f>IFERROR(W30/V30-1,"--")</f>
        <v>6.1449646257590418E-2</v>
      </c>
      <c r="X31" s="211">
        <f>IFERROR(X30/W30-1,"--")</f>
        <v>8.3829314405799105E-2</v>
      </c>
      <c r="Y31" s="212">
        <f>IFERROR(Y30/T30-1,"--")</f>
        <v>7.530948289114181E-2</v>
      </c>
      <c r="Z31" s="211">
        <f>IFERROR(Z30/X30-1,"--")</f>
        <v>6.1166549404903403E-2</v>
      </c>
      <c r="AA31" s="211">
        <f>IFERROR(AA30/Z30-1,"--")</f>
        <v>6.0000000000000053E-2</v>
      </c>
      <c r="AB31" s="211">
        <f>IFERROR(AB30/AA30-1,"--")</f>
        <v>4.7341527099433733E-2</v>
      </c>
      <c r="AC31" s="211">
        <f>IFERROR(AC30/AB30-1,"--")</f>
        <v>4.6179324521173015E-2</v>
      </c>
      <c r="AD31" s="212">
        <f>IFERROR(AD30/Y30-1,"--")</f>
        <v>0.26853124801035166</v>
      </c>
      <c r="AE31" s="212">
        <f>IFERROR(AE30/AD30-1,"--")</f>
        <v>7.0000000000000284E-2</v>
      </c>
      <c r="AF31" s="212">
        <f>IFERROR(AF30/AE30-1,"--")</f>
        <v>5.4999999999999716E-2</v>
      </c>
      <c r="AG31" s="212">
        <f>IFERROR(AG30/AF30-1,"--")</f>
        <v>6.5294368027724037E-2</v>
      </c>
      <c r="AH31" s="206"/>
      <c r="AI31" s="213"/>
      <c r="AJ31" s="214"/>
    </row>
    <row r="32" spans="1:36" ht="12.75" customHeight="1">
      <c r="A32" s="9"/>
      <c r="B32" s="9"/>
      <c r="C32" s="9" t="str">
        <f>'Segment Analysis'!C8</f>
        <v>Management &amp; Advisory Fees</v>
      </c>
      <c r="D32" s="9"/>
      <c r="E32" s="9"/>
      <c r="F32" s="199">
        <f>'Segment Analysis'!F8</f>
        <v>85.945999999999998</v>
      </c>
      <c r="G32" s="199">
        <f>'Segment Analysis'!G8</f>
        <v>92.88</v>
      </c>
      <c r="H32" s="199">
        <f>'Segment Analysis'!H8</f>
        <v>97.35499999999999</v>
      </c>
      <c r="I32" s="199">
        <f>'Segment Analysis'!I8</f>
        <v>95.691999999999993</v>
      </c>
      <c r="J32" s="200">
        <f>'Segment Analysis'!J8</f>
        <v>371.87299999999999</v>
      </c>
      <c r="K32" s="199">
        <f>'Segment Analysis'!K8</f>
        <v>105.407</v>
      </c>
      <c r="L32" s="199">
        <f>'Segment Analysis'!L8</f>
        <v>109.184</v>
      </c>
      <c r="M32" s="199">
        <f>'Segment Analysis'!M8</f>
        <v>113.64100000000001</v>
      </c>
      <c r="N32" s="199">
        <f>'Segment Analysis'!N8</f>
        <v>123.70399999999999</v>
      </c>
      <c r="O32" s="200">
        <f>'Segment Analysis'!O8</f>
        <v>451.93600000000004</v>
      </c>
      <c r="P32" s="199">
        <f>'Segment Analysis'!P8</f>
        <v>139.96199999999999</v>
      </c>
      <c r="Q32" s="199">
        <f>'Segment Analysis'!Q8</f>
        <v>119.78299999999999</v>
      </c>
      <c r="R32" s="199">
        <f>'Segment Analysis'!R8</f>
        <v>126.282</v>
      </c>
      <c r="S32" s="199">
        <f>'Segment Analysis'!S8</f>
        <v>127.83800000000001</v>
      </c>
      <c r="T32" s="200">
        <f>'Segment Analysis'!T8</f>
        <v>513.86500000000001</v>
      </c>
      <c r="U32" s="199">
        <f>'Segment Analysis'!U8</f>
        <v>133.696</v>
      </c>
      <c r="V32" s="201">
        <f>IF(Segment1_Rev_Methodology="Segment",V53,IF(Segment1_Rev_Methodology="Activity-Based",V91,IF(Segment1_Rev_Methodology="Backlog",V165,"--")))</f>
        <v>140.38079999999999</v>
      </c>
      <c r="W32" s="201">
        <f>IF(Segment1_Rev_Methodology="Segment",W53,IF(Segment1_Rev_Methodology="Activity-Based",W91,IF(Segment1_Rev_Methodology="Backlog",W165,"--")))</f>
        <v>149.50555199999999</v>
      </c>
      <c r="X32" s="201">
        <f>IF(Segment1_Rev_Methodology="Segment",X53,IF(Segment1_Rev_Methodology="Activity-Based",X91,IF(Segment1_Rev_Methodology="Backlog",X165,"--")))</f>
        <v>162.21352392</v>
      </c>
      <c r="Y32" s="202">
        <f>SUM(U32:X32)</f>
        <v>585.79587592000007</v>
      </c>
      <c r="Z32" s="201">
        <f>IF(Segment1_Rev_Methodology="Segment",Z53,IF(Segment1_Rev_Methodology="Activity-Based",Z91,IF(Segment1_Rev_Methodology="Backlog",Z165,"--")))</f>
        <v>171.94633535520001</v>
      </c>
      <c r="AA32" s="201">
        <f>IF(Segment1_Rev_Methodology="Segment",AA53,IF(Segment1_Rev_Methodology="Activity-Based",AA91,IF(Segment1_Rev_Methodology="Backlog",AA165,"--")))</f>
        <v>182.26311547651201</v>
      </c>
      <c r="AB32" s="201">
        <f>IF(Segment1_Rev_Methodology="Segment",AB53,IF(Segment1_Rev_Methodology="Activity-Based",AB91,IF(Segment1_Rev_Methodology="Backlog",AB165,"--")))</f>
        <v>190.46495567295503</v>
      </c>
      <c r="AC32" s="201">
        <f>IF(Segment1_Rev_Methodology="Segment",AC53,IF(Segment1_Rev_Methodology="Activity-Based",AC91,IF(Segment1_Rev_Methodology="Backlog",AC165,"--")))</f>
        <v>199.03587867823799</v>
      </c>
      <c r="AD32" s="202">
        <f>SUM(Z32:AC32)</f>
        <v>743.71028518290507</v>
      </c>
      <c r="AE32" s="202">
        <f>IF(Segment1_Rev_Methodology="Segment",AE53,IF(Segment1_Rev_Methodology="Activity-Based",AE91,IF(Segment1_Rev_Methodology="Backlog",AE165,"--")))</f>
        <v>795.77000514570852</v>
      </c>
      <c r="AF32" s="202">
        <f>IF(Segment1_Rev_Methodology="Segment",AF53,IF(Segment1_Rev_Methodology="Activity-Based",AF91,IF(Segment1_Rev_Methodology="Backlog",AF165,"--")))</f>
        <v>839.53735542872244</v>
      </c>
      <c r="AG32" s="202">
        <f>IF(Segment1_Rev_Methodology="Segment",AG53,IF(Segment1_Rev_Methodology="Activity-Based",AG91,IF(Segment1_Rev_Methodology="Backlog",AG165,"--")))</f>
        <v>898.304970308733</v>
      </c>
      <c r="AH32" s="9"/>
      <c r="AI32" s="203">
        <f>IFERROR((T32/J32)^(1/3)-1,"--")</f>
        <v>0.11382799771557583</v>
      </c>
      <c r="AJ32" s="204">
        <f>IFERROR((AG32/T32)^(1/5)-1,"--")</f>
        <v>0.11818832340082741</v>
      </c>
    </row>
    <row r="33" spans="1:36" ht="12.75" customHeight="1">
      <c r="A33" s="205"/>
      <c r="B33" s="206"/>
      <c r="C33" s="207" t="str">
        <f>IF($C$25="Quarterly","% Growth QoQ","% Growth YoY")</f>
        <v>% Growth QoQ</v>
      </c>
      <c r="D33" s="206"/>
      <c r="E33" s="206"/>
      <c r="F33" s="208"/>
      <c r="G33" s="209">
        <f>IF($C$25="Annual",'Segment Analysis'!G163,'Segment Analysis'!G183)</f>
        <v>8.0678565610964981E-2</v>
      </c>
      <c r="H33" s="209">
        <f>IF($C$25="Annual",'Segment Analysis'!H163,'Segment Analysis'!H183)</f>
        <v>4.8180447889750067E-2</v>
      </c>
      <c r="I33" s="209">
        <f>IF($C$25="Annual",'Segment Analysis'!I163,'Segment Analysis'!I183)</f>
        <v>-1.7081813979764715E-2</v>
      </c>
      <c r="J33" s="210"/>
      <c r="K33" s="209">
        <f>IF($C$25="Annual",'Segment Analysis'!K163,'Segment Analysis'!K183)</f>
        <v>0.10152363833967315</v>
      </c>
      <c r="L33" s="209">
        <f>IF($C$25="Annual",'Segment Analysis'!L163,'Segment Analysis'!L183)</f>
        <v>3.5832534841139685E-2</v>
      </c>
      <c r="M33" s="209">
        <f>IF($C$25="Annual",'Segment Analysis'!M163,'Segment Analysis'!M183)</f>
        <v>4.0820999413833547E-2</v>
      </c>
      <c r="N33" s="209">
        <f>IF($C$25="Annual",'Segment Analysis'!N163,'Segment Analysis'!N183)</f>
        <v>8.8550787127885E-2</v>
      </c>
      <c r="O33" s="210">
        <f>'Segment Analysis'!O163</f>
        <v>0.2152966200826627</v>
      </c>
      <c r="P33" s="209">
        <f>IF($C$25="Annual",'Segment Analysis'!P163,'Segment Analysis'!P183)</f>
        <v>0.131426631313458</v>
      </c>
      <c r="Q33" s="209">
        <f>IF($C$25="Annual",'Segment Analysis'!Q163,'Segment Analysis'!Q183)</f>
        <v>-0.14417484745859588</v>
      </c>
      <c r="R33" s="209">
        <f>IF($C$25="Annual",'Segment Analysis'!R163,'Segment Analysis'!R183)</f>
        <v>5.4256447075127667E-2</v>
      </c>
      <c r="S33" s="209">
        <f>IF($C$25="Annual",'Segment Analysis'!S163,'Segment Analysis'!S183)</f>
        <v>1.2321629369189679E-2</v>
      </c>
      <c r="T33" s="210">
        <f>'Segment Analysis'!T163</f>
        <v>0.13703046449054734</v>
      </c>
      <c r="U33" s="209">
        <f>IF($C$25="Annual",'Segment Analysis'!U163,'Segment Analysis'!U183)</f>
        <v>4.5823620519720221E-2</v>
      </c>
      <c r="V33" s="211">
        <f>IFERROR(V32/U32-1,"--")</f>
        <v>5.0000000000000044E-2</v>
      </c>
      <c r="W33" s="211">
        <f>IFERROR(W32/V32-1,"--")</f>
        <v>6.4999999999999947E-2</v>
      </c>
      <c r="X33" s="211">
        <f>IFERROR(X32/W32-1,"--")</f>
        <v>8.4999999999999964E-2</v>
      </c>
      <c r="Y33" s="212">
        <f>IFERROR(Y32/T32-1,"--")</f>
        <v>0.1399801035680579</v>
      </c>
      <c r="Z33" s="211">
        <f>IFERROR(Z32/X32-1,"--")</f>
        <v>6.0000000000000053E-2</v>
      </c>
      <c r="AA33" s="211">
        <f>IFERROR(AA32/Z32-1,"--")</f>
        <v>6.0000000000000053E-2</v>
      </c>
      <c r="AB33" s="211">
        <f>IFERROR(AB32/AA32-1,"--")</f>
        <v>4.4999999999999929E-2</v>
      </c>
      <c r="AC33" s="211">
        <f>IFERROR(AC32/AB32-1,"--")</f>
        <v>4.4999999999999929E-2</v>
      </c>
      <c r="AD33" s="212">
        <f>IFERROR(AD32/Y32-1,"--")</f>
        <v>0.26957241550206956</v>
      </c>
      <c r="AE33" s="212">
        <f>IFERROR(AE32/AD32-1,"--")</f>
        <v>7.0000000000000062E-2</v>
      </c>
      <c r="AF33" s="212">
        <f>IFERROR(AF32/AE32-1,"--")</f>
        <v>5.4999999999999938E-2</v>
      </c>
      <c r="AG33" s="212">
        <f>IFERROR(AG32/AF32-1,"--")</f>
        <v>7.0000000000000062E-2</v>
      </c>
      <c r="AH33" s="206"/>
      <c r="AI33" s="213"/>
      <c r="AJ33" s="214"/>
    </row>
    <row r="34" spans="1:36" ht="12.75" customHeight="1">
      <c r="A34" s="205"/>
      <c r="B34" s="206"/>
      <c r="C34" s="84" t="s">
        <v>242</v>
      </c>
      <c r="D34" s="206"/>
      <c r="E34" s="206"/>
      <c r="F34" s="209">
        <f>'Segment Analysis'!F16</f>
        <v>0.63424569585783963</v>
      </c>
      <c r="G34" s="209">
        <f>'Segment Analysis'!G16</f>
        <v>0.60554693510320634</v>
      </c>
      <c r="H34" s="209">
        <f>'Segment Analysis'!H16</f>
        <v>0.7661283976265798</v>
      </c>
      <c r="I34" s="209">
        <f>'Segment Analysis'!I16</f>
        <v>0.84842359116218036</v>
      </c>
      <c r="J34" s="210">
        <f>'Segment Analysis'!J16</f>
        <v>0.70330191979998213</v>
      </c>
      <c r="K34" s="209">
        <f>'Segment Analysis'!K16</f>
        <v>0.84300647008485485</v>
      </c>
      <c r="L34" s="209">
        <f>'Segment Analysis'!L16</f>
        <v>0.86055676408461801</v>
      </c>
      <c r="M34" s="209">
        <f>'Segment Analysis'!M16</f>
        <v>0.90721196832290196</v>
      </c>
      <c r="N34" s="209">
        <f>'Segment Analysis'!N16</f>
        <v>0.700217926584213</v>
      </c>
      <c r="O34" s="210">
        <f>'Segment Analysis'!O16</f>
        <v>0.81600167556812242</v>
      </c>
      <c r="P34" s="209">
        <f>'Segment Analysis'!P16</f>
        <v>0.71143846165576341</v>
      </c>
      <c r="Q34" s="209">
        <f>'Segment Analysis'!Q16</f>
        <v>0.79855865705771367</v>
      </c>
      <c r="R34" s="209">
        <f>'Segment Analysis'!R16</f>
        <v>0.75051259650186319</v>
      </c>
      <c r="S34" s="209">
        <f>'Segment Analysis'!S16</f>
        <v>0.64573451935364923</v>
      </c>
      <c r="T34" s="210">
        <f>'Segment Analysis'!T16</f>
        <v>0.72074466592983666</v>
      </c>
      <c r="U34" s="209">
        <f>'Segment Analysis'!U16</f>
        <v>0.75981768376544401</v>
      </c>
      <c r="V34" s="211">
        <f>V32/V$30</f>
        <v>0.76330975050603367</v>
      </c>
      <c r="W34" s="211">
        <f>W32/W$30</f>
        <v>0.76586288115983492</v>
      </c>
      <c r="X34" s="211">
        <f t="shared" ref="X34:AG34" si="0">X32/X$30</f>
        <v>0.76669011901932993</v>
      </c>
      <c r="Y34" s="212">
        <f t="shared" si="0"/>
        <v>0.7640912611536953</v>
      </c>
      <c r="Z34" s="211">
        <f t="shared" si="0"/>
        <v>0.76584729005662966</v>
      </c>
      <c r="AA34" s="211">
        <f t="shared" si="0"/>
        <v>0.76584729005662966</v>
      </c>
      <c r="AB34" s="211">
        <f t="shared" si="0"/>
        <v>0.76413509576537308</v>
      </c>
      <c r="AC34" s="211">
        <f t="shared" si="0"/>
        <v>0.76327371069036465</v>
      </c>
      <c r="AD34" s="212">
        <f t="shared" si="0"/>
        <v>0.76471840138620173</v>
      </c>
      <c r="AE34" s="212">
        <f t="shared" si="0"/>
        <v>0.76471840138620151</v>
      </c>
      <c r="AF34" s="212">
        <f t="shared" si="0"/>
        <v>0.76471840138620162</v>
      </c>
      <c r="AG34" s="212">
        <f t="shared" si="0"/>
        <v>0.76809632533600425</v>
      </c>
      <c r="AH34" s="206"/>
      <c r="AI34" s="951"/>
      <c r="AJ34" s="952"/>
    </row>
    <row r="35" spans="1:36" ht="12.75" customHeight="1">
      <c r="A35" s="9"/>
      <c r="B35" s="9"/>
      <c r="C35" s="9" t="str">
        <f>'Segment Analysis'!C9</f>
        <v>Incentive Fees</v>
      </c>
      <c r="D35" s="9"/>
      <c r="E35" s="9"/>
      <c r="F35" s="199">
        <f>'Segment Analysis'!F9</f>
        <v>49.563000000000002</v>
      </c>
      <c r="G35" s="199">
        <f>'Segment Analysis'!G9</f>
        <v>60.501999999999995</v>
      </c>
      <c r="H35" s="199">
        <f>'Segment Analysis'!H9</f>
        <v>29.719000000000001</v>
      </c>
      <c r="I35" s="199">
        <f>'Segment Analysis'!I9</f>
        <v>17.096</v>
      </c>
      <c r="J35" s="200">
        <f>'Segment Analysis'!J9</f>
        <v>156.88</v>
      </c>
      <c r="K35" s="199">
        <f>'Segment Analysis'!K9</f>
        <v>19.630000000000003</v>
      </c>
      <c r="L35" s="199">
        <f>'Segment Analysis'!L9</f>
        <v>17.692</v>
      </c>
      <c r="M35" s="199">
        <f>'Segment Analysis'!M9</f>
        <v>11.623000000000001</v>
      </c>
      <c r="N35" s="199">
        <f>'Segment Analysis'!N9</f>
        <v>52.960999999999999</v>
      </c>
      <c r="O35" s="200">
        <f>'Segment Analysis'!O9</f>
        <v>101.90600000000001</v>
      </c>
      <c r="P35" s="199">
        <f>'Segment Analysis'!P9</f>
        <v>56.769000000000005</v>
      </c>
      <c r="Q35" s="199">
        <f>'Segment Analysis'!Q9</f>
        <v>30.216000000000001</v>
      </c>
      <c r="R35" s="199">
        <f>'Segment Analysis'!R9</f>
        <v>41.978999999999999</v>
      </c>
      <c r="S35" s="199">
        <f>'Segment Analysis'!S9</f>
        <v>70.135000000000005</v>
      </c>
      <c r="T35" s="200">
        <f>'Segment Analysis'!T9</f>
        <v>199.09899999999999</v>
      </c>
      <c r="U35" s="199">
        <f>'Segment Analysis'!U9</f>
        <v>42.262</v>
      </c>
      <c r="V35" s="201">
        <f>IF(Segment2_Rev_Methodology="Segment",V59,IF(Segment2_Rev_Methodology="Activity-Based",V103,IF(Segment2_Rev_Methodology="Backlog",V177,"--")))</f>
        <v>43.529859999999999</v>
      </c>
      <c r="W35" s="201">
        <f>IF(Segment2_Rev_Methodology="Segment",W59,IF(Segment2_Rev_Methodology="Activity-Based",W103,IF(Segment2_Rev_Methodology="Backlog",W177,"--")))</f>
        <v>45.706353</v>
      </c>
      <c r="X35" s="201">
        <f>IF(Segment2_Rev_Methodology="Segment",X59,IF(Segment2_Rev_Methodology="Activity-Based",X103,IF(Segment2_Rev_Methodology="Backlog",X177,"--")))</f>
        <v>49.362861240000001</v>
      </c>
      <c r="Y35" s="202">
        <f>SUM(U35:X35)</f>
        <v>180.86107423999999</v>
      </c>
      <c r="Z35" s="201">
        <f>IF(Segment2_Rev_Methodology="Segment",Z59,IF(Segment2_Rev_Methodology="Activity-Based",Z103,IF(Segment2_Rev_Methodology="Backlog",Z177,"--")))</f>
        <v>52.5714472206</v>
      </c>
      <c r="AA35" s="201">
        <f>IF(Segment2_Rev_Methodology="Segment",AA59,IF(Segment2_Rev_Methodology="Activity-Based",AA103,IF(Segment2_Rev_Methodology="Backlog",AA177,"--")))</f>
        <v>55.725734053836</v>
      </c>
      <c r="AB35" s="201">
        <f>IF(Segment2_Rev_Methodology="Segment",AB59,IF(Segment2_Rev_Methodology="Activity-Based",AB103,IF(Segment2_Rev_Methodology="Backlog",AB177,"--")))</f>
        <v>58.790649426796975</v>
      </c>
      <c r="AC35" s="201">
        <f>IF(Segment2_Rev_Methodology="Segment",AC59,IF(Segment2_Rev_Methodology="Activity-Based",AC103,IF(Segment2_Rev_Methodology="Backlog",AC177,"--")))</f>
        <v>61.730181898136827</v>
      </c>
      <c r="AD35" s="202">
        <f>SUM(Z35:AC35)</f>
        <v>228.81801259936981</v>
      </c>
      <c r="AE35" s="202">
        <f>IF(Segment2_Rev_Methodology="Segment",AE59,IF(Segment2_Rev_Methodology="Activity-Based",AE103,IF(Segment2_Rev_Methodology="Backlog",AE177,"--")))</f>
        <v>244.83527348132571</v>
      </c>
      <c r="AF35" s="202">
        <f>IF(Segment2_Rev_Methodology="Segment",AF59,IF(Segment2_Rev_Methodology="Activity-Based",AF103,IF(Segment2_Rev_Methodology="Backlog",AF177,"--")))</f>
        <v>258.30121352279861</v>
      </c>
      <c r="AG35" s="202">
        <f>IF(Segment2_Rev_Methodology="Segment",AG59,IF(Segment2_Rev_Methodology="Activity-Based",AG103,IF(Segment2_Rev_Methodology="Backlog",AG177,"--")))</f>
        <v>271.21627419893855</v>
      </c>
      <c r="AH35" s="9"/>
      <c r="AI35" s="203">
        <f>IFERROR((T35/J35)^(1/3)-1,"--")</f>
        <v>8.2680960008617799E-2</v>
      </c>
      <c r="AJ35" s="204">
        <f>IFERROR((AG35/T35)^(1/5)-1,"--")</f>
        <v>6.3773906856561924E-2</v>
      </c>
    </row>
    <row r="36" spans="1:36" ht="12.75" customHeight="1">
      <c r="A36" s="205"/>
      <c r="B36" s="206"/>
      <c r="C36" s="84" t="s">
        <v>243</v>
      </c>
      <c r="D36" s="206"/>
      <c r="E36" s="206"/>
      <c r="F36" s="208"/>
      <c r="G36" s="209">
        <f>IF($C$25="Annual",'Segment Analysis'!G164,'Segment Analysis'!G184)</f>
        <v>0.22070899663055088</v>
      </c>
      <c r="H36" s="209">
        <f>IF($C$25="Annual",'Segment Analysis'!H164,'Segment Analysis'!H184)</f>
        <v>-0.50879309774883463</v>
      </c>
      <c r="I36" s="209">
        <f>IF($C$25="Annual",'Segment Analysis'!I164,'Segment Analysis'!I184)</f>
        <v>-0.42474511255425829</v>
      </c>
      <c r="J36" s="210"/>
      <c r="K36" s="209">
        <f>IF($C$25="Annual",'Segment Analysis'!K164,'Segment Analysis'!K184)</f>
        <v>0.14822180627047277</v>
      </c>
      <c r="L36" s="209">
        <f>IF($C$25="Annual",'Segment Analysis'!L164,'Segment Analysis'!L184)</f>
        <v>-9.8726439123790199E-2</v>
      </c>
      <c r="M36" s="209">
        <f>IF($C$25="Annual",'Segment Analysis'!M164,'Segment Analysis'!M184)</f>
        <v>-0.34303640063305441</v>
      </c>
      <c r="N36" s="209">
        <f>IF($C$25="Annual",'Segment Analysis'!N164,'Segment Analysis'!N184)</f>
        <v>3.5565688720640107</v>
      </c>
      <c r="O36" s="210">
        <f>'Segment Analysis'!O164</f>
        <v>-0.35042070372259049</v>
      </c>
      <c r="P36" s="209">
        <f>IF($C$25="Annual",'Segment Analysis'!P164,'Segment Analysis'!P184)</f>
        <v>7.1901965597326534E-2</v>
      </c>
      <c r="Q36" s="209">
        <f>IF($C$25="Annual",'Segment Analysis'!Q164,'Segment Analysis'!Q184)</f>
        <v>-0.467737673730381</v>
      </c>
      <c r="R36" s="209">
        <f>IF($C$25="Annual",'Segment Analysis'!R164,'Segment Analysis'!R184)</f>
        <v>0.38929706115965046</v>
      </c>
      <c r="S36" s="209">
        <f>IF($C$25="Annual",'Segment Analysis'!S164,'Segment Analysis'!S184)</f>
        <v>0.67071631053622061</v>
      </c>
      <c r="T36" s="210">
        <f>'Segment Analysis'!T164</f>
        <v>0.95375149647714541</v>
      </c>
      <c r="U36" s="209">
        <f>IF($C$25="Annual",'Segment Analysis'!U164,'Segment Analysis'!U184)</f>
        <v>-0.39741926285021745</v>
      </c>
      <c r="V36" s="211">
        <f>IFERROR(V35/U35-1,"--")</f>
        <v>3.0000000000000027E-2</v>
      </c>
      <c r="W36" s="211">
        <f>IFERROR(W35/V35-1,"--")</f>
        <v>5.0000000000000044E-2</v>
      </c>
      <c r="X36" s="211">
        <f>IFERROR(X35/W35-1,"--")</f>
        <v>8.0000000000000071E-2</v>
      </c>
      <c r="Y36" s="212">
        <f>IFERROR(Y35/T35-1,"--")</f>
        <v>-9.1602297148654643E-2</v>
      </c>
      <c r="Z36" s="211">
        <f>IFERROR(Z35/X35-1,"--")</f>
        <v>6.4999999999999947E-2</v>
      </c>
      <c r="AA36" s="211">
        <f>IFERROR(AA35/Z35-1,"--")</f>
        <v>6.0000000000000053E-2</v>
      </c>
      <c r="AB36" s="211">
        <f>IFERROR(AB35/AA35-1,"--")</f>
        <v>5.4999999999999938E-2</v>
      </c>
      <c r="AC36" s="211">
        <f>IFERROR(AC35/AB35-1,"--")</f>
        <v>5.0000000000000044E-2</v>
      </c>
      <c r="AD36" s="212">
        <f>IFERROR(AD35/Y35-1,"--")</f>
        <v>0.26515898216844414</v>
      </c>
      <c r="AE36" s="212">
        <f>IFERROR(AE35/AD35-1,"--")</f>
        <v>7.0000000000000062E-2</v>
      </c>
      <c r="AF36" s="212">
        <f>IFERROR(AF35/AE35-1,"--")</f>
        <v>5.4999999999999938E-2</v>
      </c>
      <c r="AG36" s="212">
        <f>IFERROR(AG35/AF35-1,"--")</f>
        <v>5.0000000000000044E-2</v>
      </c>
      <c r="AH36" s="206"/>
      <c r="AI36" s="213"/>
      <c r="AJ36" s="214"/>
    </row>
    <row r="37" spans="1:36" ht="12.75" customHeight="1">
      <c r="A37" s="205"/>
      <c r="B37" s="206"/>
      <c r="C37" s="84" t="s">
        <v>242</v>
      </c>
      <c r="D37" s="206"/>
      <c r="E37" s="206"/>
      <c r="F37" s="209">
        <f>'Segment Analysis'!F17</f>
        <v>0.36575430414216026</v>
      </c>
      <c r="G37" s="209">
        <f>'Segment Analysis'!G17</f>
        <v>0.3944530648967936</v>
      </c>
      <c r="H37" s="209">
        <f>'Segment Analysis'!H17</f>
        <v>0.23387160237342025</v>
      </c>
      <c r="I37" s="209">
        <f>'Segment Analysis'!I17</f>
        <v>0.15157640883781964</v>
      </c>
      <c r="J37" s="210">
        <f>'Segment Analysis'!J17</f>
        <v>0.29669808020001776</v>
      </c>
      <c r="K37" s="209">
        <f>'Segment Analysis'!K17</f>
        <v>0.15699352991514512</v>
      </c>
      <c r="L37" s="209">
        <f>'Segment Analysis'!L17</f>
        <v>0.13944323591538194</v>
      </c>
      <c r="M37" s="209">
        <f>'Segment Analysis'!M17</f>
        <v>9.2788031677097968E-2</v>
      </c>
      <c r="N37" s="209">
        <f>'Segment Analysis'!N17</f>
        <v>0.29978207341578694</v>
      </c>
      <c r="O37" s="210">
        <f>'Segment Analysis'!O17</f>
        <v>0.18399832443187769</v>
      </c>
      <c r="P37" s="209">
        <f>'Segment Analysis'!P17</f>
        <v>0.28856153834423659</v>
      </c>
      <c r="Q37" s="209">
        <f>'Segment Analysis'!Q17</f>
        <v>0.2014413429422863</v>
      </c>
      <c r="R37" s="209">
        <f>'Segment Analysis'!R17</f>
        <v>0.24948740349813683</v>
      </c>
      <c r="S37" s="209">
        <f>'Segment Analysis'!S17</f>
        <v>0.35426548064635077</v>
      </c>
      <c r="T37" s="210">
        <f>'Segment Analysis'!T17</f>
        <v>0.27925533407016345</v>
      </c>
      <c r="U37" s="209">
        <f>'Segment Analysis'!U17</f>
        <v>0.24018231623455596</v>
      </c>
      <c r="V37" s="211">
        <f>V35/V$30</f>
        <v>0.23669024949396625</v>
      </c>
      <c r="W37" s="211">
        <f>W35/W$30</f>
        <v>0.234137118840165</v>
      </c>
      <c r="X37" s="211">
        <f t="shared" ref="X37:AG37" si="1">X35/X$30</f>
        <v>0.23330988098067004</v>
      </c>
      <c r="Y37" s="212">
        <f t="shared" si="1"/>
        <v>0.23590873884630487</v>
      </c>
      <c r="Z37" s="211">
        <f t="shared" si="1"/>
        <v>0.2341527099433704</v>
      </c>
      <c r="AA37" s="211">
        <f t="shared" si="1"/>
        <v>0.2341527099433704</v>
      </c>
      <c r="AB37" s="211">
        <f t="shared" si="1"/>
        <v>0.23586490423462683</v>
      </c>
      <c r="AC37" s="211">
        <f t="shared" si="1"/>
        <v>0.23672628930963546</v>
      </c>
      <c r="AD37" s="212">
        <f t="shared" si="1"/>
        <v>0.23528159861379844</v>
      </c>
      <c r="AE37" s="212">
        <f t="shared" si="1"/>
        <v>0.23528159861379838</v>
      </c>
      <c r="AF37" s="212">
        <f t="shared" si="1"/>
        <v>0.23528159861379841</v>
      </c>
      <c r="AG37" s="212">
        <f t="shared" si="1"/>
        <v>0.23190367466399581</v>
      </c>
      <c r="AH37" s="206"/>
      <c r="AI37" s="949"/>
      <c r="AJ37" s="950"/>
    </row>
    <row r="38" spans="1:36" ht="12.75" hidden="1" customHeight="1" outlineLevel="1">
      <c r="A38" s="9"/>
      <c r="B38" s="9"/>
      <c r="C38" s="9" t="str">
        <f>'Segment Analysis'!C10</f>
        <v>Segment 3 Revenue</v>
      </c>
      <c r="D38" s="9"/>
      <c r="E38" s="9"/>
      <c r="F38" s="199">
        <f>'Segment Analysis'!F10</f>
        <v>0</v>
      </c>
      <c r="G38" s="199">
        <f>'Segment Analysis'!G10</f>
        <v>0</v>
      </c>
      <c r="H38" s="199">
        <f>'Segment Analysis'!H10</f>
        <v>0</v>
      </c>
      <c r="I38" s="199">
        <f>'Segment Analysis'!I10</f>
        <v>0</v>
      </c>
      <c r="J38" s="200">
        <f>'Segment Analysis'!J10</f>
        <v>0</v>
      </c>
      <c r="K38" s="199">
        <f>'Segment Analysis'!K10</f>
        <v>0</v>
      </c>
      <c r="L38" s="199">
        <f>'Segment Analysis'!L10</f>
        <v>0</v>
      </c>
      <c r="M38" s="199">
        <f>'Segment Analysis'!M10</f>
        <v>0</v>
      </c>
      <c r="N38" s="199">
        <f>'Segment Analysis'!N10</f>
        <v>0</v>
      </c>
      <c r="O38" s="200">
        <f>'Segment Analysis'!O10</f>
        <v>0</v>
      </c>
      <c r="P38" s="199">
        <f>'Segment Analysis'!P10</f>
        <v>0</v>
      </c>
      <c r="Q38" s="199">
        <f>'Segment Analysis'!Q10</f>
        <v>0</v>
      </c>
      <c r="R38" s="199">
        <f>'Segment Analysis'!R10</f>
        <v>0</v>
      </c>
      <c r="S38" s="199">
        <f>'Segment Analysis'!S10</f>
        <v>0</v>
      </c>
      <c r="T38" s="200">
        <f>'Segment Analysis'!T10</f>
        <v>0</v>
      </c>
      <c r="U38" s="199">
        <f>'Segment Analysis'!U10</f>
        <v>0</v>
      </c>
      <c r="V38" s="201">
        <f>IF(Segment3_Rev_Methodology="Segment",V65,IF(Segment3_Rev_Methodology="Activity-Based",V115,IF(Segment3_Rev_Methodology="Backlog",V189,"--")))</f>
        <v>0</v>
      </c>
      <c r="W38" s="201">
        <f>IF(Segment3_Rev_Methodology="Segment",W65,IF(Segment3_Rev_Methodology="Activity-Based",W115,IF(Segment3_Rev_Methodology="Backlog",W189,"--")))</f>
        <v>0</v>
      </c>
      <c r="X38" s="201">
        <f>IF(Segment3_Rev_Methodology="Segment",X65,IF(Segment3_Rev_Methodology="Activity-Based",X115,IF(Segment3_Rev_Methodology="Backlog",X189,"--")))</f>
        <v>0</v>
      </c>
      <c r="Y38" s="202">
        <f>SUM(U38:X38)</f>
        <v>0</v>
      </c>
      <c r="Z38" s="201">
        <f>IF(Segment3_Rev_Methodology="Segment",Z65,IF(Segment3_Rev_Methodology="Activity-Based",Z115,IF(Segment3_Rev_Methodology="Backlog",Z189,"--")))</f>
        <v>0</v>
      </c>
      <c r="AA38" s="201">
        <f>IF(Segment3_Rev_Methodology="Segment",AA65,IF(Segment3_Rev_Methodology="Activity-Based",AA115,IF(Segment3_Rev_Methodology="Backlog",AA189,"--")))</f>
        <v>0</v>
      </c>
      <c r="AB38" s="201">
        <f>IF(Segment3_Rev_Methodology="Segment",AB65,IF(Segment3_Rev_Methodology="Activity-Based",AB115,IF(Segment3_Rev_Methodology="Backlog",AB189,"--")))</f>
        <v>0</v>
      </c>
      <c r="AC38" s="201">
        <f>IF(Segment3_Rev_Methodology="Segment",AC65,IF(Segment3_Rev_Methodology="Activity-Based",AC115,IF(Segment3_Rev_Methodology="Backlog",AC189,"--")))</f>
        <v>0</v>
      </c>
      <c r="AD38" s="202">
        <f>SUM(Z38:AC38)</f>
        <v>0</v>
      </c>
      <c r="AE38" s="202">
        <f>IF(Segment3_Rev_Methodology="Segment",AE65,IF(Segment3_Rev_Methodology="Activity-Based",AE115,IF(Segment3_Rev_Methodology="Backlog",AE189,"--")))</f>
        <v>0</v>
      </c>
      <c r="AF38" s="202">
        <f>IF(Segment3_Rev_Methodology="Segment",AF65,IF(Segment3_Rev_Methodology="Activity-Based",AF115,IF(Segment3_Rev_Methodology="Backlog",AF189,"--")))</f>
        <v>0</v>
      </c>
      <c r="AG38" s="202">
        <f>IF(Segment3_Rev_Methodology="Segment",AG65,IF(Segment3_Rev_Methodology="Activity-Based",AG115,IF(Segment3_Rev_Methodology="Backlog",AG189,"--")))</f>
        <v>0</v>
      </c>
      <c r="AH38" s="9"/>
      <c r="AI38" s="203" t="str">
        <f>IFERROR((T38/J38)^(1/3)-1,"--")</f>
        <v>--</v>
      </c>
      <c r="AJ38" s="204" t="str">
        <f>IFERROR((AG38/T38)^(1/5)-1,"--")</f>
        <v>--</v>
      </c>
    </row>
    <row r="39" spans="1:36" ht="12.75" hidden="1" customHeight="1" outlineLevel="1">
      <c r="A39" s="205"/>
      <c r="B39" s="206"/>
      <c r="C39" s="84" t="s">
        <v>243</v>
      </c>
      <c r="D39" s="206"/>
      <c r="E39" s="206"/>
      <c r="F39" s="208"/>
      <c r="G39" s="209" t="str">
        <f>IF($C$25="Annual",'Segment Analysis'!G165,'Segment Analysis'!G185)</f>
        <v>N/A</v>
      </c>
      <c r="H39" s="209" t="str">
        <f>IF($C$25="Annual",'Segment Analysis'!H165,'Segment Analysis'!H185)</f>
        <v>N/A</v>
      </c>
      <c r="I39" s="209" t="str">
        <f>IF($C$25="Annual",'Segment Analysis'!I165,'Segment Analysis'!I185)</f>
        <v>N/A</v>
      </c>
      <c r="J39" s="210"/>
      <c r="K39" s="209" t="str">
        <f>IF($C$25="Annual",'Segment Analysis'!K165,'Segment Analysis'!K185)</f>
        <v>N/A</v>
      </c>
      <c r="L39" s="209" t="str">
        <f>IF($C$25="Annual",'Segment Analysis'!L165,'Segment Analysis'!L185)</f>
        <v>N/A</v>
      </c>
      <c r="M39" s="209" t="str">
        <f>IF($C$25="Annual",'Segment Analysis'!M165,'Segment Analysis'!M185)</f>
        <v>N/A</v>
      </c>
      <c r="N39" s="209" t="str">
        <f>IF($C$25="Annual",'Segment Analysis'!N165,'Segment Analysis'!N185)</f>
        <v>N/A</v>
      </c>
      <c r="O39" s="210">
        <f>IF($C$25="Annual",'Segment Analysis'!O165,'Segment Analysis'!O185)</f>
        <v>0</v>
      </c>
      <c r="P39" s="209" t="str">
        <f>IF($C$25="Annual",'Segment Analysis'!P165,'Segment Analysis'!P185)</f>
        <v>N/A</v>
      </c>
      <c r="Q39" s="209" t="str">
        <f>IF($C$25="Annual",'Segment Analysis'!Q165,'Segment Analysis'!Q185)</f>
        <v>N/A</v>
      </c>
      <c r="R39" s="209" t="str">
        <f>IF($C$25="Annual",'Segment Analysis'!R165,'Segment Analysis'!R185)</f>
        <v>N/A</v>
      </c>
      <c r="S39" s="209" t="str">
        <f>IF($C$25="Annual",'Segment Analysis'!S165,'Segment Analysis'!S185)</f>
        <v>N/A</v>
      </c>
      <c r="T39" s="210">
        <f>IF($C$25="Annual",'Segment Analysis'!T165,'Segment Analysis'!T185)</f>
        <v>0</v>
      </c>
      <c r="U39" s="209" t="str">
        <f>IF($C$25="Annual",'Segment Analysis'!U165,'Segment Analysis'!U185)</f>
        <v>N/A</v>
      </c>
      <c r="V39" s="211" t="str">
        <f>IFERROR(V38/U38-1,"--")</f>
        <v>--</v>
      </c>
      <c r="W39" s="211" t="str">
        <f>IFERROR(W38/V38-1,"--")</f>
        <v>--</v>
      </c>
      <c r="X39" s="211" t="str">
        <f>IFERROR(X38/W38-1,"--")</f>
        <v>--</v>
      </c>
      <c r="Y39" s="212" t="str">
        <f>IFERROR(Y38/T38-1,"--")</f>
        <v>--</v>
      </c>
      <c r="Z39" s="211" t="str">
        <f>IFERROR(Z38/X38-1,"--")</f>
        <v>--</v>
      </c>
      <c r="AA39" s="211" t="str">
        <f>IFERROR(AA38/Z38-1,"--")</f>
        <v>--</v>
      </c>
      <c r="AB39" s="211" t="str">
        <f>IFERROR(AB38/AA38-1,"--")</f>
        <v>--</v>
      </c>
      <c r="AC39" s="211" t="str">
        <f>IFERROR(AC38/AB38-1,"--")</f>
        <v>--</v>
      </c>
      <c r="AD39" s="212" t="str">
        <f>IFERROR(AD38/Y38-1,"--")</f>
        <v>--</v>
      </c>
      <c r="AE39" s="212" t="str">
        <f>IFERROR(AE38/AD38-1,"--")</f>
        <v>--</v>
      </c>
      <c r="AF39" s="212" t="str">
        <f>IFERROR(AF38/AE38-1,"--")</f>
        <v>--</v>
      </c>
      <c r="AG39" s="212" t="str">
        <f>IFERROR(AG38/AF38-1,"--")</f>
        <v>--</v>
      </c>
      <c r="AH39" s="206"/>
      <c r="AI39" s="213"/>
      <c r="AJ39" s="214"/>
    </row>
    <row r="40" spans="1:36" ht="12.75" hidden="1" customHeight="1" outlineLevel="1">
      <c r="A40" s="205"/>
      <c r="B40" s="206"/>
      <c r="C40" s="84" t="s">
        <v>242</v>
      </c>
      <c r="D40" s="206"/>
      <c r="E40" s="206"/>
      <c r="F40" s="209">
        <f>'Segment Analysis'!F18</f>
        <v>0</v>
      </c>
      <c r="G40" s="209">
        <f>'Segment Analysis'!G18</f>
        <v>0</v>
      </c>
      <c r="H40" s="209">
        <f>'Segment Analysis'!H18</f>
        <v>0</v>
      </c>
      <c r="I40" s="209">
        <f>'Segment Analysis'!I18</f>
        <v>0</v>
      </c>
      <c r="J40" s="210">
        <f>'Segment Analysis'!J18</f>
        <v>0</v>
      </c>
      <c r="K40" s="209">
        <f>'Segment Analysis'!K18</f>
        <v>0</v>
      </c>
      <c r="L40" s="209">
        <f>'Segment Analysis'!L18</f>
        <v>0</v>
      </c>
      <c r="M40" s="209">
        <f>'Segment Analysis'!M18</f>
        <v>0</v>
      </c>
      <c r="N40" s="209">
        <f>'Segment Analysis'!N18</f>
        <v>0</v>
      </c>
      <c r="O40" s="210">
        <f>'Segment Analysis'!O18</f>
        <v>0</v>
      </c>
      <c r="P40" s="209">
        <f>'Segment Analysis'!P18</f>
        <v>0</v>
      </c>
      <c r="Q40" s="209">
        <f>'Segment Analysis'!Q18</f>
        <v>0</v>
      </c>
      <c r="R40" s="209">
        <f>'Segment Analysis'!R18</f>
        <v>0</v>
      </c>
      <c r="S40" s="209">
        <f>'Segment Analysis'!S18</f>
        <v>0</v>
      </c>
      <c r="T40" s="210">
        <f>'Segment Analysis'!T18</f>
        <v>0</v>
      </c>
      <c r="U40" s="209">
        <f>'Segment Analysis'!U18</f>
        <v>0</v>
      </c>
      <c r="V40" s="211">
        <f>V38/V$30</f>
        <v>0</v>
      </c>
      <c r="W40" s="211">
        <f>W38/W$30</f>
        <v>0</v>
      </c>
      <c r="X40" s="211">
        <f t="shared" ref="X40:AG40" si="2">X38/X$30</f>
        <v>0</v>
      </c>
      <c r="Y40" s="212">
        <f t="shared" si="2"/>
        <v>0</v>
      </c>
      <c r="Z40" s="211">
        <f t="shared" si="2"/>
        <v>0</v>
      </c>
      <c r="AA40" s="211">
        <f t="shared" si="2"/>
        <v>0</v>
      </c>
      <c r="AB40" s="211">
        <f t="shared" si="2"/>
        <v>0</v>
      </c>
      <c r="AC40" s="211">
        <f t="shared" si="2"/>
        <v>0</v>
      </c>
      <c r="AD40" s="212">
        <f t="shared" si="2"/>
        <v>0</v>
      </c>
      <c r="AE40" s="212">
        <f t="shared" si="2"/>
        <v>0</v>
      </c>
      <c r="AF40" s="212">
        <f t="shared" si="2"/>
        <v>0</v>
      </c>
      <c r="AG40" s="212">
        <f t="shared" si="2"/>
        <v>0</v>
      </c>
      <c r="AH40" s="206"/>
      <c r="AI40" s="213"/>
      <c r="AJ40" s="214"/>
    </row>
    <row r="41" spans="1:36" ht="12.75" hidden="1" customHeight="1" outlineLevel="1">
      <c r="A41" s="9"/>
      <c r="B41" s="9"/>
      <c r="C41" s="9" t="str">
        <f>'Segment Analysis'!C11</f>
        <v>Segment 4 Revenue</v>
      </c>
      <c r="D41" s="9"/>
      <c r="E41" s="9"/>
      <c r="F41" s="199">
        <f>'Segment Analysis'!F11</f>
        <v>0</v>
      </c>
      <c r="G41" s="199">
        <f>'Segment Analysis'!G11</f>
        <v>0</v>
      </c>
      <c r="H41" s="199">
        <f>'Segment Analysis'!H11</f>
        <v>0</v>
      </c>
      <c r="I41" s="199">
        <f>'Segment Analysis'!I11</f>
        <v>0</v>
      </c>
      <c r="J41" s="200">
        <f>'Segment Analysis'!J11</f>
        <v>0</v>
      </c>
      <c r="K41" s="199">
        <f>'Segment Analysis'!K11</f>
        <v>0</v>
      </c>
      <c r="L41" s="199">
        <f>'Segment Analysis'!L11</f>
        <v>0</v>
      </c>
      <c r="M41" s="199">
        <f>'Segment Analysis'!M11</f>
        <v>0</v>
      </c>
      <c r="N41" s="199">
        <f>'Segment Analysis'!N11</f>
        <v>0</v>
      </c>
      <c r="O41" s="200">
        <f>'Segment Analysis'!O11</f>
        <v>0</v>
      </c>
      <c r="P41" s="199">
        <f>'Segment Analysis'!P11</f>
        <v>0</v>
      </c>
      <c r="Q41" s="199">
        <f>'Segment Analysis'!Q11</f>
        <v>0</v>
      </c>
      <c r="R41" s="199">
        <f>'Segment Analysis'!R11</f>
        <v>0</v>
      </c>
      <c r="S41" s="199">
        <f>'Segment Analysis'!S11</f>
        <v>0</v>
      </c>
      <c r="T41" s="200">
        <f>'Segment Analysis'!T11</f>
        <v>0</v>
      </c>
      <c r="U41" s="199">
        <f>'Segment Analysis'!U11</f>
        <v>0</v>
      </c>
      <c r="V41" s="201">
        <f>IF(Segment4_Rev_Methodology="Segment",V71,IF(Segment4_Rev_Methodology="Activity-Based",V127,IF(Segment4_Rev_Methodology="Backlog",V201,"--")))</f>
        <v>0</v>
      </c>
      <c r="W41" s="201">
        <f>IF(Segment4_Rev_Methodology="Segment",W71,IF(Segment4_Rev_Methodology="Activity-Based",W127,IF(Segment4_Rev_Methodology="Backlog",W201,"--")))</f>
        <v>0</v>
      </c>
      <c r="X41" s="201">
        <f>IF(Segment4_Rev_Methodology="Segment",X71,IF(Segment4_Rev_Methodology="Activity-Based",X127,IF(Segment4_Rev_Methodology="Backlog",X201,"--")))</f>
        <v>0</v>
      </c>
      <c r="Y41" s="202">
        <f>SUM(U41:X41)</f>
        <v>0</v>
      </c>
      <c r="Z41" s="201">
        <f>IF(Segment4_Rev_Methodology="Segment",Z71,IF(Segment4_Rev_Methodology="Activity-Based",Z127,IF(Segment4_Rev_Methodology="Backlog",Z201,"--")))</f>
        <v>0</v>
      </c>
      <c r="AA41" s="201">
        <f>IF(Segment4_Rev_Methodology="Segment",AA71,IF(Segment4_Rev_Methodology="Activity-Based",AA127,IF(Segment4_Rev_Methodology="Backlog",AA201,"--")))</f>
        <v>0</v>
      </c>
      <c r="AB41" s="201">
        <f>IF(Segment4_Rev_Methodology="Segment",AB71,IF(Segment4_Rev_Methodology="Activity-Based",AB127,IF(Segment4_Rev_Methodology="Backlog",AB201,"--")))</f>
        <v>0</v>
      </c>
      <c r="AC41" s="201">
        <f>IF(Segment4_Rev_Methodology="Segment",AC71,IF(Segment4_Rev_Methodology="Activity-Based",AC127,IF(Segment4_Rev_Methodology="Backlog",AC201,"--")))</f>
        <v>0</v>
      </c>
      <c r="AD41" s="202">
        <f>SUM(Z41:AC41)</f>
        <v>0</v>
      </c>
      <c r="AE41" s="202">
        <f>IF(Segment4_Rev_Methodology="Segment",AE71,IF(Segment4_Rev_Methodology="Activity-Based",AE127,IF(Segment4_Rev_Methodology="Backlog",AE201,"--")))</f>
        <v>0</v>
      </c>
      <c r="AF41" s="202">
        <f>IF(Segment4_Rev_Methodology="Segment",AF71,IF(Segment4_Rev_Methodology="Activity-Based",AF127,IF(Segment4_Rev_Methodology="Backlog",AF201,"--")))</f>
        <v>0</v>
      </c>
      <c r="AG41" s="202">
        <f>IF(Segment4_Rev_Methodology="Segment",AG71,IF(Segment4_Rev_Methodology="Activity-Based",AG127,IF(Segment4_Rev_Methodology="Backlog",AG201,"--")))</f>
        <v>0</v>
      </c>
      <c r="AH41" s="9"/>
      <c r="AI41" s="203" t="str">
        <f>IFERROR((T41/J41)^(1/3)-1,"--")</f>
        <v>--</v>
      </c>
      <c r="AJ41" s="204" t="str">
        <f>IFERROR((AG41/T41)^(1/5)-1,"--")</f>
        <v>--</v>
      </c>
    </row>
    <row r="42" spans="1:36" ht="12.75" hidden="1" customHeight="1" outlineLevel="1">
      <c r="A42" s="205"/>
      <c r="B42" s="206"/>
      <c r="C42" s="84" t="s">
        <v>243</v>
      </c>
      <c r="D42" s="206"/>
      <c r="E42" s="206"/>
      <c r="F42" s="208"/>
      <c r="G42" s="209" t="str">
        <f>IF($C$25="Annual",'Segment Analysis'!G166,'Segment Analysis'!G186)</f>
        <v>N/A</v>
      </c>
      <c r="H42" s="209" t="str">
        <f>IF($C$25="Annual",'Segment Analysis'!H166,'Segment Analysis'!H186)</f>
        <v>N/A</v>
      </c>
      <c r="I42" s="209" t="str">
        <f>IF($C$25="Annual",'Segment Analysis'!I166,'Segment Analysis'!I186)</f>
        <v>N/A</v>
      </c>
      <c r="J42" s="210"/>
      <c r="K42" s="209" t="str">
        <f>IF($C$25="Annual",'Segment Analysis'!K166,'Segment Analysis'!K186)</f>
        <v>N/A</v>
      </c>
      <c r="L42" s="209" t="str">
        <f>IF($C$25="Annual",'Segment Analysis'!L166,'Segment Analysis'!L186)</f>
        <v>N/A</v>
      </c>
      <c r="M42" s="209" t="str">
        <f>IF($C$25="Annual",'Segment Analysis'!M166,'Segment Analysis'!M186)</f>
        <v>N/A</v>
      </c>
      <c r="N42" s="209" t="str">
        <f>IF($C$25="Annual",'Segment Analysis'!N166,'Segment Analysis'!N186)</f>
        <v>N/A</v>
      </c>
      <c r="O42" s="210">
        <f>IF($C$25="Annual",'Segment Analysis'!O166,'Segment Analysis'!O186)</f>
        <v>0</v>
      </c>
      <c r="P42" s="209" t="str">
        <f>IF($C$25="Annual",'Segment Analysis'!P166,'Segment Analysis'!P186)</f>
        <v>N/A</v>
      </c>
      <c r="Q42" s="209" t="str">
        <f>IF($C$25="Annual",'Segment Analysis'!Q166,'Segment Analysis'!Q186)</f>
        <v>N/A</v>
      </c>
      <c r="R42" s="209" t="str">
        <f>IF($C$25="Annual",'Segment Analysis'!R166,'Segment Analysis'!R186)</f>
        <v>N/A</v>
      </c>
      <c r="S42" s="209" t="str">
        <f>IF($C$25="Annual",'Segment Analysis'!S166,'Segment Analysis'!S186)</f>
        <v>N/A</v>
      </c>
      <c r="T42" s="210">
        <f>IF($C$25="Annual",'Segment Analysis'!T166,'Segment Analysis'!T186)</f>
        <v>0</v>
      </c>
      <c r="U42" s="209" t="str">
        <f>IF($C$25="Annual",'Segment Analysis'!U166,'Segment Analysis'!U186)</f>
        <v>N/A</v>
      </c>
      <c r="V42" s="211" t="str">
        <f>IFERROR(V41/U41-1,"--")</f>
        <v>--</v>
      </c>
      <c r="W42" s="211" t="str">
        <f>IFERROR(W41/V41-1,"--")</f>
        <v>--</v>
      </c>
      <c r="X42" s="211" t="str">
        <f>IFERROR(X41/W41-1,"--")</f>
        <v>--</v>
      </c>
      <c r="Y42" s="212" t="str">
        <f>IFERROR(Y41/T41-1,"--")</f>
        <v>--</v>
      </c>
      <c r="Z42" s="211" t="str">
        <f>IFERROR(Z41/X41-1,"--")</f>
        <v>--</v>
      </c>
      <c r="AA42" s="211" t="str">
        <f>IFERROR(AA41/Z41-1,"--")</f>
        <v>--</v>
      </c>
      <c r="AB42" s="211" t="str">
        <f>IFERROR(AB41/AA41-1,"--")</f>
        <v>--</v>
      </c>
      <c r="AC42" s="211" t="str">
        <f>IFERROR(AC41/AB41-1,"--")</f>
        <v>--</v>
      </c>
      <c r="AD42" s="212" t="str">
        <f>IFERROR(AD41/Y41-1,"--")</f>
        <v>--</v>
      </c>
      <c r="AE42" s="212" t="str">
        <f>IFERROR(AE41/AD41-1,"--")</f>
        <v>--</v>
      </c>
      <c r="AF42" s="212" t="str">
        <f>IFERROR(AF41/AE41-1,"--")</f>
        <v>--</v>
      </c>
      <c r="AG42" s="212" t="str">
        <f>IFERROR(AG41/AF41-1,"--")</f>
        <v>--</v>
      </c>
      <c r="AH42" s="206"/>
      <c r="AI42" s="213"/>
      <c r="AJ42" s="214"/>
    </row>
    <row r="43" spans="1:36" ht="12.75" hidden="1" customHeight="1" outlineLevel="1">
      <c r="A43" s="205"/>
      <c r="B43" s="206"/>
      <c r="C43" s="84" t="s">
        <v>242</v>
      </c>
      <c r="D43" s="206"/>
      <c r="E43" s="206"/>
      <c r="F43" s="209">
        <f>'Segment Analysis'!F19</f>
        <v>0</v>
      </c>
      <c r="G43" s="209">
        <f>'Segment Analysis'!G19</f>
        <v>0</v>
      </c>
      <c r="H43" s="209">
        <f>'Segment Analysis'!H19</f>
        <v>0</v>
      </c>
      <c r="I43" s="209">
        <f>'Segment Analysis'!I19</f>
        <v>0</v>
      </c>
      <c r="J43" s="210">
        <f>'Segment Analysis'!J19</f>
        <v>0</v>
      </c>
      <c r="K43" s="209">
        <f>'Segment Analysis'!K19</f>
        <v>0</v>
      </c>
      <c r="L43" s="209">
        <f>'Segment Analysis'!L19</f>
        <v>0</v>
      </c>
      <c r="M43" s="209">
        <f>'Segment Analysis'!M19</f>
        <v>0</v>
      </c>
      <c r="N43" s="209">
        <f>'Segment Analysis'!N19</f>
        <v>0</v>
      </c>
      <c r="O43" s="210">
        <f>'Segment Analysis'!O19</f>
        <v>0</v>
      </c>
      <c r="P43" s="209">
        <f>'Segment Analysis'!P19</f>
        <v>0</v>
      </c>
      <c r="Q43" s="209">
        <f>'Segment Analysis'!Q19</f>
        <v>0</v>
      </c>
      <c r="R43" s="209">
        <f>'Segment Analysis'!R19</f>
        <v>0</v>
      </c>
      <c r="S43" s="209">
        <f>'Segment Analysis'!S19</f>
        <v>0</v>
      </c>
      <c r="T43" s="210">
        <f>'Segment Analysis'!T19</f>
        <v>0</v>
      </c>
      <c r="U43" s="209">
        <f>'Segment Analysis'!U19</f>
        <v>0</v>
      </c>
      <c r="V43" s="211">
        <f>V41/V$30</f>
        <v>0</v>
      </c>
      <c r="W43" s="211">
        <f>W41/W$30</f>
        <v>0</v>
      </c>
      <c r="X43" s="211">
        <f t="shared" ref="X43:AG43" si="3">X41/X$30</f>
        <v>0</v>
      </c>
      <c r="Y43" s="212">
        <f t="shared" si="3"/>
        <v>0</v>
      </c>
      <c r="Z43" s="211">
        <f t="shared" si="3"/>
        <v>0</v>
      </c>
      <c r="AA43" s="211">
        <f t="shared" si="3"/>
        <v>0</v>
      </c>
      <c r="AB43" s="211">
        <f t="shared" si="3"/>
        <v>0</v>
      </c>
      <c r="AC43" s="211">
        <f t="shared" si="3"/>
        <v>0</v>
      </c>
      <c r="AD43" s="212">
        <f t="shared" si="3"/>
        <v>0</v>
      </c>
      <c r="AE43" s="212">
        <f t="shared" si="3"/>
        <v>0</v>
      </c>
      <c r="AF43" s="212">
        <f t="shared" si="3"/>
        <v>0</v>
      </c>
      <c r="AG43" s="212">
        <f t="shared" si="3"/>
        <v>0</v>
      </c>
      <c r="AH43" s="206"/>
      <c r="AI43" s="213"/>
      <c r="AJ43" s="214"/>
    </row>
    <row r="44" spans="1:36" ht="12.75" hidden="1" customHeight="1" outlineLevel="1">
      <c r="A44" s="9"/>
      <c r="B44" s="9"/>
      <c r="C44" s="9" t="str">
        <f>'Segment Analysis'!C12</f>
        <v>Segment 5 Revenue</v>
      </c>
      <c r="D44" s="9"/>
      <c r="E44" s="9"/>
      <c r="F44" s="199">
        <f>'Segment Analysis'!F12</f>
        <v>0</v>
      </c>
      <c r="G44" s="199">
        <f>'Segment Analysis'!G12</f>
        <v>0</v>
      </c>
      <c r="H44" s="199">
        <f>'Segment Analysis'!H12</f>
        <v>0</v>
      </c>
      <c r="I44" s="199">
        <f>'Segment Analysis'!I12</f>
        <v>0</v>
      </c>
      <c r="J44" s="200">
        <f>'Segment Analysis'!J12</f>
        <v>0</v>
      </c>
      <c r="K44" s="199">
        <f>'Segment Analysis'!K12</f>
        <v>0</v>
      </c>
      <c r="L44" s="199">
        <f>'Segment Analysis'!L12</f>
        <v>0</v>
      </c>
      <c r="M44" s="199">
        <f>'Segment Analysis'!M12</f>
        <v>0</v>
      </c>
      <c r="N44" s="199">
        <f>'Segment Analysis'!N12</f>
        <v>0</v>
      </c>
      <c r="O44" s="200">
        <f>'Segment Analysis'!O12</f>
        <v>0</v>
      </c>
      <c r="P44" s="199">
        <f>'Segment Analysis'!P12</f>
        <v>0</v>
      </c>
      <c r="Q44" s="199">
        <f>'Segment Analysis'!Q12</f>
        <v>0</v>
      </c>
      <c r="R44" s="199">
        <f>'Segment Analysis'!R12</f>
        <v>0</v>
      </c>
      <c r="S44" s="199">
        <f>'Segment Analysis'!S12</f>
        <v>0</v>
      </c>
      <c r="T44" s="200">
        <f>'Segment Analysis'!T12</f>
        <v>0</v>
      </c>
      <c r="U44" s="199">
        <f>'Segment Analysis'!U12</f>
        <v>0</v>
      </c>
      <c r="V44" s="201">
        <f>IF(Segment5_Rev_Methodology="Segment",V77,IF(Segment5_Rev_Methodology="Activity-Based",V139,IF(Segment5_Rev_Methodology="Backlog",V213,"--")))</f>
        <v>0</v>
      </c>
      <c r="W44" s="201">
        <f>IF(Segment5_Rev_Methodology="Segment",W77,IF(Segment5_Rev_Methodology="Activity-Based",W139,IF(Segment5_Rev_Methodology="Backlog",W213,"--")))</f>
        <v>0</v>
      </c>
      <c r="X44" s="201">
        <f>IF(Segment5_Rev_Methodology="Segment",X77,IF(Segment5_Rev_Methodology="Activity-Based",X139,IF(Segment5_Rev_Methodology="Backlog",X213,"--")))</f>
        <v>0</v>
      </c>
      <c r="Y44" s="202">
        <f>SUM(U44:X44)</f>
        <v>0</v>
      </c>
      <c r="Z44" s="201">
        <f>IF(Segment5_Rev_Methodology="Segment",Z77,IF(Segment5_Rev_Methodology="Activity-Based",Z139,IF(Segment5_Rev_Methodology="Backlog",Z213,"--")))</f>
        <v>0</v>
      </c>
      <c r="AA44" s="201">
        <f>IF(Segment5_Rev_Methodology="Segment",AA77,IF(Segment5_Rev_Methodology="Activity-Based",AA139,IF(Segment5_Rev_Methodology="Backlog",AA213,"--")))</f>
        <v>0</v>
      </c>
      <c r="AB44" s="201">
        <f>IF(Segment5_Rev_Methodology="Segment",AB77,IF(Segment5_Rev_Methodology="Activity-Based",AB139,IF(Segment5_Rev_Methodology="Backlog",AB213,"--")))</f>
        <v>0</v>
      </c>
      <c r="AC44" s="201">
        <f>IF(Segment5_Rev_Methodology="Segment",AC77,IF(Segment5_Rev_Methodology="Activity-Based",AC139,IF(Segment5_Rev_Methodology="Backlog",AC213,"--")))</f>
        <v>0</v>
      </c>
      <c r="AD44" s="202">
        <f>SUM(Z44:AC44)</f>
        <v>0</v>
      </c>
      <c r="AE44" s="202">
        <f>IF(Segment5_Rev_Methodology="Segment",AE77,IF(Segment5_Rev_Methodology="Activity-Based",AE139,IF(Segment5_Rev_Methodology="Backlog",AE213,"--")))</f>
        <v>0</v>
      </c>
      <c r="AF44" s="202">
        <f>IF(Segment5_Rev_Methodology="Segment",AF77,IF(Segment5_Rev_Methodology="Activity-Based",AF139,IF(Segment5_Rev_Methodology="Backlog",AF213,"--")))</f>
        <v>0</v>
      </c>
      <c r="AG44" s="202">
        <f>IF(Segment5_Rev_Methodology="Segment",AG77,IF(Segment5_Rev_Methodology="Activity-Based",AG139,IF(Segment5_Rev_Methodology="Backlog",AG213,"--")))</f>
        <v>0</v>
      </c>
      <c r="AH44" s="9"/>
      <c r="AI44" s="203" t="str">
        <f>IFERROR((T44/J44)^(1/3)-1,"--")</f>
        <v>--</v>
      </c>
      <c r="AJ44" s="204" t="str">
        <f>IFERROR((AG44/T44)^(1/5)-1,"--")</f>
        <v>--</v>
      </c>
    </row>
    <row r="45" spans="1:36" ht="12.75" hidden="1" customHeight="1" outlineLevel="1">
      <c r="A45" s="205"/>
      <c r="B45" s="206"/>
      <c r="C45" s="84" t="s">
        <v>243</v>
      </c>
      <c r="D45" s="206"/>
      <c r="E45" s="206"/>
      <c r="F45" s="208"/>
      <c r="G45" s="209" t="str">
        <f>IF($C$25="Annual",'Segment Analysis'!G167,'Segment Analysis'!G187)</f>
        <v>N/A</v>
      </c>
      <c r="H45" s="209" t="str">
        <f>IF($C$25="Annual",'Segment Analysis'!H167,'Segment Analysis'!H187)</f>
        <v>N/A</v>
      </c>
      <c r="I45" s="209" t="str">
        <f>IF($C$25="Annual",'Segment Analysis'!I167,'Segment Analysis'!I187)</f>
        <v>N/A</v>
      </c>
      <c r="J45" s="210"/>
      <c r="K45" s="209" t="str">
        <f>IF($C$25="Annual",'Segment Analysis'!K167,'Segment Analysis'!K187)</f>
        <v>N/A</v>
      </c>
      <c r="L45" s="209" t="str">
        <f>IF($C$25="Annual",'Segment Analysis'!L167,'Segment Analysis'!L187)</f>
        <v>N/A</v>
      </c>
      <c r="M45" s="209" t="str">
        <f>IF($C$25="Annual",'Segment Analysis'!M167,'Segment Analysis'!M187)</f>
        <v>N/A</v>
      </c>
      <c r="N45" s="209" t="str">
        <f>IF($C$25="Annual",'Segment Analysis'!N167,'Segment Analysis'!N187)</f>
        <v>N/A</v>
      </c>
      <c r="O45" s="210">
        <f>IF($C$25="Annual",'Segment Analysis'!O167,'Segment Analysis'!O187)</f>
        <v>0</v>
      </c>
      <c r="P45" s="209" t="str">
        <f>IF($C$25="Annual",'Segment Analysis'!P167,'Segment Analysis'!P187)</f>
        <v>N/A</v>
      </c>
      <c r="Q45" s="209" t="str">
        <f>IF($C$25="Annual",'Segment Analysis'!Q167,'Segment Analysis'!Q187)</f>
        <v>N/A</v>
      </c>
      <c r="R45" s="209" t="str">
        <f>IF($C$25="Annual",'Segment Analysis'!R167,'Segment Analysis'!R187)</f>
        <v>N/A</v>
      </c>
      <c r="S45" s="209" t="str">
        <f>IF($C$25="Annual",'Segment Analysis'!S167,'Segment Analysis'!S187)</f>
        <v>N/A</v>
      </c>
      <c r="T45" s="210">
        <f>IF($C$25="Annual",'Segment Analysis'!T167,'Segment Analysis'!T187)</f>
        <v>0</v>
      </c>
      <c r="U45" s="209" t="str">
        <f>IF($C$25="Annual",'Segment Analysis'!U167,'Segment Analysis'!U187)</f>
        <v>N/A</v>
      </c>
      <c r="V45" s="211" t="str">
        <f>IFERROR(V44/U44-1,"--")</f>
        <v>--</v>
      </c>
      <c r="W45" s="211" t="str">
        <f>IFERROR(W44/V44-1,"--")</f>
        <v>--</v>
      </c>
      <c r="X45" s="211" t="str">
        <f>IFERROR(X44/W44-1,"--")</f>
        <v>--</v>
      </c>
      <c r="Y45" s="212" t="str">
        <f>IFERROR(Y44/T44-1,"--")</f>
        <v>--</v>
      </c>
      <c r="Z45" s="211" t="str">
        <f>IFERROR(Z44/X44-1,"--")</f>
        <v>--</v>
      </c>
      <c r="AA45" s="211" t="str">
        <f>IFERROR(AA44/Z44-1,"--")</f>
        <v>--</v>
      </c>
      <c r="AB45" s="211" t="str">
        <f>IFERROR(AB44/AA44-1,"--")</f>
        <v>--</v>
      </c>
      <c r="AC45" s="211" t="str">
        <f>IFERROR(AC44/AB44-1,"--")</f>
        <v>--</v>
      </c>
      <c r="AD45" s="212" t="str">
        <f>IFERROR(AD44/Y44-1,"--")</f>
        <v>--</v>
      </c>
      <c r="AE45" s="212" t="str">
        <f>IFERROR(AE44/AD44-1,"--")</f>
        <v>--</v>
      </c>
      <c r="AF45" s="212" t="str">
        <f>IFERROR(AF44/AE44-1,"--")</f>
        <v>--</v>
      </c>
      <c r="AG45" s="212" t="str">
        <f>IFERROR(AG44/AF44-1,"--")</f>
        <v>--</v>
      </c>
      <c r="AH45" s="206"/>
      <c r="AI45" s="213"/>
      <c r="AJ45" s="214"/>
    </row>
    <row r="46" spans="1:36" ht="12.75" hidden="1" customHeight="1" outlineLevel="1">
      <c r="A46" s="205"/>
      <c r="B46" s="206"/>
      <c r="C46" s="84" t="s">
        <v>242</v>
      </c>
      <c r="D46" s="206"/>
      <c r="E46" s="206"/>
      <c r="F46" s="209">
        <f>'Segment Analysis'!F20</f>
        <v>0</v>
      </c>
      <c r="G46" s="209">
        <f>'Segment Analysis'!G20</f>
        <v>0</v>
      </c>
      <c r="H46" s="209">
        <f>'Segment Analysis'!H20</f>
        <v>0</v>
      </c>
      <c r="I46" s="209">
        <f>'Segment Analysis'!I20</f>
        <v>0</v>
      </c>
      <c r="J46" s="210">
        <f>'Segment Analysis'!J20</f>
        <v>0</v>
      </c>
      <c r="K46" s="209">
        <f>'Segment Analysis'!K20</f>
        <v>0</v>
      </c>
      <c r="L46" s="209">
        <f>'Segment Analysis'!L20</f>
        <v>0</v>
      </c>
      <c r="M46" s="209">
        <f>'Segment Analysis'!M20</f>
        <v>0</v>
      </c>
      <c r="N46" s="209">
        <f>'Segment Analysis'!N20</f>
        <v>0</v>
      </c>
      <c r="O46" s="210">
        <f>'Segment Analysis'!O20</f>
        <v>0</v>
      </c>
      <c r="P46" s="209">
        <f>'Segment Analysis'!P20</f>
        <v>0</v>
      </c>
      <c r="Q46" s="209">
        <f>'Segment Analysis'!Q20</f>
        <v>0</v>
      </c>
      <c r="R46" s="209">
        <f>'Segment Analysis'!R20</f>
        <v>0</v>
      </c>
      <c r="S46" s="209">
        <f>'Segment Analysis'!S20</f>
        <v>0</v>
      </c>
      <c r="T46" s="210">
        <f>'Segment Analysis'!T20</f>
        <v>0</v>
      </c>
      <c r="U46" s="209">
        <f>'Segment Analysis'!U20</f>
        <v>0</v>
      </c>
      <c r="V46" s="211">
        <f>V44/V$30</f>
        <v>0</v>
      </c>
      <c r="W46" s="211">
        <f>W44/W$30</f>
        <v>0</v>
      </c>
      <c r="X46" s="211">
        <f t="shared" ref="X46:AG46" si="4">X44/X$30</f>
        <v>0</v>
      </c>
      <c r="Y46" s="212">
        <f t="shared" si="4"/>
        <v>0</v>
      </c>
      <c r="Z46" s="211">
        <f t="shared" si="4"/>
        <v>0</v>
      </c>
      <c r="AA46" s="211">
        <f t="shared" si="4"/>
        <v>0</v>
      </c>
      <c r="AB46" s="211">
        <f t="shared" si="4"/>
        <v>0</v>
      </c>
      <c r="AC46" s="211">
        <f t="shared" si="4"/>
        <v>0</v>
      </c>
      <c r="AD46" s="212">
        <f t="shared" si="4"/>
        <v>0</v>
      </c>
      <c r="AE46" s="212">
        <f t="shared" si="4"/>
        <v>0</v>
      </c>
      <c r="AF46" s="212">
        <f t="shared" si="4"/>
        <v>0</v>
      </c>
      <c r="AG46" s="212">
        <f t="shared" si="4"/>
        <v>0</v>
      </c>
      <c r="AH46" s="206"/>
      <c r="AI46" s="213"/>
      <c r="AJ46" s="214"/>
    </row>
    <row r="47" spans="1:36" ht="12.75" hidden="1" customHeight="1" outlineLevel="1">
      <c r="A47" s="9"/>
      <c r="B47" s="9"/>
      <c r="C47" s="9" t="str">
        <f>'Segment Analysis'!C13</f>
        <v>Segment 6 Revenue</v>
      </c>
      <c r="D47" s="9"/>
      <c r="E47" s="9"/>
      <c r="F47" s="199">
        <f>'Segment Analysis'!F13</f>
        <v>0</v>
      </c>
      <c r="G47" s="199">
        <f>'Segment Analysis'!G13</f>
        <v>0</v>
      </c>
      <c r="H47" s="199">
        <f>'Segment Analysis'!H13</f>
        <v>0</v>
      </c>
      <c r="I47" s="199">
        <f>'Segment Analysis'!I13</f>
        <v>0</v>
      </c>
      <c r="J47" s="200">
        <f>'Segment Analysis'!J13</f>
        <v>0</v>
      </c>
      <c r="K47" s="199">
        <f>'Segment Analysis'!K13</f>
        <v>0</v>
      </c>
      <c r="L47" s="199">
        <f>'Segment Analysis'!L13</f>
        <v>0</v>
      </c>
      <c r="M47" s="199">
        <f>'Segment Analysis'!M13</f>
        <v>0</v>
      </c>
      <c r="N47" s="199">
        <f>'Segment Analysis'!N13</f>
        <v>0</v>
      </c>
      <c r="O47" s="200">
        <f>'Segment Analysis'!O13</f>
        <v>0</v>
      </c>
      <c r="P47" s="199">
        <f>'Segment Analysis'!P13</f>
        <v>0</v>
      </c>
      <c r="Q47" s="199">
        <f>'Segment Analysis'!Q13</f>
        <v>0</v>
      </c>
      <c r="R47" s="199">
        <f>'Segment Analysis'!R13</f>
        <v>0</v>
      </c>
      <c r="S47" s="199">
        <f>'Segment Analysis'!S13</f>
        <v>0</v>
      </c>
      <c r="T47" s="200">
        <f>'Segment Analysis'!T13</f>
        <v>0</v>
      </c>
      <c r="U47" s="199">
        <f>'Segment Analysis'!U13</f>
        <v>0</v>
      </c>
      <c r="V47" s="201">
        <f>IF(Segment6_Rev_Methodology="Segment",V83,IF(Segment6_Rev_Methodology="Activity-Based",V151,IF(Segment6_Rev_Methodology="Backlog",V225,"--")))</f>
        <v>0</v>
      </c>
      <c r="W47" s="201">
        <f>IF(Segment6_Rev_Methodology="Segment",W83,IF(Segment6_Rev_Methodology="Activity-Based",W151,IF(Segment6_Rev_Methodology="Backlog",W225,"--")))</f>
        <v>0</v>
      </c>
      <c r="X47" s="201">
        <f>IF(Segment6_Rev_Methodology="Segment",X83,IF(Segment6_Rev_Methodology="Activity-Based",X151,IF(Segment6_Rev_Methodology="Backlog",X225,"--")))</f>
        <v>0</v>
      </c>
      <c r="Y47" s="202">
        <f>SUM(U47:X47)</f>
        <v>0</v>
      </c>
      <c r="Z47" s="201">
        <f>IF(Segment6_Rev_Methodology="Segment",Z83,IF(Segment6_Rev_Methodology="Activity-Based",Z151,IF(Segment6_Rev_Methodology="Backlog",Z225,"--")))</f>
        <v>0</v>
      </c>
      <c r="AA47" s="201">
        <f>IF(Segment6_Rev_Methodology="Segment",AA83,IF(Segment6_Rev_Methodology="Activity-Based",AA151,IF(Segment6_Rev_Methodology="Backlog",AA225,"--")))</f>
        <v>0</v>
      </c>
      <c r="AB47" s="201">
        <f>IF(Segment6_Rev_Methodology="Segment",AB83,IF(Segment6_Rev_Methodology="Activity-Based",AB151,IF(Segment6_Rev_Methodology="Backlog",AB225,"--")))</f>
        <v>0</v>
      </c>
      <c r="AC47" s="201">
        <f>IF(Segment6_Rev_Methodology="Segment",AC83,IF(Segment6_Rev_Methodology="Activity-Based",AC151,IF(Segment6_Rev_Methodology="Backlog",AC225,"--")))</f>
        <v>0</v>
      </c>
      <c r="AD47" s="202">
        <f>SUM(Z47:AC47)</f>
        <v>0</v>
      </c>
      <c r="AE47" s="202">
        <f>IF(Segment6_Rev_Methodology="Segment",AE83,IF(Segment6_Rev_Methodology="Activity-Based",AE151,IF(Segment6_Rev_Methodology="Backlog",AE225,"--")))</f>
        <v>0</v>
      </c>
      <c r="AF47" s="202">
        <f>IF(Segment6_Rev_Methodology="Segment",AF83,IF(Segment6_Rev_Methodology="Activity-Based",AF151,IF(Segment6_Rev_Methodology="Backlog",AF225,"--")))</f>
        <v>0</v>
      </c>
      <c r="AG47" s="202">
        <f>IF(Segment6_Rev_Methodology="Segment",AG83,IF(Segment6_Rev_Methodology="Activity-Based",AG151,IF(Segment6_Rev_Methodology="Backlog",AG225,"--")))</f>
        <v>0</v>
      </c>
      <c r="AH47" s="9"/>
      <c r="AI47" s="203" t="str">
        <f>IFERROR((T47/J47)^(1/3)-1,"--")</f>
        <v>--</v>
      </c>
      <c r="AJ47" s="204" t="str">
        <f>IFERROR((AG47/T47)^(1/5)-1,"--")</f>
        <v>--</v>
      </c>
    </row>
    <row r="48" spans="1:36" ht="12.75" hidden="1" customHeight="1" outlineLevel="1">
      <c r="A48" s="215"/>
      <c r="B48" s="216"/>
      <c r="C48" s="84" t="s">
        <v>243</v>
      </c>
      <c r="D48" s="216"/>
      <c r="E48" s="216"/>
      <c r="F48" s="217"/>
      <c r="G48" s="209" t="str">
        <f>IF($C$25="Annual",'Segment Analysis'!G188,'Segment Analysis'!G188)</f>
        <v>N/A</v>
      </c>
      <c r="H48" s="209" t="str">
        <f>IF($C$25="Annual",'Segment Analysis'!H188,'Segment Analysis'!H188)</f>
        <v>N/A</v>
      </c>
      <c r="I48" s="209" t="str">
        <f>IF($C$25="Annual",'Segment Analysis'!I188,'Segment Analysis'!I188)</f>
        <v>N/A</v>
      </c>
      <c r="J48" s="210"/>
      <c r="K48" s="209" t="str">
        <f>IF($C$25="Annual",'Segment Analysis'!K188,'Segment Analysis'!K188)</f>
        <v>N/A</v>
      </c>
      <c r="L48" s="209" t="str">
        <f>IF($C$25="Annual",'Segment Analysis'!L188,'Segment Analysis'!L188)</f>
        <v>N/A</v>
      </c>
      <c r="M48" s="209" t="str">
        <f>IF($C$25="Annual",'Segment Analysis'!M188,'Segment Analysis'!M188)</f>
        <v>N/A</v>
      </c>
      <c r="N48" s="209" t="str">
        <f>IF($C$25="Annual",'Segment Analysis'!N188,'Segment Analysis'!N188)</f>
        <v>N/A</v>
      </c>
      <c r="O48" s="210">
        <f>IF($C$25="Annual",'Segment Analysis'!O188,'Segment Analysis'!O188)</f>
        <v>0</v>
      </c>
      <c r="P48" s="209" t="str">
        <f>IF($C$25="Annual",'Segment Analysis'!P188,'Segment Analysis'!P188)</f>
        <v>N/A</v>
      </c>
      <c r="Q48" s="209" t="str">
        <f>IF($C$25="Annual",'Segment Analysis'!Q188,'Segment Analysis'!Q188)</f>
        <v>N/A</v>
      </c>
      <c r="R48" s="209" t="str">
        <f>IF($C$25="Annual",'Segment Analysis'!R188,'Segment Analysis'!R188)</f>
        <v>N/A</v>
      </c>
      <c r="S48" s="209" t="str">
        <f>IF($C$25="Annual",'Segment Analysis'!S188,'Segment Analysis'!S188)</f>
        <v>N/A</v>
      </c>
      <c r="T48" s="210">
        <f>IF($C$25="Annual",'Segment Analysis'!T188,'Segment Analysis'!T188)</f>
        <v>0</v>
      </c>
      <c r="U48" s="209" t="str">
        <f>IF($C$25="Annual",'Segment Analysis'!U188,'Segment Analysis'!U188)</f>
        <v>N/A</v>
      </c>
      <c r="V48" s="218" t="str">
        <f>IFERROR(V47/U47-1,"--")</f>
        <v>--</v>
      </c>
      <c r="W48" s="218" t="str">
        <f>IFERROR(W47/V47-1,"--")</f>
        <v>--</v>
      </c>
      <c r="X48" s="218" t="str">
        <f>IFERROR(X47/W47-1,"--")</f>
        <v>--</v>
      </c>
      <c r="Y48" s="219" t="str">
        <f>IFERROR(Y47/T47-1,"--")</f>
        <v>--</v>
      </c>
      <c r="Z48" s="218" t="str">
        <f>IFERROR(Z47/X47-1,"--")</f>
        <v>--</v>
      </c>
      <c r="AA48" s="218" t="str">
        <f>IFERROR(AA47/Z47-1,"--")</f>
        <v>--</v>
      </c>
      <c r="AB48" s="218" t="str">
        <f>IFERROR(AB47/AA47-1,"--")</f>
        <v>--</v>
      </c>
      <c r="AC48" s="218" t="str">
        <f>IFERROR(AC47/AB47-1,"--")</f>
        <v>--</v>
      </c>
      <c r="AD48" s="219" t="str">
        <f>IFERROR(AD47/Y47-1,"--")</f>
        <v>--</v>
      </c>
      <c r="AE48" s="219" t="str">
        <f>IFERROR(AE47/AD47-1,"--")</f>
        <v>--</v>
      </c>
      <c r="AF48" s="219" t="str">
        <f>IFERROR(AF47/AE47-1,"--")</f>
        <v>--</v>
      </c>
      <c r="AG48" s="219" t="str">
        <f>IFERROR(AG47/AF47-1,"--")</f>
        <v>--</v>
      </c>
      <c r="AH48" s="216"/>
      <c r="AI48" s="220"/>
      <c r="AJ48" s="221"/>
    </row>
    <row r="49" spans="1:36" ht="12.75" hidden="1" customHeight="1" outlineLevel="1">
      <c r="A49" s="215"/>
      <c r="B49" s="216"/>
      <c r="C49" s="84" t="s">
        <v>242</v>
      </c>
      <c r="D49" s="216"/>
      <c r="E49" s="216"/>
      <c r="F49" s="222">
        <f>'Segment Analysis'!F21</f>
        <v>0</v>
      </c>
      <c r="G49" s="222">
        <f>'Segment Analysis'!G21</f>
        <v>0</v>
      </c>
      <c r="H49" s="222">
        <f>'Segment Analysis'!H21</f>
        <v>0</v>
      </c>
      <c r="I49" s="222">
        <f>'Segment Analysis'!I21</f>
        <v>0</v>
      </c>
      <c r="J49" s="223">
        <f>'Segment Analysis'!J21</f>
        <v>0</v>
      </c>
      <c r="K49" s="222">
        <f>'Segment Analysis'!K21</f>
        <v>0</v>
      </c>
      <c r="L49" s="222">
        <f>'Segment Analysis'!L21</f>
        <v>0</v>
      </c>
      <c r="M49" s="222">
        <f>'Segment Analysis'!M21</f>
        <v>0</v>
      </c>
      <c r="N49" s="222">
        <f>'Segment Analysis'!N21</f>
        <v>0</v>
      </c>
      <c r="O49" s="223">
        <f>'Segment Analysis'!O21</f>
        <v>0</v>
      </c>
      <c r="P49" s="222">
        <f>'Segment Analysis'!P21</f>
        <v>0</v>
      </c>
      <c r="Q49" s="222">
        <f>'Segment Analysis'!Q21</f>
        <v>0</v>
      </c>
      <c r="R49" s="222">
        <f>'Segment Analysis'!R21</f>
        <v>0</v>
      </c>
      <c r="S49" s="222">
        <f>'Segment Analysis'!S21</f>
        <v>0</v>
      </c>
      <c r="T49" s="223">
        <f>'Segment Analysis'!T21</f>
        <v>0</v>
      </c>
      <c r="U49" s="222">
        <f>'Segment Analysis'!U21</f>
        <v>0</v>
      </c>
      <c r="V49" s="218">
        <f>V47/V$30</f>
        <v>0</v>
      </c>
      <c r="W49" s="218">
        <f>W47/W$30</f>
        <v>0</v>
      </c>
      <c r="X49" s="218">
        <f t="shared" ref="X49:AG49" si="5">X47/X$30</f>
        <v>0</v>
      </c>
      <c r="Y49" s="219">
        <f t="shared" si="5"/>
        <v>0</v>
      </c>
      <c r="Z49" s="218">
        <f t="shared" si="5"/>
        <v>0</v>
      </c>
      <c r="AA49" s="218">
        <f t="shared" si="5"/>
        <v>0</v>
      </c>
      <c r="AB49" s="218">
        <f t="shared" si="5"/>
        <v>0</v>
      </c>
      <c r="AC49" s="218">
        <f t="shared" si="5"/>
        <v>0</v>
      </c>
      <c r="AD49" s="219">
        <f t="shared" si="5"/>
        <v>0</v>
      </c>
      <c r="AE49" s="219">
        <f t="shared" si="5"/>
        <v>0</v>
      </c>
      <c r="AF49" s="219">
        <f t="shared" si="5"/>
        <v>0</v>
      </c>
      <c r="AG49" s="219">
        <f t="shared" si="5"/>
        <v>0</v>
      </c>
      <c r="AH49" s="216"/>
      <c r="AI49" s="224"/>
      <c r="AJ49" s="225"/>
    </row>
    <row r="50" spans="1:36" ht="12.75" customHeight="1" collapsed="1">
      <c r="A50" s="9"/>
      <c r="B50" s="9"/>
      <c r="C50" s="9"/>
      <c r="D50" s="9"/>
      <c r="E50" s="9"/>
      <c r="F50" s="194"/>
      <c r="G50" s="194"/>
      <c r="H50" s="194"/>
      <c r="I50" s="194"/>
      <c r="J50" s="195"/>
      <c r="K50" s="194"/>
      <c r="L50" s="194"/>
      <c r="M50" s="194"/>
      <c r="N50" s="194"/>
      <c r="O50" s="195"/>
      <c r="P50" s="194"/>
      <c r="Q50" s="194"/>
      <c r="R50" s="194"/>
      <c r="S50" s="194"/>
      <c r="T50" s="195"/>
      <c r="U50" s="194"/>
      <c r="V50" s="196"/>
      <c r="W50" s="196"/>
      <c r="X50" s="196"/>
      <c r="Y50" s="197"/>
      <c r="Z50" s="196"/>
      <c r="AA50" s="196"/>
      <c r="AB50" s="196"/>
      <c r="AC50" s="196"/>
      <c r="AD50" s="197"/>
      <c r="AE50" s="197"/>
      <c r="AF50" s="197"/>
      <c r="AG50" s="197"/>
      <c r="AH50" s="9"/>
      <c r="AI50" s="9"/>
      <c r="AJ50" s="9"/>
    </row>
    <row r="51" spans="1:36" ht="12.75" customHeight="1">
      <c r="A51" s="180" t="s">
        <v>0</v>
      </c>
      <c r="B51" s="9"/>
      <c r="C51" s="50" t="s">
        <v>244</v>
      </c>
      <c r="D51" s="12"/>
      <c r="E51" s="12"/>
      <c r="F51" s="226" t="str">
        <f t="shared" ref="F51:AG51" si="6">F$28</f>
        <v>1Q23</v>
      </c>
      <c r="G51" s="226" t="str">
        <f t="shared" si="6"/>
        <v>2Q23</v>
      </c>
      <c r="H51" s="226" t="str">
        <f t="shared" si="6"/>
        <v>3Q23</v>
      </c>
      <c r="I51" s="226" t="str">
        <f t="shared" si="6"/>
        <v>4Q23</v>
      </c>
      <c r="J51" s="226">
        <f t="shared" si="6"/>
        <v>2023</v>
      </c>
      <c r="K51" s="226" t="str">
        <f t="shared" si="6"/>
        <v>1Q24</v>
      </c>
      <c r="L51" s="226" t="str">
        <f t="shared" si="6"/>
        <v>2Q24</v>
      </c>
      <c r="M51" s="226" t="str">
        <f t="shared" si="6"/>
        <v>3Q24</v>
      </c>
      <c r="N51" s="226" t="str">
        <f t="shared" si="6"/>
        <v>4Q24</v>
      </c>
      <c r="O51" s="226">
        <f t="shared" si="6"/>
        <v>2024</v>
      </c>
      <c r="P51" s="226" t="str">
        <f t="shared" si="6"/>
        <v>1Q25</v>
      </c>
      <c r="Q51" s="226" t="str">
        <f t="shared" si="6"/>
        <v>2Q25</v>
      </c>
      <c r="R51" s="226" t="str">
        <f t="shared" si="6"/>
        <v>3Q25</v>
      </c>
      <c r="S51" s="226" t="str">
        <f t="shared" si="6"/>
        <v>4Q25</v>
      </c>
      <c r="T51" s="226">
        <f t="shared" si="6"/>
        <v>2025</v>
      </c>
      <c r="U51" s="226" t="str">
        <f t="shared" si="6"/>
        <v>1Q26</v>
      </c>
      <c r="V51" s="226" t="str">
        <f t="shared" si="6"/>
        <v>2Q26e</v>
      </c>
      <c r="W51" s="226" t="str">
        <f t="shared" si="6"/>
        <v>3Q26e</v>
      </c>
      <c r="X51" s="226" t="str">
        <f t="shared" si="6"/>
        <v>4Q26e</v>
      </c>
      <c r="Y51" s="226" t="str">
        <f t="shared" si="6"/>
        <v>2026e</v>
      </c>
      <c r="Z51" s="226" t="str">
        <f t="shared" si="6"/>
        <v>1Q27e</v>
      </c>
      <c r="AA51" s="226" t="str">
        <f t="shared" si="6"/>
        <v>2Q27e</v>
      </c>
      <c r="AB51" s="226" t="str">
        <f t="shared" si="6"/>
        <v>3Q27e</v>
      </c>
      <c r="AC51" s="226" t="str">
        <f t="shared" si="6"/>
        <v>4Q27e</v>
      </c>
      <c r="AD51" s="226" t="str">
        <f t="shared" si="6"/>
        <v>2027e</v>
      </c>
      <c r="AE51" s="226" t="str">
        <f t="shared" si="6"/>
        <v>2028e</v>
      </c>
      <c r="AF51" s="226" t="str">
        <f t="shared" si="6"/>
        <v>2029e</v>
      </c>
      <c r="AG51" s="227" t="str">
        <f t="shared" si="6"/>
        <v>2030e</v>
      </c>
      <c r="AH51" s="192" t="s">
        <v>0</v>
      </c>
      <c r="AI51" s="9"/>
      <c r="AJ51" s="9"/>
    </row>
    <row r="52" spans="1:36" ht="12.75" customHeight="1">
      <c r="A52" s="9"/>
      <c r="B52" s="9"/>
      <c r="C52" s="9"/>
      <c r="D52" s="9"/>
      <c r="E52" s="9"/>
      <c r="F52" s="228"/>
      <c r="G52" s="228"/>
      <c r="H52" s="228"/>
      <c r="I52" s="228"/>
      <c r="J52" s="9"/>
      <c r="K52" s="228"/>
      <c r="L52" s="228"/>
      <c r="M52" s="228"/>
      <c r="N52" s="228"/>
      <c r="O52" s="9"/>
      <c r="P52" s="228"/>
      <c r="Q52" s="228"/>
      <c r="R52" s="228"/>
      <c r="S52" s="228"/>
      <c r="T52" s="9"/>
      <c r="U52" s="228"/>
      <c r="V52" s="229"/>
      <c r="W52" s="229"/>
      <c r="X52" s="229"/>
      <c r="Y52" s="9"/>
      <c r="Z52" s="229"/>
      <c r="AA52" s="229"/>
      <c r="AB52" s="229"/>
      <c r="AC52" s="229"/>
      <c r="AD52" s="9"/>
      <c r="AE52" s="9"/>
      <c r="AF52" s="9"/>
      <c r="AG52" s="9"/>
      <c r="AH52" s="9"/>
      <c r="AI52" s="9"/>
      <c r="AJ52" s="9"/>
    </row>
    <row r="53" spans="1:36" ht="12.75" customHeight="1">
      <c r="A53" s="9"/>
      <c r="B53" s="9"/>
      <c r="C53" s="103" t="str">
        <f>C32</f>
        <v>Management &amp; Advisory Fees</v>
      </c>
      <c r="D53" s="9"/>
      <c r="E53" s="9"/>
      <c r="F53" s="230">
        <f t="shared" ref="F53:U53" si="7">F32</f>
        <v>85.945999999999998</v>
      </c>
      <c r="G53" s="230">
        <f t="shared" si="7"/>
        <v>92.88</v>
      </c>
      <c r="H53" s="230">
        <f t="shared" si="7"/>
        <v>97.35499999999999</v>
      </c>
      <c r="I53" s="230">
        <f t="shared" si="7"/>
        <v>95.691999999999993</v>
      </c>
      <c r="J53" s="202">
        <f t="shared" si="7"/>
        <v>371.87299999999999</v>
      </c>
      <c r="K53" s="230">
        <f t="shared" si="7"/>
        <v>105.407</v>
      </c>
      <c r="L53" s="230">
        <f t="shared" si="7"/>
        <v>109.184</v>
      </c>
      <c r="M53" s="230">
        <f t="shared" si="7"/>
        <v>113.64100000000001</v>
      </c>
      <c r="N53" s="230">
        <f t="shared" si="7"/>
        <v>123.70399999999999</v>
      </c>
      <c r="O53" s="202">
        <f t="shared" si="7"/>
        <v>451.93600000000004</v>
      </c>
      <c r="P53" s="230">
        <f t="shared" si="7"/>
        <v>139.96199999999999</v>
      </c>
      <c r="Q53" s="230">
        <f t="shared" si="7"/>
        <v>119.78299999999999</v>
      </c>
      <c r="R53" s="230">
        <f t="shared" si="7"/>
        <v>126.282</v>
      </c>
      <c r="S53" s="230">
        <f t="shared" si="7"/>
        <v>127.83800000000001</v>
      </c>
      <c r="T53" s="202">
        <f t="shared" si="7"/>
        <v>513.86500000000001</v>
      </c>
      <c r="U53" s="230">
        <f t="shared" si="7"/>
        <v>133.696</v>
      </c>
      <c r="V53" s="201">
        <f>IF($C$25="Quarterly",U53*(1+V54),Q53*(1+V54))</f>
        <v>140.38079999999999</v>
      </c>
      <c r="W53" s="201">
        <f>IF($C$25="Quarterly",V53*(1+W54),R53*(1+W54))</f>
        <v>149.50555199999999</v>
      </c>
      <c r="X53" s="201">
        <f>IF($C$25="Quarterly",W53*(1+X54),S53*(1+X54))</f>
        <v>162.21352392</v>
      </c>
      <c r="Y53" s="202">
        <f>SUM(U53:X53)</f>
        <v>585.79587592000007</v>
      </c>
      <c r="Z53" s="201">
        <f>IF($C$25="Quarterly",X53*(1+Z54),U53*(1+Z54))</f>
        <v>171.94633535520001</v>
      </c>
      <c r="AA53" s="201">
        <f>IF($C$25="Quarterly",Z53*(1+AA54),V53*(1+AA54))</f>
        <v>182.26311547651201</v>
      </c>
      <c r="AB53" s="201">
        <f>IF($C$25="Quarterly",AA53*(1+AB54),W53*(1+AB54))</f>
        <v>190.46495567295503</v>
      </c>
      <c r="AC53" s="201">
        <f>IF($C$25="Quarterly",AB53*(1+AC54),X53*(1+AC54))</f>
        <v>199.03587867823799</v>
      </c>
      <c r="AD53" s="202">
        <f>SUM(Z53:AC53)</f>
        <v>743.71028518290507</v>
      </c>
      <c r="AE53" s="202">
        <f>AD53*(1+AE54)</f>
        <v>795.77000514570852</v>
      </c>
      <c r="AF53" s="202">
        <f>AE53*(1+AF54)</f>
        <v>839.53735542872244</v>
      </c>
      <c r="AG53" s="202">
        <f>AF53*(1+AG54)</f>
        <v>898.304970308733</v>
      </c>
      <c r="AH53" s="9"/>
      <c r="AI53" s="9"/>
      <c r="AJ53" s="9"/>
    </row>
    <row r="54" spans="1:36" ht="12.75" customHeight="1">
      <c r="A54" s="216"/>
      <c r="B54" s="216"/>
      <c r="C54" s="84" t="str">
        <f>IF($C$25="Quarterly","% Growth QoQ","% Growth YoY")</f>
        <v>% Growth QoQ</v>
      </c>
      <c r="D54" s="216"/>
      <c r="E54" s="216"/>
      <c r="F54" s="231"/>
      <c r="G54" s="231">
        <f t="shared" ref="G54:U54" si="8">G33</f>
        <v>8.0678565610964981E-2</v>
      </c>
      <c r="H54" s="231">
        <f t="shared" si="8"/>
        <v>4.8180447889750067E-2</v>
      </c>
      <c r="I54" s="231">
        <f t="shared" si="8"/>
        <v>-1.7081813979764715E-2</v>
      </c>
      <c r="J54" s="219">
        <f t="shared" si="8"/>
        <v>0</v>
      </c>
      <c r="K54" s="231">
        <f t="shared" si="8"/>
        <v>0.10152363833967315</v>
      </c>
      <c r="L54" s="231">
        <f t="shared" si="8"/>
        <v>3.5832534841139685E-2</v>
      </c>
      <c r="M54" s="231">
        <f t="shared" si="8"/>
        <v>4.0820999413833547E-2</v>
      </c>
      <c r="N54" s="231">
        <f t="shared" si="8"/>
        <v>8.8550787127885E-2</v>
      </c>
      <c r="O54" s="219">
        <f t="shared" si="8"/>
        <v>0.2152966200826627</v>
      </c>
      <c r="P54" s="231">
        <f t="shared" si="8"/>
        <v>0.131426631313458</v>
      </c>
      <c r="Q54" s="231">
        <f t="shared" si="8"/>
        <v>-0.14417484745859588</v>
      </c>
      <c r="R54" s="231">
        <f t="shared" si="8"/>
        <v>5.4256447075127667E-2</v>
      </c>
      <c r="S54" s="231">
        <f t="shared" si="8"/>
        <v>1.2321629369189679E-2</v>
      </c>
      <c r="T54" s="219">
        <f t="shared" si="8"/>
        <v>0.13703046449054734</v>
      </c>
      <c r="U54" s="231">
        <f t="shared" si="8"/>
        <v>4.5823620519720221E-2</v>
      </c>
      <c r="V54" s="218">
        <f>IF(Case_Scenario="Bull",V55,IF(Case_Scenario="Base",V56,IF(Case_Scenario="bear",V57,"N/A")))</f>
        <v>0.05</v>
      </c>
      <c r="W54" s="218">
        <f>IF(Case_Scenario="Bull",W55,IF(Case_Scenario="Base",W56,IF(Case_Scenario="bear",W57,"N/A")))</f>
        <v>6.5000000000000002E-2</v>
      </c>
      <c r="X54" s="218">
        <f>IF(Case_Scenario="Bull",X55,IF(Case_Scenario="Base",X56,IF(Case_Scenario="bear",X57,"N/A")))</f>
        <v>8.5000000000000006E-2</v>
      </c>
      <c r="Y54" s="219">
        <f t="shared" ref="Y54" si="9">Y33</f>
        <v>0.1399801035680579</v>
      </c>
      <c r="Z54" s="218">
        <f>IF(Case_Scenario="Bull",Z55,IF(Case_Scenario="Base",Z56,IF(Case_Scenario="bear",Z57,"N/A")))</f>
        <v>0.06</v>
      </c>
      <c r="AA54" s="218">
        <f>IF(Case_Scenario="Bull",AA55,IF(Case_Scenario="Base",AA56,IF(Case_Scenario="bear",AA57,"N/A")))</f>
        <v>0.06</v>
      </c>
      <c r="AB54" s="218">
        <f>IF(Case_Scenario="Bull",AB55,IF(Case_Scenario="Base",AB56,IF(Case_Scenario="bear",AB57,"N/A")))</f>
        <v>4.4999999999999998E-2</v>
      </c>
      <c r="AC54" s="218">
        <f>IF(Case_Scenario="Bull",AC55,IF(Case_Scenario="Base",AC56,IF(Case_Scenario="bear",AC57,"N/A")))</f>
        <v>4.4999999999999998E-2</v>
      </c>
      <c r="AD54" s="219">
        <f t="shared" ref="AD54" si="10">AD33</f>
        <v>0.26957241550206956</v>
      </c>
      <c r="AE54" s="219">
        <f>IF(Case_Scenario="Bull",AE55,IF(Case_Scenario="Base",AE56,IF(Case_Scenario="bear",AE57,"N/A")))</f>
        <v>7.0000000000000007E-2</v>
      </c>
      <c r="AF54" s="219">
        <f>IF(Case_Scenario="Bull",AF55,IF(Case_Scenario="Base",AF56,IF(Case_Scenario="bear",AF57,"N/A")))</f>
        <v>5.5E-2</v>
      </c>
      <c r="AG54" s="219">
        <f>IF(Case_Scenario="Bull",AG55,IF(Case_Scenario="Base",AG56,IF(Case_Scenario="bear",AG57,"N/A")))</f>
        <v>7.0000000000000007E-2</v>
      </c>
      <c r="AH54" s="216"/>
      <c r="AI54" s="216"/>
      <c r="AJ54" s="216"/>
    </row>
    <row r="55" spans="1:36" ht="12.75" customHeight="1">
      <c r="A55" s="9"/>
      <c r="B55" s="9"/>
      <c r="C55" s="103" t="s">
        <v>245</v>
      </c>
      <c r="D55" s="9"/>
      <c r="E55" s="9"/>
      <c r="F55" s="232"/>
      <c r="G55" s="232"/>
      <c r="H55" s="232"/>
      <c r="I55" s="232"/>
      <c r="J55" s="132"/>
      <c r="K55" s="232"/>
      <c r="L55" s="232"/>
      <c r="M55" s="232"/>
      <c r="N55" s="232"/>
      <c r="O55" s="132"/>
      <c r="P55" s="232"/>
      <c r="Q55" s="232"/>
      <c r="R55" s="232"/>
      <c r="S55" s="232"/>
      <c r="T55" s="132"/>
      <c r="U55" s="232"/>
      <c r="V55" s="233">
        <f>V56+0.02</f>
        <v>7.0000000000000007E-2</v>
      </c>
      <c r="W55" s="233">
        <f>W56+0.015</f>
        <v>0.08</v>
      </c>
      <c r="X55" s="233">
        <f>X56+0.01</f>
        <v>9.5000000000000001E-2</v>
      </c>
      <c r="Y55" s="234"/>
      <c r="Z55" s="233">
        <f>Z56+0.01</f>
        <v>6.9999999999999993E-2</v>
      </c>
      <c r="AA55" s="233">
        <f>AA56+0.01</f>
        <v>6.9999999999999993E-2</v>
      </c>
      <c r="AB55" s="233">
        <f>AB56+0.015</f>
        <v>0.06</v>
      </c>
      <c r="AC55" s="233">
        <f>AC56+0.015</f>
        <v>0.06</v>
      </c>
      <c r="AD55" s="234"/>
      <c r="AE55" s="234">
        <f>AE56+0.01</f>
        <v>0.08</v>
      </c>
      <c r="AF55" s="234">
        <f t="shared" ref="AF55:AG55" si="11">AF56+0.01</f>
        <v>6.5000000000000002E-2</v>
      </c>
      <c r="AG55" s="234">
        <f t="shared" si="11"/>
        <v>0.08</v>
      </c>
      <c r="AH55" s="9"/>
      <c r="AI55" s="9"/>
      <c r="AJ55" s="9"/>
    </row>
    <row r="56" spans="1:36" ht="12.75" customHeight="1">
      <c r="A56" s="9"/>
      <c r="B56" s="9"/>
      <c r="C56" s="103" t="s">
        <v>246</v>
      </c>
      <c r="D56" s="9"/>
      <c r="E56" s="9"/>
      <c r="F56" s="232"/>
      <c r="G56" s="232"/>
      <c r="H56" s="232"/>
      <c r="I56" s="232"/>
      <c r="J56" s="132"/>
      <c r="K56" s="232"/>
      <c r="L56" s="232"/>
      <c r="M56" s="232"/>
      <c r="N56" s="232"/>
      <c r="O56" s="132"/>
      <c r="P56" s="232"/>
      <c r="Q56" s="232"/>
      <c r="R56" s="232"/>
      <c r="S56" s="232"/>
      <c r="T56" s="132"/>
      <c r="U56" s="232"/>
      <c r="V56" s="233">
        <v>0.05</v>
      </c>
      <c r="W56" s="233">
        <v>6.5000000000000002E-2</v>
      </c>
      <c r="X56" s="233">
        <v>8.5000000000000006E-2</v>
      </c>
      <c r="Y56" s="234"/>
      <c r="Z56" s="233">
        <v>0.06</v>
      </c>
      <c r="AA56" s="233">
        <v>0.06</v>
      </c>
      <c r="AB56" s="233">
        <v>4.4999999999999998E-2</v>
      </c>
      <c r="AC56" s="233">
        <v>4.4999999999999998E-2</v>
      </c>
      <c r="AD56" s="234"/>
      <c r="AE56" s="234">
        <v>7.0000000000000007E-2</v>
      </c>
      <c r="AF56" s="234">
        <v>5.5E-2</v>
      </c>
      <c r="AG56" s="234">
        <v>7.0000000000000007E-2</v>
      </c>
      <c r="AH56" s="9"/>
      <c r="AI56" s="9"/>
      <c r="AJ56" s="9"/>
    </row>
    <row r="57" spans="1:36" ht="12.75" customHeight="1">
      <c r="A57" s="9"/>
      <c r="B57" s="9"/>
      <c r="C57" s="103" t="s">
        <v>247</v>
      </c>
      <c r="D57" s="9"/>
      <c r="E57" s="9"/>
      <c r="F57" s="232"/>
      <c r="G57" s="232"/>
      <c r="H57" s="232"/>
      <c r="I57" s="232"/>
      <c r="J57" s="132"/>
      <c r="K57" s="232"/>
      <c r="L57" s="232"/>
      <c r="M57" s="232"/>
      <c r="N57" s="232"/>
      <c r="O57" s="132"/>
      <c r="P57" s="232"/>
      <c r="Q57" s="232"/>
      <c r="R57" s="232"/>
      <c r="S57" s="232"/>
      <c r="T57" s="132"/>
      <c r="U57" s="232"/>
      <c r="V57" s="233">
        <f>V56-0.07</f>
        <v>-2.0000000000000004E-2</v>
      </c>
      <c r="W57" s="233">
        <f>W56-0.075</f>
        <v>-9.999999999999995E-3</v>
      </c>
      <c r="X57" s="233">
        <f>X56-0.07</f>
        <v>1.4999999999999999E-2</v>
      </c>
      <c r="Y57" s="234"/>
      <c r="Z57" s="233">
        <f>Z56-0.04</f>
        <v>1.9999999999999997E-2</v>
      </c>
      <c r="AA57" s="233">
        <f>AA56-0.035</f>
        <v>2.4999999999999994E-2</v>
      </c>
      <c r="AB57" s="233">
        <f>AB56-0.035</f>
        <v>9.999999999999995E-3</v>
      </c>
      <c r="AC57" s="233">
        <f>AC56-0.035</f>
        <v>9.999999999999995E-3</v>
      </c>
      <c r="AD57" s="234"/>
      <c r="AE57" s="234">
        <f>AE56-0.02</f>
        <v>0.05</v>
      </c>
      <c r="AF57" s="234">
        <f t="shared" ref="AF57:AG57" si="12">AF56-0.02</f>
        <v>3.5000000000000003E-2</v>
      </c>
      <c r="AG57" s="234">
        <f t="shared" si="12"/>
        <v>0.05</v>
      </c>
      <c r="AH57" s="9"/>
      <c r="AI57" s="9"/>
      <c r="AJ57" s="9"/>
    </row>
    <row r="58" spans="1:36" ht="12.75" customHeight="1">
      <c r="A58" s="9"/>
      <c r="B58" s="9"/>
      <c r="C58" s="9"/>
      <c r="D58" s="9"/>
      <c r="E58" s="9"/>
      <c r="F58" s="232"/>
      <c r="G58" s="232"/>
      <c r="H58" s="232"/>
      <c r="I58" s="232"/>
      <c r="J58" s="132"/>
      <c r="K58" s="232"/>
      <c r="L58" s="232"/>
      <c r="M58" s="232"/>
      <c r="N58" s="232"/>
      <c r="O58" s="132"/>
      <c r="P58" s="232"/>
      <c r="Q58" s="232"/>
      <c r="R58" s="232"/>
      <c r="S58" s="232"/>
      <c r="T58" s="132"/>
      <c r="U58" s="232"/>
      <c r="V58" s="235"/>
      <c r="W58" s="235"/>
      <c r="X58" s="235"/>
      <c r="Y58" s="132"/>
      <c r="Z58" s="235"/>
      <c r="AA58" s="235"/>
      <c r="AB58" s="235"/>
      <c r="AC58" s="235"/>
      <c r="AD58" s="132"/>
      <c r="AE58" s="132"/>
      <c r="AF58" s="132"/>
      <c r="AG58" s="132"/>
      <c r="AH58" s="9"/>
      <c r="AI58" s="9"/>
      <c r="AJ58" s="9"/>
    </row>
    <row r="59" spans="1:36" ht="12.75" customHeight="1">
      <c r="A59" s="180" t="s">
        <v>0</v>
      </c>
      <c r="B59" s="9"/>
      <c r="C59" s="103" t="str">
        <f>C35</f>
        <v>Incentive Fees</v>
      </c>
      <c r="D59" s="9"/>
      <c r="E59" s="9"/>
      <c r="F59" s="230">
        <f t="shared" ref="F59:U59" si="13">F35</f>
        <v>49.563000000000002</v>
      </c>
      <c r="G59" s="230">
        <f t="shared" si="13"/>
        <v>60.501999999999995</v>
      </c>
      <c r="H59" s="230">
        <f t="shared" si="13"/>
        <v>29.719000000000001</v>
      </c>
      <c r="I59" s="230">
        <f t="shared" si="13"/>
        <v>17.096</v>
      </c>
      <c r="J59" s="202">
        <f t="shared" si="13"/>
        <v>156.88</v>
      </c>
      <c r="K59" s="230">
        <f t="shared" si="13"/>
        <v>19.630000000000003</v>
      </c>
      <c r="L59" s="230">
        <f t="shared" si="13"/>
        <v>17.692</v>
      </c>
      <c r="M59" s="230">
        <f t="shared" si="13"/>
        <v>11.623000000000001</v>
      </c>
      <c r="N59" s="230">
        <f t="shared" si="13"/>
        <v>52.960999999999999</v>
      </c>
      <c r="O59" s="202">
        <f t="shared" si="13"/>
        <v>101.90600000000001</v>
      </c>
      <c r="P59" s="230">
        <f t="shared" si="13"/>
        <v>56.769000000000005</v>
      </c>
      <c r="Q59" s="230">
        <f t="shared" si="13"/>
        <v>30.216000000000001</v>
      </c>
      <c r="R59" s="230">
        <f t="shared" si="13"/>
        <v>41.978999999999999</v>
      </c>
      <c r="S59" s="230">
        <f t="shared" si="13"/>
        <v>70.135000000000005</v>
      </c>
      <c r="T59" s="202">
        <f t="shared" si="13"/>
        <v>199.09899999999999</v>
      </c>
      <c r="U59" s="230">
        <f t="shared" si="13"/>
        <v>42.262</v>
      </c>
      <c r="V59" s="201">
        <f>IF($C$25="Quarterly",U59*(1+V60),Q59*(1+V60))</f>
        <v>43.529859999999999</v>
      </c>
      <c r="W59" s="201">
        <f>IF($C$25="Quarterly",V59*(1+W60),R59*(1+W60))</f>
        <v>45.706353</v>
      </c>
      <c r="X59" s="201">
        <f>IF($C$25="Quarterly",W59*(1+X60),S59*(1+X60))</f>
        <v>49.362861240000001</v>
      </c>
      <c r="Y59" s="202">
        <f>SUM(U59:X59)</f>
        <v>180.86107423999999</v>
      </c>
      <c r="Z59" s="201">
        <f>IF($C$25="Quarterly",X59*(1+Z60),U59*(1+Z60))</f>
        <v>52.5714472206</v>
      </c>
      <c r="AA59" s="201">
        <f>IF($C$25="Quarterly",Z59*(1+AA60),V59*(1+AA60))</f>
        <v>55.725734053836</v>
      </c>
      <c r="AB59" s="201">
        <f>IF($C$25="Quarterly",AA59*(1+AB60),W59*(1+AB60))</f>
        <v>58.790649426796975</v>
      </c>
      <c r="AC59" s="201">
        <f>IF($C$25="Quarterly",AB59*(1+AC60),X59*(1+AC60))</f>
        <v>61.730181898136827</v>
      </c>
      <c r="AD59" s="202">
        <f>SUM(Z59:AC59)</f>
        <v>228.81801259936981</v>
      </c>
      <c r="AE59" s="202">
        <f>AD59*(1+AE60)</f>
        <v>244.83527348132571</v>
      </c>
      <c r="AF59" s="202">
        <f>AE59*(1+AF60)</f>
        <v>258.30121352279861</v>
      </c>
      <c r="AG59" s="202">
        <f>AF59*(1+AG60)</f>
        <v>271.21627419893855</v>
      </c>
      <c r="AH59" s="9"/>
      <c r="AI59" s="9"/>
      <c r="AJ59" s="9"/>
    </row>
    <row r="60" spans="1:36" ht="12.75" customHeight="1">
      <c r="A60" s="9"/>
      <c r="B60" s="9"/>
      <c r="C60" s="84" t="str">
        <f>IF($C$25="Quarterly","% Growth QoQ","% Growth YoY")</f>
        <v>% Growth QoQ</v>
      </c>
      <c r="D60" s="9"/>
      <c r="E60" s="9"/>
      <c r="F60" s="232"/>
      <c r="G60" s="231">
        <f t="shared" ref="G60:U60" si="14">G36</f>
        <v>0.22070899663055088</v>
      </c>
      <c r="H60" s="231">
        <f t="shared" si="14"/>
        <v>-0.50879309774883463</v>
      </c>
      <c r="I60" s="231">
        <f t="shared" si="14"/>
        <v>-0.42474511255425829</v>
      </c>
      <c r="J60" s="219">
        <f t="shared" si="14"/>
        <v>0</v>
      </c>
      <c r="K60" s="231">
        <f t="shared" si="14"/>
        <v>0.14822180627047277</v>
      </c>
      <c r="L60" s="231">
        <f t="shared" si="14"/>
        <v>-9.8726439123790199E-2</v>
      </c>
      <c r="M60" s="231">
        <f t="shared" si="14"/>
        <v>-0.34303640063305441</v>
      </c>
      <c r="N60" s="231">
        <f t="shared" si="14"/>
        <v>3.5565688720640107</v>
      </c>
      <c r="O60" s="219">
        <f t="shared" si="14"/>
        <v>-0.35042070372259049</v>
      </c>
      <c r="P60" s="231">
        <f t="shared" si="14"/>
        <v>7.1901965597326534E-2</v>
      </c>
      <c r="Q60" s="231">
        <f t="shared" si="14"/>
        <v>-0.467737673730381</v>
      </c>
      <c r="R60" s="231">
        <f t="shared" si="14"/>
        <v>0.38929706115965046</v>
      </c>
      <c r="S60" s="231">
        <f t="shared" si="14"/>
        <v>0.67071631053622061</v>
      </c>
      <c r="T60" s="219">
        <f t="shared" si="14"/>
        <v>0.95375149647714541</v>
      </c>
      <c r="U60" s="231">
        <f t="shared" si="14"/>
        <v>-0.39741926285021745</v>
      </c>
      <c r="V60" s="218">
        <f>IF(Case_Scenario="Bull",V61,IF(Case_Scenario="Base",V62,IF(Case_Scenario="bear",V63,"N/A")))</f>
        <v>0.03</v>
      </c>
      <c r="W60" s="218">
        <f>IF(Case_Scenario="Bull",W61,IF(Case_Scenario="Base",W62,IF(Case_Scenario="bear",W63,"N/A")))</f>
        <v>0.05</v>
      </c>
      <c r="X60" s="218">
        <f>IF(Case_Scenario="Bull",X61,IF(Case_Scenario="Base",X62,IF(Case_Scenario="bear",X63,"N/A")))</f>
        <v>0.08</v>
      </c>
      <c r="Y60" s="219"/>
      <c r="Z60" s="218">
        <f>IF(Case_Scenario="Bull",Z61,IF(Case_Scenario="Base",Z62,IF(Case_Scenario="bear",Z63,"N/A")))</f>
        <v>6.5000000000000002E-2</v>
      </c>
      <c r="AA60" s="218">
        <f>IF(Case_Scenario="Bull",AA61,IF(Case_Scenario="Base",AA62,IF(Case_Scenario="bear",AA63,"N/A")))</f>
        <v>0.06</v>
      </c>
      <c r="AB60" s="218">
        <f>IF(Case_Scenario="Bull",AB61,IF(Case_Scenario="Base",AB62,IF(Case_Scenario="bear",AB63,"N/A")))</f>
        <v>5.5E-2</v>
      </c>
      <c r="AC60" s="218">
        <f>IF(Case_Scenario="Bull",AC61,IF(Case_Scenario="Base",AC62,IF(Case_Scenario="bear",AC63,"N/A")))</f>
        <v>0.05</v>
      </c>
      <c r="AD60" s="219"/>
      <c r="AE60" s="219">
        <f>IF(Case_Scenario="Bull",AE61,IF(Case_Scenario="Base",AE62,IF(Case_Scenario="bear",AE63,"N/A")))</f>
        <v>7.0000000000000007E-2</v>
      </c>
      <c r="AF60" s="219">
        <f>IF(Case_Scenario="Bull",AF61,IF(Case_Scenario="Base",AF62,IF(Case_Scenario="bear",AF63,"N/A")))</f>
        <v>5.5E-2</v>
      </c>
      <c r="AG60" s="219">
        <f>IF(Case_Scenario="Bull",AG61,IF(Case_Scenario="Base",AG62,IF(Case_Scenario="bear",AG63,"N/A")))</f>
        <v>0.05</v>
      </c>
      <c r="AH60" s="9"/>
      <c r="AI60" s="9"/>
      <c r="AJ60" s="9"/>
    </row>
    <row r="61" spans="1:36" ht="12.75" customHeight="1">
      <c r="A61" s="216"/>
      <c r="B61" s="216"/>
      <c r="C61" s="103" t="s">
        <v>245</v>
      </c>
      <c r="D61" s="216"/>
      <c r="E61" s="216"/>
      <c r="F61" s="236"/>
      <c r="G61" s="236"/>
      <c r="H61" s="236"/>
      <c r="I61" s="236"/>
      <c r="J61" s="237"/>
      <c r="K61" s="236"/>
      <c r="L61" s="236"/>
      <c r="M61" s="236"/>
      <c r="N61" s="236"/>
      <c r="O61" s="237"/>
      <c r="P61" s="236"/>
      <c r="Q61" s="236"/>
      <c r="R61" s="236"/>
      <c r="S61" s="236"/>
      <c r="T61" s="237"/>
      <c r="U61" s="236"/>
      <c r="V61" s="233">
        <f>V62+0.02</f>
        <v>0.05</v>
      </c>
      <c r="W61" s="233">
        <f>W62+0.02</f>
        <v>7.0000000000000007E-2</v>
      </c>
      <c r="X61" s="233">
        <f>X62+0.01</f>
        <v>0.09</v>
      </c>
      <c r="Y61" s="234"/>
      <c r="Z61" s="233">
        <f>Z62+0.01</f>
        <v>7.4999999999999997E-2</v>
      </c>
      <c r="AA61" s="233">
        <f>AA62+0.01</f>
        <v>6.9999999999999993E-2</v>
      </c>
      <c r="AB61" s="233">
        <f>AB62+0.01</f>
        <v>6.5000000000000002E-2</v>
      </c>
      <c r="AC61" s="233">
        <f>AC62+0.01</f>
        <v>6.0000000000000005E-2</v>
      </c>
      <c r="AD61" s="234"/>
      <c r="AE61" s="234">
        <f>AE62+0.01</f>
        <v>0.08</v>
      </c>
      <c r="AF61" s="234">
        <f t="shared" ref="AF61:AG61" si="15">AF62+0.01</f>
        <v>6.5000000000000002E-2</v>
      </c>
      <c r="AG61" s="234">
        <f t="shared" si="15"/>
        <v>6.0000000000000005E-2</v>
      </c>
      <c r="AH61" s="216"/>
      <c r="AI61" s="216"/>
      <c r="AJ61" s="216"/>
    </row>
    <row r="62" spans="1:36" ht="12.75" customHeight="1">
      <c r="A62" s="216"/>
      <c r="B62" s="216"/>
      <c r="C62" s="103" t="s">
        <v>246</v>
      </c>
      <c r="D62" s="216"/>
      <c r="E62" s="216"/>
      <c r="F62" s="236"/>
      <c r="G62" s="236"/>
      <c r="H62" s="236"/>
      <c r="I62" s="236"/>
      <c r="J62" s="237"/>
      <c r="K62" s="236"/>
      <c r="L62" s="236"/>
      <c r="M62" s="236"/>
      <c r="N62" s="236"/>
      <c r="O62" s="237"/>
      <c r="P62" s="236"/>
      <c r="Q62" s="236"/>
      <c r="R62" s="236"/>
      <c r="S62" s="236"/>
      <c r="T62" s="237"/>
      <c r="U62" s="236"/>
      <c r="V62" s="233">
        <v>0.03</v>
      </c>
      <c r="W62" s="233">
        <v>0.05</v>
      </c>
      <c r="X62" s="233">
        <v>0.08</v>
      </c>
      <c r="Y62" s="234" t="s">
        <v>863</v>
      </c>
      <c r="Z62" s="233">
        <v>6.5000000000000002E-2</v>
      </c>
      <c r="AA62" s="233">
        <v>0.06</v>
      </c>
      <c r="AB62" s="233">
        <v>5.5E-2</v>
      </c>
      <c r="AC62" s="233">
        <v>0.05</v>
      </c>
      <c r="AD62" s="234"/>
      <c r="AE62" s="234">
        <v>7.0000000000000007E-2</v>
      </c>
      <c r="AF62" s="234">
        <v>5.5E-2</v>
      </c>
      <c r="AG62" s="234">
        <v>0.05</v>
      </c>
      <c r="AH62" s="216"/>
      <c r="AI62" s="216"/>
      <c r="AJ62" s="216"/>
    </row>
    <row r="63" spans="1:36" ht="12.75" customHeight="1">
      <c r="A63" s="216"/>
      <c r="B63" s="216"/>
      <c r="C63" s="103" t="s">
        <v>247</v>
      </c>
      <c r="D63" s="216"/>
      <c r="E63" s="216"/>
      <c r="F63" s="236"/>
      <c r="G63" s="236"/>
      <c r="H63" s="236"/>
      <c r="I63" s="236"/>
      <c r="J63" s="237"/>
      <c r="K63" s="236"/>
      <c r="L63" s="236"/>
      <c r="M63" s="236"/>
      <c r="N63" s="236"/>
      <c r="O63" s="237"/>
      <c r="P63" s="236"/>
      <c r="Q63" s="236"/>
      <c r="R63" s="236"/>
      <c r="S63" s="236"/>
      <c r="T63" s="237"/>
      <c r="U63" s="236"/>
      <c r="V63" s="233">
        <f>V62-0.06</f>
        <v>-0.03</v>
      </c>
      <c r="W63" s="233">
        <f>W62-0.06</f>
        <v>-9.999999999999995E-3</v>
      </c>
      <c r="X63" s="233">
        <f>X62-0.075</f>
        <v>5.0000000000000044E-3</v>
      </c>
      <c r="Y63" s="234"/>
      <c r="Z63" s="233">
        <f>Z62-0.085</f>
        <v>-2.0000000000000004E-2</v>
      </c>
      <c r="AA63" s="233">
        <f>AA62-0.08</f>
        <v>-2.0000000000000004E-2</v>
      </c>
      <c r="AB63" s="233">
        <f>AB62-0.025</f>
        <v>0.03</v>
      </c>
      <c r="AC63" s="233">
        <f>AC62-0.025</f>
        <v>2.5000000000000001E-2</v>
      </c>
      <c r="AD63" s="234"/>
      <c r="AE63" s="234">
        <f>AE62-0.02</f>
        <v>0.05</v>
      </c>
      <c r="AF63" s="234">
        <f t="shared" ref="AF63:AG63" si="16">AF62-0.02</f>
        <v>3.5000000000000003E-2</v>
      </c>
      <c r="AG63" s="234">
        <f t="shared" si="16"/>
        <v>3.0000000000000002E-2</v>
      </c>
      <c r="AH63" s="216"/>
      <c r="AI63" s="216"/>
      <c r="AJ63" s="216"/>
    </row>
    <row r="64" spans="1:36" ht="12.75" customHeight="1">
      <c r="A64" s="9"/>
      <c r="B64" s="9"/>
      <c r="C64" s="9"/>
      <c r="D64" s="9"/>
      <c r="E64" s="9"/>
      <c r="F64" s="232"/>
      <c r="G64" s="232"/>
      <c r="H64" s="232"/>
      <c r="I64" s="232"/>
      <c r="J64" s="132"/>
      <c r="K64" s="232"/>
      <c r="L64" s="232"/>
      <c r="M64" s="232"/>
      <c r="N64" s="232"/>
      <c r="O64" s="132"/>
      <c r="P64" s="232"/>
      <c r="Q64" s="232"/>
      <c r="R64" s="232"/>
      <c r="S64" s="232"/>
      <c r="T64" s="132"/>
      <c r="U64" s="232"/>
      <c r="V64" s="235"/>
      <c r="W64" s="235"/>
      <c r="X64" s="235"/>
      <c r="Y64" s="132"/>
      <c r="Z64" s="235"/>
      <c r="AA64" s="235"/>
      <c r="AB64" s="235"/>
      <c r="AC64" s="235"/>
      <c r="AD64" s="132"/>
      <c r="AE64" s="132"/>
      <c r="AF64" s="132"/>
      <c r="AG64" s="132"/>
      <c r="AH64" s="9"/>
      <c r="AI64" s="9"/>
      <c r="AJ64" s="9"/>
    </row>
    <row r="65" spans="1:36" ht="12.75" hidden="1" customHeight="1">
      <c r="A65" s="180" t="s">
        <v>0</v>
      </c>
      <c r="B65" s="9"/>
      <c r="C65" s="103" t="str">
        <f>C38</f>
        <v>Segment 3 Revenue</v>
      </c>
      <c r="D65" s="9"/>
      <c r="E65" s="9"/>
      <c r="F65" s="230">
        <f t="shared" ref="F65:U65" si="17">F38</f>
        <v>0</v>
      </c>
      <c r="G65" s="230">
        <f t="shared" si="17"/>
        <v>0</v>
      </c>
      <c r="H65" s="230">
        <f t="shared" si="17"/>
        <v>0</v>
      </c>
      <c r="I65" s="230">
        <f t="shared" si="17"/>
        <v>0</v>
      </c>
      <c r="J65" s="202">
        <f t="shared" si="17"/>
        <v>0</v>
      </c>
      <c r="K65" s="230">
        <f t="shared" si="17"/>
        <v>0</v>
      </c>
      <c r="L65" s="230">
        <f t="shared" si="17"/>
        <v>0</v>
      </c>
      <c r="M65" s="230">
        <f t="shared" si="17"/>
        <v>0</v>
      </c>
      <c r="N65" s="230">
        <f t="shared" si="17"/>
        <v>0</v>
      </c>
      <c r="O65" s="202">
        <f t="shared" si="17"/>
        <v>0</v>
      </c>
      <c r="P65" s="230">
        <f t="shared" si="17"/>
        <v>0</v>
      </c>
      <c r="Q65" s="230">
        <f t="shared" si="17"/>
        <v>0</v>
      </c>
      <c r="R65" s="230">
        <f t="shared" si="17"/>
        <v>0</v>
      </c>
      <c r="S65" s="230">
        <f t="shared" si="17"/>
        <v>0</v>
      </c>
      <c r="T65" s="202">
        <f t="shared" si="17"/>
        <v>0</v>
      </c>
      <c r="U65" s="230">
        <f t="shared" si="17"/>
        <v>0</v>
      </c>
      <c r="V65" s="201">
        <f>IF($C$25="Quarterly",U65*(1+V66),Q65*(1+V66))</f>
        <v>0</v>
      </c>
      <c r="W65" s="201">
        <f>IF($C$25="Quarterly",V65*(1+W66),R65*(1+W66))</f>
        <v>0</v>
      </c>
      <c r="X65" s="201">
        <f>IF($C$25="Quarterly",W65*(1+X66),S65*(1+X66))</f>
        <v>0</v>
      </c>
      <c r="Y65" s="202">
        <f>SUM(U65:X65)</f>
        <v>0</v>
      </c>
      <c r="Z65" s="201">
        <f>IF($C$25="Quarterly",X65*(1+Z66),U65*(1+Z66))</f>
        <v>0</v>
      </c>
      <c r="AA65" s="201">
        <f>IF($C$25="Quarterly",Z65*(1+AA66),V65*(1+AA66))</f>
        <v>0</v>
      </c>
      <c r="AB65" s="201">
        <f>IF($C$25="Quarterly",AA65*(1+AB66),W65*(1+AB66))</f>
        <v>0</v>
      </c>
      <c r="AC65" s="201">
        <f>IF($C$25="Quarterly",AB65*(1+AC66),X65*(1+AC66))</f>
        <v>0</v>
      </c>
      <c r="AD65" s="202">
        <f>SUM(Z65:AC65)</f>
        <v>0</v>
      </c>
      <c r="AE65" s="202">
        <f>AD65*(1+AE66)</f>
        <v>0</v>
      </c>
      <c r="AF65" s="202">
        <f>AE65*(1+AF66)</f>
        <v>0</v>
      </c>
      <c r="AG65" s="202">
        <f>AF65*(1+AG66)</f>
        <v>0</v>
      </c>
      <c r="AH65" s="9"/>
      <c r="AI65" s="9"/>
      <c r="AJ65" s="9"/>
    </row>
    <row r="66" spans="1:36" ht="12.75" hidden="1" customHeight="1">
      <c r="A66" s="9"/>
      <c r="B66" s="9"/>
      <c r="C66" s="84" t="str">
        <f>IF($C$25="Quarterly","% Growth QoQ","% Growth YoY")</f>
        <v>% Growth QoQ</v>
      </c>
      <c r="D66" s="9"/>
      <c r="E66" s="9"/>
      <c r="F66" s="232"/>
      <c r="G66" s="231" t="str">
        <f t="shared" ref="G66:U66" si="18">G39</f>
        <v>N/A</v>
      </c>
      <c r="H66" s="231" t="str">
        <f t="shared" si="18"/>
        <v>N/A</v>
      </c>
      <c r="I66" s="231" t="str">
        <f t="shared" si="18"/>
        <v>N/A</v>
      </c>
      <c r="J66" s="219">
        <f t="shared" si="18"/>
        <v>0</v>
      </c>
      <c r="K66" s="231" t="str">
        <f t="shared" si="18"/>
        <v>N/A</v>
      </c>
      <c r="L66" s="231" t="str">
        <f t="shared" si="18"/>
        <v>N/A</v>
      </c>
      <c r="M66" s="231" t="str">
        <f t="shared" si="18"/>
        <v>N/A</v>
      </c>
      <c r="N66" s="231" t="str">
        <f t="shared" si="18"/>
        <v>N/A</v>
      </c>
      <c r="O66" s="219">
        <f t="shared" si="18"/>
        <v>0</v>
      </c>
      <c r="P66" s="231" t="str">
        <f t="shared" si="18"/>
        <v>N/A</v>
      </c>
      <c r="Q66" s="231" t="str">
        <f t="shared" si="18"/>
        <v>N/A</v>
      </c>
      <c r="R66" s="231" t="str">
        <f t="shared" si="18"/>
        <v>N/A</v>
      </c>
      <c r="S66" s="231" t="str">
        <f t="shared" si="18"/>
        <v>N/A</v>
      </c>
      <c r="T66" s="219">
        <f t="shared" si="18"/>
        <v>0</v>
      </c>
      <c r="U66" s="231" t="str">
        <f t="shared" si="18"/>
        <v>N/A</v>
      </c>
      <c r="V66" s="218">
        <f>IF(Case_Scenario="Bull",V67,IF(Case_Scenario="Base",V68,IF(Case_Scenario="bear",V69,"N/A")))</f>
        <v>0</v>
      </c>
      <c r="W66" s="218">
        <f>IF(Case_Scenario="Bull",W67,IF(Case_Scenario="Base",W68,IF(Case_Scenario="bear",W69,"N/A")))</f>
        <v>0</v>
      </c>
      <c r="X66" s="218">
        <f>IF(Case_Scenario="Bull",X67,IF(Case_Scenario="Base",X68,IF(Case_Scenario="bear",X69,"N/A")))</f>
        <v>0</v>
      </c>
      <c r="Y66" s="219"/>
      <c r="Z66" s="218">
        <f>IF(Case_Scenario="Bull",Z67,IF(Case_Scenario="Base",Z68,IF(Case_Scenario="bear",Z69,"N/A")))</f>
        <v>0</v>
      </c>
      <c r="AA66" s="218">
        <f>IF(Case_Scenario="Bull",AA67,IF(Case_Scenario="Base",AA68,IF(Case_Scenario="bear",AA69,"N/A")))</f>
        <v>0</v>
      </c>
      <c r="AB66" s="218">
        <f>IF(Case_Scenario="Bull",AB67,IF(Case_Scenario="Base",AB68,IF(Case_Scenario="bear",AB69,"N/A")))</f>
        <v>0</v>
      </c>
      <c r="AC66" s="218">
        <f>IF(Case_Scenario="Bull",AC67,IF(Case_Scenario="Base",AC68,IF(Case_Scenario="bear",AC69,"N/A")))</f>
        <v>0</v>
      </c>
      <c r="AD66" s="219"/>
      <c r="AE66" s="219">
        <f>IF(Case_Scenario="Bull",AE67,IF(Case_Scenario="Base",AE68,IF(Case_Scenario="bear",AE69,"N/A")))</f>
        <v>0</v>
      </c>
      <c r="AF66" s="219">
        <f>IF(Case_Scenario="Bull",AF67,IF(Case_Scenario="Base",AF68,IF(Case_Scenario="bear",AF69,"N/A")))</f>
        <v>0</v>
      </c>
      <c r="AG66" s="219">
        <f>IF(Case_Scenario="Bull",AG67,IF(Case_Scenario="Base",AG68,IF(Case_Scenario="bear",AG69,"N/A")))</f>
        <v>0</v>
      </c>
      <c r="AH66" s="9"/>
      <c r="AI66" s="9"/>
      <c r="AJ66" s="9"/>
    </row>
    <row r="67" spans="1:36" ht="12.75" hidden="1" customHeight="1">
      <c r="A67" s="9"/>
      <c r="B67" s="9"/>
      <c r="C67" s="103" t="s">
        <v>245</v>
      </c>
      <c r="D67" s="9"/>
      <c r="E67" s="9"/>
      <c r="F67" s="232"/>
      <c r="G67" s="232"/>
      <c r="H67" s="232"/>
      <c r="I67" s="232"/>
      <c r="J67" s="132"/>
      <c r="K67" s="232"/>
      <c r="L67" s="232"/>
      <c r="M67" s="232"/>
      <c r="N67" s="232"/>
      <c r="O67" s="132"/>
      <c r="P67" s="232"/>
      <c r="Q67" s="232"/>
      <c r="R67" s="232"/>
      <c r="S67" s="232"/>
      <c r="T67" s="132"/>
      <c r="U67" s="232"/>
      <c r="V67" s="233">
        <v>0</v>
      </c>
      <c r="W67" s="233">
        <v>0</v>
      </c>
      <c r="X67" s="233">
        <v>0</v>
      </c>
      <c r="Y67" s="234"/>
      <c r="Z67" s="233">
        <v>0</v>
      </c>
      <c r="AA67" s="233">
        <v>0</v>
      </c>
      <c r="AB67" s="233">
        <v>0</v>
      </c>
      <c r="AC67" s="233">
        <v>0</v>
      </c>
      <c r="AD67" s="234"/>
      <c r="AE67" s="234">
        <v>0</v>
      </c>
      <c r="AF67" s="234">
        <v>0</v>
      </c>
      <c r="AG67" s="234">
        <v>0</v>
      </c>
      <c r="AH67" s="9"/>
      <c r="AI67" s="9"/>
      <c r="AJ67" s="9"/>
    </row>
    <row r="68" spans="1:36" ht="12.75" hidden="1" customHeight="1">
      <c r="A68" s="9"/>
      <c r="B68" s="9"/>
      <c r="C68" s="103" t="s">
        <v>246</v>
      </c>
      <c r="D68" s="9"/>
      <c r="E68" s="9"/>
      <c r="F68" s="232"/>
      <c r="G68" s="232"/>
      <c r="H68" s="232"/>
      <c r="I68" s="232"/>
      <c r="J68" s="132"/>
      <c r="K68" s="232"/>
      <c r="L68" s="232"/>
      <c r="M68" s="232"/>
      <c r="N68" s="232"/>
      <c r="O68" s="132"/>
      <c r="P68" s="232"/>
      <c r="Q68" s="232"/>
      <c r="R68" s="232"/>
      <c r="S68" s="232"/>
      <c r="T68" s="132"/>
      <c r="U68" s="232"/>
      <c r="V68" s="233">
        <v>0</v>
      </c>
      <c r="W68" s="233">
        <v>0</v>
      </c>
      <c r="X68" s="233">
        <v>0</v>
      </c>
      <c r="Y68" s="234"/>
      <c r="Z68" s="233">
        <v>0</v>
      </c>
      <c r="AA68" s="233">
        <v>0</v>
      </c>
      <c r="AB68" s="233">
        <v>0</v>
      </c>
      <c r="AC68" s="233">
        <v>0</v>
      </c>
      <c r="AD68" s="234"/>
      <c r="AE68" s="234">
        <v>0</v>
      </c>
      <c r="AF68" s="234">
        <v>0</v>
      </c>
      <c r="AG68" s="234">
        <v>0</v>
      </c>
      <c r="AH68" s="9"/>
      <c r="AI68" s="9"/>
      <c r="AJ68" s="9"/>
    </row>
    <row r="69" spans="1:36" ht="12.75" hidden="1" customHeight="1">
      <c r="A69" s="9"/>
      <c r="B69" s="9"/>
      <c r="C69" s="103" t="s">
        <v>247</v>
      </c>
      <c r="D69" s="9"/>
      <c r="E69" s="9"/>
      <c r="F69" s="232"/>
      <c r="G69" s="232"/>
      <c r="H69" s="232"/>
      <c r="I69" s="232"/>
      <c r="J69" s="132"/>
      <c r="K69" s="232"/>
      <c r="L69" s="232"/>
      <c r="M69" s="232"/>
      <c r="N69" s="232"/>
      <c r="O69" s="132"/>
      <c r="P69" s="232"/>
      <c r="Q69" s="232"/>
      <c r="R69" s="232"/>
      <c r="S69" s="232"/>
      <c r="T69" s="132"/>
      <c r="U69" s="232"/>
      <c r="V69" s="233">
        <v>0</v>
      </c>
      <c r="W69" s="233">
        <v>0</v>
      </c>
      <c r="X69" s="233">
        <v>0</v>
      </c>
      <c r="Y69" s="234"/>
      <c r="Z69" s="233">
        <v>0</v>
      </c>
      <c r="AA69" s="233">
        <v>0</v>
      </c>
      <c r="AB69" s="233">
        <v>0</v>
      </c>
      <c r="AC69" s="233">
        <v>0</v>
      </c>
      <c r="AD69" s="234"/>
      <c r="AE69" s="234">
        <v>0</v>
      </c>
      <c r="AF69" s="234">
        <v>0</v>
      </c>
      <c r="AG69" s="234">
        <v>0</v>
      </c>
      <c r="AH69" s="9"/>
      <c r="AI69" s="9"/>
      <c r="AJ69" s="9"/>
    </row>
    <row r="70" spans="1:36" ht="12.75" hidden="1" customHeight="1">
      <c r="A70" s="9"/>
      <c r="B70" s="9"/>
      <c r="C70" s="9"/>
      <c r="D70" s="9"/>
      <c r="E70" s="9"/>
      <c r="F70" s="232"/>
      <c r="G70" s="232"/>
      <c r="H70" s="232"/>
      <c r="I70" s="232"/>
      <c r="J70" s="132"/>
      <c r="K70" s="232"/>
      <c r="L70" s="232"/>
      <c r="M70" s="232"/>
      <c r="N70" s="232"/>
      <c r="O70" s="132"/>
      <c r="P70" s="232"/>
      <c r="Q70" s="232"/>
      <c r="R70" s="232"/>
      <c r="S70" s="232"/>
      <c r="T70" s="132"/>
      <c r="U70" s="232"/>
      <c r="V70" s="235"/>
      <c r="W70" s="235"/>
      <c r="X70" s="235"/>
      <c r="Y70" s="132"/>
      <c r="Z70" s="235"/>
      <c r="AA70" s="235"/>
      <c r="AB70" s="235"/>
      <c r="AC70" s="235"/>
      <c r="AD70" s="132"/>
      <c r="AE70" s="132"/>
      <c r="AF70" s="132"/>
      <c r="AG70" s="132"/>
      <c r="AH70" s="9"/>
      <c r="AI70" s="9"/>
      <c r="AJ70" s="9"/>
    </row>
    <row r="71" spans="1:36" ht="12.75" hidden="1" customHeight="1">
      <c r="A71" s="180" t="s">
        <v>0</v>
      </c>
      <c r="B71" s="9"/>
      <c r="C71" s="103" t="str">
        <f>C41</f>
        <v>Segment 4 Revenue</v>
      </c>
      <c r="D71" s="9"/>
      <c r="E71" s="9"/>
      <c r="F71" s="230">
        <f t="shared" ref="F71:U71" si="19">F41</f>
        <v>0</v>
      </c>
      <c r="G71" s="230">
        <f t="shared" si="19"/>
        <v>0</v>
      </c>
      <c r="H71" s="230">
        <f t="shared" si="19"/>
        <v>0</v>
      </c>
      <c r="I71" s="230">
        <f t="shared" si="19"/>
        <v>0</v>
      </c>
      <c r="J71" s="202">
        <f t="shared" si="19"/>
        <v>0</v>
      </c>
      <c r="K71" s="230">
        <f t="shared" si="19"/>
        <v>0</v>
      </c>
      <c r="L71" s="230">
        <f t="shared" si="19"/>
        <v>0</v>
      </c>
      <c r="M71" s="230">
        <f t="shared" si="19"/>
        <v>0</v>
      </c>
      <c r="N71" s="230">
        <f t="shared" si="19"/>
        <v>0</v>
      </c>
      <c r="O71" s="202">
        <f t="shared" si="19"/>
        <v>0</v>
      </c>
      <c r="P71" s="230">
        <f t="shared" si="19"/>
        <v>0</v>
      </c>
      <c r="Q71" s="230">
        <f t="shared" si="19"/>
        <v>0</v>
      </c>
      <c r="R71" s="230">
        <f t="shared" si="19"/>
        <v>0</v>
      </c>
      <c r="S71" s="230">
        <f t="shared" si="19"/>
        <v>0</v>
      </c>
      <c r="T71" s="202">
        <f t="shared" si="19"/>
        <v>0</v>
      </c>
      <c r="U71" s="230">
        <f t="shared" si="19"/>
        <v>0</v>
      </c>
      <c r="V71" s="201">
        <f>IF($C$25="Quarterly",U71*(1+V72),Q71*(1+V72))</f>
        <v>0</v>
      </c>
      <c r="W71" s="201">
        <f>IF($C$25="Quarterly",V71*(1+W72),R71*(1+W72))</f>
        <v>0</v>
      </c>
      <c r="X71" s="201">
        <f>IF($C$25="Quarterly",W71*(1+X72),S71*(1+X72))</f>
        <v>0</v>
      </c>
      <c r="Y71" s="202">
        <f>SUM(U71:X71)</f>
        <v>0</v>
      </c>
      <c r="Z71" s="201">
        <f>IF($C$25="Quarterly",X71*(1+Z72),U71*(1+Z72))</f>
        <v>0</v>
      </c>
      <c r="AA71" s="201">
        <f>IF($C$25="Quarterly",Z71*(1+AA72),V71*(1+AA72))</f>
        <v>0</v>
      </c>
      <c r="AB71" s="201">
        <f>IF($C$25="Quarterly",AA71*(1+AB72),W71*(1+AB72))</f>
        <v>0</v>
      </c>
      <c r="AC71" s="201">
        <f>IF($C$25="Quarterly",AB71*(1+AC72),X71*(1+AC72))</f>
        <v>0</v>
      </c>
      <c r="AD71" s="202">
        <f>SUM(Z71:AC71)</f>
        <v>0</v>
      </c>
      <c r="AE71" s="202">
        <f>AD71*(1+AE72)</f>
        <v>0</v>
      </c>
      <c r="AF71" s="202">
        <f>AE71*(1+AF72)</f>
        <v>0</v>
      </c>
      <c r="AG71" s="202">
        <f>AF71*(1+AG72)</f>
        <v>0</v>
      </c>
      <c r="AH71" s="9"/>
      <c r="AI71" s="9"/>
      <c r="AJ71" s="9"/>
    </row>
    <row r="72" spans="1:36" ht="12.75" hidden="1" customHeight="1">
      <c r="A72" s="9"/>
      <c r="B72" s="9"/>
      <c r="C72" s="84" t="str">
        <f>IF($C$25="Quarterly","% Growth QoQ","% Growth YoY")</f>
        <v>% Growth QoQ</v>
      </c>
      <c r="D72" s="9"/>
      <c r="E72" s="9"/>
      <c r="F72" s="232"/>
      <c r="G72" s="231" t="str">
        <f t="shared" ref="G72:U72" si="20">G42</f>
        <v>N/A</v>
      </c>
      <c r="H72" s="231" t="str">
        <f t="shared" si="20"/>
        <v>N/A</v>
      </c>
      <c r="I72" s="231" t="str">
        <f t="shared" si="20"/>
        <v>N/A</v>
      </c>
      <c r="J72" s="219">
        <f t="shared" si="20"/>
        <v>0</v>
      </c>
      <c r="K72" s="231" t="str">
        <f t="shared" si="20"/>
        <v>N/A</v>
      </c>
      <c r="L72" s="231" t="str">
        <f t="shared" si="20"/>
        <v>N/A</v>
      </c>
      <c r="M72" s="231" t="str">
        <f t="shared" si="20"/>
        <v>N/A</v>
      </c>
      <c r="N72" s="231" t="str">
        <f t="shared" si="20"/>
        <v>N/A</v>
      </c>
      <c r="O72" s="219">
        <f t="shared" si="20"/>
        <v>0</v>
      </c>
      <c r="P72" s="231" t="str">
        <f t="shared" si="20"/>
        <v>N/A</v>
      </c>
      <c r="Q72" s="231" t="str">
        <f t="shared" si="20"/>
        <v>N/A</v>
      </c>
      <c r="R72" s="231" t="str">
        <f t="shared" si="20"/>
        <v>N/A</v>
      </c>
      <c r="S72" s="231" t="str">
        <f t="shared" si="20"/>
        <v>N/A</v>
      </c>
      <c r="T72" s="219">
        <f t="shared" si="20"/>
        <v>0</v>
      </c>
      <c r="U72" s="231" t="str">
        <f t="shared" si="20"/>
        <v>N/A</v>
      </c>
      <c r="V72" s="218">
        <f>IF(Case_Scenario="Bull",V73,IF(Case_Scenario="Base",V74,IF(Case_Scenario="bear",V75,"N/A")))</f>
        <v>0.05</v>
      </c>
      <c r="W72" s="218">
        <f>IF(Case_Scenario="Bull",W73,IF(Case_Scenario="Base",W74,IF(Case_Scenario="bear",W75,"N/A")))</f>
        <v>0.05</v>
      </c>
      <c r="X72" s="218">
        <f>IF(Case_Scenario="Bull",X73,IF(Case_Scenario="Base",X74,IF(Case_Scenario="bear",X75,"N/A")))</f>
        <v>0.05</v>
      </c>
      <c r="Y72" s="219"/>
      <c r="Z72" s="218">
        <f>IF(Case_Scenario="Bull",Z73,IF(Case_Scenario="Base",Z74,IF(Case_Scenario="bear",Z75,"N/A")))</f>
        <v>0.05</v>
      </c>
      <c r="AA72" s="218">
        <f>IF(Case_Scenario="Bull",AA73,IF(Case_Scenario="Base",AA74,IF(Case_Scenario="bear",AA75,"N/A")))</f>
        <v>0.05</v>
      </c>
      <c r="AB72" s="218">
        <f>IF(Case_Scenario="Bull",AB73,IF(Case_Scenario="Base",AB74,IF(Case_Scenario="bear",AB75,"N/A")))</f>
        <v>0.05</v>
      </c>
      <c r="AC72" s="218">
        <f>IF(Case_Scenario="Bull",AC73,IF(Case_Scenario="Base",AC74,IF(Case_Scenario="bear",AC75,"N/A")))</f>
        <v>0.05</v>
      </c>
      <c r="AD72" s="219"/>
      <c r="AE72" s="219">
        <f>IF(Case_Scenario="Bull",AE73,IF(Case_Scenario="Base",AE74,IF(Case_Scenario="bear",AE75,"N/A")))</f>
        <v>0.05</v>
      </c>
      <c r="AF72" s="219">
        <f>IF(Case_Scenario="Bull",AF73,IF(Case_Scenario="Base",AF74,IF(Case_Scenario="bear",AF75,"N/A")))</f>
        <v>0.05</v>
      </c>
      <c r="AG72" s="219">
        <f>IF(Case_Scenario="Bull",AG73,IF(Case_Scenario="Base",AG74,IF(Case_Scenario="bear",AG75,"N/A")))</f>
        <v>0.05</v>
      </c>
      <c r="AH72" s="9"/>
      <c r="AI72" s="9"/>
      <c r="AJ72" s="9"/>
    </row>
    <row r="73" spans="1:36" ht="12.75" hidden="1" customHeight="1">
      <c r="A73" s="9"/>
      <c r="B73" s="9"/>
      <c r="C73" s="103" t="s">
        <v>245</v>
      </c>
      <c r="D73" s="9"/>
      <c r="E73" s="9"/>
      <c r="F73" s="232"/>
      <c r="G73" s="232"/>
      <c r="H73" s="232"/>
      <c r="I73" s="232"/>
      <c r="J73" s="132"/>
      <c r="K73" s="232"/>
      <c r="L73" s="232"/>
      <c r="M73" s="232"/>
      <c r="N73" s="232"/>
      <c r="O73" s="132"/>
      <c r="P73" s="232"/>
      <c r="Q73" s="232"/>
      <c r="R73" s="232"/>
      <c r="S73" s="232"/>
      <c r="T73" s="132"/>
      <c r="U73" s="232"/>
      <c r="V73" s="233">
        <v>0.1</v>
      </c>
      <c r="W73" s="233">
        <v>0.1</v>
      </c>
      <c r="X73" s="233">
        <v>0.1</v>
      </c>
      <c r="Y73" s="234"/>
      <c r="Z73" s="233">
        <v>0.1</v>
      </c>
      <c r="AA73" s="233">
        <v>0.1</v>
      </c>
      <c r="AB73" s="233">
        <v>0.1</v>
      </c>
      <c r="AC73" s="233">
        <v>0.1</v>
      </c>
      <c r="AD73" s="234"/>
      <c r="AE73" s="234">
        <v>0.1</v>
      </c>
      <c r="AF73" s="234">
        <v>0.1</v>
      </c>
      <c r="AG73" s="234">
        <v>0.1</v>
      </c>
      <c r="AH73" s="9"/>
      <c r="AI73" s="9"/>
      <c r="AJ73" s="9"/>
    </row>
    <row r="74" spans="1:36" ht="12.75" hidden="1" customHeight="1">
      <c r="A74" s="9"/>
      <c r="B74" s="9"/>
      <c r="C74" s="103" t="s">
        <v>246</v>
      </c>
      <c r="D74" s="9"/>
      <c r="E74" s="9"/>
      <c r="F74" s="232"/>
      <c r="G74" s="232"/>
      <c r="H74" s="232"/>
      <c r="I74" s="232"/>
      <c r="J74" s="132"/>
      <c r="K74" s="232"/>
      <c r="L74" s="232"/>
      <c r="M74" s="232"/>
      <c r="N74" s="232"/>
      <c r="O74" s="132"/>
      <c r="P74" s="232"/>
      <c r="Q74" s="232"/>
      <c r="R74" s="232"/>
      <c r="S74" s="232"/>
      <c r="T74" s="132"/>
      <c r="U74" s="232"/>
      <c r="V74" s="233">
        <v>0.05</v>
      </c>
      <c r="W74" s="233">
        <v>0.05</v>
      </c>
      <c r="X74" s="233">
        <v>0.05</v>
      </c>
      <c r="Y74" s="234"/>
      <c r="Z74" s="233">
        <v>0.05</v>
      </c>
      <c r="AA74" s="233">
        <v>0.05</v>
      </c>
      <c r="AB74" s="233">
        <v>0.05</v>
      </c>
      <c r="AC74" s="233">
        <v>0.05</v>
      </c>
      <c r="AD74" s="234"/>
      <c r="AE74" s="234">
        <v>0.05</v>
      </c>
      <c r="AF74" s="234">
        <v>0.05</v>
      </c>
      <c r="AG74" s="234">
        <v>0.05</v>
      </c>
      <c r="AH74" s="9"/>
      <c r="AI74" s="9"/>
      <c r="AJ74" s="9"/>
    </row>
    <row r="75" spans="1:36" ht="12.75" hidden="1" customHeight="1">
      <c r="A75" s="9"/>
      <c r="B75" s="9"/>
      <c r="C75" s="103" t="s">
        <v>247</v>
      </c>
      <c r="D75" s="9"/>
      <c r="E75" s="9"/>
      <c r="F75" s="232"/>
      <c r="G75" s="232"/>
      <c r="H75" s="232"/>
      <c r="I75" s="232"/>
      <c r="J75" s="132"/>
      <c r="K75" s="232"/>
      <c r="L75" s="232"/>
      <c r="M75" s="232"/>
      <c r="N75" s="232"/>
      <c r="O75" s="132"/>
      <c r="P75" s="232"/>
      <c r="Q75" s="232"/>
      <c r="R75" s="232"/>
      <c r="S75" s="232"/>
      <c r="T75" s="132"/>
      <c r="U75" s="232"/>
      <c r="V75" s="233">
        <v>0</v>
      </c>
      <c r="W75" s="233">
        <v>0</v>
      </c>
      <c r="X75" s="233">
        <v>0</v>
      </c>
      <c r="Y75" s="234"/>
      <c r="Z75" s="233">
        <v>0</v>
      </c>
      <c r="AA75" s="233">
        <v>0</v>
      </c>
      <c r="AB75" s="233">
        <v>0</v>
      </c>
      <c r="AC75" s="233">
        <v>0</v>
      </c>
      <c r="AD75" s="234"/>
      <c r="AE75" s="234">
        <v>0</v>
      </c>
      <c r="AF75" s="234">
        <v>0</v>
      </c>
      <c r="AG75" s="234">
        <v>0</v>
      </c>
      <c r="AH75" s="9"/>
      <c r="AI75" s="9"/>
      <c r="AJ75" s="9"/>
    </row>
    <row r="76" spans="1:36" ht="12.75" hidden="1" customHeight="1">
      <c r="A76" s="9"/>
      <c r="B76" s="9"/>
      <c r="C76" s="9"/>
      <c r="D76" s="9"/>
      <c r="E76" s="9"/>
      <c r="F76" s="232"/>
      <c r="G76" s="232"/>
      <c r="H76" s="232"/>
      <c r="I76" s="232"/>
      <c r="J76" s="132"/>
      <c r="K76" s="232"/>
      <c r="L76" s="232"/>
      <c r="M76" s="232"/>
      <c r="N76" s="232"/>
      <c r="O76" s="132"/>
      <c r="P76" s="232"/>
      <c r="Q76" s="232"/>
      <c r="R76" s="232"/>
      <c r="S76" s="232"/>
      <c r="T76" s="132"/>
      <c r="U76" s="232"/>
      <c r="V76" s="235"/>
      <c r="W76" s="235"/>
      <c r="X76" s="235"/>
      <c r="Y76" s="132"/>
      <c r="Z76" s="235"/>
      <c r="AA76" s="235"/>
      <c r="AB76" s="235"/>
      <c r="AC76" s="235"/>
      <c r="AD76" s="132"/>
      <c r="AE76" s="132"/>
      <c r="AF76" s="132"/>
      <c r="AG76" s="132"/>
      <c r="AH76" s="9"/>
      <c r="AI76" s="9"/>
      <c r="AJ76" s="9"/>
    </row>
    <row r="77" spans="1:36" ht="12.75" hidden="1" customHeight="1">
      <c r="A77" s="180" t="s">
        <v>0</v>
      </c>
      <c r="B77" s="9"/>
      <c r="C77" s="103" t="str">
        <f>C44</f>
        <v>Segment 5 Revenue</v>
      </c>
      <c r="D77" s="9"/>
      <c r="E77" s="9"/>
      <c r="F77" s="230">
        <f t="shared" ref="F77:U77" si="21">F44</f>
        <v>0</v>
      </c>
      <c r="G77" s="230">
        <f t="shared" si="21"/>
        <v>0</v>
      </c>
      <c r="H77" s="230">
        <f t="shared" si="21"/>
        <v>0</v>
      </c>
      <c r="I77" s="230">
        <f t="shared" si="21"/>
        <v>0</v>
      </c>
      <c r="J77" s="202">
        <f t="shared" si="21"/>
        <v>0</v>
      </c>
      <c r="K77" s="230">
        <f t="shared" si="21"/>
        <v>0</v>
      </c>
      <c r="L77" s="230">
        <f t="shared" si="21"/>
        <v>0</v>
      </c>
      <c r="M77" s="230">
        <f t="shared" si="21"/>
        <v>0</v>
      </c>
      <c r="N77" s="230">
        <f t="shared" si="21"/>
        <v>0</v>
      </c>
      <c r="O77" s="202">
        <f t="shared" si="21"/>
        <v>0</v>
      </c>
      <c r="P77" s="230">
        <f t="shared" si="21"/>
        <v>0</v>
      </c>
      <c r="Q77" s="230">
        <f t="shared" si="21"/>
        <v>0</v>
      </c>
      <c r="R77" s="230">
        <f t="shared" si="21"/>
        <v>0</v>
      </c>
      <c r="S77" s="230">
        <f t="shared" si="21"/>
        <v>0</v>
      </c>
      <c r="T77" s="202">
        <f t="shared" si="21"/>
        <v>0</v>
      </c>
      <c r="U77" s="230">
        <f t="shared" si="21"/>
        <v>0</v>
      </c>
      <c r="V77" s="201">
        <f>IF($C$25="Quarterly",U77*(1+V78),Q77*(1+V78))</f>
        <v>0</v>
      </c>
      <c r="W77" s="201">
        <f>IF($C$25="Quarterly",V77*(1+W78),R77*(1+W78))</f>
        <v>0</v>
      </c>
      <c r="X77" s="201">
        <f>IF($C$25="Quarterly",W77*(1+X78),S77*(1+X78))</f>
        <v>0</v>
      </c>
      <c r="Y77" s="202">
        <f>SUM(U77:X77)</f>
        <v>0</v>
      </c>
      <c r="Z77" s="201">
        <f>IF($C$25="Quarterly",X77*(1+Z78),U77*(1+Z78))</f>
        <v>0</v>
      </c>
      <c r="AA77" s="201">
        <f>IF($C$25="Quarterly",Z77*(1+AA78),V77*(1+AA78))</f>
        <v>0</v>
      </c>
      <c r="AB77" s="201">
        <f>IF($C$25="Quarterly",AA77*(1+AB78),W77*(1+AB78))</f>
        <v>0</v>
      </c>
      <c r="AC77" s="201">
        <f>IF($C$25="Quarterly",AB77*(1+AC78),X77*(1+AC78))</f>
        <v>0</v>
      </c>
      <c r="AD77" s="202">
        <f>SUM(Z77:AC77)</f>
        <v>0</v>
      </c>
      <c r="AE77" s="202">
        <f>AD77*(1+AE78)</f>
        <v>0</v>
      </c>
      <c r="AF77" s="202">
        <f>AE77*(1+AF78)</f>
        <v>0</v>
      </c>
      <c r="AG77" s="202">
        <f>AF77*(1+AG78)</f>
        <v>0</v>
      </c>
      <c r="AH77" s="9"/>
      <c r="AI77" s="9"/>
      <c r="AJ77" s="9"/>
    </row>
    <row r="78" spans="1:36" ht="12.75" hidden="1" customHeight="1">
      <c r="A78" s="9"/>
      <c r="B78" s="9"/>
      <c r="C78" s="84" t="str">
        <f>IF($C$25="Quarterly","% Growth QoQ","% Growth YoY")</f>
        <v>% Growth QoQ</v>
      </c>
      <c r="D78" s="9"/>
      <c r="E78" s="9"/>
      <c r="F78" s="232"/>
      <c r="G78" s="231" t="str">
        <f t="shared" ref="G78:U78" si="22">G45</f>
        <v>N/A</v>
      </c>
      <c r="H78" s="231" t="str">
        <f t="shared" si="22"/>
        <v>N/A</v>
      </c>
      <c r="I78" s="231" t="str">
        <f t="shared" si="22"/>
        <v>N/A</v>
      </c>
      <c r="J78" s="219">
        <f t="shared" si="22"/>
        <v>0</v>
      </c>
      <c r="K78" s="231" t="str">
        <f t="shared" si="22"/>
        <v>N/A</v>
      </c>
      <c r="L78" s="231" t="str">
        <f t="shared" si="22"/>
        <v>N/A</v>
      </c>
      <c r="M78" s="231" t="str">
        <f t="shared" si="22"/>
        <v>N/A</v>
      </c>
      <c r="N78" s="231" t="str">
        <f t="shared" si="22"/>
        <v>N/A</v>
      </c>
      <c r="O78" s="219">
        <f t="shared" si="22"/>
        <v>0</v>
      </c>
      <c r="P78" s="231" t="str">
        <f t="shared" si="22"/>
        <v>N/A</v>
      </c>
      <c r="Q78" s="231" t="str">
        <f t="shared" si="22"/>
        <v>N/A</v>
      </c>
      <c r="R78" s="231" t="str">
        <f t="shared" si="22"/>
        <v>N/A</v>
      </c>
      <c r="S78" s="231" t="str">
        <f t="shared" si="22"/>
        <v>N/A</v>
      </c>
      <c r="T78" s="219">
        <f t="shared" si="22"/>
        <v>0</v>
      </c>
      <c r="U78" s="231" t="str">
        <f t="shared" si="22"/>
        <v>N/A</v>
      </c>
      <c r="V78" s="218">
        <f>IF(Case_Scenario="Bull",V79,IF(Case_Scenario="Base",V80,IF(Case_Scenario="bear",V81,"N/A")))</f>
        <v>0.05</v>
      </c>
      <c r="W78" s="218">
        <f>IF(Case_Scenario="Bull",W79,IF(Case_Scenario="Base",W80,IF(Case_Scenario="bear",W81,"N/A")))</f>
        <v>0.05</v>
      </c>
      <c r="X78" s="218">
        <f>IF(Case_Scenario="Bull",X79,IF(Case_Scenario="Base",X80,IF(Case_Scenario="bear",X81,"N/A")))</f>
        <v>0.05</v>
      </c>
      <c r="Y78" s="219"/>
      <c r="Z78" s="218">
        <f>IF(Case_Scenario="Bull",Z79,IF(Case_Scenario="Base",Z80,IF(Case_Scenario="bear",Z81,"N/A")))</f>
        <v>0.05</v>
      </c>
      <c r="AA78" s="218">
        <f>IF(Case_Scenario="Bull",AA79,IF(Case_Scenario="Base",AA80,IF(Case_Scenario="bear",AA81,"N/A")))</f>
        <v>0.05</v>
      </c>
      <c r="AB78" s="218">
        <f>IF(Case_Scenario="Bull",AB79,IF(Case_Scenario="Base",AB80,IF(Case_Scenario="bear",AB81,"N/A")))</f>
        <v>0.05</v>
      </c>
      <c r="AC78" s="218">
        <f>IF(Case_Scenario="Bull",AC79,IF(Case_Scenario="Base",AC80,IF(Case_Scenario="bear",AC81,"N/A")))</f>
        <v>0.05</v>
      </c>
      <c r="AD78" s="219"/>
      <c r="AE78" s="219">
        <f>IF(Case_Scenario="Bull",AE79,IF(Case_Scenario="Base",AE80,IF(Case_Scenario="bear",AE81,"N/A")))</f>
        <v>0.05</v>
      </c>
      <c r="AF78" s="219">
        <f>IF(Case_Scenario="Bull",AF79,IF(Case_Scenario="Base",AF80,IF(Case_Scenario="bear",AF81,"N/A")))</f>
        <v>0.05</v>
      </c>
      <c r="AG78" s="219">
        <f>IF(Case_Scenario="Bull",AG79,IF(Case_Scenario="Base",AG80,IF(Case_Scenario="bear",AG81,"N/A")))</f>
        <v>0.05</v>
      </c>
      <c r="AH78" s="9"/>
      <c r="AI78" s="9"/>
      <c r="AJ78" s="9"/>
    </row>
    <row r="79" spans="1:36" ht="12.75" hidden="1" customHeight="1">
      <c r="A79" s="9"/>
      <c r="B79" s="9"/>
      <c r="C79" s="103" t="s">
        <v>245</v>
      </c>
      <c r="D79" s="9"/>
      <c r="E79" s="9"/>
      <c r="F79" s="232"/>
      <c r="G79" s="232"/>
      <c r="H79" s="232"/>
      <c r="I79" s="232"/>
      <c r="J79" s="132"/>
      <c r="K79" s="232"/>
      <c r="L79" s="232"/>
      <c r="M79" s="232"/>
      <c r="N79" s="232"/>
      <c r="O79" s="132"/>
      <c r="P79" s="232"/>
      <c r="Q79" s="232"/>
      <c r="R79" s="232"/>
      <c r="S79" s="232"/>
      <c r="T79" s="132"/>
      <c r="U79" s="232"/>
      <c r="V79" s="233">
        <v>0.1</v>
      </c>
      <c r="W79" s="233">
        <v>0.1</v>
      </c>
      <c r="X79" s="233">
        <v>0.1</v>
      </c>
      <c r="Y79" s="234"/>
      <c r="Z79" s="233">
        <v>0.1</v>
      </c>
      <c r="AA79" s="233">
        <v>0.1</v>
      </c>
      <c r="AB79" s="233">
        <v>0.1</v>
      </c>
      <c r="AC79" s="233">
        <v>0.1</v>
      </c>
      <c r="AD79" s="234"/>
      <c r="AE79" s="234">
        <v>0.1</v>
      </c>
      <c r="AF79" s="234">
        <v>0.1</v>
      </c>
      <c r="AG79" s="234">
        <v>0.1</v>
      </c>
      <c r="AH79" s="9"/>
      <c r="AI79" s="9"/>
      <c r="AJ79" s="9"/>
    </row>
    <row r="80" spans="1:36" ht="12.75" hidden="1" customHeight="1">
      <c r="A80" s="9"/>
      <c r="B80" s="9"/>
      <c r="C80" s="103" t="s">
        <v>246</v>
      </c>
      <c r="D80" s="9"/>
      <c r="E80" s="9"/>
      <c r="F80" s="232"/>
      <c r="G80" s="232"/>
      <c r="H80" s="232"/>
      <c r="I80" s="232"/>
      <c r="J80" s="132"/>
      <c r="K80" s="232"/>
      <c r="L80" s="232"/>
      <c r="M80" s="232"/>
      <c r="N80" s="232"/>
      <c r="O80" s="132"/>
      <c r="P80" s="232"/>
      <c r="Q80" s="232"/>
      <c r="R80" s="232"/>
      <c r="S80" s="232"/>
      <c r="T80" s="132"/>
      <c r="U80" s="232"/>
      <c r="V80" s="233">
        <v>0.05</v>
      </c>
      <c r="W80" s="233">
        <v>0.05</v>
      </c>
      <c r="X80" s="233">
        <v>0.05</v>
      </c>
      <c r="Y80" s="234"/>
      <c r="Z80" s="233">
        <v>0.05</v>
      </c>
      <c r="AA80" s="233">
        <v>0.05</v>
      </c>
      <c r="AB80" s="233">
        <v>0.05</v>
      </c>
      <c r="AC80" s="233">
        <v>0.05</v>
      </c>
      <c r="AD80" s="234"/>
      <c r="AE80" s="234">
        <v>0.05</v>
      </c>
      <c r="AF80" s="234">
        <v>0.05</v>
      </c>
      <c r="AG80" s="234">
        <v>0.05</v>
      </c>
      <c r="AH80" s="9"/>
      <c r="AI80" s="9"/>
      <c r="AJ80" s="9"/>
    </row>
    <row r="81" spans="1:36" ht="12.75" hidden="1" customHeight="1">
      <c r="A81" s="9"/>
      <c r="B81" s="9"/>
      <c r="C81" s="103" t="s">
        <v>247</v>
      </c>
      <c r="D81" s="9"/>
      <c r="E81" s="9"/>
      <c r="F81" s="232"/>
      <c r="G81" s="232"/>
      <c r="H81" s="232"/>
      <c r="I81" s="232"/>
      <c r="J81" s="132"/>
      <c r="K81" s="232"/>
      <c r="L81" s="232"/>
      <c r="M81" s="232"/>
      <c r="N81" s="232"/>
      <c r="O81" s="132"/>
      <c r="P81" s="232"/>
      <c r="Q81" s="232"/>
      <c r="R81" s="232"/>
      <c r="S81" s="232"/>
      <c r="T81" s="132"/>
      <c r="U81" s="232"/>
      <c r="V81" s="233">
        <v>0</v>
      </c>
      <c r="W81" s="233">
        <v>0</v>
      </c>
      <c r="X81" s="233">
        <v>0</v>
      </c>
      <c r="Y81" s="234"/>
      <c r="Z81" s="233">
        <v>0</v>
      </c>
      <c r="AA81" s="233">
        <v>0</v>
      </c>
      <c r="AB81" s="233">
        <v>0</v>
      </c>
      <c r="AC81" s="233">
        <v>0</v>
      </c>
      <c r="AD81" s="234"/>
      <c r="AE81" s="234">
        <v>0</v>
      </c>
      <c r="AF81" s="234">
        <v>0</v>
      </c>
      <c r="AG81" s="234">
        <v>0</v>
      </c>
      <c r="AH81" s="9"/>
      <c r="AI81" s="9"/>
      <c r="AJ81" s="9"/>
    </row>
    <row r="82" spans="1:36" ht="12.75" hidden="1" customHeight="1">
      <c r="A82" s="9"/>
      <c r="B82" s="9"/>
      <c r="C82" s="9"/>
      <c r="D82" s="9"/>
      <c r="E82" s="9"/>
      <c r="F82" s="232"/>
      <c r="G82" s="232"/>
      <c r="H82" s="232"/>
      <c r="I82" s="232"/>
      <c r="J82" s="132"/>
      <c r="K82" s="232"/>
      <c r="L82" s="232"/>
      <c r="M82" s="232"/>
      <c r="N82" s="232"/>
      <c r="O82" s="132"/>
      <c r="P82" s="232"/>
      <c r="Q82" s="232"/>
      <c r="R82" s="232"/>
      <c r="S82" s="232"/>
      <c r="T82" s="132"/>
      <c r="U82" s="232"/>
      <c r="V82" s="235"/>
      <c r="W82" s="235"/>
      <c r="X82" s="235"/>
      <c r="Y82" s="132"/>
      <c r="Z82" s="235"/>
      <c r="AA82" s="235"/>
      <c r="AB82" s="235"/>
      <c r="AC82" s="235"/>
      <c r="AD82" s="132"/>
      <c r="AE82" s="132"/>
      <c r="AF82" s="132"/>
      <c r="AG82" s="132"/>
      <c r="AH82" s="9"/>
      <c r="AI82" s="9"/>
      <c r="AJ82" s="9"/>
    </row>
    <row r="83" spans="1:36" ht="12.75" hidden="1" customHeight="1">
      <c r="A83" s="180" t="s">
        <v>0</v>
      </c>
      <c r="B83" s="9"/>
      <c r="C83" s="103" t="str">
        <f>C47</f>
        <v>Segment 6 Revenue</v>
      </c>
      <c r="D83" s="9"/>
      <c r="E83" s="9"/>
      <c r="F83" s="230">
        <f t="shared" ref="F83:U83" si="23">F47</f>
        <v>0</v>
      </c>
      <c r="G83" s="230">
        <f t="shared" si="23"/>
        <v>0</v>
      </c>
      <c r="H83" s="230">
        <f t="shared" si="23"/>
        <v>0</v>
      </c>
      <c r="I83" s="230">
        <f t="shared" si="23"/>
        <v>0</v>
      </c>
      <c r="J83" s="202">
        <f t="shared" si="23"/>
        <v>0</v>
      </c>
      <c r="K83" s="230">
        <f t="shared" si="23"/>
        <v>0</v>
      </c>
      <c r="L83" s="230">
        <f t="shared" si="23"/>
        <v>0</v>
      </c>
      <c r="M83" s="230">
        <f t="shared" si="23"/>
        <v>0</v>
      </c>
      <c r="N83" s="230">
        <f t="shared" si="23"/>
        <v>0</v>
      </c>
      <c r="O83" s="202">
        <f t="shared" si="23"/>
        <v>0</v>
      </c>
      <c r="P83" s="230">
        <f t="shared" si="23"/>
        <v>0</v>
      </c>
      <c r="Q83" s="230">
        <f t="shared" si="23"/>
        <v>0</v>
      </c>
      <c r="R83" s="230">
        <f t="shared" si="23"/>
        <v>0</v>
      </c>
      <c r="S83" s="230">
        <f t="shared" si="23"/>
        <v>0</v>
      </c>
      <c r="T83" s="202">
        <f t="shared" si="23"/>
        <v>0</v>
      </c>
      <c r="U83" s="230">
        <f t="shared" si="23"/>
        <v>0</v>
      </c>
      <c r="V83" s="201">
        <f>IF($C$25="Quarterly",U83*(1+V84),Q83*(1+V84))</f>
        <v>0</v>
      </c>
      <c r="W83" s="201">
        <f>IF($C$25="Quarterly",V83*(1+W84),R83*(1+W84))</f>
        <v>0</v>
      </c>
      <c r="X83" s="201">
        <f>IF($C$25="Quarterly",W83*(1+X84),S83*(1+X84))</f>
        <v>0</v>
      </c>
      <c r="Y83" s="202">
        <f>SUM(U83:X83)</f>
        <v>0</v>
      </c>
      <c r="Z83" s="201">
        <f>IF($C$25="Quarterly",X83*(1+Z84),U83*(1+Z84))</f>
        <v>0</v>
      </c>
      <c r="AA83" s="201">
        <f>IF($C$25="Quarterly",Z83*(1+AA84),V83*(1+AA84))</f>
        <v>0</v>
      </c>
      <c r="AB83" s="201">
        <f>IF($C$25="Quarterly",AA83*(1+AB84),W83*(1+AB84))</f>
        <v>0</v>
      </c>
      <c r="AC83" s="201">
        <f>IF($C$25="Quarterly",AB83*(1+AC84),X83*(1+AC84))</f>
        <v>0</v>
      </c>
      <c r="AD83" s="202">
        <f>SUM(Z83:AC83)</f>
        <v>0</v>
      </c>
      <c r="AE83" s="202">
        <f>AD83*(1+AE84)</f>
        <v>0</v>
      </c>
      <c r="AF83" s="202">
        <f>AE83*(1+AF84)</f>
        <v>0</v>
      </c>
      <c r="AG83" s="202">
        <f>AF83*(1+AG84)</f>
        <v>0</v>
      </c>
      <c r="AH83" s="9"/>
      <c r="AI83" s="9"/>
      <c r="AJ83" s="9"/>
    </row>
    <row r="84" spans="1:36" ht="12.75" hidden="1" customHeight="1">
      <c r="A84" s="9"/>
      <c r="B84" s="9"/>
      <c r="C84" s="84" t="str">
        <f>IF($C$25="Quarterly","% Growth QoQ","% Growth YoY")</f>
        <v>% Growth QoQ</v>
      </c>
      <c r="D84" s="9"/>
      <c r="E84" s="9"/>
      <c r="F84" s="232"/>
      <c r="G84" s="231" t="str">
        <f t="shared" ref="G84:U84" si="24">G48</f>
        <v>N/A</v>
      </c>
      <c r="H84" s="231" t="str">
        <f t="shared" si="24"/>
        <v>N/A</v>
      </c>
      <c r="I84" s="231" t="str">
        <f t="shared" si="24"/>
        <v>N/A</v>
      </c>
      <c r="J84" s="219">
        <f t="shared" si="24"/>
        <v>0</v>
      </c>
      <c r="K84" s="231" t="str">
        <f t="shared" si="24"/>
        <v>N/A</v>
      </c>
      <c r="L84" s="231" t="str">
        <f t="shared" si="24"/>
        <v>N/A</v>
      </c>
      <c r="M84" s="231" t="str">
        <f t="shared" si="24"/>
        <v>N/A</v>
      </c>
      <c r="N84" s="231" t="str">
        <f t="shared" si="24"/>
        <v>N/A</v>
      </c>
      <c r="O84" s="219">
        <f t="shared" si="24"/>
        <v>0</v>
      </c>
      <c r="P84" s="231" t="str">
        <f t="shared" si="24"/>
        <v>N/A</v>
      </c>
      <c r="Q84" s="231" t="str">
        <f t="shared" si="24"/>
        <v>N/A</v>
      </c>
      <c r="R84" s="231" t="str">
        <f t="shared" si="24"/>
        <v>N/A</v>
      </c>
      <c r="S84" s="231" t="str">
        <f t="shared" si="24"/>
        <v>N/A</v>
      </c>
      <c r="T84" s="219">
        <f t="shared" si="24"/>
        <v>0</v>
      </c>
      <c r="U84" s="231" t="str">
        <f t="shared" si="24"/>
        <v>N/A</v>
      </c>
      <c r="V84" s="218">
        <f>IF(Case_Scenario="Bull",V85,IF(Case_Scenario="Base",V86,IF(Case_Scenario="bear",V87,"N/A")))</f>
        <v>0</v>
      </c>
      <c r="W84" s="218">
        <f>IF(Case_Scenario="Bull",W85,IF(Case_Scenario="Base",W86,IF(Case_Scenario="bear",W87,"N/A")))</f>
        <v>0</v>
      </c>
      <c r="X84" s="218">
        <f>IF(Case_Scenario="Bull",X85,IF(Case_Scenario="Base",X86,IF(Case_Scenario="bear",X87,"N/A")))</f>
        <v>0</v>
      </c>
      <c r="Y84" s="219"/>
      <c r="Z84" s="218">
        <f>IF(Case_Scenario="Bull",Z85,IF(Case_Scenario="Base",Z86,IF(Case_Scenario="bear",Z87,"N/A")))</f>
        <v>0</v>
      </c>
      <c r="AA84" s="218">
        <f>IF(Case_Scenario="Bull",AA85,IF(Case_Scenario="Base",AA86,IF(Case_Scenario="bear",AA87,"N/A")))</f>
        <v>0</v>
      </c>
      <c r="AB84" s="218">
        <f>IF(Case_Scenario="Bull",AB85,IF(Case_Scenario="Base",AB86,IF(Case_Scenario="bear",AB87,"N/A")))</f>
        <v>0</v>
      </c>
      <c r="AC84" s="218">
        <f>IF(Case_Scenario="Bull",AC85,IF(Case_Scenario="Base",AC86,IF(Case_Scenario="bear",AC87,"N/A")))</f>
        <v>0</v>
      </c>
      <c r="AD84" s="219"/>
      <c r="AE84" s="219">
        <f>IF(Case_Scenario="Bull",AE85,IF(Case_Scenario="Base",AE86,IF(Case_Scenario="bear",AE87,"N/A")))</f>
        <v>0</v>
      </c>
      <c r="AF84" s="219">
        <f>IF(Case_Scenario="Bull",AF85,IF(Case_Scenario="Base",AF86,IF(Case_Scenario="bear",AF87,"N/A")))</f>
        <v>0</v>
      </c>
      <c r="AG84" s="219">
        <f>IF(Case_Scenario="Bull",AG85,IF(Case_Scenario="Base",AG86,IF(Case_Scenario="bear",AG87,"N/A")))</f>
        <v>0</v>
      </c>
      <c r="AH84" s="9"/>
      <c r="AI84" s="9"/>
      <c r="AJ84" s="9"/>
    </row>
    <row r="85" spans="1:36" ht="12.75" hidden="1" customHeight="1">
      <c r="A85" s="9"/>
      <c r="B85" s="9"/>
      <c r="C85" s="103" t="s">
        <v>245</v>
      </c>
      <c r="D85" s="9"/>
      <c r="E85" s="9"/>
      <c r="F85" s="232"/>
      <c r="G85" s="232"/>
      <c r="H85" s="232"/>
      <c r="I85" s="232"/>
      <c r="J85" s="132"/>
      <c r="K85" s="232"/>
      <c r="L85" s="232"/>
      <c r="M85" s="232"/>
      <c r="N85" s="232"/>
      <c r="O85" s="132"/>
      <c r="P85" s="232"/>
      <c r="Q85" s="232"/>
      <c r="R85" s="232"/>
      <c r="S85" s="232"/>
      <c r="T85" s="132"/>
      <c r="U85" s="232"/>
      <c r="V85" s="233">
        <f t="shared" ref="V85:X87" si="25">U85</f>
        <v>0</v>
      </c>
      <c r="W85" s="233">
        <f t="shared" si="25"/>
        <v>0</v>
      </c>
      <c r="X85" s="233">
        <f t="shared" si="25"/>
        <v>0</v>
      </c>
      <c r="Y85" s="234"/>
      <c r="Z85" s="233">
        <f>X85</f>
        <v>0</v>
      </c>
      <c r="AA85" s="233">
        <f t="shared" ref="AA85:AC87" si="26">Z85</f>
        <v>0</v>
      </c>
      <c r="AB85" s="233">
        <f t="shared" si="26"/>
        <v>0</v>
      </c>
      <c r="AC85" s="233">
        <f t="shared" si="26"/>
        <v>0</v>
      </c>
      <c r="AD85" s="234"/>
      <c r="AE85" s="234">
        <f>AC85</f>
        <v>0</v>
      </c>
      <c r="AF85" s="234">
        <f t="shared" ref="AF85:AG87" si="27">AE85</f>
        <v>0</v>
      </c>
      <c r="AG85" s="234">
        <f t="shared" si="27"/>
        <v>0</v>
      </c>
      <c r="AH85" s="9"/>
      <c r="AI85" s="9"/>
      <c r="AJ85" s="9"/>
    </row>
    <row r="86" spans="1:36" ht="12.75" hidden="1" customHeight="1">
      <c r="A86" s="9"/>
      <c r="B86" s="9"/>
      <c r="C86" s="103" t="s">
        <v>246</v>
      </c>
      <c r="D86" s="9"/>
      <c r="E86" s="9"/>
      <c r="F86" s="232"/>
      <c r="G86" s="232"/>
      <c r="H86" s="232"/>
      <c r="I86" s="232"/>
      <c r="J86" s="132"/>
      <c r="K86" s="232"/>
      <c r="L86" s="232"/>
      <c r="M86" s="232"/>
      <c r="N86" s="232"/>
      <c r="O86" s="132"/>
      <c r="P86" s="232"/>
      <c r="Q86" s="232"/>
      <c r="R86" s="232"/>
      <c r="S86" s="232"/>
      <c r="T86" s="132"/>
      <c r="U86" s="232"/>
      <c r="V86" s="233">
        <f t="shared" si="25"/>
        <v>0</v>
      </c>
      <c r="W86" s="233">
        <f t="shared" si="25"/>
        <v>0</v>
      </c>
      <c r="X86" s="233">
        <f t="shared" si="25"/>
        <v>0</v>
      </c>
      <c r="Y86" s="234"/>
      <c r="Z86" s="233">
        <f>X86</f>
        <v>0</v>
      </c>
      <c r="AA86" s="233">
        <f t="shared" si="26"/>
        <v>0</v>
      </c>
      <c r="AB86" s="233">
        <f t="shared" si="26"/>
        <v>0</v>
      </c>
      <c r="AC86" s="233">
        <f t="shared" si="26"/>
        <v>0</v>
      </c>
      <c r="AD86" s="234"/>
      <c r="AE86" s="234">
        <f>AC86</f>
        <v>0</v>
      </c>
      <c r="AF86" s="234">
        <f t="shared" si="27"/>
        <v>0</v>
      </c>
      <c r="AG86" s="234">
        <f t="shared" si="27"/>
        <v>0</v>
      </c>
      <c r="AH86" s="9"/>
      <c r="AI86" s="9"/>
      <c r="AJ86" s="9"/>
    </row>
    <row r="87" spans="1:36" ht="12.75" hidden="1" customHeight="1">
      <c r="A87" s="9"/>
      <c r="B87" s="9"/>
      <c r="C87" s="103" t="s">
        <v>247</v>
      </c>
      <c r="D87" s="9"/>
      <c r="E87" s="9"/>
      <c r="F87" s="232"/>
      <c r="G87" s="232"/>
      <c r="H87" s="232"/>
      <c r="I87" s="232"/>
      <c r="J87" s="132"/>
      <c r="K87" s="232"/>
      <c r="L87" s="232"/>
      <c r="M87" s="232"/>
      <c r="N87" s="232"/>
      <c r="O87" s="132"/>
      <c r="P87" s="232"/>
      <c r="Q87" s="232"/>
      <c r="R87" s="232"/>
      <c r="S87" s="232"/>
      <c r="T87" s="132"/>
      <c r="U87" s="232"/>
      <c r="V87" s="233">
        <f t="shared" si="25"/>
        <v>0</v>
      </c>
      <c r="W87" s="233">
        <f t="shared" si="25"/>
        <v>0</v>
      </c>
      <c r="X87" s="233">
        <f t="shared" si="25"/>
        <v>0</v>
      </c>
      <c r="Y87" s="234"/>
      <c r="Z87" s="233">
        <f>X87</f>
        <v>0</v>
      </c>
      <c r="AA87" s="233">
        <f t="shared" si="26"/>
        <v>0</v>
      </c>
      <c r="AB87" s="233">
        <f t="shared" si="26"/>
        <v>0</v>
      </c>
      <c r="AC87" s="233">
        <f t="shared" si="26"/>
        <v>0</v>
      </c>
      <c r="AD87" s="234"/>
      <c r="AE87" s="234">
        <f>AC87</f>
        <v>0</v>
      </c>
      <c r="AF87" s="234">
        <f t="shared" si="27"/>
        <v>0</v>
      </c>
      <c r="AG87" s="234">
        <f t="shared" si="27"/>
        <v>0</v>
      </c>
      <c r="AH87" s="9"/>
      <c r="AI87" s="9"/>
      <c r="AJ87" s="9"/>
    </row>
    <row r="88" spans="1:36" ht="12.75" hidden="1" customHeight="1">
      <c r="A88" s="9"/>
      <c r="B88" s="9"/>
      <c r="C88" s="9"/>
      <c r="D88" s="9"/>
      <c r="E88" s="9"/>
      <c r="F88" s="232"/>
      <c r="G88" s="232"/>
      <c r="H88" s="232"/>
      <c r="I88" s="232"/>
      <c r="J88" s="132"/>
      <c r="K88" s="232"/>
      <c r="L88" s="232"/>
      <c r="M88" s="232"/>
      <c r="N88" s="232"/>
      <c r="O88" s="132"/>
      <c r="P88" s="232"/>
      <c r="Q88" s="232"/>
      <c r="R88" s="232"/>
      <c r="S88" s="232"/>
      <c r="T88" s="132"/>
      <c r="U88" s="232"/>
      <c r="V88" s="235"/>
      <c r="W88" s="235"/>
      <c r="X88" s="235"/>
      <c r="Y88" s="132"/>
      <c r="Z88" s="235"/>
      <c r="AA88" s="235"/>
      <c r="AB88" s="235"/>
      <c r="AC88" s="235"/>
      <c r="AD88" s="132"/>
      <c r="AE88" s="132"/>
      <c r="AF88" s="132"/>
      <c r="AG88" s="132"/>
      <c r="AH88" s="9"/>
      <c r="AI88" s="9"/>
      <c r="AJ88" s="9"/>
    </row>
    <row r="89" spans="1:36" ht="12.75" hidden="1" customHeight="1">
      <c r="A89" s="180" t="s">
        <v>0</v>
      </c>
      <c r="B89" s="9"/>
      <c r="C89" s="50" t="s">
        <v>248</v>
      </c>
      <c r="D89" s="12"/>
      <c r="E89" s="12"/>
      <c r="F89" s="226" t="str">
        <f t="shared" ref="F89:AG89" si="28">F$28</f>
        <v>1Q23</v>
      </c>
      <c r="G89" s="226" t="str">
        <f t="shared" si="28"/>
        <v>2Q23</v>
      </c>
      <c r="H89" s="226" t="str">
        <f t="shared" si="28"/>
        <v>3Q23</v>
      </c>
      <c r="I89" s="226" t="str">
        <f t="shared" si="28"/>
        <v>4Q23</v>
      </c>
      <c r="J89" s="226">
        <f t="shared" si="28"/>
        <v>2023</v>
      </c>
      <c r="K89" s="226" t="str">
        <f t="shared" si="28"/>
        <v>1Q24</v>
      </c>
      <c r="L89" s="226" t="str">
        <f t="shared" si="28"/>
        <v>2Q24</v>
      </c>
      <c r="M89" s="226" t="str">
        <f t="shared" si="28"/>
        <v>3Q24</v>
      </c>
      <c r="N89" s="226" t="str">
        <f t="shared" si="28"/>
        <v>4Q24</v>
      </c>
      <c r="O89" s="226">
        <f t="shared" si="28"/>
        <v>2024</v>
      </c>
      <c r="P89" s="226" t="str">
        <f t="shared" si="28"/>
        <v>1Q25</v>
      </c>
      <c r="Q89" s="226" t="str">
        <f t="shared" si="28"/>
        <v>2Q25</v>
      </c>
      <c r="R89" s="226" t="str">
        <f t="shared" si="28"/>
        <v>3Q25</v>
      </c>
      <c r="S89" s="226" t="str">
        <f t="shared" si="28"/>
        <v>4Q25</v>
      </c>
      <c r="T89" s="226">
        <f t="shared" si="28"/>
        <v>2025</v>
      </c>
      <c r="U89" s="226" t="str">
        <f t="shared" si="28"/>
        <v>1Q26</v>
      </c>
      <c r="V89" s="226" t="str">
        <f t="shared" si="28"/>
        <v>2Q26e</v>
      </c>
      <c r="W89" s="226" t="str">
        <f t="shared" si="28"/>
        <v>3Q26e</v>
      </c>
      <c r="X89" s="226" t="str">
        <f t="shared" si="28"/>
        <v>4Q26e</v>
      </c>
      <c r="Y89" s="226" t="str">
        <f t="shared" si="28"/>
        <v>2026e</v>
      </c>
      <c r="Z89" s="226" t="str">
        <f t="shared" si="28"/>
        <v>1Q27e</v>
      </c>
      <c r="AA89" s="226" t="str">
        <f t="shared" si="28"/>
        <v>2Q27e</v>
      </c>
      <c r="AB89" s="226" t="str">
        <f t="shared" si="28"/>
        <v>3Q27e</v>
      </c>
      <c r="AC89" s="226" t="str">
        <f t="shared" si="28"/>
        <v>4Q27e</v>
      </c>
      <c r="AD89" s="226" t="str">
        <f t="shared" si="28"/>
        <v>2027e</v>
      </c>
      <c r="AE89" s="226" t="str">
        <f t="shared" si="28"/>
        <v>2028e</v>
      </c>
      <c r="AF89" s="226" t="str">
        <f t="shared" si="28"/>
        <v>2029e</v>
      </c>
      <c r="AG89" s="227" t="str">
        <f t="shared" si="28"/>
        <v>2030e</v>
      </c>
      <c r="AH89" s="192" t="s">
        <v>0</v>
      </c>
      <c r="AI89" s="9"/>
      <c r="AJ89" s="9"/>
    </row>
    <row r="90" spans="1:36" ht="12.75" hidden="1" customHeight="1">
      <c r="A90" s="9"/>
      <c r="B90" s="9"/>
      <c r="C90" s="9"/>
      <c r="D90" s="9"/>
      <c r="E90" s="9"/>
      <c r="F90" s="228"/>
      <c r="G90" s="228"/>
      <c r="H90" s="228"/>
      <c r="I90" s="228"/>
      <c r="J90" s="9"/>
      <c r="K90" s="228"/>
      <c r="L90" s="228"/>
      <c r="M90" s="228"/>
      <c r="N90" s="228"/>
      <c r="O90" s="9"/>
      <c r="P90" s="228"/>
      <c r="Q90" s="228"/>
      <c r="R90" s="228"/>
      <c r="S90" s="228"/>
      <c r="T90" s="9"/>
      <c r="U90" s="228"/>
      <c r="V90" s="229"/>
      <c r="W90" s="229"/>
      <c r="X90" s="229"/>
      <c r="Y90" s="9"/>
      <c r="Z90" s="229"/>
      <c r="AA90" s="229"/>
      <c r="AB90" s="229"/>
      <c r="AC90" s="229"/>
      <c r="AD90" s="9"/>
      <c r="AE90" s="9"/>
      <c r="AF90" s="9"/>
      <c r="AG90" s="9"/>
      <c r="AH90" s="9"/>
      <c r="AI90" s="9"/>
      <c r="AJ90" s="9"/>
    </row>
    <row r="91" spans="1:36" ht="12.75" hidden="1" customHeight="1" outlineLevel="1">
      <c r="A91" s="180"/>
      <c r="B91" s="9"/>
      <c r="C91" s="103" t="str">
        <f>C32</f>
        <v>Management &amp; Advisory Fees</v>
      </c>
      <c r="D91" s="9"/>
      <c r="E91" s="132"/>
      <c r="F91" s="230">
        <f t="shared" ref="F91:U91" si="29">F32</f>
        <v>85.945999999999998</v>
      </c>
      <c r="G91" s="230">
        <f t="shared" si="29"/>
        <v>92.88</v>
      </c>
      <c r="H91" s="230">
        <f t="shared" si="29"/>
        <v>97.35499999999999</v>
      </c>
      <c r="I91" s="230">
        <f t="shared" si="29"/>
        <v>95.691999999999993</v>
      </c>
      <c r="J91" s="202">
        <f t="shared" si="29"/>
        <v>371.87299999999999</v>
      </c>
      <c r="K91" s="230">
        <f t="shared" si="29"/>
        <v>105.407</v>
      </c>
      <c r="L91" s="230">
        <f t="shared" si="29"/>
        <v>109.184</v>
      </c>
      <c r="M91" s="230">
        <f t="shared" si="29"/>
        <v>113.64100000000001</v>
      </c>
      <c r="N91" s="230">
        <f t="shared" si="29"/>
        <v>123.70399999999999</v>
      </c>
      <c r="O91" s="202">
        <f t="shared" si="29"/>
        <v>451.93600000000004</v>
      </c>
      <c r="P91" s="230">
        <f t="shared" si="29"/>
        <v>139.96199999999999</v>
      </c>
      <c r="Q91" s="230">
        <f t="shared" si="29"/>
        <v>119.78299999999999</v>
      </c>
      <c r="R91" s="230">
        <f t="shared" si="29"/>
        <v>126.282</v>
      </c>
      <c r="S91" s="230">
        <f t="shared" si="29"/>
        <v>127.83800000000001</v>
      </c>
      <c r="T91" s="202">
        <f t="shared" si="29"/>
        <v>513.86500000000001</v>
      </c>
      <c r="U91" s="230">
        <f t="shared" si="29"/>
        <v>133.696</v>
      </c>
      <c r="V91" s="201">
        <f>V92*V97</f>
        <v>147.39984000000001</v>
      </c>
      <c r="W91" s="201">
        <f>W92*W97</f>
        <v>162.50832360000001</v>
      </c>
      <c r="X91" s="201">
        <f>X92*X97</f>
        <v>179.16542676900002</v>
      </c>
      <c r="Y91" s="202">
        <f>SUM(U91:X91)</f>
        <v>622.76959036900007</v>
      </c>
      <c r="Z91" s="201">
        <f>Z92*Z97</f>
        <v>197.52988301282252</v>
      </c>
      <c r="AA91" s="201">
        <f>AA92*AA97</f>
        <v>217.77669602163687</v>
      </c>
      <c r="AB91" s="201">
        <f>AB92*AB97</f>
        <v>240.09880736385466</v>
      </c>
      <c r="AC91" s="201">
        <f>AC92*AC97</f>
        <v>264.70893511864983</v>
      </c>
      <c r="AD91" s="202">
        <f>SUM(Z91:AC91)</f>
        <v>920.11432151696386</v>
      </c>
      <c r="AE91" s="202">
        <f>AE92*AE97</f>
        <v>1014.4260394724528</v>
      </c>
      <c r="AF91" s="202">
        <f>AF92*AF97</f>
        <v>1118.4047085183793</v>
      </c>
      <c r="AG91" s="202">
        <f>AG92*AG97</f>
        <v>1233.0411911415131</v>
      </c>
      <c r="AH91" s="9"/>
      <c r="AI91" s="9"/>
      <c r="AJ91" s="9"/>
    </row>
    <row r="92" spans="1:36" ht="12.75" hidden="1" customHeight="1" outlineLevel="1">
      <c r="A92" s="9"/>
      <c r="B92" s="9"/>
      <c r="C92" s="103" t="s">
        <v>249</v>
      </c>
      <c r="D92" s="9"/>
      <c r="E92" s="132"/>
      <c r="F92" s="238">
        <v>220</v>
      </c>
      <c r="G92" s="238">
        <v>220</v>
      </c>
      <c r="H92" s="238">
        <v>220</v>
      </c>
      <c r="I92" s="238">
        <v>220</v>
      </c>
      <c r="J92" s="239">
        <f>SUM(F92:I92)</f>
        <v>880</v>
      </c>
      <c r="K92" s="238">
        <v>220</v>
      </c>
      <c r="L92" s="238">
        <v>220</v>
      </c>
      <c r="M92" s="238">
        <v>220</v>
      </c>
      <c r="N92" s="238">
        <v>220</v>
      </c>
      <c r="O92" s="239">
        <f>SUM(K92:N92)</f>
        <v>880</v>
      </c>
      <c r="P92" s="238">
        <v>220</v>
      </c>
      <c r="Q92" s="238">
        <v>220</v>
      </c>
      <c r="R92" s="238">
        <v>220</v>
      </c>
      <c r="S92" s="238">
        <v>220</v>
      </c>
      <c r="T92" s="239">
        <f>SUM(P92:S92)</f>
        <v>880</v>
      </c>
      <c r="U92" s="238">
        <v>220</v>
      </c>
      <c r="V92" s="240">
        <f>U92*(1+V93)</f>
        <v>231</v>
      </c>
      <c r="W92" s="240">
        <f>V92*(1+W93)</f>
        <v>242.55</v>
      </c>
      <c r="X92" s="240">
        <f>W92*(1+X93)</f>
        <v>254.67750000000001</v>
      </c>
      <c r="Y92" s="239">
        <f>SUM(U92:X92)</f>
        <v>948.22749999999996</v>
      </c>
      <c r="Z92" s="240">
        <f>X92*(1+Z93)</f>
        <v>267.41137500000002</v>
      </c>
      <c r="AA92" s="240">
        <f>Z92*(1+AA93)</f>
        <v>280.78194375000004</v>
      </c>
      <c r="AB92" s="240">
        <f>AA92*(1+AB93)</f>
        <v>294.82104093750007</v>
      </c>
      <c r="AC92" s="240">
        <f>AB92*(1+AC93)</f>
        <v>309.56209298437511</v>
      </c>
      <c r="AD92" s="239">
        <f>SUM(Z92:AC92)</f>
        <v>1152.5764526718754</v>
      </c>
      <c r="AE92" s="239">
        <f>AD92*(1+AE93)</f>
        <v>1210.2052753054693</v>
      </c>
      <c r="AF92" s="239">
        <f>AE92*(1+AF93)</f>
        <v>1270.7155390707428</v>
      </c>
      <c r="AG92" s="239">
        <f>AF92*(1+AG93)</f>
        <v>1334.25131602428</v>
      </c>
      <c r="AH92" s="9"/>
      <c r="AI92" s="9"/>
      <c r="AJ92" s="9"/>
    </row>
    <row r="93" spans="1:36" ht="12.75" hidden="1" customHeight="1" outlineLevel="1">
      <c r="A93" s="9"/>
      <c r="B93" s="9"/>
      <c r="C93" s="84" t="s">
        <v>250</v>
      </c>
      <c r="D93" s="9"/>
      <c r="E93" s="132"/>
      <c r="F93" s="232"/>
      <c r="G93" s="231">
        <f>IFERROR(G92/F92-1,"--")</f>
        <v>0</v>
      </c>
      <c r="H93" s="231">
        <f>IFERROR(H92/G92-1,"--")</f>
        <v>0</v>
      </c>
      <c r="I93" s="231">
        <f>IFERROR(I92/H92-1,"--")</f>
        <v>0</v>
      </c>
      <c r="J93" s="132"/>
      <c r="K93" s="231">
        <f>IFERROR(K92/I92-1,"--")</f>
        <v>0</v>
      </c>
      <c r="L93" s="231">
        <f>IFERROR(L92/K92-1,"--")</f>
        <v>0</v>
      </c>
      <c r="M93" s="231">
        <f>IFERROR(M92/L92-1,"--")</f>
        <v>0</v>
      </c>
      <c r="N93" s="231">
        <f>IFERROR(N92/M92-1,"--")</f>
        <v>0</v>
      </c>
      <c r="O93" s="219">
        <f>IFERROR(O92/J92-1,"--")</f>
        <v>0</v>
      </c>
      <c r="P93" s="231">
        <f>IFERROR(P92/N92-1,"--")</f>
        <v>0</v>
      </c>
      <c r="Q93" s="231">
        <f>IFERROR(Q92/P92-1,"--")</f>
        <v>0</v>
      </c>
      <c r="R93" s="231">
        <f>IFERROR(R92/Q92-1,"--")</f>
        <v>0</v>
      </c>
      <c r="S93" s="231">
        <f>IFERROR(S92/R92-1,"--")</f>
        <v>0</v>
      </c>
      <c r="T93" s="219">
        <f>IFERROR(T92/O92-1,"--")</f>
        <v>0</v>
      </c>
      <c r="U93" s="231">
        <f>IFERROR(U92/S92-1,"--")</f>
        <v>0</v>
      </c>
      <c r="V93" s="218">
        <f>IF(Case_Scenario="Bull",V94,IF(Case_Scenario="Base",V95,IF(Case_Scenario="bear",V96,"N/A")))</f>
        <v>0.05</v>
      </c>
      <c r="W93" s="218">
        <f>IF(Case_Scenario="Bull",W94,IF(Case_Scenario="Base",W95,IF(Case_Scenario="bear",W96,"N/A")))</f>
        <v>0.05</v>
      </c>
      <c r="X93" s="218">
        <f>IF(Case_Scenario="Bull",X94,IF(Case_Scenario="Base",X95,IF(Case_Scenario="bear",X96,"N/A")))</f>
        <v>0.05</v>
      </c>
      <c r="Y93" s="219"/>
      <c r="Z93" s="218">
        <f>IF(Case_Scenario="Bull",Z94,IF(Case_Scenario="Base",Z95,IF(Case_Scenario="bear",Z96,"N/A")))</f>
        <v>0.05</v>
      </c>
      <c r="AA93" s="218">
        <f>IF(Case_Scenario="Bull",AA94,IF(Case_Scenario="Base",AA95,IF(Case_Scenario="bear",AA96,"N/A")))</f>
        <v>0.05</v>
      </c>
      <c r="AB93" s="218">
        <f>IF(Case_Scenario="Bull",AB94,IF(Case_Scenario="Base",AB95,IF(Case_Scenario="bear",AB96,"N/A")))</f>
        <v>0.05</v>
      </c>
      <c r="AC93" s="218">
        <f>IF(Case_Scenario="Bull",AC94,IF(Case_Scenario="Base",AC95,IF(Case_Scenario="bear",AC96,"N/A")))</f>
        <v>0.05</v>
      </c>
      <c r="AD93" s="219"/>
      <c r="AE93" s="219">
        <f>IF(Case_Scenario="Bull",AE94,IF(Case_Scenario="Base",AE95,IF(Case_Scenario="bear",AE96,"N/A")))</f>
        <v>0.05</v>
      </c>
      <c r="AF93" s="219">
        <f>IF(Case_Scenario="Bull",AF94,IF(Case_Scenario="Base",AF95,IF(Case_Scenario="bear",AF96,"N/A")))</f>
        <v>0.05</v>
      </c>
      <c r="AG93" s="219">
        <f>IF(Case_Scenario="Bull",AG94,IF(Case_Scenario="Base",AG95,IF(Case_Scenario="bear",AG96,"N/A")))</f>
        <v>0.05</v>
      </c>
      <c r="AH93" s="9"/>
      <c r="AI93" s="9"/>
      <c r="AJ93" s="9"/>
    </row>
    <row r="94" spans="1:36" ht="12.75" hidden="1" customHeight="1" outlineLevel="1">
      <c r="A94" s="9"/>
      <c r="B94" s="9"/>
      <c r="C94" s="103" t="s">
        <v>245</v>
      </c>
      <c r="D94" s="9"/>
      <c r="E94" s="132"/>
      <c r="F94" s="232"/>
      <c r="G94" s="232"/>
      <c r="H94" s="232"/>
      <c r="I94" s="232"/>
      <c r="J94" s="132"/>
      <c r="K94" s="232"/>
      <c r="L94" s="232"/>
      <c r="M94" s="232"/>
      <c r="N94" s="232"/>
      <c r="O94" s="132"/>
      <c r="P94" s="232"/>
      <c r="Q94" s="232"/>
      <c r="R94" s="232"/>
      <c r="S94" s="232"/>
      <c r="T94" s="132"/>
      <c r="U94" s="232"/>
      <c r="V94" s="233">
        <v>0.1</v>
      </c>
      <c r="W94" s="233">
        <v>0.1</v>
      </c>
      <c r="X94" s="233">
        <v>0.1</v>
      </c>
      <c r="Y94" s="234"/>
      <c r="Z94" s="233">
        <v>0.1</v>
      </c>
      <c r="AA94" s="233">
        <v>0.1</v>
      </c>
      <c r="AB94" s="233">
        <v>0.1</v>
      </c>
      <c r="AC94" s="233">
        <v>0.1</v>
      </c>
      <c r="AD94" s="234"/>
      <c r="AE94" s="234">
        <v>0.1</v>
      </c>
      <c r="AF94" s="234">
        <v>0.1</v>
      </c>
      <c r="AG94" s="234">
        <v>0.1</v>
      </c>
      <c r="AH94" s="9"/>
      <c r="AI94" s="9"/>
      <c r="AJ94" s="9"/>
    </row>
    <row r="95" spans="1:36" ht="12.75" hidden="1" customHeight="1" outlineLevel="1">
      <c r="A95" s="9"/>
      <c r="B95" s="9"/>
      <c r="C95" s="103" t="s">
        <v>246</v>
      </c>
      <c r="D95" s="9"/>
      <c r="E95" s="132"/>
      <c r="F95" s="232"/>
      <c r="G95" s="232"/>
      <c r="H95" s="232"/>
      <c r="I95" s="232"/>
      <c r="J95" s="132"/>
      <c r="K95" s="232"/>
      <c r="L95" s="232"/>
      <c r="M95" s="232"/>
      <c r="N95" s="232"/>
      <c r="O95" s="132"/>
      <c r="P95" s="232"/>
      <c r="Q95" s="232"/>
      <c r="R95" s="232"/>
      <c r="S95" s="232"/>
      <c r="T95" s="132"/>
      <c r="U95" s="232"/>
      <c r="V95" s="233">
        <v>0.05</v>
      </c>
      <c r="W95" s="233">
        <v>0.05</v>
      </c>
      <c r="X95" s="233">
        <v>0.05</v>
      </c>
      <c r="Y95" s="234"/>
      <c r="Z95" s="233">
        <v>0.05</v>
      </c>
      <c r="AA95" s="233">
        <v>0.05</v>
      </c>
      <c r="AB95" s="233">
        <v>0.05</v>
      </c>
      <c r="AC95" s="233">
        <v>0.05</v>
      </c>
      <c r="AD95" s="234"/>
      <c r="AE95" s="234">
        <v>0.05</v>
      </c>
      <c r="AF95" s="234">
        <v>0.05</v>
      </c>
      <c r="AG95" s="234">
        <v>0.05</v>
      </c>
      <c r="AH95" s="9"/>
      <c r="AI95" s="9"/>
      <c r="AJ95" s="9"/>
    </row>
    <row r="96" spans="1:36" ht="12.75" hidden="1" customHeight="1" outlineLevel="1">
      <c r="A96" s="9"/>
      <c r="B96" s="9"/>
      <c r="C96" s="103" t="s">
        <v>247</v>
      </c>
      <c r="D96" s="9"/>
      <c r="E96" s="132"/>
      <c r="F96" s="232"/>
      <c r="G96" s="232"/>
      <c r="H96" s="232"/>
      <c r="I96" s="232"/>
      <c r="J96" s="132"/>
      <c r="K96" s="232"/>
      <c r="L96" s="232"/>
      <c r="M96" s="232"/>
      <c r="N96" s="232"/>
      <c r="O96" s="132"/>
      <c r="P96" s="232"/>
      <c r="Q96" s="232"/>
      <c r="R96" s="232"/>
      <c r="S96" s="232"/>
      <c r="T96" s="132"/>
      <c r="U96" s="232"/>
      <c r="V96" s="233">
        <v>0</v>
      </c>
      <c r="W96" s="233">
        <v>0</v>
      </c>
      <c r="X96" s="233">
        <v>0</v>
      </c>
      <c r="Y96" s="234"/>
      <c r="Z96" s="233">
        <v>0</v>
      </c>
      <c r="AA96" s="233">
        <v>0</v>
      </c>
      <c r="AB96" s="233">
        <v>0</v>
      </c>
      <c r="AC96" s="233">
        <v>0</v>
      </c>
      <c r="AD96" s="234"/>
      <c r="AE96" s="234">
        <v>0</v>
      </c>
      <c r="AF96" s="234">
        <v>0</v>
      </c>
      <c r="AG96" s="234">
        <v>0</v>
      </c>
      <c r="AH96" s="9"/>
      <c r="AI96" s="9"/>
      <c r="AJ96" s="9"/>
    </row>
    <row r="97" spans="1:36" ht="12.75" hidden="1" customHeight="1" outlineLevel="1">
      <c r="A97" s="9"/>
      <c r="B97" s="9"/>
      <c r="C97" s="103" t="s">
        <v>160</v>
      </c>
      <c r="D97" s="9"/>
      <c r="E97" s="132"/>
      <c r="F97" s="230">
        <f t="shared" ref="F97:U97" si="30">IFERROR(F91/F92,"--")</f>
        <v>0.39066363636363638</v>
      </c>
      <c r="G97" s="230">
        <f t="shared" si="30"/>
        <v>0.42218181818181816</v>
      </c>
      <c r="H97" s="230">
        <f t="shared" si="30"/>
        <v>0.44252272727272723</v>
      </c>
      <c r="I97" s="230">
        <f t="shared" si="30"/>
        <v>0.43496363636363633</v>
      </c>
      <c r="J97" s="202">
        <f t="shared" si="30"/>
        <v>0.42258295454545453</v>
      </c>
      <c r="K97" s="230">
        <f t="shared" si="30"/>
        <v>0.47912272727272726</v>
      </c>
      <c r="L97" s="230">
        <f t="shared" si="30"/>
        <v>0.49629090909090906</v>
      </c>
      <c r="M97" s="230">
        <f t="shared" si="30"/>
        <v>0.51655000000000006</v>
      </c>
      <c r="N97" s="230">
        <f t="shared" si="30"/>
        <v>0.56229090909090906</v>
      </c>
      <c r="O97" s="202">
        <f t="shared" si="30"/>
        <v>0.51356363636363644</v>
      </c>
      <c r="P97" s="230">
        <f t="shared" si="30"/>
        <v>0.63619090909090903</v>
      </c>
      <c r="Q97" s="230">
        <f t="shared" si="30"/>
        <v>0.5444681818181818</v>
      </c>
      <c r="R97" s="230">
        <f t="shared" si="30"/>
        <v>0.57400909090909091</v>
      </c>
      <c r="S97" s="230">
        <f t="shared" si="30"/>
        <v>0.58108181818181825</v>
      </c>
      <c r="T97" s="202">
        <f t="shared" si="30"/>
        <v>0.5839375</v>
      </c>
      <c r="U97" s="230">
        <f t="shared" si="30"/>
        <v>0.60770909090909087</v>
      </c>
      <c r="V97" s="201">
        <f>U97*(1+V98)</f>
        <v>0.63809454545454547</v>
      </c>
      <c r="W97" s="201">
        <f>V97*(1+W98)</f>
        <v>0.66999927272727278</v>
      </c>
      <c r="X97" s="201">
        <f>W97*(1+X98)</f>
        <v>0.70349923636363643</v>
      </c>
      <c r="Y97" s="202">
        <f>Y91/Y92</f>
        <v>0.656772336141907</v>
      </c>
      <c r="Z97" s="201">
        <f>X97*(1+Z98)</f>
        <v>0.73867419818181823</v>
      </c>
      <c r="AA97" s="201">
        <f>Z97*(1+AA98)</f>
        <v>0.77560790809090918</v>
      </c>
      <c r="AB97" s="201">
        <f>AA97*(1+AB98)</f>
        <v>0.81438830349545466</v>
      </c>
      <c r="AC97" s="201">
        <f>AB97*(1+AC98)</f>
        <v>0.85510771867022739</v>
      </c>
      <c r="AD97" s="202">
        <f>AD91/AD92</f>
        <v>0.79831087940758871</v>
      </c>
      <c r="AE97" s="202">
        <f>AD97*(1+AE98)</f>
        <v>0.83822642337796816</v>
      </c>
      <c r="AF97" s="202">
        <f>AE97*(1+AF98)</f>
        <v>0.88013774454686655</v>
      </c>
      <c r="AG97" s="202">
        <f>AF97*(1+AG98)</f>
        <v>0.92414463177420991</v>
      </c>
      <c r="AH97" s="9"/>
      <c r="AI97" s="9"/>
      <c r="AJ97" s="9"/>
    </row>
    <row r="98" spans="1:36" ht="12.75" hidden="1" customHeight="1" outlineLevel="1">
      <c r="A98" s="9"/>
      <c r="B98" s="9"/>
      <c r="C98" s="84" t="s">
        <v>251</v>
      </c>
      <c r="D98" s="9"/>
      <c r="E98" s="132"/>
      <c r="F98" s="232"/>
      <c r="G98" s="231">
        <f>IFERROR(G97/F97-1,"--")</f>
        <v>8.0678565610964981E-2</v>
      </c>
      <c r="H98" s="231">
        <f>IFERROR(H97/G97-1,"--")</f>
        <v>4.8180447889750289E-2</v>
      </c>
      <c r="I98" s="231">
        <f>IFERROR(I97/H97-1,"--")</f>
        <v>-1.7081813979764715E-2</v>
      </c>
      <c r="J98" s="132"/>
      <c r="K98" s="231">
        <f>IFERROR(K97/I97-1,"--")</f>
        <v>0.10152363833967315</v>
      </c>
      <c r="L98" s="231">
        <f>IFERROR(L97/K97-1,"--")</f>
        <v>3.5832534841139463E-2</v>
      </c>
      <c r="M98" s="231">
        <f>IFERROR(M97/L97-1,"--")</f>
        <v>4.082099941383377E-2</v>
      </c>
      <c r="N98" s="231">
        <f>IFERROR(N97/M97-1,"--")</f>
        <v>8.8550787127885E-2</v>
      </c>
      <c r="O98" s="219">
        <f>IFERROR(O97/J97-1,"--")</f>
        <v>0.21529662008266293</v>
      </c>
      <c r="P98" s="231">
        <f>IFERROR(P97/N97-1,"--")</f>
        <v>0.13142663131345778</v>
      </c>
      <c r="Q98" s="231">
        <f>IFERROR(Q97/P97-1,"--")</f>
        <v>-0.14417484745859588</v>
      </c>
      <c r="R98" s="231">
        <f>IFERROR(R97/Q97-1,"--")</f>
        <v>5.4256447075127667E-2</v>
      </c>
      <c r="S98" s="231">
        <f>IFERROR(S97/R97-1,"--")</f>
        <v>1.2321629369189679E-2</v>
      </c>
      <c r="T98" s="219">
        <f>IFERROR(T97/O97-1,"--")</f>
        <v>0.13703046449054712</v>
      </c>
      <c r="U98" s="231">
        <f>IFERROR(U97/S97-1,"--")</f>
        <v>4.5823620519719999E-2</v>
      </c>
      <c r="V98" s="218">
        <f>IF(Case_Scenario="Bull",V99,IF(Case_Scenario="Base",V100,IF(Case_Scenario="bear",V101,"N/A")))</f>
        <v>0.05</v>
      </c>
      <c r="W98" s="218">
        <f>IF(Case_Scenario="Bull",W99,IF(Case_Scenario="Base",W100,IF(Case_Scenario="bear",W101,"N/A")))</f>
        <v>0.05</v>
      </c>
      <c r="X98" s="218">
        <f>IF(Case_Scenario="Bull",X99,IF(Case_Scenario="Base",X100,IF(Case_Scenario="bear",X101,"N/A")))</f>
        <v>0.05</v>
      </c>
      <c r="Y98" s="219"/>
      <c r="Z98" s="218">
        <f>IF(Case_Scenario="Bull",Z99,IF(Case_Scenario="Base",Z100,IF(Case_Scenario="bear",Z101,"N/A")))</f>
        <v>0.05</v>
      </c>
      <c r="AA98" s="218">
        <f>IF(Case_Scenario="Bull",AA99,IF(Case_Scenario="Base",AA100,IF(Case_Scenario="bear",AA101,"N/A")))</f>
        <v>0.05</v>
      </c>
      <c r="AB98" s="218">
        <f>IF(Case_Scenario="Bull",AB99,IF(Case_Scenario="Base",AB100,IF(Case_Scenario="bear",AB101,"N/A")))</f>
        <v>0.05</v>
      </c>
      <c r="AC98" s="218">
        <f>IF(Case_Scenario="Bull",AC99,IF(Case_Scenario="Base",AC100,IF(Case_Scenario="bear",AC101,"N/A")))</f>
        <v>0.05</v>
      </c>
      <c r="AD98" s="219"/>
      <c r="AE98" s="219">
        <f>IF(Case_Scenario="Bull",AE99,IF(Case_Scenario="Base",AE100,IF(Case_Scenario="bear",AE101,"N/A")))</f>
        <v>0.05</v>
      </c>
      <c r="AF98" s="219">
        <f>IF(Case_Scenario="Bull",AF99,IF(Case_Scenario="Base",AF100,IF(Case_Scenario="bear",AF101,"N/A")))</f>
        <v>0.05</v>
      </c>
      <c r="AG98" s="219">
        <f>IF(Case_Scenario="Bull",AG99,IF(Case_Scenario="Base",AG100,IF(Case_Scenario="bear",AG101,"N/A")))</f>
        <v>0.05</v>
      </c>
      <c r="AH98" s="9"/>
      <c r="AI98" s="9"/>
      <c r="AJ98" s="9"/>
    </row>
    <row r="99" spans="1:36" ht="12.75" hidden="1" customHeight="1" outlineLevel="1">
      <c r="A99" s="9"/>
      <c r="B99" s="9"/>
      <c r="C99" s="103" t="s">
        <v>245</v>
      </c>
      <c r="D99" s="9"/>
      <c r="E99" s="132"/>
      <c r="F99" s="232"/>
      <c r="G99" s="232"/>
      <c r="H99" s="232"/>
      <c r="I99" s="232"/>
      <c r="J99" s="132"/>
      <c r="K99" s="232"/>
      <c r="L99" s="232"/>
      <c r="M99" s="232"/>
      <c r="N99" s="232"/>
      <c r="O99" s="132"/>
      <c r="P99" s="232"/>
      <c r="Q99" s="232"/>
      <c r="R99" s="232"/>
      <c r="S99" s="232"/>
      <c r="T99" s="132"/>
      <c r="U99" s="232"/>
      <c r="V99" s="233">
        <v>0.1</v>
      </c>
      <c r="W99" s="233">
        <v>0.1</v>
      </c>
      <c r="X99" s="233">
        <v>0.1</v>
      </c>
      <c r="Y99" s="234"/>
      <c r="Z99" s="233">
        <v>0.1</v>
      </c>
      <c r="AA99" s="233">
        <v>0.1</v>
      </c>
      <c r="AB99" s="233">
        <v>0.1</v>
      </c>
      <c r="AC99" s="233">
        <v>0.1</v>
      </c>
      <c r="AD99" s="234"/>
      <c r="AE99" s="234">
        <v>0.1</v>
      </c>
      <c r="AF99" s="234">
        <v>0.1</v>
      </c>
      <c r="AG99" s="234">
        <v>0.1</v>
      </c>
      <c r="AH99" s="9"/>
      <c r="AI99" s="9"/>
      <c r="AJ99" s="9"/>
    </row>
    <row r="100" spans="1:36" ht="12.75" hidden="1" customHeight="1" outlineLevel="1">
      <c r="A100" s="9"/>
      <c r="B100" s="9"/>
      <c r="C100" s="103" t="s">
        <v>246</v>
      </c>
      <c r="D100" s="9"/>
      <c r="E100" s="132"/>
      <c r="F100" s="232"/>
      <c r="G100" s="232"/>
      <c r="H100" s="232"/>
      <c r="I100" s="232"/>
      <c r="J100" s="132"/>
      <c r="K100" s="232"/>
      <c r="L100" s="232"/>
      <c r="M100" s="232"/>
      <c r="N100" s="232"/>
      <c r="O100" s="132"/>
      <c r="P100" s="232"/>
      <c r="Q100" s="232"/>
      <c r="R100" s="232"/>
      <c r="S100" s="232"/>
      <c r="T100" s="132"/>
      <c r="U100" s="232"/>
      <c r="V100" s="233">
        <v>0.05</v>
      </c>
      <c r="W100" s="233">
        <v>0.05</v>
      </c>
      <c r="X100" s="233">
        <v>0.05</v>
      </c>
      <c r="Y100" s="234"/>
      <c r="Z100" s="233">
        <v>0.05</v>
      </c>
      <c r="AA100" s="233">
        <v>0.05</v>
      </c>
      <c r="AB100" s="233">
        <v>0.05</v>
      </c>
      <c r="AC100" s="233">
        <v>0.05</v>
      </c>
      <c r="AD100" s="234"/>
      <c r="AE100" s="234">
        <v>0.05</v>
      </c>
      <c r="AF100" s="234">
        <v>0.05</v>
      </c>
      <c r="AG100" s="234">
        <v>0.05</v>
      </c>
      <c r="AH100" s="9"/>
      <c r="AI100" s="9"/>
      <c r="AJ100" s="9"/>
    </row>
    <row r="101" spans="1:36" ht="12.75" hidden="1" customHeight="1" outlineLevel="1">
      <c r="A101" s="9"/>
      <c r="B101" s="9"/>
      <c r="C101" s="103" t="s">
        <v>247</v>
      </c>
      <c r="D101" s="9"/>
      <c r="E101" s="132"/>
      <c r="F101" s="232"/>
      <c r="G101" s="232"/>
      <c r="H101" s="232"/>
      <c r="I101" s="232"/>
      <c r="J101" s="132"/>
      <c r="K101" s="232"/>
      <c r="L101" s="232"/>
      <c r="M101" s="232"/>
      <c r="N101" s="232"/>
      <c r="O101" s="132"/>
      <c r="P101" s="232"/>
      <c r="Q101" s="232"/>
      <c r="R101" s="232"/>
      <c r="S101" s="232"/>
      <c r="T101" s="132"/>
      <c r="U101" s="232"/>
      <c r="V101" s="233">
        <v>0</v>
      </c>
      <c r="W101" s="233">
        <v>0</v>
      </c>
      <c r="X101" s="233">
        <v>0</v>
      </c>
      <c r="Y101" s="234"/>
      <c r="Z101" s="233">
        <v>0</v>
      </c>
      <c r="AA101" s="233">
        <v>0</v>
      </c>
      <c r="AB101" s="233">
        <v>0</v>
      </c>
      <c r="AC101" s="233">
        <v>0</v>
      </c>
      <c r="AD101" s="234"/>
      <c r="AE101" s="234">
        <v>0</v>
      </c>
      <c r="AF101" s="234">
        <v>0</v>
      </c>
      <c r="AG101" s="234">
        <v>0</v>
      </c>
      <c r="AH101" s="9"/>
      <c r="AI101" s="9"/>
      <c r="AJ101" s="9"/>
    </row>
    <row r="102" spans="1:36" ht="12.75" hidden="1" customHeight="1" outlineLevel="1">
      <c r="A102" s="9"/>
      <c r="B102" s="9"/>
      <c r="C102" s="9"/>
      <c r="D102" s="9"/>
      <c r="E102" s="132"/>
      <c r="F102" s="232"/>
      <c r="G102" s="232"/>
      <c r="H102" s="232"/>
      <c r="I102" s="232"/>
      <c r="J102" s="132"/>
      <c r="K102" s="232"/>
      <c r="L102" s="232"/>
      <c r="M102" s="232"/>
      <c r="N102" s="232"/>
      <c r="O102" s="132"/>
      <c r="P102" s="232"/>
      <c r="Q102" s="232"/>
      <c r="R102" s="232"/>
      <c r="S102" s="232"/>
      <c r="T102" s="132"/>
      <c r="U102" s="232"/>
      <c r="V102" s="235"/>
      <c r="W102" s="235"/>
      <c r="X102" s="235"/>
      <c r="Y102" s="132"/>
      <c r="Z102" s="235"/>
      <c r="AA102" s="235"/>
      <c r="AB102" s="235"/>
      <c r="AC102" s="235"/>
      <c r="AD102" s="132"/>
      <c r="AE102" s="132"/>
      <c r="AF102" s="132"/>
      <c r="AG102" s="132"/>
      <c r="AH102" s="9"/>
      <c r="AI102" s="9"/>
      <c r="AJ102" s="9"/>
    </row>
    <row r="103" spans="1:36" ht="12.75" hidden="1" customHeight="1" outlineLevel="1">
      <c r="A103" s="180" t="s">
        <v>0</v>
      </c>
      <c r="B103" s="9"/>
      <c r="C103" s="103" t="str">
        <f>C35</f>
        <v>Incentive Fees</v>
      </c>
      <c r="D103" s="9"/>
      <c r="E103" s="132"/>
      <c r="F103" s="230">
        <f t="shared" ref="F103:U103" si="31">F35</f>
        <v>49.563000000000002</v>
      </c>
      <c r="G103" s="230">
        <f t="shared" si="31"/>
        <v>60.501999999999995</v>
      </c>
      <c r="H103" s="230">
        <f t="shared" si="31"/>
        <v>29.719000000000001</v>
      </c>
      <c r="I103" s="230">
        <f t="shared" si="31"/>
        <v>17.096</v>
      </c>
      <c r="J103" s="202">
        <f t="shared" si="31"/>
        <v>156.88</v>
      </c>
      <c r="K103" s="230">
        <f t="shared" si="31"/>
        <v>19.630000000000003</v>
      </c>
      <c r="L103" s="230">
        <f t="shared" si="31"/>
        <v>17.692</v>
      </c>
      <c r="M103" s="230">
        <f t="shared" si="31"/>
        <v>11.623000000000001</v>
      </c>
      <c r="N103" s="230">
        <f t="shared" si="31"/>
        <v>52.960999999999999</v>
      </c>
      <c r="O103" s="202">
        <f t="shared" si="31"/>
        <v>101.90600000000001</v>
      </c>
      <c r="P103" s="230">
        <f t="shared" si="31"/>
        <v>56.769000000000005</v>
      </c>
      <c r="Q103" s="230">
        <f t="shared" si="31"/>
        <v>30.216000000000001</v>
      </c>
      <c r="R103" s="230">
        <f t="shared" si="31"/>
        <v>41.978999999999999</v>
      </c>
      <c r="S103" s="230">
        <f t="shared" si="31"/>
        <v>70.135000000000005</v>
      </c>
      <c r="T103" s="202">
        <f t="shared" si="31"/>
        <v>199.09899999999999</v>
      </c>
      <c r="U103" s="230">
        <f t="shared" si="31"/>
        <v>42.262</v>
      </c>
      <c r="V103" s="201">
        <f>V104*V109</f>
        <v>46.593854999999998</v>
      </c>
      <c r="W103" s="201">
        <f>W104*W109</f>
        <v>51.369725137500005</v>
      </c>
      <c r="X103" s="201">
        <f>X104*X109</f>
        <v>56.635121964093756</v>
      </c>
      <c r="Y103" s="202">
        <f>SUM(U103:X103)</f>
        <v>196.86070210159374</v>
      </c>
      <c r="Z103" s="201">
        <f>Z104*Z109</f>
        <v>62.440221965413372</v>
      </c>
      <c r="AA103" s="201">
        <f>AA104*AA109</f>
        <v>68.840344716868245</v>
      </c>
      <c r="AB103" s="201">
        <f>AB104*AB109</f>
        <v>75.89648005034725</v>
      </c>
      <c r="AC103" s="201">
        <f>AC104*AC109</f>
        <v>83.675869255507862</v>
      </c>
      <c r="AD103" s="202">
        <f>SUM(Z103:AC103)</f>
        <v>290.85291598813671</v>
      </c>
      <c r="AE103" s="202">
        <f>AE104*AE109</f>
        <v>320.66533987692077</v>
      </c>
      <c r="AF103" s="202">
        <f>AF104*AF109</f>
        <v>353.53353721430517</v>
      </c>
      <c r="AG103" s="202">
        <f>AG104*AG109</f>
        <v>389.77072477877147</v>
      </c>
      <c r="AH103" s="9"/>
      <c r="AI103" s="9"/>
      <c r="AJ103" s="9"/>
    </row>
    <row r="104" spans="1:36" ht="12.75" hidden="1" customHeight="1" outlineLevel="1">
      <c r="A104" s="9"/>
      <c r="B104" s="9"/>
      <c r="C104" s="103" t="s">
        <v>249</v>
      </c>
      <c r="D104" s="9"/>
      <c r="E104" s="132"/>
      <c r="F104" s="238">
        <v>220</v>
      </c>
      <c r="G104" s="238">
        <v>220</v>
      </c>
      <c r="H104" s="238">
        <v>220</v>
      </c>
      <c r="I104" s="238">
        <v>220</v>
      </c>
      <c r="J104" s="239">
        <f>SUM(F104:I104)</f>
        <v>880</v>
      </c>
      <c r="K104" s="238">
        <v>220</v>
      </c>
      <c r="L104" s="238">
        <v>220</v>
      </c>
      <c r="M104" s="238">
        <v>220</v>
      </c>
      <c r="N104" s="238">
        <v>220</v>
      </c>
      <c r="O104" s="239">
        <f>SUM(K104:N104)</f>
        <v>880</v>
      </c>
      <c r="P104" s="238">
        <v>220</v>
      </c>
      <c r="Q104" s="238">
        <v>220</v>
      </c>
      <c r="R104" s="238">
        <v>220</v>
      </c>
      <c r="S104" s="238">
        <v>220</v>
      </c>
      <c r="T104" s="239">
        <f>SUM(P104:S104)</f>
        <v>880</v>
      </c>
      <c r="U104" s="238">
        <v>220</v>
      </c>
      <c r="V104" s="240">
        <f>U104*(1+V105)</f>
        <v>231</v>
      </c>
      <c r="W104" s="240">
        <f>V104*(1+W105)</f>
        <v>242.55</v>
      </c>
      <c r="X104" s="240">
        <f>W104*(1+X105)</f>
        <v>254.67750000000001</v>
      </c>
      <c r="Y104" s="239">
        <f>SUM(U104:X104)</f>
        <v>948.22749999999996</v>
      </c>
      <c r="Z104" s="240">
        <f>X104*(1+Z105)</f>
        <v>267.41137500000002</v>
      </c>
      <c r="AA104" s="240">
        <f>Z104*(1+AA105)</f>
        <v>280.78194375000004</v>
      </c>
      <c r="AB104" s="240">
        <f>AA104*(1+AB105)</f>
        <v>294.82104093750007</v>
      </c>
      <c r="AC104" s="240">
        <f>AB104*(1+AC105)</f>
        <v>309.56209298437511</v>
      </c>
      <c r="AD104" s="239">
        <f>SUM(Z104:AC104)</f>
        <v>1152.5764526718754</v>
      </c>
      <c r="AE104" s="239">
        <f>AD104*(1+AE105)</f>
        <v>1210.2052753054693</v>
      </c>
      <c r="AF104" s="239">
        <f>AE104*(1+AF105)</f>
        <v>1270.7155390707428</v>
      </c>
      <c r="AG104" s="239">
        <f>AF104*(1+AG105)</f>
        <v>1334.25131602428</v>
      </c>
      <c r="AH104" s="9"/>
      <c r="AI104" s="9"/>
      <c r="AJ104" s="9"/>
    </row>
    <row r="105" spans="1:36" ht="12.75" hidden="1" customHeight="1" outlineLevel="1">
      <c r="A105" s="9"/>
      <c r="B105" s="9"/>
      <c r="C105" s="84" t="s">
        <v>250</v>
      </c>
      <c r="D105" s="9"/>
      <c r="E105" s="132"/>
      <c r="F105" s="232"/>
      <c r="G105" s="231">
        <f>IFERROR(G104/F104-1,"--")</f>
        <v>0</v>
      </c>
      <c r="H105" s="231">
        <f>IFERROR(H104/G104-1,"--")</f>
        <v>0</v>
      </c>
      <c r="I105" s="231">
        <f>IFERROR(I104/H104-1,"--")</f>
        <v>0</v>
      </c>
      <c r="J105" s="132"/>
      <c r="K105" s="231">
        <f>IFERROR(K104/I104-1,"--")</f>
        <v>0</v>
      </c>
      <c r="L105" s="231">
        <f>IFERROR(L104/K104-1,"--")</f>
        <v>0</v>
      </c>
      <c r="M105" s="231">
        <f>IFERROR(M104/L104-1,"--")</f>
        <v>0</v>
      </c>
      <c r="N105" s="231">
        <f>IFERROR(N104/M104-1,"--")</f>
        <v>0</v>
      </c>
      <c r="O105" s="219">
        <f>IFERROR(O104/J104-1,"--")</f>
        <v>0</v>
      </c>
      <c r="P105" s="231">
        <f>IFERROR(P104/N104-1,"--")</f>
        <v>0</v>
      </c>
      <c r="Q105" s="231">
        <f>IFERROR(Q104/P104-1,"--")</f>
        <v>0</v>
      </c>
      <c r="R105" s="231">
        <f>IFERROR(R104/Q104-1,"--")</f>
        <v>0</v>
      </c>
      <c r="S105" s="231">
        <f>IFERROR(S104/R104-1,"--")</f>
        <v>0</v>
      </c>
      <c r="T105" s="219">
        <f>IFERROR(T104/O104-1,"--")</f>
        <v>0</v>
      </c>
      <c r="U105" s="231">
        <f>IFERROR(U104/S104-1,"--")</f>
        <v>0</v>
      </c>
      <c r="V105" s="218">
        <f>IF(Case_Scenario="Bull",V106,IF(Case_Scenario="Base",V107,IF(Case_Scenario="bear",V108,"N/A")))</f>
        <v>0.05</v>
      </c>
      <c r="W105" s="218">
        <f>IF(Case_Scenario="Bull",W106,IF(Case_Scenario="Base",W107,IF(Case_Scenario="bear",W108,"N/A")))</f>
        <v>0.05</v>
      </c>
      <c r="X105" s="218">
        <f>IF(Case_Scenario="Bull",X106,IF(Case_Scenario="Base",X107,IF(Case_Scenario="bear",X108,"N/A")))</f>
        <v>0.05</v>
      </c>
      <c r="Y105" s="219"/>
      <c r="Z105" s="218">
        <f>IF(Case_Scenario="Bull",Z106,IF(Case_Scenario="Base",Z107,IF(Case_Scenario="bear",Z108,"N/A")))</f>
        <v>0.05</v>
      </c>
      <c r="AA105" s="218">
        <f>IF(Case_Scenario="Bull",AA106,IF(Case_Scenario="Base",AA107,IF(Case_Scenario="bear",AA108,"N/A")))</f>
        <v>0.05</v>
      </c>
      <c r="AB105" s="218">
        <f>IF(Case_Scenario="Bull",AB106,IF(Case_Scenario="Base",AB107,IF(Case_Scenario="bear",AB108,"N/A")))</f>
        <v>0.05</v>
      </c>
      <c r="AC105" s="218">
        <f>IF(Case_Scenario="Bull",AC106,IF(Case_Scenario="Base",AC107,IF(Case_Scenario="bear",AC108,"N/A")))</f>
        <v>0.05</v>
      </c>
      <c r="AD105" s="219"/>
      <c r="AE105" s="219">
        <f>IF(Case_Scenario="Bull",AE106,IF(Case_Scenario="Base",AE107,IF(Case_Scenario="bear",AE108,"N/A")))</f>
        <v>0.05</v>
      </c>
      <c r="AF105" s="219">
        <f>IF(Case_Scenario="Bull",AF106,IF(Case_Scenario="Base",AF107,IF(Case_Scenario="bear",AF108,"N/A")))</f>
        <v>0.05</v>
      </c>
      <c r="AG105" s="219">
        <f>IF(Case_Scenario="Bull",AG106,IF(Case_Scenario="Base",AG107,IF(Case_Scenario="bear",AG108,"N/A")))</f>
        <v>0.05</v>
      </c>
      <c r="AH105" s="9"/>
      <c r="AI105" s="9"/>
      <c r="AJ105" s="9"/>
    </row>
    <row r="106" spans="1:36" ht="12.75" hidden="1" customHeight="1" outlineLevel="1">
      <c r="A106" s="9"/>
      <c r="B106" s="9"/>
      <c r="C106" s="103" t="s">
        <v>245</v>
      </c>
      <c r="D106" s="9"/>
      <c r="E106" s="132"/>
      <c r="F106" s="232"/>
      <c r="G106" s="232"/>
      <c r="H106" s="232"/>
      <c r="I106" s="232"/>
      <c r="J106" s="132"/>
      <c r="K106" s="232"/>
      <c r="L106" s="232"/>
      <c r="M106" s="232"/>
      <c r="N106" s="232"/>
      <c r="O106" s="132"/>
      <c r="P106" s="232"/>
      <c r="Q106" s="232"/>
      <c r="R106" s="232"/>
      <c r="S106" s="232"/>
      <c r="T106" s="132"/>
      <c r="U106" s="232"/>
      <c r="V106" s="233">
        <v>0.1</v>
      </c>
      <c r="W106" s="233">
        <v>0.1</v>
      </c>
      <c r="X106" s="233">
        <v>0.1</v>
      </c>
      <c r="Y106" s="234"/>
      <c r="Z106" s="233">
        <v>0.1</v>
      </c>
      <c r="AA106" s="233">
        <v>0.1</v>
      </c>
      <c r="AB106" s="233">
        <v>0.1</v>
      </c>
      <c r="AC106" s="233">
        <v>0.1</v>
      </c>
      <c r="AD106" s="234"/>
      <c r="AE106" s="234">
        <v>0.1</v>
      </c>
      <c r="AF106" s="234">
        <v>0.1</v>
      </c>
      <c r="AG106" s="234">
        <v>0.1</v>
      </c>
      <c r="AH106" s="9"/>
      <c r="AI106" s="9"/>
      <c r="AJ106" s="9"/>
    </row>
    <row r="107" spans="1:36" ht="12.75" hidden="1" customHeight="1" outlineLevel="1">
      <c r="A107" s="9"/>
      <c r="B107" s="9"/>
      <c r="C107" s="103" t="s">
        <v>246</v>
      </c>
      <c r="D107" s="9"/>
      <c r="E107" s="132"/>
      <c r="F107" s="232"/>
      <c r="G107" s="232"/>
      <c r="H107" s="232"/>
      <c r="I107" s="232"/>
      <c r="J107" s="132"/>
      <c r="K107" s="232"/>
      <c r="L107" s="232"/>
      <c r="M107" s="232"/>
      <c r="N107" s="232"/>
      <c r="O107" s="132"/>
      <c r="P107" s="232"/>
      <c r="Q107" s="232"/>
      <c r="R107" s="232"/>
      <c r="S107" s="232"/>
      <c r="T107" s="132"/>
      <c r="U107" s="232"/>
      <c r="V107" s="233">
        <v>0.05</v>
      </c>
      <c r="W107" s="233">
        <v>0.05</v>
      </c>
      <c r="X107" s="233">
        <v>0.05</v>
      </c>
      <c r="Y107" s="234"/>
      <c r="Z107" s="233">
        <v>0.05</v>
      </c>
      <c r="AA107" s="233">
        <v>0.05</v>
      </c>
      <c r="AB107" s="233">
        <v>0.05</v>
      </c>
      <c r="AC107" s="233">
        <v>0.05</v>
      </c>
      <c r="AD107" s="234"/>
      <c r="AE107" s="234">
        <v>0.05</v>
      </c>
      <c r="AF107" s="234">
        <v>0.05</v>
      </c>
      <c r="AG107" s="234">
        <v>0.05</v>
      </c>
      <c r="AH107" s="9"/>
      <c r="AI107" s="9"/>
      <c r="AJ107" s="9"/>
    </row>
    <row r="108" spans="1:36" ht="12.75" hidden="1" customHeight="1" outlineLevel="1">
      <c r="A108" s="9"/>
      <c r="B108" s="9"/>
      <c r="C108" s="103" t="s">
        <v>247</v>
      </c>
      <c r="D108" s="9"/>
      <c r="E108" s="132"/>
      <c r="F108" s="232"/>
      <c r="G108" s="232"/>
      <c r="H108" s="232"/>
      <c r="I108" s="232"/>
      <c r="J108" s="132"/>
      <c r="K108" s="232"/>
      <c r="L108" s="232"/>
      <c r="M108" s="232"/>
      <c r="N108" s="232"/>
      <c r="O108" s="132"/>
      <c r="P108" s="232"/>
      <c r="Q108" s="232"/>
      <c r="R108" s="232"/>
      <c r="S108" s="232"/>
      <c r="T108" s="132"/>
      <c r="U108" s="232"/>
      <c r="V108" s="233">
        <v>0</v>
      </c>
      <c r="W108" s="233">
        <v>0</v>
      </c>
      <c r="X108" s="233">
        <v>0</v>
      </c>
      <c r="Y108" s="234"/>
      <c r="Z108" s="233">
        <v>0</v>
      </c>
      <c r="AA108" s="233">
        <v>0</v>
      </c>
      <c r="AB108" s="233">
        <v>0</v>
      </c>
      <c r="AC108" s="233">
        <v>0</v>
      </c>
      <c r="AD108" s="234"/>
      <c r="AE108" s="234">
        <v>0</v>
      </c>
      <c r="AF108" s="234">
        <v>0</v>
      </c>
      <c r="AG108" s="234">
        <v>0</v>
      </c>
      <c r="AH108" s="9"/>
      <c r="AI108" s="9"/>
      <c r="AJ108" s="9"/>
    </row>
    <row r="109" spans="1:36" ht="12.75" hidden="1" customHeight="1" outlineLevel="1">
      <c r="A109" s="9"/>
      <c r="B109" s="9"/>
      <c r="C109" s="103" t="s">
        <v>160</v>
      </c>
      <c r="D109" s="9"/>
      <c r="E109" s="132"/>
      <c r="F109" s="230">
        <f t="shared" ref="F109:U109" si="32">IFERROR(F103/F104,"--")</f>
        <v>0.22528636363636365</v>
      </c>
      <c r="G109" s="230">
        <f t="shared" si="32"/>
        <v>0.27500909090909087</v>
      </c>
      <c r="H109" s="230">
        <f t="shared" si="32"/>
        <v>0.13508636363636364</v>
      </c>
      <c r="I109" s="230">
        <f t="shared" si="32"/>
        <v>7.7709090909090908E-2</v>
      </c>
      <c r="J109" s="202">
        <f t="shared" si="32"/>
        <v>0.17827272727272728</v>
      </c>
      <c r="K109" s="230">
        <f t="shared" si="32"/>
        <v>8.9227272727272738E-2</v>
      </c>
      <c r="L109" s="230">
        <f t="shared" si="32"/>
        <v>8.0418181818181819E-2</v>
      </c>
      <c r="M109" s="230">
        <f t="shared" si="32"/>
        <v>5.2831818181818188E-2</v>
      </c>
      <c r="N109" s="230">
        <f t="shared" si="32"/>
        <v>0.24073181818181819</v>
      </c>
      <c r="O109" s="202">
        <f t="shared" si="32"/>
        <v>0.11580227272727274</v>
      </c>
      <c r="P109" s="230">
        <f t="shared" si="32"/>
        <v>0.2580409090909091</v>
      </c>
      <c r="Q109" s="230">
        <f t="shared" si="32"/>
        <v>0.13734545454545455</v>
      </c>
      <c r="R109" s="230">
        <f t="shared" si="32"/>
        <v>0.19081363636363635</v>
      </c>
      <c r="S109" s="230">
        <f t="shared" si="32"/>
        <v>0.31879545454545455</v>
      </c>
      <c r="T109" s="202">
        <f t="shared" si="32"/>
        <v>0.22624886363636362</v>
      </c>
      <c r="U109" s="230">
        <f t="shared" si="32"/>
        <v>0.19209999999999999</v>
      </c>
      <c r="V109" s="201">
        <f>U109*(1+V110)</f>
        <v>0.201705</v>
      </c>
      <c r="W109" s="201">
        <f>V109*(1+W110)</f>
        <v>0.21179025000000001</v>
      </c>
      <c r="X109" s="201">
        <f>W109*(1+X110)</f>
        <v>0.22237976250000002</v>
      </c>
      <c r="Y109" s="202">
        <f>Y103/Y104</f>
        <v>0.20760914664634147</v>
      </c>
      <c r="Z109" s="201">
        <f>X109*(1+Z110)</f>
        <v>0.23349875062500003</v>
      </c>
      <c r="AA109" s="201">
        <f>Z109*(1+AA110)</f>
        <v>0.24517368815625004</v>
      </c>
      <c r="AB109" s="201">
        <f>AA109*(1+AB110)</f>
        <v>0.25743237256406254</v>
      </c>
      <c r="AC109" s="201">
        <f>AB109*(1+AC110)</f>
        <v>0.27030399119226567</v>
      </c>
      <c r="AD109" s="202">
        <f>AD103/AD104</f>
        <v>0.2523502153057946</v>
      </c>
      <c r="AE109" s="202">
        <f>AD109*(1+AE110)</f>
        <v>0.26496772607108432</v>
      </c>
      <c r="AF109" s="202">
        <f>AE109*(1+AF110)</f>
        <v>0.27821611237463856</v>
      </c>
      <c r="AG109" s="202">
        <f>AF109*(1+AG110)</f>
        <v>0.29212691799337048</v>
      </c>
      <c r="AH109" s="9"/>
      <c r="AI109" s="9"/>
      <c r="AJ109" s="9"/>
    </row>
    <row r="110" spans="1:36" ht="12.75" hidden="1" customHeight="1" outlineLevel="1">
      <c r="A110" s="9"/>
      <c r="B110" s="9"/>
      <c r="C110" s="84" t="s">
        <v>251</v>
      </c>
      <c r="D110" s="9"/>
      <c r="E110" s="132"/>
      <c r="F110" s="232"/>
      <c r="G110" s="231">
        <f>IFERROR(G109/F109-1,"--")</f>
        <v>0.22070899663055088</v>
      </c>
      <c r="H110" s="231">
        <f>IFERROR(H109/G109-1,"--")</f>
        <v>-0.50879309774883463</v>
      </c>
      <c r="I110" s="231">
        <f>IFERROR(I109/H109-1,"--")</f>
        <v>-0.42474511255425829</v>
      </c>
      <c r="J110" s="132"/>
      <c r="K110" s="231">
        <f>IFERROR(K109/I109-1,"--")</f>
        <v>0.14822180627047277</v>
      </c>
      <c r="L110" s="231">
        <f>IFERROR(L109/K109-1,"--")</f>
        <v>-9.8726439123790199E-2</v>
      </c>
      <c r="M110" s="231">
        <f>IFERROR(M109/L109-1,"--")</f>
        <v>-0.34303640063305441</v>
      </c>
      <c r="N110" s="231">
        <f>IFERROR(N109/M109-1,"--")</f>
        <v>3.5565688720640107</v>
      </c>
      <c r="O110" s="219">
        <f>IFERROR(O109/J109-1,"--")</f>
        <v>-0.35042070372259049</v>
      </c>
      <c r="P110" s="231">
        <f>IFERROR(P109/N109-1,"--")</f>
        <v>7.1901965597326312E-2</v>
      </c>
      <c r="Q110" s="231">
        <f>IFERROR(Q109/P109-1,"--")</f>
        <v>-0.467737673730381</v>
      </c>
      <c r="R110" s="231">
        <f>IFERROR(R109/Q109-1,"--")</f>
        <v>0.38929706115965046</v>
      </c>
      <c r="S110" s="231">
        <f>IFERROR(S109/R109-1,"--")</f>
        <v>0.67071631053622061</v>
      </c>
      <c r="T110" s="219">
        <f>IFERROR(T109/O109-1,"--")</f>
        <v>0.95375149647714519</v>
      </c>
      <c r="U110" s="231">
        <f>IFERROR(U109/S109-1,"--")</f>
        <v>-0.39741926285021745</v>
      </c>
      <c r="V110" s="218">
        <f>IF(Case_Scenario="Bull",V111,IF(Case_Scenario="Base",V112,IF(Case_Scenario="bear",V113,"N/A")))</f>
        <v>0.05</v>
      </c>
      <c r="W110" s="218">
        <f>IF(Case_Scenario="Bull",W111,IF(Case_Scenario="Base",W112,IF(Case_Scenario="bear",W113,"N/A")))</f>
        <v>0.05</v>
      </c>
      <c r="X110" s="218">
        <f>IF(Case_Scenario="Bull",X111,IF(Case_Scenario="Base",X112,IF(Case_Scenario="bear",X113,"N/A")))</f>
        <v>0.05</v>
      </c>
      <c r="Y110" s="219"/>
      <c r="Z110" s="218">
        <f>IF(Case_Scenario="Bull",Z111,IF(Case_Scenario="Base",Z112,IF(Case_Scenario="bear",Z113,"N/A")))</f>
        <v>0.05</v>
      </c>
      <c r="AA110" s="218">
        <f>IF(Case_Scenario="Bull",AA111,IF(Case_Scenario="Base",AA112,IF(Case_Scenario="bear",AA113,"N/A")))</f>
        <v>0.05</v>
      </c>
      <c r="AB110" s="218">
        <f>IF(Case_Scenario="Bull",AB111,IF(Case_Scenario="Base",AB112,IF(Case_Scenario="bear",AB113,"N/A")))</f>
        <v>0.05</v>
      </c>
      <c r="AC110" s="218">
        <f>IF(Case_Scenario="Bull",AC111,IF(Case_Scenario="Base",AC112,IF(Case_Scenario="bear",AC113,"N/A")))</f>
        <v>0.05</v>
      </c>
      <c r="AD110" s="219"/>
      <c r="AE110" s="219">
        <f>IF(Case_Scenario="Bull",AE111,IF(Case_Scenario="Base",AE112,IF(Case_Scenario="bear",AE113,"N/A")))</f>
        <v>0.05</v>
      </c>
      <c r="AF110" s="219">
        <f>IF(Case_Scenario="Bull",AF111,IF(Case_Scenario="Base",AF112,IF(Case_Scenario="bear",AF113,"N/A")))</f>
        <v>0.05</v>
      </c>
      <c r="AG110" s="219">
        <f>IF(Case_Scenario="Bull",AG111,IF(Case_Scenario="Base",AG112,IF(Case_Scenario="bear",AG113,"N/A")))</f>
        <v>0.05</v>
      </c>
      <c r="AH110" s="9"/>
      <c r="AI110" s="9"/>
      <c r="AJ110" s="9"/>
    </row>
    <row r="111" spans="1:36" ht="12.75" hidden="1" customHeight="1" outlineLevel="1">
      <c r="A111" s="9"/>
      <c r="B111" s="9"/>
      <c r="C111" s="103" t="s">
        <v>245</v>
      </c>
      <c r="D111" s="9"/>
      <c r="E111" s="132"/>
      <c r="F111" s="232"/>
      <c r="G111" s="232"/>
      <c r="H111" s="232"/>
      <c r="I111" s="232"/>
      <c r="J111" s="132"/>
      <c r="K111" s="232"/>
      <c r="L111" s="232"/>
      <c r="M111" s="232"/>
      <c r="N111" s="232"/>
      <c r="O111" s="132"/>
      <c r="P111" s="232"/>
      <c r="Q111" s="232"/>
      <c r="R111" s="232"/>
      <c r="S111" s="232"/>
      <c r="T111" s="132"/>
      <c r="U111" s="232"/>
      <c r="V111" s="233">
        <v>0.1</v>
      </c>
      <c r="W111" s="233">
        <v>0.1</v>
      </c>
      <c r="X111" s="233">
        <v>0.1</v>
      </c>
      <c r="Y111" s="234"/>
      <c r="Z111" s="233">
        <v>0.1</v>
      </c>
      <c r="AA111" s="233">
        <v>0.1</v>
      </c>
      <c r="AB111" s="233">
        <v>0.1</v>
      </c>
      <c r="AC111" s="233">
        <v>0.1</v>
      </c>
      <c r="AD111" s="234"/>
      <c r="AE111" s="234">
        <v>0.1</v>
      </c>
      <c r="AF111" s="234">
        <v>0.1</v>
      </c>
      <c r="AG111" s="234">
        <v>0.1</v>
      </c>
      <c r="AH111" s="9"/>
      <c r="AI111" s="9"/>
      <c r="AJ111" s="9"/>
    </row>
    <row r="112" spans="1:36" ht="12.75" hidden="1" customHeight="1" outlineLevel="1">
      <c r="A112" s="9"/>
      <c r="B112" s="9"/>
      <c r="C112" s="103" t="s">
        <v>246</v>
      </c>
      <c r="D112" s="9"/>
      <c r="E112" s="132"/>
      <c r="F112" s="232"/>
      <c r="G112" s="232"/>
      <c r="H112" s="232"/>
      <c r="I112" s="232"/>
      <c r="J112" s="132"/>
      <c r="K112" s="232"/>
      <c r="L112" s="232"/>
      <c r="M112" s="232"/>
      <c r="N112" s="232"/>
      <c r="O112" s="132"/>
      <c r="P112" s="232"/>
      <c r="Q112" s="232"/>
      <c r="R112" s="232"/>
      <c r="S112" s="232"/>
      <c r="T112" s="132"/>
      <c r="U112" s="232"/>
      <c r="V112" s="233">
        <v>0.05</v>
      </c>
      <c r="W112" s="233">
        <v>0.05</v>
      </c>
      <c r="X112" s="233">
        <v>0.05</v>
      </c>
      <c r="Y112" s="234"/>
      <c r="Z112" s="233">
        <v>0.05</v>
      </c>
      <c r="AA112" s="233">
        <v>0.05</v>
      </c>
      <c r="AB112" s="233">
        <v>0.05</v>
      </c>
      <c r="AC112" s="233">
        <v>0.05</v>
      </c>
      <c r="AD112" s="234"/>
      <c r="AE112" s="234">
        <v>0.05</v>
      </c>
      <c r="AF112" s="234">
        <v>0.05</v>
      </c>
      <c r="AG112" s="234">
        <v>0.05</v>
      </c>
      <c r="AH112" s="9"/>
      <c r="AI112" s="9"/>
      <c r="AJ112" s="9"/>
    </row>
    <row r="113" spans="1:36" ht="12.75" hidden="1" customHeight="1" outlineLevel="1">
      <c r="A113" s="9"/>
      <c r="B113" s="9"/>
      <c r="C113" s="103" t="s">
        <v>247</v>
      </c>
      <c r="D113" s="9"/>
      <c r="E113" s="132"/>
      <c r="F113" s="232"/>
      <c r="G113" s="232"/>
      <c r="H113" s="232"/>
      <c r="I113" s="232"/>
      <c r="J113" s="132"/>
      <c r="K113" s="232"/>
      <c r="L113" s="232"/>
      <c r="M113" s="232"/>
      <c r="N113" s="232"/>
      <c r="O113" s="132"/>
      <c r="P113" s="232"/>
      <c r="Q113" s="232"/>
      <c r="R113" s="232"/>
      <c r="S113" s="232"/>
      <c r="T113" s="132"/>
      <c r="U113" s="232"/>
      <c r="V113" s="233">
        <v>0</v>
      </c>
      <c r="W113" s="233">
        <v>0</v>
      </c>
      <c r="X113" s="233">
        <v>0</v>
      </c>
      <c r="Y113" s="234"/>
      <c r="Z113" s="233">
        <v>0</v>
      </c>
      <c r="AA113" s="233">
        <v>0</v>
      </c>
      <c r="AB113" s="233">
        <v>0</v>
      </c>
      <c r="AC113" s="233">
        <v>0</v>
      </c>
      <c r="AD113" s="234"/>
      <c r="AE113" s="234">
        <v>0</v>
      </c>
      <c r="AF113" s="234">
        <v>0</v>
      </c>
      <c r="AG113" s="234">
        <v>0</v>
      </c>
      <c r="AH113" s="9"/>
      <c r="AI113" s="9"/>
      <c r="AJ113" s="9"/>
    </row>
    <row r="114" spans="1:36" ht="12.75" hidden="1" customHeight="1" outlineLevel="1">
      <c r="A114" s="9"/>
      <c r="B114" s="9"/>
      <c r="C114" s="9"/>
      <c r="D114" s="9"/>
      <c r="E114" s="132"/>
      <c r="F114" s="232"/>
      <c r="G114" s="232"/>
      <c r="H114" s="232"/>
      <c r="I114" s="232"/>
      <c r="J114" s="132"/>
      <c r="K114" s="232"/>
      <c r="L114" s="232"/>
      <c r="M114" s="232"/>
      <c r="N114" s="232"/>
      <c r="O114" s="132"/>
      <c r="P114" s="232"/>
      <c r="Q114" s="232"/>
      <c r="R114" s="232"/>
      <c r="S114" s="232"/>
      <c r="T114" s="132"/>
      <c r="U114" s="232"/>
      <c r="V114" s="235"/>
      <c r="W114" s="235"/>
      <c r="X114" s="235"/>
      <c r="Y114" s="132"/>
      <c r="Z114" s="235"/>
      <c r="AA114" s="235"/>
      <c r="AB114" s="235"/>
      <c r="AC114" s="235"/>
      <c r="AD114" s="132"/>
      <c r="AE114" s="132"/>
      <c r="AF114" s="132"/>
      <c r="AG114" s="132"/>
      <c r="AH114" s="9"/>
      <c r="AI114" s="9"/>
      <c r="AJ114" s="9"/>
    </row>
    <row r="115" spans="1:36" ht="12.75" hidden="1" customHeight="1" outlineLevel="1">
      <c r="A115" s="180" t="s">
        <v>0</v>
      </c>
      <c r="B115" s="9"/>
      <c r="C115" s="103" t="str">
        <f>C38</f>
        <v>Segment 3 Revenue</v>
      </c>
      <c r="D115" s="9"/>
      <c r="E115" s="132"/>
      <c r="F115" s="230">
        <f t="shared" ref="F115:U115" si="33">F38</f>
        <v>0</v>
      </c>
      <c r="G115" s="230">
        <f t="shared" si="33"/>
        <v>0</v>
      </c>
      <c r="H115" s="230">
        <f t="shared" si="33"/>
        <v>0</v>
      </c>
      <c r="I115" s="230">
        <f t="shared" si="33"/>
        <v>0</v>
      </c>
      <c r="J115" s="202">
        <f t="shared" si="33"/>
        <v>0</v>
      </c>
      <c r="K115" s="230">
        <f t="shared" si="33"/>
        <v>0</v>
      </c>
      <c r="L115" s="230">
        <f t="shared" si="33"/>
        <v>0</v>
      </c>
      <c r="M115" s="230">
        <f t="shared" si="33"/>
        <v>0</v>
      </c>
      <c r="N115" s="230">
        <f t="shared" si="33"/>
        <v>0</v>
      </c>
      <c r="O115" s="202">
        <f t="shared" si="33"/>
        <v>0</v>
      </c>
      <c r="P115" s="230">
        <f t="shared" si="33"/>
        <v>0</v>
      </c>
      <c r="Q115" s="230">
        <f t="shared" si="33"/>
        <v>0</v>
      </c>
      <c r="R115" s="230">
        <f t="shared" si="33"/>
        <v>0</v>
      </c>
      <c r="S115" s="230">
        <f t="shared" si="33"/>
        <v>0</v>
      </c>
      <c r="T115" s="202">
        <f t="shared" si="33"/>
        <v>0</v>
      </c>
      <c r="U115" s="230">
        <f t="shared" si="33"/>
        <v>0</v>
      </c>
      <c r="V115" s="201">
        <f>V116*V121</f>
        <v>0</v>
      </c>
      <c r="W115" s="201">
        <f>W116*W121</f>
        <v>0</v>
      </c>
      <c r="X115" s="201">
        <f>X116*X121</f>
        <v>0</v>
      </c>
      <c r="Y115" s="202">
        <f>SUM(U115:X115)</f>
        <v>0</v>
      </c>
      <c r="Z115" s="201">
        <f>Z116*Z121</f>
        <v>0</v>
      </c>
      <c r="AA115" s="201">
        <f>AA116*AA121</f>
        <v>0</v>
      </c>
      <c r="AB115" s="201">
        <f>AB116*AB121</f>
        <v>0</v>
      </c>
      <c r="AC115" s="201">
        <f>AC116*AC121</f>
        <v>0</v>
      </c>
      <c r="AD115" s="202">
        <f>SUM(Z115:AC115)</f>
        <v>0</v>
      </c>
      <c r="AE115" s="202">
        <f>AE116*AE121</f>
        <v>0</v>
      </c>
      <c r="AF115" s="202">
        <f>AF116*AF121</f>
        <v>0</v>
      </c>
      <c r="AG115" s="202">
        <f>AG116*AG121</f>
        <v>0</v>
      </c>
      <c r="AH115" s="9"/>
      <c r="AI115" s="9"/>
      <c r="AJ115" s="9"/>
    </row>
    <row r="116" spans="1:36" ht="12.75" hidden="1" customHeight="1" outlineLevel="1">
      <c r="A116" s="9"/>
      <c r="B116" s="9"/>
      <c r="C116" s="103" t="s">
        <v>249</v>
      </c>
      <c r="D116" s="9"/>
      <c r="E116" s="132"/>
      <c r="F116" s="238">
        <v>220</v>
      </c>
      <c r="G116" s="238">
        <v>220</v>
      </c>
      <c r="H116" s="238">
        <v>220</v>
      </c>
      <c r="I116" s="238">
        <v>220</v>
      </c>
      <c r="J116" s="239">
        <f>SUM(F116:I116)</f>
        <v>880</v>
      </c>
      <c r="K116" s="238">
        <v>220</v>
      </c>
      <c r="L116" s="238">
        <v>220</v>
      </c>
      <c r="M116" s="238">
        <v>220</v>
      </c>
      <c r="N116" s="238">
        <v>220</v>
      </c>
      <c r="O116" s="239">
        <f>SUM(K116:N116)</f>
        <v>880</v>
      </c>
      <c r="P116" s="238">
        <v>220</v>
      </c>
      <c r="Q116" s="238">
        <v>220</v>
      </c>
      <c r="R116" s="238">
        <v>220</v>
      </c>
      <c r="S116" s="238">
        <v>220</v>
      </c>
      <c r="T116" s="239">
        <f>SUM(P116:S116)</f>
        <v>880</v>
      </c>
      <c r="U116" s="238">
        <v>220</v>
      </c>
      <c r="V116" s="240">
        <f>U116*(1+V117)</f>
        <v>231</v>
      </c>
      <c r="W116" s="240">
        <f>V116*(1+W117)</f>
        <v>242.55</v>
      </c>
      <c r="X116" s="240">
        <f>W116*(1+X117)</f>
        <v>254.67750000000001</v>
      </c>
      <c r="Y116" s="239">
        <f>SUM(U116:X116)</f>
        <v>948.22749999999996</v>
      </c>
      <c r="Z116" s="240">
        <f>X116*(1+Z117)</f>
        <v>267.41137500000002</v>
      </c>
      <c r="AA116" s="240">
        <f>Z116*(1+AA117)</f>
        <v>280.78194375000004</v>
      </c>
      <c r="AB116" s="240">
        <f>AA116*(1+AB117)</f>
        <v>294.82104093750007</v>
      </c>
      <c r="AC116" s="240">
        <f>AB116*(1+AC117)</f>
        <v>309.56209298437511</v>
      </c>
      <c r="AD116" s="239">
        <f>SUM(Z116:AC116)</f>
        <v>1152.5764526718754</v>
      </c>
      <c r="AE116" s="239">
        <f>AD116*(1+AE117)</f>
        <v>1210.2052753054693</v>
      </c>
      <c r="AF116" s="239">
        <f>AE116*(1+AF117)</f>
        <v>1270.7155390707428</v>
      </c>
      <c r="AG116" s="239">
        <f>AF116*(1+AG117)</f>
        <v>1334.25131602428</v>
      </c>
      <c r="AH116" s="9"/>
      <c r="AI116" s="9"/>
      <c r="AJ116" s="9"/>
    </row>
    <row r="117" spans="1:36" ht="12.75" hidden="1" customHeight="1" outlineLevel="1">
      <c r="A117" s="9"/>
      <c r="B117" s="9"/>
      <c r="C117" s="84" t="s">
        <v>250</v>
      </c>
      <c r="D117" s="9"/>
      <c r="E117" s="132"/>
      <c r="F117" s="232"/>
      <c r="G117" s="231">
        <f>IFERROR(G116/F116-1,"--")</f>
        <v>0</v>
      </c>
      <c r="H117" s="231">
        <f>IFERROR(H116/G116-1,"--")</f>
        <v>0</v>
      </c>
      <c r="I117" s="231">
        <f>IFERROR(I116/H116-1,"--")</f>
        <v>0</v>
      </c>
      <c r="J117" s="132"/>
      <c r="K117" s="231">
        <f>IFERROR(K116/I116-1,"--")</f>
        <v>0</v>
      </c>
      <c r="L117" s="231">
        <f>IFERROR(L116/K116-1,"--")</f>
        <v>0</v>
      </c>
      <c r="M117" s="231">
        <f>IFERROR(M116/L116-1,"--")</f>
        <v>0</v>
      </c>
      <c r="N117" s="231">
        <f>IFERROR(N116/M116-1,"--")</f>
        <v>0</v>
      </c>
      <c r="O117" s="219">
        <f>IFERROR(O116/J116-1,"--")</f>
        <v>0</v>
      </c>
      <c r="P117" s="231">
        <f>IFERROR(P116/N116-1,"--")</f>
        <v>0</v>
      </c>
      <c r="Q117" s="231">
        <f>IFERROR(Q116/P116-1,"--")</f>
        <v>0</v>
      </c>
      <c r="R117" s="231">
        <f>IFERROR(R116/Q116-1,"--")</f>
        <v>0</v>
      </c>
      <c r="S117" s="231">
        <f>IFERROR(S116/R116-1,"--")</f>
        <v>0</v>
      </c>
      <c r="T117" s="219">
        <f>IFERROR(T116/O116-1,"--")</f>
        <v>0</v>
      </c>
      <c r="U117" s="231">
        <f>IFERROR(U116/S116-1,"--")</f>
        <v>0</v>
      </c>
      <c r="V117" s="218">
        <f>IF(Case_Scenario="Bull",V118,IF(Case_Scenario="Base",V119,IF(Case_Scenario="bear",V120,"N/A")))</f>
        <v>0.05</v>
      </c>
      <c r="W117" s="218">
        <f>IF(Case_Scenario="Bull",W118,IF(Case_Scenario="Base",W119,IF(Case_Scenario="bear",W120,"N/A")))</f>
        <v>0.05</v>
      </c>
      <c r="X117" s="218">
        <f>IF(Case_Scenario="Bull",X118,IF(Case_Scenario="Base",X119,IF(Case_Scenario="bear",X120,"N/A")))</f>
        <v>0.05</v>
      </c>
      <c r="Y117" s="219"/>
      <c r="Z117" s="218">
        <f>IF(Case_Scenario="Bull",Z118,IF(Case_Scenario="Base",Z119,IF(Case_Scenario="bear",Z120,"N/A")))</f>
        <v>0.05</v>
      </c>
      <c r="AA117" s="218">
        <f>IF(Case_Scenario="Bull",AA118,IF(Case_Scenario="Base",AA119,IF(Case_Scenario="bear",AA120,"N/A")))</f>
        <v>0.05</v>
      </c>
      <c r="AB117" s="218">
        <f>IF(Case_Scenario="Bull",AB118,IF(Case_Scenario="Base",AB119,IF(Case_Scenario="bear",AB120,"N/A")))</f>
        <v>0.05</v>
      </c>
      <c r="AC117" s="218">
        <f>IF(Case_Scenario="Bull",AC118,IF(Case_Scenario="Base",AC119,IF(Case_Scenario="bear",AC120,"N/A")))</f>
        <v>0.05</v>
      </c>
      <c r="AD117" s="219"/>
      <c r="AE117" s="219">
        <f>IF(Case_Scenario="Bull",AE118,IF(Case_Scenario="Base",AE119,IF(Case_Scenario="bear",AE120,"N/A")))</f>
        <v>0.05</v>
      </c>
      <c r="AF117" s="219">
        <f>IF(Case_Scenario="Bull",AF118,IF(Case_Scenario="Base",AF119,IF(Case_Scenario="bear",AF120,"N/A")))</f>
        <v>0.05</v>
      </c>
      <c r="AG117" s="219">
        <f>IF(Case_Scenario="Bull",AG118,IF(Case_Scenario="Base",AG119,IF(Case_Scenario="bear",AG120,"N/A")))</f>
        <v>0.05</v>
      </c>
      <c r="AH117" s="9"/>
      <c r="AI117" s="9"/>
      <c r="AJ117" s="9"/>
    </row>
    <row r="118" spans="1:36" ht="12.75" hidden="1" customHeight="1" outlineLevel="1">
      <c r="A118" s="9"/>
      <c r="B118" s="9"/>
      <c r="C118" s="103" t="s">
        <v>245</v>
      </c>
      <c r="D118" s="9"/>
      <c r="E118" s="132"/>
      <c r="F118" s="232"/>
      <c r="G118" s="232"/>
      <c r="H118" s="232"/>
      <c r="I118" s="232"/>
      <c r="J118" s="132"/>
      <c r="K118" s="232"/>
      <c r="L118" s="232"/>
      <c r="M118" s="232"/>
      <c r="N118" s="232"/>
      <c r="O118" s="132"/>
      <c r="P118" s="232"/>
      <c r="Q118" s="232"/>
      <c r="R118" s="232"/>
      <c r="S118" s="232"/>
      <c r="T118" s="132"/>
      <c r="U118" s="232"/>
      <c r="V118" s="233">
        <v>0.1</v>
      </c>
      <c r="W118" s="233">
        <v>0.1</v>
      </c>
      <c r="X118" s="233">
        <v>0.1</v>
      </c>
      <c r="Y118" s="234"/>
      <c r="Z118" s="233">
        <v>0.1</v>
      </c>
      <c r="AA118" s="233">
        <v>0.1</v>
      </c>
      <c r="AB118" s="233">
        <v>0.1</v>
      </c>
      <c r="AC118" s="233">
        <v>0.1</v>
      </c>
      <c r="AD118" s="234"/>
      <c r="AE118" s="234">
        <v>0.1</v>
      </c>
      <c r="AF118" s="234">
        <v>0.1</v>
      </c>
      <c r="AG118" s="234">
        <v>0.1</v>
      </c>
      <c r="AH118" s="9"/>
      <c r="AI118" s="9"/>
      <c r="AJ118" s="9"/>
    </row>
    <row r="119" spans="1:36" ht="12.75" hidden="1" customHeight="1" outlineLevel="1">
      <c r="A119" s="9"/>
      <c r="B119" s="9"/>
      <c r="C119" s="103" t="s">
        <v>246</v>
      </c>
      <c r="D119" s="9"/>
      <c r="E119" s="132"/>
      <c r="F119" s="232"/>
      <c r="G119" s="232"/>
      <c r="H119" s="232"/>
      <c r="I119" s="232"/>
      <c r="J119" s="132"/>
      <c r="K119" s="232"/>
      <c r="L119" s="232"/>
      <c r="M119" s="232"/>
      <c r="N119" s="232"/>
      <c r="O119" s="132"/>
      <c r="P119" s="232"/>
      <c r="Q119" s="232"/>
      <c r="R119" s="232"/>
      <c r="S119" s="232"/>
      <c r="T119" s="132"/>
      <c r="U119" s="232"/>
      <c r="V119" s="233">
        <v>0.05</v>
      </c>
      <c r="W119" s="233">
        <v>0.05</v>
      </c>
      <c r="X119" s="233">
        <v>0.05</v>
      </c>
      <c r="Y119" s="234"/>
      <c r="Z119" s="233">
        <v>0.05</v>
      </c>
      <c r="AA119" s="233">
        <v>0.05</v>
      </c>
      <c r="AB119" s="233">
        <v>0.05</v>
      </c>
      <c r="AC119" s="233">
        <v>0.05</v>
      </c>
      <c r="AD119" s="234"/>
      <c r="AE119" s="234">
        <v>0.05</v>
      </c>
      <c r="AF119" s="234">
        <v>0.05</v>
      </c>
      <c r="AG119" s="234">
        <v>0.05</v>
      </c>
      <c r="AH119" s="9"/>
      <c r="AI119" s="9"/>
      <c r="AJ119" s="9"/>
    </row>
    <row r="120" spans="1:36" ht="12.75" hidden="1" customHeight="1" outlineLevel="1">
      <c r="A120" s="9"/>
      <c r="B120" s="9"/>
      <c r="C120" s="103" t="s">
        <v>247</v>
      </c>
      <c r="D120" s="9"/>
      <c r="E120" s="132"/>
      <c r="F120" s="232"/>
      <c r="G120" s="232"/>
      <c r="H120" s="232"/>
      <c r="I120" s="232"/>
      <c r="J120" s="132"/>
      <c r="K120" s="232"/>
      <c r="L120" s="232"/>
      <c r="M120" s="232"/>
      <c r="N120" s="232"/>
      <c r="O120" s="132"/>
      <c r="P120" s="232"/>
      <c r="Q120" s="232"/>
      <c r="R120" s="232"/>
      <c r="S120" s="232"/>
      <c r="T120" s="132"/>
      <c r="U120" s="232"/>
      <c r="V120" s="233">
        <v>0</v>
      </c>
      <c r="W120" s="233">
        <v>0</v>
      </c>
      <c r="X120" s="233">
        <v>0</v>
      </c>
      <c r="Y120" s="234"/>
      <c r="Z120" s="233">
        <v>0</v>
      </c>
      <c r="AA120" s="233">
        <v>0</v>
      </c>
      <c r="AB120" s="233">
        <v>0</v>
      </c>
      <c r="AC120" s="233">
        <v>0</v>
      </c>
      <c r="AD120" s="234"/>
      <c r="AE120" s="234">
        <v>0</v>
      </c>
      <c r="AF120" s="234">
        <v>0</v>
      </c>
      <c r="AG120" s="234">
        <v>0</v>
      </c>
      <c r="AH120" s="9"/>
      <c r="AI120" s="9"/>
      <c r="AJ120" s="9"/>
    </row>
    <row r="121" spans="1:36" ht="12.75" hidden="1" customHeight="1" outlineLevel="1">
      <c r="A121" s="9"/>
      <c r="B121" s="9"/>
      <c r="C121" s="103" t="s">
        <v>160</v>
      </c>
      <c r="D121" s="9"/>
      <c r="E121" s="132"/>
      <c r="F121" s="230">
        <f t="shared" ref="F121:U121" si="34">IFERROR(F115/F116,"--")</f>
        <v>0</v>
      </c>
      <c r="G121" s="230">
        <f t="shared" si="34"/>
        <v>0</v>
      </c>
      <c r="H121" s="230">
        <f t="shared" si="34"/>
        <v>0</v>
      </c>
      <c r="I121" s="230">
        <f t="shared" si="34"/>
        <v>0</v>
      </c>
      <c r="J121" s="202">
        <f t="shared" si="34"/>
        <v>0</v>
      </c>
      <c r="K121" s="230">
        <f t="shared" si="34"/>
        <v>0</v>
      </c>
      <c r="L121" s="230">
        <f t="shared" si="34"/>
        <v>0</v>
      </c>
      <c r="M121" s="230">
        <f t="shared" si="34"/>
        <v>0</v>
      </c>
      <c r="N121" s="230">
        <f t="shared" si="34"/>
        <v>0</v>
      </c>
      <c r="O121" s="202">
        <f t="shared" si="34"/>
        <v>0</v>
      </c>
      <c r="P121" s="230">
        <f t="shared" si="34"/>
        <v>0</v>
      </c>
      <c r="Q121" s="230">
        <f t="shared" si="34"/>
        <v>0</v>
      </c>
      <c r="R121" s="230">
        <f t="shared" si="34"/>
        <v>0</v>
      </c>
      <c r="S121" s="230">
        <f t="shared" si="34"/>
        <v>0</v>
      </c>
      <c r="T121" s="202">
        <f t="shared" si="34"/>
        <v>0</v>
      </c>
      <c r="U121" s="230">
        <f t="shared" si="34"/>
        <v>0</v>
      </c>
      <c r="V121" s="201">
        <f>U121*(1+V122)</f>
        <v>0</v>
      </c>
      <c r="W121" s="201">
        <f>V121*(1+W122)</f>
        <v>0</v>
      </c>
      <c r="X121" s="201">
        <f>W121*(1+X122)</f>
        <v>0</v>
      </c>
      <c r="Y121" s="202">
        <f>Y115/Y116</f>
        <v>0</v>
      </c>
      <c r="Z121" s="201">
        <f>X121*(1+Z122)</f>
        <v>0</v>
      </c>
      <c r="AA121" s="201">
        <f>Z121*(1+AA122)</f>
        <v>0</v>
      </c>
      <c r="AB121" s="201">
        <f>AA121*(1+AB122)</f>
        <v>0</v>
      </c>
      <c r="AC121" s="201">
        <f>AB121*(1+AC122)</f>
        <v>0</v>
      </c>
      <c r="AD121" s="202">
        <f>AD115/AD116</f>
        <v>0</v>
      </c>
      <c r="AE121" s="202">
        <f>AD121*(1+AE122)</f>
        <v>0</v>
      </c>
      <c r="AF121" s="202">
        <f>AE121*(1+AF122)</f>
        <v>0</v>
      </c>
      <c r="AG121" s="202">
        <f>AF121*(1+AG122)</f>
        <v>0</v>
      </c>
      <c r="AH121" s="9"/>
      <c r="AI121" s="9"/>
      <c r="AJ121" s="9"/>
    </row>
    <row r="122" spans="1:36" ht="12.75" hidden="1" customHeight="1" outlineLevel="1">
      <c r="A122" s="9"/>
      <c r="B122" s="9"/>
      <c r="C122" s="84" t="s">
        <v>251</v>
      </c>
      <c r="D122" s="9"/>
      <c r="E122" s="132"/>
      <c r="F122" s="232"/>
      <c r="G122" s="231" t="str">
        <f>IFERROR(G121/F121-1,"--")</f>
        <v>--</v>
      </c>
      <c r="H122" s="231" t="str">
        <f>IFERROR(H121/G121-1,"--")</f>
        <v>--</v>
      </c>
      <c r="I122" s="231" t="str">
        <f>IFERROR(I121/H121-1,"--")</f>
        <v>--</v>
      </c>
      <c r="J122" s="132"/>
      <c r="K122" s="231" t="str">
        <f>IFERROR(K121/I121-1,"--")</f>
        <v>--</v>
      </c>
      <c r="L122" s="231" t="str">
        <f>IFERROR(L121/K121-1,"--")</f>
        <v>--</v>
      </c>
      <c r="M122" s="231" t="str">
        <f>IFERROR(M121/L121-1,"--")</f>
        <v>--</v>
      </c>
      <c r="N122" s="231" t="str">
        <f>IFERROR(N121/M121-1,"--")</f>
        <v>--</v>
      </c>
      <c r="O122" s="219" t="str">
        <f>IFERROR(O121/J121-1,"--")</f>
        <v>--</v>
      </c>
      <c r="P122" s="231" t="str">
        <f>IFERROR(P121/N121-1,"--")</f>
        <v>--</v>
      </c>
      <c r="Q122" s="231" t="str">
        <f>IFERROR(Q121/P121-1,"--")</f>
        <v>--</v>
      </c>
      <c r="R122" s="231" t="str">
        <f>IFERROR(R121/Q121-1,"--")</f>
        <v>--</v>
      </c>
      <c r="S122" s="231" t="str">
        <f>IFERROR(S121/R121-1,"--")</f>
        <v>--</v>
      </c>
      <c r="T122" s="219" t="str">
        <f>IFERROR(T121/O121-1,"--")</f>
        <v>--</v>
      </c>
      <c r="U122" s="231" t="str">
        <f>IFERROR(U121/S121-1,"--")</f>
        <v>--</v>
      </c>
      <c r="V122" s="218">
        <f>IF(Case_Scenario="Bull",V123,IF(Case_Scenario="Base",V124,IF(Case_Scenario="bear",V125,"N/A")))</f>
        <v>0.05</v>
      </c>
      <c r="W122" s="218">
        <f>IF(Case_Scenario="Bull",W123,IF(Case_Scenario="Base",W124,IF(Case_Scenario="bear",W125,"N/A")))</f>
        <v>0.05</v>
      </c>
      <c r="X122" s="218">
        <f>IF(Case_Scenario="Bull",X123,IF(Case_Scenario="Base",X124,IF(Case_Scenario="bear",X125,"N/A")))</f>
        <v>0.05</v>
      </c>
      <c r="Y122" s="219"/>
      <c r="Z122" s="218">
        <f>IF(Case_Scenario="Bull",Z123,IF(Case_Scenario="Base",Z124,IF(Case_Scenario="bear",Z125,"N/A")))</f>
        <v>0.05</v>
      </c>
      <c r="AA122" s="218">
        <f>IF(Case_Scenario="Bull",AA123,IF(Case_Scenario="Base",AA124,IF(Case_Scenario="bear",AA125,"N/A")))</f>
        <v>0.05</v>
      </c>
      <c r="AB122" s="218">
        <f>IF(Case_Scenario="Bull",AB123,IF(Case_Scenario="Base",AB124,IF(Case_Scenario="bear",AB125,"N/A")))</f>
        <v>0.05</v>
      </c>
      <c r="AC122" s="218">
        <f>IF(Case_Scenario="Bull",AC123,IF(Case_Scenario="Base",AC124,IF(Case_Scenario="bear",AC125,"N/A")))</f>
        <v>0.05</v>
      </c>
      <c r="AD122" s="219"/>
      <c r="AE122" s="219">
        <f>IF(Case_Scenario="Bull",AE123,IF(Case_Scenario="Base",AE124,IF(Case_Scenario="bear",AE125,"N/A")))</f>
        <v>0.05</v>
      </c>
      <c r="AF122" s="219">
        <f>IF(Case_Scenario="Bull",AF123,IF(Case_Scenario="Base",AF124,IF(Case_Scenario="bear",AF125,"N/A")))</f>
        <v>0.05</v>
      </c>
      <c r="AG122" s="219">
        <f>IF(Case_Scenario="Bull",AG123,IF(Case_Scenario="Base",AG124,IF(Case_Scenario="bear",AG125,"N/A")))</f>
        <v>0.05</v>
      </c>
      <c r="AH122" s="9"/>
      <c r="AI122" s="9"/>
      <c r="AJ122" s="9"/>
    </row>
    <row r="123" spans="1:36" ht="12.75" hidden="1" customHeight="1" outlineLevel="1">
      <c r="A123" s="9"/>
      <c r="B123" s="9"/>
      <c r="C123" s="103" t="s">
        <v>245</v>
      </c>
      <c r="D123" s="9"/>
      <c r="E123" s="132"/>
      <c r="F123" s="232"/>
      <c r="G123" s="232"/>
      <c r="H123" s="232"/>
      <c r="I123" s="232"/>
      <c r="J123" s="132"/>
      <c r="K123" s="232"/>
      <c r="L123" s="232"/>
      <c r="M123" s="232"/>
      <c r="N123" s="232"/>
      <c r="O123" s="132"/>
      <c r="P123" s="232"/>
      <c r="Q123" s="232"/>
      <c r="R123" s="232"/>
      <c r="S123" s="232"/>
      <c r="T123" s="132"/>
      <c r="U123" s="232"/>
      <c r="V123" s="233">
        <v>0.1</v>
      </c>
      <c r="W123" s="233">
        <v>0.1</v>
      </c>
      <c r="X123" s="233">
        <v>0.1</v>
      </c>
      <c r="Y123" s="234"/>
      <c r="Z123" s="233">
        <v>0.1</v>
      </c>
      <c r="AA123" s="233">
        <v>0.1</v>
      </c>
      <c r="AB123" s="233">
        <v>0.1</v>
      </c>
      <c r="AC123" s="233">
        <v>0.1</v>
      </c>
      <c r="AD123" s="234"/>
      <c r="AE123" s="234">
        <v>0.1</v>
      </c>
      <c r="AF123" s="234">
        <v>0.1</v>
      </c>
      <c r="AG123" s="234">
        <v>0.1</v>
      </c>
      <c r="AH123" s="9"/>
      <c r="AI123" s="9"/>
      <c r="AJ123" s="9"/>
    </row>
    <row r="124" spans="1:36" ht="12.75" hidden="1" customHeight="1" outlineLevel="1">
      <c r="A124" s="9"/>
      <c r="B124" s="9"/>
      <c r="C124" s="103" t="s">
        <v>246</v>
      </c>
      <c r="D124" s="9"/>
      <c r="E124" s="132"/>
      <c r="F124" s="232"/>
      <c r="G124" s="232"/>
      <c r="H124" s="232"/>
      <c r="I124" s="232"/>
      <c r="J124" s="132"/>
      <c r="K124" s="232"/>
      <c r="L124" s="232"/>
      <c r="M124" s="232"/>
      <c r="N124" s="232"/>
      <c r="O124" s="132"/>
      <c r="P124" s="232"/>
      <c r="Q124" s="232"/>
      <c r="R124" s="232"/>
      <c r="S124" s="232"/>
      <c r="T124" s="132"/>
      <c r="U124" s="232"/>
      <c r="V124" s="233">
        <v>0.05</v>
      </c>
      <c r="W124" s="233">
        <v>0.05</v>
      </c>
      <c r="X124" s="233">
        <v>0.05</v>
      </c>
      <c r="Y124" s="234"/>
      <c r="Z124" s="233">
        <v>0.05</v>
      </c>
      <c r="AA124" s="233">
        <v>0.05</v>
      </c>
      <c r="AB124" s="233">
        <v>0.05</v>
      </c>
      <c r="AC124" s="233">
        <v>0.05</v>
      </c>
      <c r="AD124" s="234"/>
      <c r="AE124" s="234">
        <v>0.05</v>
      </c>
      <c r="AF124" s="234">
        <v>0.05</v>
      </c>
      <c r="AG124" s="234">
        <v>0.05</v>
      </c>
      <c r="AH124" s="9"/>
      <c r="AI124" s="9"/>
      <c r="AJ124" s="9"/>
    </row>
    <row r="125" spans="1:36" ht="12.75" hidden="1" customHeight="1" outlineLevel="1">
      <c r="A125" s="9"/>
      <c r="B125" s="9"/>
      <c r="C125" s="103" t="s">
        <v>247</v>
      </c>
      <c r="D125" s="9"/>
      <c r="E125" s="132"/>
      <c r="F125" s="232"/>
      <c r="G125" s="232"/>
      <c r="H125" s="232"/>
      <c r="I125" s="232"/>
      <c r="J125" s="132"/>
      <c r="K125" s="232"/>
      <c r="L125" s="232"/>
      <c r="M125" s="232"/>
      <c r="N125" s="232"/>
      <c r="O125" s="132"/>
      <c r="P125" s="232"/>
      <c r="Q125" s="232"/>
      <c r="R125" s="232"/>
      <c r="S125" s="232"/>
      <c r="T125" s="132"/>
      <c r="U125" s="232"/>
      <c r="V125" s="233">
        <v>0</v>
      </c>
      <c r="W125" s="233">
        <v>0</v>
      </c>
      <c r="X125" s="233">
        <v>0</v>
      </c>
      <c r="Y125" s="234"/>
      <c r="Z125" s="233">
        <v>0</v>
      </c>
      <c r="AA125" s="233">
        <v>0</v>
      </c>
      <c r="AB125" s="233">
        <v>0</v>
      </c>
      <c r="AC125" s="233">
        <v>0</v>
      </c>
      <c r="AD125" s="234"/>
      <c r="AE125" s="234">
        <v>0</v>
      </c>
      <c r="AF125" s="234">
        <v>0</v>
      </c>
      <c r="AG125" s="234">
        <v>0</v>
      </c>
      <c r="AH125" s="9"/>
      <c r="AI125" s="9"/>
      <c r="AJ125" s="9"/>
    </row>
    <row r="126" spans="1:36" ht="12.75" hidden="1" customHeight="1" outlineLevel="1">
      <c r="A126" s="9"/>
      <c r="B126" s="9"/>
      <c r="C126" s="103"/>
      <c r="D126" s="9"/>
      <c r="E126" s="132"/>
      <c r="F126" s="232"/>
      <c r="G126" s="232"/>
      <c r="H126" s="232"/>
      <c r="I126" s="232"/>
      <c r="J126" s="132"/>
      <c r="K126" s="232"/>
      <c r="L126" s="232"/>
      <c r="M126" s="232"/>
      <c r="N126" s="232"/>
      <c r="O126" s="132"/>
      <c r="P126" s="232"/>
      <c r="Q126" s="232"/>
      <c r="R126" s="232"/>
      <c r="S126" s="232"/>
      <c r="T126" s="132"/>
      <c r="U126" s="232"/>
      <c r="V126" s="235"/>
      <c r="W126" s="235"/>
      <c r="X126" s="235"/>
      <c r="Y126" s="132"/>
      <c r="Z126" s="235"/>
      <c r="AA126" s="235"/>
      <c r="AB126" s="235"/>
      <c r="AC126" s="235"/>
      <c r="AD126" s="132"/>
      <c r="AE126" s="132"/>
      <c r="AF126" s="132"/>
      <c r="AG126" s="132"/>
      <c r="AH126" s="9"/>
      <c r="AI126" s="9"/>
      <c r="AJ126" s="9"/>
    </row>
    <row r="127" spans="1:36" ht="12.75" hidden="1" customHeight="1" outlineLevel="1">
      <c r="A127" s="180" t="s">
        <v>0</v>
      </c>
      <c r="B127" s="9"/>
      <c r="C127" s="103" t="str">
        <f>C41</f>
        <v>Segment 4 Revenue</v>
      </c>
      <c r="D127" s="9"/>
      <c r="E127" s="132"/>
      <c r="F127" s="230">
        <f t="shared" ref="F127:U127" si="35">F41</f>
        <v>0</v>
      </c>
      <c r="G127" s="230">
        <f t="shared" si="35"/>
        <v>0</v>
      </c>
      <c r="H127" s="230">
        <f t="shared" si="35"/>
        <v>0</v>
      </c>
      <c r="I127" s="230">
        <f t="shared" si="35"/>
        <v>0</v>
      </c>
      <c r="J127" s="202">
        <f t="shared" si="35"/>
        <v>0</v>
      </c>
      <c r="K127" s="230">
        <f t="shared" si="35"/>
        <v>0</v>
      </c>
      <c r="L127" s="230">
        <f t="shared" si="35"/>
        <v>0</v>
      </c>
      <c r="M127" s="230">
        <f t="shared" si="35"/>
        <v>0</v>
      </c>
      <c r="N127" s="230">
        <f t="shared" si="35"/>
        <v>0</v>
      </c>
      <c r="O127" s="202">
        <f t="shared" si="35"/>
        <v>0</v>
      </c>
      <c r="P127" s="230">
        <f t="shared" si="35"/>
        <v>0</v>
      </c>
      <c r="Q127" s="230">
        <f t="shared" si="35"/>
        <v>0</v>
      </c>
      <c r="R127" s="230">
        <f t="shared" si="35"/>
        <v>0</v>
      </c>
      <c r="S127" s="230">
        <f t="shared" si="35"/>
        <v>0</v>
      </c>
      <c r="T127" s="202">
        <f t="shared" si="35"/>
        <v>0</v>
      </c>
      <c r="U127" s="230">
        <f t="shared" si="35"/>
        <v>0</v>
      </c>
      <c r="V127" s="201">
        <f>V128*V133</f>
        <v>0</v>
      </c>
      <c r="W127" s="201">
        <f>W128*W133</f>
        <v>0</v>
      </c>
      <c r="X127" s="201">
        <f>X128*X133</f>
        <v>0</v>
      </c>
      <c r="Y127" s="202">
        <f>SUM(U127:X127)</f>
        <v>0</v>
      </c>
      <c r="Z127" s="201">
        <f>Z128*Z133</f>
        <v>0</v>
      </c>
      <c r="AA127" s="201">
        <f>AA128*AA133</f>
        <v>0</v>
      </c>
      <c r="AB127" s="201">
        <f>AB128*AB133</f>
        <v>0</v>
      </c>
      <c r="AC127" s="201">
        <f>AC128*AC133</f>
        <v>0</v>
      </c>
      <c r="AD127" s="202">
        <f>SUM(Z127:AC127)</f>
        <v>0</v>
      </c>
      <c r="AE127" s="202">
        <f>AE128*AE133</f>
        <v>0</v>
      </c>
      <c r="AF127" s="202">
        <f>AF128*AF133</f>
        <v>0</v>
      </c>
      <c r="AG127" s="202">
        <f>AG128*AG133</f>
        <v>0</v>
      </c>
      <c r="AH127" s="9"/>
      <c r="AI127" s="9"/>
      <c r="AJ127" s="9"/>
    </row>
    <row r="128" spans="1:36" ht="12.75" hidden="1" customHeight="1" outlineLevel="1">
      <c r="A128" s="9"/>
      <c r="B128" s="9"/>
      <c r="C128" s="103" t="s">
        <v>249</v>
      </c>
      <c r="D128" s="9"/>
      <c r="E128" s="132"/>
      <c r="F128" s="238">
        <v>220</v>
      </c>
      <c r="G128" s="238">
        <v>220</v>
      </c>
      <c r="H128" s="238">
        <v>220</v>
      </c>
      <c r="I128" s="238">
        <v>220</v>
      </c>
      <c r="J128" s="239">
        <f>SUM(F128:I128)</f>
        <v>880</v>
      </c>
      <c r="K128" s="238">
        <v>220</v>
      </c>
      <c r="L128" s="238">
        <v>220</v>
      </c>
      <c r="M128" s="238">
        <v>220</v>
      </c>
      <c r="N128" s="238">
        <v>220</v>
      </c>
      <c r="O128" s="239">
        <f>SUM(K128:N128)</f>
        <v>880</v>
      </c>
      <c r="P128" s="238">
        <v>220</v>
      </c>
      <c r="Q128" s="238">
        <v>220</v>
      </c>
      <c r="R128" s="238">
        <v>220</v>
      </c>
      <c r="S128" s="238">
        <v>220</v>
      </c>
      <c r="T128" s="239">
        <f>SUM(P128:S128)</f>
        <v>880</v>
      </c>
      <c r="U128" s="238">
        <v>220</v>
      </c>
      <c r="V128" s="240">
        <f>U128*(1+V129)</f>
        <v>231</v>
      </c>
      <c r="W128" s="240">
        <f>V128*(1+W129)</f>
        <v>242.55</v>
      </c>
      <c r="X128" s="240">
        <f>W128*(1+X129)</f>
        <v>254.67750000000001</v>
      </c>
      <c r="Y128" s="239">
        <f>SUM(U128:X128)</f>
        <v>948.22749999999996</v>
      </c>
      <c r="Z128" s="240">
        <f>X128*(1+Z129)</f>
        <v>267.41137500000002</v>
      </c>
      <c r="AA128" s="240">
        <f>Z128*(1+AA129)</f>
        <v>280.78194375000004</v>
      </c>
      <c r="AB128" s="240">
        <f>AA128*(1+AB129)</f>
        <v>294.82104093750007</v>
      </c>
      <c r="AC128" s="240">
        <f>AB128*(1+AC129)</f>
        <v>309.56209298437511</v>
      </c>
      <c r="AD128" s="239">
        <f>SUM(Z128:AC128)</f>
        <v>1152.5764526718754</v>
      </c>
      <c r="AE128" s="239">
        <f>AD128*(1+AE129)</f>
        <v>1210.2052753054693</v>
      </c>
      <c r="AF128" s="239">
        <f>AE128*(1+AF129)</f>
        <v>1270.7155390707428</v>
      </c>
      <c r="AG128" s="239">
        <f>AF128*(1+AG129)</f>
        <v>1334.25131602428</v>
      </c>
      <c r="AH128" s="9"/>
      <c r="AI128" s="9"/>
      <c r="AJ128" s="9"/>
    </row>
    <row r="129" spans="1:36" ht="12.75" hidden="1" customHeight="1" outlineLevel="1">
      <c r="A129" s="9"/>
      <c r="B129" s="9"/>
      <c r="C129" s="84" t="s">
        <v>250</v>
      </c>
      <c r="D129" s="9"/>
      <c r="E129" s="132"/>
      <c r="F129" s="232"/>
      <c r="G129" s="231">
        <f>IFERROR(G128/F128-1,"--")</f>
        <v>0</v>
      </c>
      <c r="H129" s="231">
        <f>IFERROR(H128/G128-1,"--")</f>
        <v>0</v>
      </c>
      <c r="I129" s="231">
        <f>IFERROR(I128/H128-1,"--")</f>
        <v>0</v>
      </c>
      <c r="J129" s="132"/>
      <c r="K129" s="231">
        <f>IFERROR(K128/I128-1,"--")</f>
        <v>0</v>
      </c>
      <c r="L129" s="231">
        <f>IFERROR(L128/K128-1,"--")</f>
        <v>0</v>
      </c>
      <c r="M129" s="231">
        <f>IFERROR(M128/L128-1,"--")</f>
        <v>0</v>
      </c>
      <c r="N129" s="231">
        <f>IFERROR(N128/M128-1,"--")</f>
        <v>0</v>
      </c>
      <c r="O129" s="219">
        <f>IFERROR(O128/J128-1,"--")</f>
        <v>0</v>
      </c>
      <c r="P129" s="231">
        <f>IFERROR(P128/N128-1,"--")</f>
        <v>0</v>
      </c>
      <c r="Q129" s="231">
        <f>IFERROR(Q128/P128-1,"--")</f>
        <v>0</v>
      </c>
      <c r="R129" s="231">
        <f>IFERROR(R128/Q128-1,"--")</f>
        <v>0</v>
      </c>
      <c r="S129" s="231">
        <f>IFERROR(S128/R128-1,"--")</f>
        <v>0</v>
      </c>
      <c r="T129" s="219">
        <f>IFERROR(T128/O128-1,"--")</f>
        <v>0</v>
      </c>
      <c r="U129" s="231">
        <f>IFERROR(U128/S128-1,"--")</f>
        <v>0</v>
      </c>
      <c r="V129" s="218">
        <f>IF(Case_Scenario="Bull",V130,IF(Case_Scenario="Base",V131,IF(Case_Scenario="bear",V132,"N/A")))</f>
        <v>0.05</v>
      </c>
      <c r="W129" s="218">
        <f>IF(Case_Scenario="Bull",W130,IF(Case_Scenario="Base",W131,IF(Case_Scenario="bear",W132,"N/A")))</f>
        <v>0.05</v>
      </c>
      <c r="X129" s="218">
        <f>IF(Case_Scenario="Bull",X130,IF(Case_Scenario="Base",X131,IF(Case_Scenario="bear",X132,"N/A")))</f>
        <v>0.05</v>
      </c>
      <c r="Y129" s="219"/>
      <c r="Z129" s="218">
        <f>IF(Case_Scenario="Bull",Z130,IF(Case_Scenario="Base",Z131,IF(Case_Scenario="bear",Z132,"N/A")))</f>
        <v>0.05</v>
      </c>
      <c r="AA129" s="218">
        <f>IF(Case_Scenario="Bull",AA130,IF(Case_Scenario="Base",AA131,IF(Case_Scenario="bear",AA132,"N/A")))</f>
        <v>0.05</v>
      </c>
      <c r="AB129" s="218">
        <f>IF(Case_Scenario="Bull",AB130,IF(Case_Scenario="Base",AB131,IF(Case_Scenario="bear",AB132,"N/A")))</f>
        <v>0.05</v>
      </c>
      <c r="AC129" s="218">
        <f>IF(Case_Scenario="Bull",AC130,IF(Case_Scenario="Base",AC131,IF(Case_Scenario="bear",AC132,"N/A")))</f>
        <v>0.05</v>
      </c>
      <c r="AD129" s="219"/>
      <c r="AE129" s="219">
        <f>IF(Case_Scenario="Bull",AE130,IF(Case_Scenario="Base",AE131,IF(Case_Scenario="bear",AE132,"N/A")))</f>
        <v>0.05</v>
      </c>
      <c r="AF129" s="219">
        <f>IF(Case_Scenario="Bull",AF130,IF(Case_Scenario="Base",AF131,IF(Case_Scenario="bear",AF132,"N/A")))</f>
        <v>0.05</v>
      </c>
      <c r="AG129" s="219">
        <f>IF(Case_Scenario="Bull",AG130,IF(Case_Scenario="Base",AG131,IF(Case_Scenario="bear",AG132,"N/A")))</f>
        <v>0.05</v>
      </c>
      <c r="AH129" s="9"/>
      <c r="AI129" s="9"/>
      <c r="AJ129" s="9"/>
    </row>
    <row r="130" spans="1:36" ht="12.75" hidden="1" customHeight="1" outlineLevel="1">
      <c r="A130" s="9"/>
      <c r="B130" s="9"/>
      <c r="C130" s="103" t="s">
        <v>245</v>
      </c>
      <c r="D130" s="9"/>
      <c r="E130" s="132"/>
      <c r="F130" s="232"/>
      <c r="G130" s="232"/>
      <c r="H130" s="232"/>
      <c r="I130" s="232"/>
      <c r="J130" s="132"/>
      <c r="K130" s="232"/>
      <c r="L130" s="232"/>
      <c r="M130" s="232"/>
      <c r="N130" s="232"/>
      <c r="O130" s="132"/>
      <c r="P130" s="232"/>
      <c r="Q130" s="232"/>
      <c r="R130" s="232"/>
      <c r="S130" s="232"/>
      <c r="T130" s="132"/>
      <c r="U130" s="232"/>
      <c r="V130" s="233">
        <v>0.1</v>
      </c>
      <c r="W130" s="233">
        <v>0.1</v>
      </c>
      <c r="X130" s="233">
        <v>0.1</v>
      </c>
      <c r="Y130" s="234"/>
      <c r="Z130" s="233">
        <v>0.1</v>
      </c>
      <c r="AA130" s="233">
        <v>0.1</v>
      </c>
      <c r="AB130" s="233">
        <v>0.1</v>
      </c>
      <c r="AC130" s="233">
        <v>0.1</v>
      </c>
      <c r="AD130" s="234"/>
      <c r="AE130" s="234">
        <v>0.1</v>
      </c>
      <c r="AF130" s="234">
        <v>0.1</v>
      </c>
      <c r="AG130" s="234">
        <v>0.1</v>
      </c>
      <c r="AH130" s="9"/>
      <c r="AI130" s="9"/>
      <c r="AJ130" s="9"/>
    </row>
    <row r="131" spans="1:36" ht="12.75" hidden="1" customHeight="1" outlineLevel="1">
      <c r="A131" s="9"/>
      <c r="B131" s="9"/>
      <c r="C131" s="103" t="s">
        <v>246</v>
      </c>
      <c r="D131" s="9"/>
      <c r="E131" s="132"/>
      <c r="F131" s="232"/>
      <c r="G131" s="232"/>
      <c r="H131" s="232"/>
      <c r="I131" s="232"/>
      <c r="J131" s="132"/>
      <c r="K131" s="232"/>
      <c r="L131" s="232"/>
      <c r="M131" s="232"/>
      <c r="N131" s="232"/>
      <c r="O131" s="132"/>
      <c r="P131" s="232"/>
      <c r="Q131" s="232"/>
      <c r="R131" s="232"/>
      <c r="S131" s="232"/>
      <c r="T131" s="132"/>
      <c r="U131" s="232"/>
      <c r="V131" s="233">
        <v>0.05</v>
      </c>
      <c r="W131" s="233">
        <v>0.05</v>
      </c>
      <c r="X131" s="233">
        <v>0.05</v>
      </c>
      <c r="Y131" s="234"/>
      <c r="Z131" s="233">
        <v>0.05</v>
      </c>
      <c r="AA131" s="233">
        <v>0.05</v>
      </c>
      <c r="AB131" s="233">
        <v>0.05</v>
      </c>
      <c r="AC131" s="233">
        <v>0.05</v>
      </c>
      <c r="AD131" s="234"/>
      <c r="AE131" s="234">
        <v>0.05</v>
      </c>
      <c r="AF131" s="234">
        <v>0.05</v>
      </c>
      <c r="AG131" s="234">
        <v>0.05</v>
      </c>
      <c r="AH131" s="9"/>
      <c r="AI131" s="9"/>
      <c r="AJ131" s="9"/>
    </row>
    <row r="132" spans="1:36" ht="12.75" hidden="1" customHeight="1" outlineLevel="1">
      <c r="A132" s="9"/>
      <c r="B132" s="9"/>
      <c r="C132" s="103" t="s">
        <v>247</v>
      </c>
      <c r="D132" s="9"/>
      <c r="E132" s="132"/>
      <c r="F132" s="232"/>
      <c r="G132" s="232"/>
      <c r="H132" s="232"/>
      <c r="I132" s="232"/>
      <c r="J132" s="132"/>
      <c r="K132" s="232"/>
      <c r="L132" s="232"/>
      <c r="M132" s="232"/>
      <c r="N132" s="232"/>
      <c r="O132" s="132"/>
      <c r="P132" s="232"/>
      <c r="Q132" s="232"/>
      <c r="R132" s="232"/>
      <c r="S132" s="232"/>
      <c r="T132" s="132"/>
      <c r="U132" s="232"/>
      <c r="V132" s="233">
        <v>0</v>
      </c>
      <c r="W132" s="233">
        <v>0</v>
      </c>
      <c r="X132" s="233">
        <v>0</v>
      </c>
      <c r="Y132" s="234"/>
      <c r="Z132" s="233">
        <v>0</v>
      </c>
      <c r="AA132" s="233">
        <v>0</v>
      </c>
      <c r="AB132" s="233">
        <v>0</v>
      </c>
      <c r="AC132" s="233">
        <v>0</v>
      </c>
      <c r="AD132" s="234"/>
      <c r="AE132" s="234">
        <v>0</v>
      </c>
      <c r="AF132" s="234">
        <v>0</v>
      </c>
      <c r="AG132" s="234">
        <v>0</v>
      </c>
      <c r="AH132" s="9"/>
      <c r="AI132" s="9"/>
      <c r="AJ132" s="9"/>
    </row>
    <row r="133" spans="1:36" ht="12.75" hidden="1" customHeight="1" outlineLevel="1">
      <c r="A133" s="9"/>
      <c r="B133" s="9"/>
      <c r="C133" s="103" t="s">
        <v>160</v>
      </c>
      <c r="D133" s="9"/>
      <c r="E133" s="132"/>
      <c r="F133" s="230">
        <f t="shared" ref="F133:U133" si="36">IFERROR(F127/F128,"--")</f>
        <v>0</v>
      </c>
      <c r="G133" s="230">
        <f t="shared" si="36"/>
        <v>0</v>
      </c>
      <c r="H133" s="230">
        <f t="shared" si="36"/>
        <v>0</v>
      </c>
      <c r="I133" s="230">
        <f t="shared" si="36"/>
        <v>0</v>
      </c>
      <c r="J133" s="202">
        <f t="shared" si="36"/>
        <v>0</v>
      </c>
      <c r="K133" s="230">
        <f t="shared" si="36"/>
        <v>0</v>
      </c>
      <c r="L133" s="230">
        <f t="shared" si="36"/>
        <v>0</v>
      </c>
      <c r="M133" s="230">
        <f t="shared" si="36"/>
        <v>0</v>
      </c>
      <c r="N133" s="230">
        <f t="shared" si="36"/>
        <v>0</v>
      </c>
      <c r="O133" s="202">
        <f t="shared" si="36"/>
        <v>0</v>
      </c>
      <c r="P133" s="230">
        <f t="shared" si="36"/>
        <v>0</v>
      </c>
      <c r="Q133" s="230">
        <f t="shared" si="36"/>
        <v>0</v>
      </c>
      <c r="R133" s="230">
        <f t="shared" si="36"/>
        <v>0</v>
      </c>
      <c r="S133" s="230">
        <f t="shared" si="36"/>
        <v>0</v>
      </c>
      <c r="T133" s="202">
        <f t="shared" si="36"/>
        <v>0</v>
      </c>
      <c r="U133" s="230">
        <f t="shared" si="36"/>
        <v>0</v>
      </c>
      <c r="V133" s="201">
        <f>U133*(1+V134)</f>
        <v>0</v>
      </c>
      <c r="W133" s="201">
        <f>V133*(1+W134)</f>
        <v>0</v>
      </c>
      <c r="X133" s="201">
        <f>W133*(1+X134)</f>
        <v>0</v>
      </c>
      <c r="Y133" s="202">
        <f>Y127/Y128</f>
        <v>0</v>
      </c>
      <c r="Z133" s="201">
        <f>X133*(1+Z134)</f>
        <v>0</v>
      </c>
      <c r="AA133" s="201">
        <f>Z133*(1+AA134)</f>
        <v>0</v>
      </c>
      <c r="AB133" s="201">
        <f>AA133*(1+AB134)</f>
        <v>0</v>
      </c>
      <c r="AC133" s="201">
        <f>AB133*(1+AC134)</f>
        <v>0</v>
      </c>
      <c r="AD133" s="202">
        <f>AD127/AD128</f>
        <v>0</v>
      </c>
      <c r="AE133" s="202">
        <f>AD133*(1+AE134)</f>
        <v>0</v>
      </c>
      <c r="AF133" s="202">
        <f>AE133*(1+AF134)</f>
        <v>0</v>
      </c>
      <c r="AG133" s="202">
        <f>AF133*(1+AG134)</f>
        <v>0</v>
      </c>
      <c r="AH133" s="9"/>
      <c r="AI133" s="9"/>
      <c r="AJ133" s="9"/>
    </row>
    <row r="134" spans="1:36" ht="12.75" hidden="1" customHeight="1" outlineLevel="1">
      <c r="A134" s="9"/>
      <c r="B134" s="9"/>
      <c r="C134" s="84" t="s">
        <v>251</v>
      </c>
      <c r="D134" s="9"/>
      <c r="E134" s="132"/>
      <c r="F134" s="232"/>
      <c r="G134" s="231" t="str">
        <f>IFERROR(G133/F133-1,"--")</f>
        <v>--</v>
      </c>
      <c r="H134" s="231" t="str">
        <f>IFERROR(H133/G133-1,"--")</f>
        <v>--</v>
      </c>
      <c r="I134" s="231" t="str">
        <f>IFERROR(I133/H133-1,"--")</f>
        <v>--</v>
      </c>
      <c r="J134" s="132"/>
      <c r="K134" s="231" t="str">
        <f>IFERROR(K133/I133-1,"--")</f>
        <v>--</v>
      </c>
      <c r="L134" s="231" t="str">
        <f>IFERROR(L133/K133-1,"--")</f>
        <v>--</v>
      </c>
      <c r="M134" s="231" t="str">
        <f>IFERROR(M133/L133-1,"--")</f>
        <v>--</v>
      </c>
      <c r="N134" s="231" t="str">
        <f>IFERROR(N133/M133-1,"--")</f>
        <v>--</v>
      </c>
      <c r="O134" s="219" t="str">
        <f>IFERROR(O133/J133-1,"--")</f>
        <v>--</v>
      </c>
      <c r="P134" s="231" t="str">
        <f>IFERROR(P133/N133-1,"--")</f>
        <v>--</v>
      </c>
      <c r="Q134" s="231" t="str">
        <f>IFERROR(Q133/P133-1,"--")</f>
        <v>--</v>
      </c>
      <c r="R134" s="231" t="str">
        <f>IFERROR(R133/Q133-1,"--")</f>
        <v>--</v>
      </c>
      <c r="S134" s="231" t="str">
        <f>IFERROR(S133/R133-1,"--")</f>
        <v>--</v>
      </c>
      <c r="T134" s="219" t="str">
        <f>IFERROR(T133/O133-1,"--")</f>
        <v>--</v>
      </c>
      <c r="U134" s="231" t="str">
        <f>IFERROR(U133/S133-1,"--")</f>
        <v>--</v>
      </c>
      <c r="V134" s="218">
        <f>IF(Case_Scenario="Bull",V135,IF(Case_Scenario="Base",V136,IF(Case_Scenario="bear",V137,"N/A")))</f>
        <v>0.05</v>
      </c>
      <c r="W134" s="218">
        <f>IF(Case_Scenario="Bull",W135,IF(Case_Scenario="Base",W136,IF(Case_Scenario="bear",W137,"N/A")))</f>
        <v>0.05</v>
      </c>
      <c r="X134" s="218">
        <f>IF(Case_Scenario="Bull",X135,IF(Case_Scenario="Base",X136,IF(Case_Scenario="bear",X137,"N/A")))</f>
        <v>0.05</v>
      </c>
      <c r="Y134" s="219"/>
      <c r="Z134" s="218">
        <f>IF(Case_Scenario="Bull",Z135,IF(Case_Scenario="Base",Z136,IF(Case_Scenario="bear",Z137,"N/A")))</f>
        <v>0.05</v>
      </c>
      <c r="AA134" s="218">
        <f>IF(Case_Scenario="Bull",AA135,IF(Case_Scenario="Base",AA136,IF(Case_Scenario="bear",AA137,"N/A")))</f>
        <v>0.05</v>
      </c>
      <c r="AB134" s="218">
        <f>IF(Case_Scenario="Bull",AB135,IF(Case_Scenario="Base",AB136,IF(Case_Scenario="bear",AB137,"N/A")))</f>
        <v>0.05</v>
      </c>
      <c r="AC134" s="218">
        <f>IF(Case_Scenario="Bull",AC135,IF(Case_Scenario="Base",AC136,IF(Case_Scenario="bear",AC137,"N/A")))</f>
        <v>0.05</v>
      </c>
      <c r="AD134" s="219"/>
      <c r="AE134" s="219">
        <f>IF(Case_Scenario="Bull",AE135,IF(Case_Scenario="Base",AE136,IF(Case_Scenario="bear",AE137,"N/A")))</f>
        <v>0.05</v>
      </c>
      <c r="AF134" s="219">
        <f>IF(Case_Scenario="Bull",AF135,IF(Case_Scenario="Base",AF136,IF(Case_Scenario="bear",AF137,"N/A")))</f>
        <v>0.05</v>
      </c>
      <c r="AG134" s="219">
        <f>IF(Case_Scenario="Bull",AG135,IF(Case_Scenario="Base",AG136,IF(Case_Scenario="bear",AG137,"N/A")))</f>
        <v>0.05</v>
      </c>
      <c r="AH134" s="9"/>
      <c r="AI134" s="9"/>
      <c r="AJ134" s="9"/>
    </row>
    <row r="135" spans="1:36" ht="12.75" hidden="1" customHeight="1" outlineLevel="1">
      <c r="A135" s="9"/>
      <c r="B135" s="9"/>
      <c r="C135" s="103" t="s">
        <v>245</v>
      </c>
      <c r="D135" s="9"/>
      <c r="E135" s="132"/>
      <c r="F135" s="232"/>
      <c r="G135" s="232"/>
      <c r="H135" s="232"/>
      <c r="I135" s="232"/>
      <c r="J135" s="132"/>
      <c r="K135" s="232"/>
      <c r="L135" s="232"/>
      <c r="M135" s="232"/>
      <c r="N135" s="232"/>
      <c r="O135" s="132"/>
      <c r="P135" s="232"/>
      <c r="Q135" s="232"/>
      <c r="R135" s="232"/>
      <c r="S135" s="232"/>
      <c r="T135" s="132"/>
      <c r="U135" s="232"/>
      <c r="V135" s="233">
        <v>0.1</v>
      </c>
      <c r="W135" s="233">
        <v>0.1</v>
      </c>
      <c r="X135" s="233">
        <v>0.1</v>
      </c>
      <c r="Y135" s="234"/>
      <c r="Z135" s="233">
        <v>0.1</v>
      </c>
      <c r="AA135" s="233">
        <v>0.1</v>
      </c>
      <c r="AB135" s="233">
        <v>0.1</v>
      </c>
      <c r="AC135" s="233">
        <v>0.1</v>
      </c>
      <c r="AD135" s="234"/>
      <c r="AE135" s="234">
        <v>0.1</v>
      </c>
      <c r="AF135" s="234">
        <v>0.1</v>
      </c>
      <c r="AG135" s="234">
        <v>0.1</v>
      </c>
      <c r="AH135" s="9"/>
      <c r="AI135" s="9"/>
      <c r="AJ135" s="9"/>
    </row>
    <row r="136" spans="1:36" ht="12.75" hidden="1" customHeight="1" outlineLevel="1">
      <c r="A136" s="9"/>
      <c r="B136" s="9"/>
      <c r="C136" s="103" t="s">
        <v>246</v>
      </c>
      <c r="D136" s="9"/>
      <c r="E136" s="132"/>
      <c r="F136" s="232"/>
      <c r="G136" s="232"/>
      <c r="H136" s="232"/>
      <c r="I136" s="232"/>
      <c r="J136" s="132"/>
      <c r="K136" s="232"/>
      <c r="L136" s="232"/>
      <c r="M136" s="232"/>
      <c r="N136" s="232"/>
      <c r="O136" s="132"/>
      <c r="P136" s="232"/>
      <c r="Q136" s="232"/>
      <c r="R136" s="232"/>
      <c r="S136" s="232"/>
      <c r="T136" s="132"/>
      <c r="U136" s="232"/>
      <c r="V136" s="233">
        <v>0.05</v>
      </c>
      <c r="W136" s="233">
        <v>0.05</v>
      </c>
      <c r="X136" s="233">
        <v>0.05</v>
      </c>
      <c r="Y136" s="234"/>
      <c r="Z136" s="233">
        <v>0.05</v>
      </c>
      <c r="AA136" s="233">
        <v>0.05</v>
      </c>
      <c r="AB136" s="233">
        <v>0.05</v>
      </c>
      <c r="AC136" s="233">
        <v>0.05</v>
      </c>
      <c r="AD136" s="234"/>
      <c r="AE136" s="234">
        <v>0.05</v>
      </c>
      <c r="AF136" s="234">
        <v>0.05</v>
      </c>
      <c r="AG136" s="234">
        <v>0.05</v>
      </c>
      <c r="AH136" s="9"/>
      <c r="AI136" s="9"/>
      <c r="AJ136" s="9"/>
    </row>
    <row r="137" spans="1:36" ht="12.75" hidden="1" customHeight="1" outlineLevel="1">
      <c r="A137" s="9"/>
      <c r="B137" s="9"/>
      <c r="C137" s="103" t="s">
        <v>247</v>
      </c>
      <c r="D137" s="9"/>
      <c r="E137" s="132"/>
      <c r="F137" s="232"/>
      <c r="G137" s="232"/>
      <c r="H137" s="232"/>
      <c r="I137" s="232"/>
      <c r="J137" s="132"/>
      <c r="K137" s="232"/>
      <c r="L137" s="232"/>
      <c r="M137" s="232"/>
      <c r="N137" s="232"/>
      <c r="O137" s="132"/>
      <c r="P137" s="232"/>
      <c r="Q137" s="232"/>
      <c r="R137" s="232"/>
      <c r="S137" s="232"/>
      <c r="T137" s="132"/>
      <c r="U137" s="232"/>
      <c r="V137" s="233">
        <v>0</v>
      </c>
      <c r="W137" s="233">
        <v>0</v>
      </c>
      <c r="X137" s="233">
        <v>0</v>
      </c>
      <c r="Y137" s="234"/>
      <c r="Z137" s="233">
        <v>0</v>
      </c>
      <c r="AA137" s="233">
        <v>0</v>
      </c>
      <c r="AB137" s="233">
        <v>0</v>
      </c>
      <c r="AC137" s="233">
        <v>0</v>
      </c>
      <c r="AD137" s="234"/>
      <c r="AE137" s="234">
        <v>0</v>
      </c>
      <c r="AF137" s="234">
        <v>0</v>
      </c>
      <c r="AG137" s="234">
        <v>0</v>
      </c>
      <c r="AH137" s="9"/>
      <c r="AI137" s="9"/>
      <c r="AJ137" s="9"/>
    </row>
    <row r="138" spans="1:36" ht="12.75" hidden="1" customHeight="1" outlineLevel="1">
      <c r="A138" s="9"/>
      <c r="B138" s="9"/>
      <c r="C138" s="9"/>
      <c r="D138" s="9"/>
      <c r="E138" s="132"/>
      <c r="F138" s="232"/>
      <c r="G138" s="232"/>
      <c r="H138" s="232"/>
      <c r="I138" s="232"/>
      <c r="J138" s="132"/>
      <c r="K138" s="232"/>
      <c r="L138" s="232"/>
      <c r="M138" s="232"/>
      <c r="N138" s="232"/>
      <c r="O138" s="132"/>
      <c r="P138" s="232"/>
      <c r="Q138" s="232"/>
      <c r="R138" s="232"/>
      <c r="S138" s="232"/>
      <c r="T138" s="132"/>
      <c r="U138" s="232"/>
      <c r="V138" s="235"/>
      <c r="W138" s="235"/>
      <c r="X138" s="235"/>
      <c r="Y138" s="132"/>
      <c r="Z138" s="235"/>
      <c r="AA138" s="235"/>
      <c r="AB138" s="235"/>
      <c r="AC138" s="235"/>
      <c r="AD138" s="132"/>
      <c r="AE138" s="132"/>
      <c r="AF138" s="132"/>
      <c r="AG138" s="132"/>
      <c r="AH138" s="9"/>
      <c r="AI138" s="9"/>
      <c r="AJ138" s="9"/>
    </row>
    <row r="139" spans="1:36" ht="12.75" hidden="1" customHeight="1" outlineLevel="1">
      <c r="A139" s="180" t="s">
        <v>0</v>
      </c>
      <c r="B139" s="9"/>
      <c r="C139" s="103" t="str">
        <f>C44</f>
        <v>Segment 5 Revenue</v>
      </c>
      <c r="D139" s="9"/>
      <c r="E139" s="132"/>
      <c r="F139" s="230">
        <f t="shared" ref="F139:U139" si="37">F44</f>
        <v>0</v>
      </c>
      <c r="G139" s="230">
        <f t="shared" si="37"/>
        <v>0</v>
      </c>
      <c r="H139" s="230">
        <f t="shared" si="37"/>
        <v>0</v>
      </c>
      <c r="I139" s="230">
        <f t="shared" si="37"/>
        <v>0</v>
      </c>
      <c r="J139" s="202">
        <f t="shared" si="37"/>
        <v>0</v>
      </c>
      <c r="K139" s="230">
        <f t="shared" si="37"/>
        <v>0</v>
      </c>
      <c r="L139" s="230">
        <f t="shared" si="37"/>
        <v>0</v>
      </c>
      <c r="M139" s="230">
        <f t="shared" si="37"/>
        <v>0</v>
      </c>
      <c r="N139" s="230">
        <f t="shared" si="37"/>
        <v>0</v>
      </c>
      <c r="O139" s="202">
        <f t="shared" si="37"/>
        <v>0</v>
      </c>
      <c r="P139" s="230">
        <f t="shared" si="37"/>
        <v>0</v>
      </c>
      <c r="Q139" s="230">
        <f t="shared" si="37"/>
        <v>0</v>
      </c>
      <c r="R139" s="230">
        <f t="shared" si="37"/>
        <v>0</v>
      </c>
      <c r="S139" s="230">
        <f t="shared" si="37"/>
        <v>0</v>
      </c>
      <c r="T139" s="202">
        <f t="shared" si="37"/>
        <v>0</v>
      </c>
      <c r="U139" s="230">
        <f t="shared" si="37"/>
        <v>0</v>
      </c>
      <c r="V139" s="201">
        <f>V140*V145</f>
        <v>0</v>
      </c>
      <c r="W139" s="201">
        <f>W140*W145</f>
        <v>0</v>
      </c>
      <c r="X139" s="201">
        <f>X140*X145</f>
        <v>0</v>
      </c>
      <c r="Y139" s="202">
        <f>SUM(U139:X139)</f>
        <v>0</v>
      </c>
      <c r="Z139" s="201">
        <f>Z140*Z145</f>
        <v>0</v>
      </c>
      <c r="AA139" s="201">
        <f>AA140*AA145</f>
        <v>0</v>
      </c>
      <c r="AB139" s="201">
        <f>AB140*AB145</f>
        <v>0</v>
      </c>
      <c r="AC139" s="201">
        <f>AC140*AC145</f>
        <v>0</v>
      </c>
      <c r="AD139" s="202">
        <f>SUM(Z139:AC139)</f>
        <v>0</v>
      </c>
      <c r="AE139" s="202">
        <f>AE140*AE145</f>
        <v>0</v>
      </c>
      <c r="AF139" s="202">
        <f>AF140*AF145</f>
        <v>0</v>
      </c>
      <c r="AG139" s="202">
        <f>AG140*AG145</f>
        <v>0</v>
      </c>
      <c r="AH139" s="9"/>
      <c r="AI139" s="9"/>
      <c r="AJ139" s="9"/>
    </row>
    <row r="140" spans="1:36" ht="12.75" hidden="1" customHeight="1" outlineLevel="1">
      <c r="A140" s="9"/>
      <c r="B140" s="9"/>
      <c r="C140" s="103" t="s">
        <v>249</v>
      </c>
      <c r="D140" s="9"/>
      <c r="E140" s="132"/>
      <c r="F140" s="238">
        <v>220</v>
      </c>
      <c r="G140" s="238">
        <v>220</v>
      </c>
      <c r="H140" s="238">
        <v>220</v>
      </c>
      <c r="I140" s="238">
        <v>220</v>
      </c>
      <c r="J140" s="239">
        <f>SUM(F140:I140)</f>
        <v>880</v>
      </c>
      <c r="K140" s="238">
        <v>220</v>
      </c>
      <c r="L140" s="238">
        <v>220</v>
      </c>
      <c r="M140" s="238">
        <v>220</v>
      </c>
      <c r="N140" s="238">
        <v>220</v>
      </c>
      <c r="O140" s="239">
        <f>SUM(K140:N140)</f>
        <v>880</v>
      </c>
      <c r="P140" s="238">
        <v>220</v>
      </c>
      <c r="Q140" s="238">
        <v>220</v>
      </c>
      <c r="R140" s="238">
        <v>220</v>
      </c>
      <c r="S140" s="238">
        <v>220</v>
      </c>
      <c r="T140" s="239">
        <f>SUM(P140:S140)</f>
        <v>880</v>
      </c>
      <c r="U140" s="238">
        <v>220</v>
      </c>
      <c r="V140" s="240">
        <f>U140*(1+V141)</f>
        <v>231</v>
      </c>
      <c r="W140" s="240">
        <f>V140*(1+W141)</f>
        <v>242.55</v>
      </c>
      <c r="X140" s="240">
        <f>W140*(1+X141)</f>
        <v>254.67750000000001</v>
      </c>
      <c r="Y140" s="239">
        <f>SUM(U140:X140)</f>
        <v>948.22749999999996</v>
      </c>
      <c r="Z140" s="240">
        <f>X140*(1+Z141)</f>
        <v>267.41137500000002</v>
      </c>
      <c r="AA140" s="240">
        <f>Z140*(1+AA141)</f>
        <v>280.78194375000004</v>
      </c>
      <c r="AB140" s="240">
        <f>AA140*(1+AB141)</f>
        <v>294.82104093750007</v>
      </c>
      <c r="AC140" s="240">
        <f>AB140*(1+AC141)</f>
        <v>309.56209298437511</v>
      </c>
      <c r="AD140" s="239">
        <f>SUM(Z140:AC140)</f>
        <v>1152.5764526718754</v>
      </c>
      <c r="AE140" s="239">
        <f>AD140*(1+AE141)</f>
        <v>1210.2052753054693</v>
      </c>
      <c r="AF140" s="239">
        <f>AE140*(1+AF141)</f>
        <v>1270.7155390707428</v>
      </c>
      <c r="AG140" s="239">
        <f>AF140*(1+AG141)</f>
        <v>1334.25131602428</v>
      </c>
      <c r="AH140" s="9"/>
      <c r="AI140" s="9"/>
      <c r="AJ140" s="9"/>
    </row>
    <row r="141" spans="1:36" ht="12.75" hidden="1" customHeight="1" outlineLevel="1">
      <c r="A141" s="9"/>
      <c r="B141" s="9"/>
      <c r="C141" s="84" t="s">
        <v>250</v>
      </c>
      <c r="D141" s="9"/>
      <c r="E141" s="132"/>
      <c r="F141" s="232"/>
      <c r="G141" s="231">
        <f>IFERROR(G140/F140-1,"--")</f>
        <v>0</v>
      </c>
      <c r="H141" s="231">
        <f>IFERROR(H140/G140-1,"--")</f>
        <v>0</v>
      </c>
      <c r="I141" s="231">
        <f>IFERROR(I140/H140-1,"--")</f>
        <v>0</v>
      </c>
      <c r="J141" s="132"/>
      <c r="K141" s="231">
        <f>IFERROR(K140/I140-1,"--")</f>
        <v>0</v>
      </c>
      <c r="L141" s="231">
        <f>IFERROR(L140/K140-1,"--")</f>
        <v>0</v>
      </c>
      <c r="M141" s="231">
        <f>IFERROR(M140/L140-1,"--")</f>
        <v>0</v>
      </c>
      <c r="N141" s="231">
        <f>IFERROR(N140/M140-1,"--")</f>
        <v>0</v>
      </c>
      <c r="O141" s="219">
        <f>IFERROR(O140/J140-1,"--")</f>
        <v>0</v>
      </c>
      <c r="P141" s="231">
        <f>IFERROR(P140/N140-1,"--")</f>
        <v>0</v>
      </c>
      <c r="Q141" s="231">
        <f>IFERROR(Q140/P140-1,"--")</f>
        <v>0</v>
      </c>
      <c r="R141" s="231">
        <f>IFERROR(R140/Q140-1,"--")</f>
        <v>0</v>
      </c>
      <c r="S141" s="231">
        <f>IFERROR(S140/R140-1,"--")</f>
        <v>0</v>
      </c>
      <c r="T141" s="219">
        <f>IFERROR(T140/O140-1,"--")</f>
        <v>0</v>
      </c>
      <c r="U141" s="231">
        <f>IFERROR(U140/S140-1,"--")</f>
        <v>0</v>
      </c>
      <c r="V141" s="218">
        <f>IF(Case_Scenario="Bull",V142,IF(Case_Scenario="Base",V143,IF(Case_Scenario="bear",V144,"N/A")))</f>
        <v>0.05</v>
      </c>
      <c r="W141" s="218">
        <f>IF(Case_Scenario="Bull",W142,IF(Case_Scenario="Base",W143,IF(Case_Scenario="bear",W144,"N/A")))</f>
        <v>0.05</v>
      </c>
      <c r="X141" s="218">
        <f>IF(Case_Scenario="Bull",X142,IF(Case_Scenario="Base",X143,IF(Case_Scenario="bear",X144,"N/A")))</f>
        <v>0.05</v>
      </c>
      <c r="Y141" s="219"/>
      <c r="Z141" s="218">
        <f>IF(Case_Scenario="Bull",Z142,IF(Case_Scenario="Base",Z143,IF(Case_Scenario="bear",Z144,"N/A")))</f>
        <v>0.05</v>
      </c>
      <c r="AA141" s="218">
        <f>IF(Case_Scenario="Bull",AA142,IF(Case_Scenario="Base",AA143,IF(Case_Scenario="bear",AA144,"N/A")))</f>
        <v>0.05</v>
      </c>
      <c r="AB141" s="218">
        <f>IF(Case_Scenario="Bull",AB142,IF(Case_Scenario="Base",AB143,IF(Case_Scenario="bear",AB144,"N/A")))</f>
        <v>0.05</v>
      </c>
      <c r="AC141" s="218">
        <f>IF(Case_Scenario="Bull",AC142,IF(Case_Scenario="Base",AC143,IF(Case_Scenario="bear",AC144,"N/A")))</f>
        <v>0.05</v>
      </c>
      <c r="AD141" s="219"/>
      <c r="AE141" s="219">
        <f>IF(Case_Scenario="Bull",AE142,IF(Case_Scenario="Base",AE143,IF(Case_Scenario="bear",AE144,"N/A")))</f>
        <v>0.05</v>
      </c>
      <c r="AF141" s="219">
        <f>IF(Case_Scenario="Bull",AF142,IF(Case_Scenario="Base",AF143,IF(Case_Scenario="bear",AF144,"N/A")))</f>
        <v>0.05</v>
      </c>
      <c r="AG141" s="219">
        <f>IF(Case_Scenario="Bull",AG142,IF(Case_Scenario="Base",AG143,IF(Case_Scenario="bear",AG144,"N/A")))</f>
        <v>0.05</v>
      </c>
      <c r="AH141" s="9"/>
      <c r="AI141" s="9"/>
      <c r="AJ141" s="9"/>
    </row>
    <row r="142" spans="1:36" ht="12.75" hidden="1" customHeight="1" outlineLevel="1">
      <c r="A142" s="9"/>
      <c r="B142" s="9"/>
      <c r="C142" s="103" t="s">
        <v>245</v>
      </c>
      <c r="D142" s="9"/>
      <c r="E142" s="132"/>
      <c r="F142" s="232"/>
      <c r="G142" s="232"/>
      <c r="H142" s="232"/>
      <c r="I142" s="232"/>
      <c r="J142" s="132"/>
      <c r="K142" s="232"/>
      <c r="L142" s="232"/>
      <c r="M142" s="232"/>
      <c r="N142" s="232"/>
      <c r="O142" s="132"/>
      <c r="P142" s="232"/>
      <c r="Q142" s="232"/>
      <c r="R142" s="232"/>
      <c r="S142" s="232"/>
      <c r="T142" s="132"/>
      <c r="U142" s="232"/>
      <c r="V142" s="233">
        <v>0.1</v>
      </c>
      <c r="W142" s="233">
        <v>0.1</v>
      </c>
      <c r="X142" s="233">
        <v>0.1</v>
      </c>
      <c r="Y142" s="234"/>
      <c r="Z142" s="233">
        <v>0.1</v>
      </c>
      <c r="AA142" s="233">
        <v>0.1</v>
      </c>
      <c r="AB142" s="233">
        <v>0.1</v>
      </c>
      <c r="AC142" s="233">
        <v>0.1</v>
      </c>
      <c r="AD142" s="234"/>
      <c r="AE142" s="234">
        <v>0.1</v>
      </c>
      <c r="AF142" s="234">
        <v>0.1</v>
      </c>
      <c r="AG142" s="234">
        <v>0.1</v>
      </c>
      <c r="AH142" s="9"/>
      <c r="AI142" s="9"/>
      <c r="AJ142" s="9"/>
    </row>
    <row r="143" spans="1:36" ht="12.75" hidden="1" customHeight="1" outlineLevel="1">
      <c r="A143" s="9"/>
      <c r="B143" s="9"/>
      <c r="C143" s="103" t="s">
        <v>246</v>
      </c>
      <c r="D143" s="9"/>
      <c r="E143" s="132"/>
      <c r="F143" s="232"/>
      <c r="G143" s="232"/>
      <c r="H143" s="232"/>
      <c r="I143" s="232"/>
      <c r="J143" s="132"/>
      <c r="K143" s="232"/>
      <c r="L143" s="232"/>
      <c r="M143" s="232"/>
      <c r="N143" s="232"/>
      <c r="O143" s="132"/>
      <c r="P143" s="232"/>
      <c r="Q143" s="232"/>
      <c r="R143" s="232"/>
      <c r="S143" s="232"/>
      <c r="T143" s="132"/>
      <c r="U143" s="232"/>
      <c r="V143" s="233">
        <v>0.05</v>
      </c>
      <c r="W143" s="233">
        <v>0.05</v>
      </c>
      <c r="X143" s="233">
        <v>0.05</v>
      </c>
      <c r="Y143" s="234"/>
      <c r="Z143" s="233">
        <v>0.05</v>
      </c>
      <c r="AA143" s="233">
        <v>0.05</v>
      </c>
      <c r="AB143" s="233">
        <v>0.05</v>
      </c>
      <c r="AC143" s="233">
        <v>0.05</v>
      </c>
      <c r="AD143" s="234"/>
      <c r="AE143" s="234">
        <v>0.05</v>
      </c>
      <c r="AF143" s="234">
        <v>0.05</v>
      </c>
      <c r="AG143" s="234">
        <v>0.05</v>
      </c>
      <c r="AH143" s="9"/>
      <c r="AI143" s="9"/>
      <c r="AJ143" s="9"/>
    </row>
    <row r="144" spans="1:36" ht="12.75" hidden="1" customHeight="1" outlineLevel="1">
      <c r="A144" s="9"/>
      <c r="B144" s="9"/>
      <c r="C144" s="103" t="s">
        <v>247</v>
      </c>
      <c r="D144" s="9"/>
      <c r="E144" s="132"/>
      <c r="F144" s="232"/>
      <c r="G144" s="232"/>
      <c r="H144" s="232"/>
      <c r="I144" s="232"/>
      <c r="J144" s="132"/>
      <c r="K144" s="232"/>
      <c r="L144" s="232"/>
      <c r="M144" s="232"/>
      <c r="N144" s="232"/>
      <c r="O144" s="132"/>
      <c r="P144" s="232"/>
      <c r="Q144" s="232"/>
      <c r="R144" s="232"/>
      <c r="S144" s="232"/>
      <c r="T144" s="132"/>
      <c r="U144" s="232"/>
      <c r="V144" s="233">
        <v>0</v>
      </c>
      <c r="W144" s="233">
        <v>0</v>
      </c>
      <c r="X144" s="233">
        <v>0</v>
      </c>
      <c r="Y144" s="234"/>
      <c r="Z144" s="233">
        <v>0</v>
      </c>
      <c r="AA144" s="233">
        <v>0</v>
      </c>
      <c r="AB144" s="233">
        <v>0</v>
      </c>
      <c r="AC144" s="233">
        <v>0</v>
      </c>
      <c r="AD144" s="234"/>
      <c r="AE144" s="234">
        <v>0</v>
      </c>
      <c r="AF144" s="234">
        <v>0</v>
      </c>
      <c r="AG144" s="234">
        <v>0</v>
      </c>
      <c r="AH144" s="9"/>
      <c r="AI144" s="9"/>
      <c r="AJ144" s="9"/>
    </row>
    <row r="145" spans="1:36" ht="12.75" hidden="1" customHeight="1" outlineLevel="1">
      <c r="A145" s="9"/>
      <c r="B145" s="9"/>
      <c r="C145" s="103" t="s">
        <v>160</v>
      </c>
      <c r="D145" s="9"/>
      <c r="E145" s="132"/>
      <c r="F145" s="230">
        <f t="shared" ref="F145:U145" si="38">IFERROR(F139/F140,"--")</f>
        <v>0</v>
      </c>
      <c r="G145" s="230">
        <f t="shared" si="38"/>
        <v>0</v>
      </c>
      <c r="H145" s="230">
        <f t="shared" si="38"/>
        <v>0</v>
      </c>
      <c r="I145" s="230">
        <f t="shared" si="38"/>
        <v>0</v>
      </c>
      <c r="J145" s="202">
        <f t="shared" si="38"/>
        <v>0</v>
      </c>
      <c r="K145" s="230">
        <f t="shared" si="38"/>
        <v>0</v>
      </c>
      <c r="L145" s="230">
        <f t="shared" si="38"/>
        <v>0</v>
      </c>
      <c r="M145" s="230">
        <f t="shared" si="38"/>
        <v>0</v>
      </c>
      <c r="N145" s="230">
        <f t="shared" si="38"/>
        <v>0</v>
      </c>
      <c r="O145" s="202">
        <f t="shared" si="38"/>
        <v>0</v>
      </c>
      <c r="P145" s="230">
        <f t="shared" si="38"/>
        <v>0</v>
      </c>
      <c r="Q145" s="230">
        <f t="shared" si="38"/>
        <v>0</v>
      </c>
      <c r="R145" s="230">
        <f t="shared" si="38"/>
        <v>0</v>
      </c>
      <c r="S145" s="230">
        <f t="shared" si="38"/>
        <v>0</v>
      </c>
      <c r="T145" s="202">
        <f t="shared" si="38"/>
        <v>0</v>
      </c>
      <c r="U145" s="230">
        <f t="shared" si="38"/>
        <v>0</v>
      </c>
      <c r="V145" s="201">
        <f>U145*(1+V146)</f>
        <v>0</v>
      </c>
      <c r="W145" s="201">
        <f>V145*(1+W146)</f>
        <v>0</v>
      </c>
      <c r="X145" s="201">
        <f>W145*(1+X146)</f>
        <v>0</v>
      </c>
      <c r="Y145" s="202">
        <f>Y139/Y140</f>
        <v>0</v>
      </c>
      <c r="Z145" s="201">
        <f>X145*(1+Z146)</f>
        <v>0</v>
      </c>
      <c r="AA145" s="201">
        <f>Z145*(1+AA146)</f>
        <v>0</v>
      </c>
      <c r="AB145" s="201">
        <f>AA145*(1+AB146)</f>
        <v>0</v>
      </c>
      <c r="AC145" s="201">
        <f>AB145*(1+AC146)</f>
        <v>0</v>
      </c>
      <c r="AD145" s="202">
        <f>AD139/AD140</f>
        <v>0</v>
      </c>
      <c r="AE145" s="202">
        <f>AD145*(1+AE146)</f>
        <v>0</v>
      </c>
      <c r="AF145" s="202">
        <f>AE145*(1+AF146)</f>
        <v>0</v>
      </c>
      <c r="AG145" s="202">
        <f>AF145*(1+AG146)</f>
        <v>0</v>
      </c>
      <c r="AH145" s="9"/>
      <c r="AI145" s="9"/>
      <c r="AJ145" s="9"/>
    </row>
    <row r="146" spans="1:36" ht="12.75" hidden="1" customHeight="1" outlineLevel="1">
      <c r="A146" s="9"/>
      <c r="B146" s="9"/>
      <c r="C146" s="84" t="s">
        <v>251</v>
      </c>
      <c r="D146" s="9"/>
      <c r="E146" s="132"/>
      <c r="F146" s="232"/>
      <c r="G146" s="231" t="str">
        <f>IFERROR(G145/F145-1,"--")</f>
        <v>--</v>
      </c>
      <c r="H146" s="231" t="str">
        <f>IFERROR(H145/G145-1,"--")</f>
        <v>--</v>
      </c>
      <c r="I146" s="231" t="str">
        <f>IFERROR(I145/H145-1,"--")</f>
        <v>--</v>
      </c>
      <c r="J146" s="132"/>
      <c r="K146" s="231" t="str">
        <f>IFERROR(K145/I145-1,"--")</f>
        <v>--</v>
      </c>
      <c r="L146" s="231" t="str">
        <f>IFERROR(L145/K145-1,"--")</f>
        <v>--</v>
      </c>
      <c r="M146" s="231" t="str">
        <f>IFERROR(M145/L145-1,"--")</f>
        <v>--</v>
      </c>
      <c r="N146" s="231" t="str">
        <f>IFERROR(N145/M145-1,"--")</f>
        <v>--</v>
      </c>
      <c r="O146" s="219" t="str">
        <f>IFERROR(O145/J145-1,"--")</f>
        <v>--</v>
      </c>
      <c r="P146" s="231" t="str">
        <f>IFERROR(P145/N145-1,"--")</f>
        <v>--</v>
      </c>
      <c r="Q146" s="231" t="str">
        <f>IFERROR(Q145/P145-1,"--")</f>
        <v>--</v>
      </c>
      <c r="R146" s="231" t="str">
        <f>IFERROR(R145/Q145-1,"--")</f>
        <v>--</v>
      </c>
      <c r="S146" s="231" t="str">
        <f>IFERROR(S145/R145-1,"--")</f>
        <v>--</v>
      </c>
      <c r="T146" s="219" t="str">
        <f>IFERROR(T145/O145-1,"--")</f>
        <v>--</v>
      </c>
      <c r="U146" s="231" t="str">
        <f>IFERROR(U145/S145-1,"--")</f>
        <v>--</v>
      </c>
      <c r="V146" s="218">
        <f>IF(Case_Scenario="Bull",V147,IF(Case_Scenario="Base",V148,IF(Case_Scenario="bear",V149,"N/A")))</f>
        <v>0.05</v>
      </c>
      <c r="W146" s="218">
        <f>IF(Case_Scenario="Bull",W147,IF(Case_Scenario="Base",W148,IF(Case_Scenario="bear",W149,"N/A")))</f>
        <v>0.05</v>
      </c>
      <c r="X146" s="218">
        <f>IF(Case_Scenario="Bull",X147,IF(Case_Scenario="Base",X148,IF(Case_Scenario="bear",X149,"N/A")))</f>
        <v>0.05</v>
      </c>
      <c r="Y146" s="219"/>
      <c r="Z146" s="218">
        <f>IF(Case_Scenario="Bull",Z147,IF(Case_Scenario="Base",Z148,IF(Case_Scenario="bear",Z149,"N/A")))</f>
        <v>0.05</v>
      </c>
      <c r="AA146" s="218">
        <f>IF(Case_Scenario="Bull",AA147,IF(Case_Scenario="Base",AA148,IF(Case_Scenario="bear",AA149,"N/A")))</f>
        <v>0.05</v>
      </c>
      <c r="AB146" s="218">
        <f>IF(Case_Scenario="Bull",AB147,IF(Case_Scenario="Base",AB148,IF(Case_Scenario="bear",AB149,"N/A")))</f>
        <v>0.05</v>
      </c>
      <c r="AC146" s="218">
        <f>IF(Case_Scenario="Bull",AC147,IF(Case_Scenario="Base",AC148,IF(Case_Scenario="bear",AC149,"N/A")))</f>
        <v>0.05</v>
      </c>
      <c r="AD146" s="219"/>
      <c r="AE146" s="219">
        <f>IF(Case_Scenario="Bull",AE147,IF(Case_Scenario="Base",AE148,IF(Case_Scenario="bear",AE149,"N/A")))</f>
        <v>0.05</v>
      </c>
      <c r="AF146" s="219">
        <f>IF(Case_Scenario="Bull",AF147,IF(Case_Scenario="Base",AF148,IF(Case_Scenario="bear",AF149,"N/A")))</f>
        <v>0.05</v>
      </c>
      <c r="AG146" s="219">
        <f>IF(Case_Scenario="Bull",AG147,IF(Case_Scenario="Base",AG148,IF(Case_Scenario="bear",AG149,"N/A")))</f>
        <v>0.05</v>
      </c>
      <c r="AH146" s="9"/>
      <c r="AI146" s="9"/>
      <c r="AJ146" s="9"/>
    </row>
    <row r="147" spans="1:36" ht="12.75" hidden="1" customHeight="1" outlineLevel="1">
      <c r="A147" s="9"/>
      <c r="B147" s="9"/>
      <c r="C147" s="103" t="s">
        <v>245</v>
      </c>
      <c r="D147" s="9"/>
      <c r="E147" s="132"/>
      <c r="F147" s="232"/>
      <c r="G147" s="232"/>
      <c r="H147" s="232"/>
      <c r="I147" s="232"/>
      <c r="J147" s="132"/>
      <c r="K147" s="232"/>
      <c r="L147" s="232"/>
      <c r="M147" s="232"/>
      <c r="N147" s="232"/>
      <c r="O147" s="132"/>
      <c r="P147" s="232"/>
      <c r="Q147" s="232"/>
      <c r="R147" s="232"/>
      <c r="S147" s="232"/>
      <c r="T147" s="132"/>
      <c r="U147" s="232"/>
      <c r="V147" s="233">
        <v>0.1</v>
      </c>
      <c r="W147" s="233">
        <v>0.1</v>
      </c>
      <c r="X147" s="233">
        <v>0.1</v>
      </c>
      <c r="Y147" s="234"/>
      <c r="Z147" s="233">
        <v>0.1</v>
      </c>
      <c r="AA147" s="233">
        <v>0.1</v>
      </c>
      <c r="AB147" s="233">
        <v>0.1</v>
      </c>
      <c r="AC147" s="233">
        <v>0.1</v>
      </c>
      <c r="AD147" s="234"/>
      <c r="AE147" s="234">
        <v>0.1</v>
      </c>
      <c r="AF147" s="234">
        <v>0.1</v>
      </c>
      <c r="AG147" s="234">
        <v>0.1</v>
      </c>
      <c r="AH147" s="9"/>
      <c r="AI147" s="9"/>
      <c r="AJ147" s="9"/>
    </row>
    <row r="148" spans="1:36" ht="12.75" hidden="1" customHeight="1" outlineLevel="1">
      <c r="A148" s="9"/>
      <c r="B148" s="9"/>
      <c r="C148" s="103" t="s">
        <v>246</v>
      </c>
      <c r="D148" s="9"/>
      <c r="E148" s="132"/>
      <c r="F148" s="232"/>
      <c r="G148" s="232"/>
      <c r="H148" s="232"/>
      <c r="I148" s="232"/>
      <c r="J148" s="132"/>
      <c r="K148" s="232"/>
      <c r="L148" s="232"/>
      <c r="M148" s="232"/>
      <c r="N148" s="232"/>
      <c r="O148" s="132"/>
      <c r="P148" s="232"/>
      <c r="Q148" s="232"/>
      <c r="R148" s="232"/>
      <c r="S148" s="232"/>
      <c r="T148" s="132"/>
      <c r="U148" s="232"/>
      <c r="V148" s="233">
        <v>0.05</v>
      </c>
      <c r="W148" s="233">
        <v>0.05</v>
      </c>
      <c r="X148" s="233">
        <v>0.05</v>
      </c>
      <c r="Y148" s="234"/>
      <c r="Z148" s="233">
        <v>0.05</v>
      </c>
      <c r="AA148" s="233">
        <v>0.05</v>
      </c>
      <c r="AB148" s="233">
        <v>0.05</v>
      </c>
      <c r="AC148" s="233">
        <v>0.05</v>
      </c>
      <c r="AD148" s="234"/>
      <c r="AE148" s="234">
        <v>0.05</v>
      </c>
      <c r="AF148" s="234">
        <v>0.05</v>
      </c>
      <c r="AG148" s="234">
        <v>0.05</v>
      </c>
      <c r="AH148" s="9"/>
      <c r="AI148" s="9"/>
      <c r="AJ148" s="9"/>
    </row>
    <row r="149" spans="1:36" ht="12.75" hidden="1" customHeight="1" outlineLevel="1">
      <c r="A149" s="9"/>
      <c r="B149" s="9"/>
      <c r="C149" s="103" t="s">
        <v>247</v>
      </c>
      <c r="D149" s="9"/>
      <c r="E149" s="132"/>
      <c r="F149" s="232"/>
      <c r="G149" s="232"/>
      <c r="H149" s="232"/>
      <c r="I149" s="232"/>
      <c r="J149" s="132"/>
      <c r="K149" s="232"/>
      <c r="L149" s="232"/>
      <c r="M149" s="232"/>
      <c r="N149" s="232"/>
      <c r="O149" s="132"/>
      <c r="P149" s="232"/>
      <c r="Q149" s="232"/>
      <c r="R149" s="232"/>
      <c r="S149" s="232"/>
      <c r="T149" s="132"/>
      <c r="U149" s="232"/>
      <c r="V149" s="233">
        <v>0</v>
      </c>
      <c r="W149" s="233">
        <v>0</v>
      </c>
      <c r="X149" s="233">
        <v>0</v>
      </c>
      <c r="Y149" s="234"/>
      <c r="Z149" s="233">
        <v>0</v>
      </c>
      <c r="AA149" s="233">
        <v>0</v>
      </c>
      <c r="AB149" s="233">
        <v>0</v>
      </c>
      <c r="AC149" s="233">
        <v>0</v>
      </c>
      <c r="AD149" s="234"/>
      <c r="AE149" s="234">
        <v>0</v>
      </c>
      <c r="AF149" s="234">
        <v>0</v>
      </c>
      <c r="AG149" s="234">
        <v>0</v>
      </c>
      <c r="AH149" s="9"/>
      <c r="AI149" s="9"/>
      <c r="AJ149" s="9"/>
    </row>
    <row r="150" spans="1:36" ht="12.75" hidden="1" customHeight="1" outlineLevel="1">
      <c r="A150" s="9"/>
      <c r="B150" s="9"/>
      <c r="C150" s="9"/>
      <c r="D150" s="9"/>
      <c r="E150" s="132"/>
      <c r="F150" s="232"/>
      <c r="G150" s="232"/>
      <c r="H150" s="232"/>
      <c r="I150" s="232"/>
      <c r="J150" s="132"/>
      <c r="K150" s="232"/>
      <c r="L150" s="232"/>
      <c r="M150" s="232"/>
      <c r="N150" s="232"/>
      <c r="O150" s="132"/>
      <c r="P150" s="232"/>
      <c r="Q150" s="232"/>
      <c r="R150" s="232"/>
      <c r="S150" s="232"/>
      <c r="T150" s="132"/>
      <c r="U150" s="232"/>
      <c r="V150" s="235"/>
      <c r="W150" s="235"/>
      <c r="X150" s="235"/>
      <c r="Y150" s="132"/>
      <c r="Z150" s="235"/>
      <c r="AA150" s="235"/>
      <c r="AB150" s="235"/>
      <c r="AC150" s="235"/>
      <c r="AD150" s="132"/>
      <c r="AE150" s="132"/>
      <c r="AF150" s="132"/>
      <c r="AG150" s="132"/>
      <c r="AH150" s="9"/>
      <c r="AI150" s="9"/>
      <c r="AJ150" s="9"/>
    </row>
    <row r="151" spans="1:36" ht="12.75" hidden="1" customHeight="1" outlineLevel="1">
      <c r="A151" s="180" t="s">
        <v>0</v>
      </c>
      <c r="B151" s="9"/>
      <c r="C151" s="103" t="str">
        <f>C47</f>
        <v>Segment 6 Revenue</v>
      </c>
      <c r="D151" s="9"/>
      <c r="E151" s="132"/>
      <c r="F151" s="230">
        <f t="shared" ref="F151:U151" si="39">F47</f>
        <v>0</v>
      </c>
      <c r="G151" s="230">
        <f t="shared" si="39"/>
        <v>0</v>
      </c>
      <c r="H151" s="230">
        <f t="shared" si="39"/>
        <v>0</v>
      </c>
      <c r="I151" s="230">
        <f t="shared" si="39"/>
        <v>0</v>
      </c>
      <c r="J151" s="202">
        <f t="shared" si="39"/>
        <v>0</v>
      </c>
      <c r="K151" s="230">
        <f t="shared" si="39"/>
        <v>0</v>
      </c>
      <c r="L151" s="230">
        <f t="shared" si="39"/>
        <v>0</v>
      </c>
      <c r="M151" s="230">
        <f t="shared" si="39"/>
        <v>0</v>
      </c>
      <c r="N151" s="230">
        <f t="shared" si="39"/>
        <v>0</v>
      </c>
      <c r="O151" s="202">
        <f t="shared" si="39"/>
        <v>0</v>
      </c>
      <c r="P151" s="230">
        <f t="shared" si="39"/>
        <v>0</v>
      </c>
      <c r="Q151" s="230">
        <f t="shared" si="39"/>
        <v>0</v>
      </c>
      <c r="R151" s="230">
        <f t="shared" si="39"/>
        <v>0</v>
      </c>
      <c r="S151" s="230">
        <f t="shared" si="39"/>
        <v>0</v>
      </c>
      <c r="T151" s="202">
        <f t="shared" si="39"/>
        <v>0</v>
      </c>
      <c r="U151" s="230">
        <f t="shared" si="39"/>
        <v>0</v>
      </c>
      <c r="V151" s="201">
        <f>V152*V157</f>
        <v>0</v>
      </c>
      <c r="W151" s="201">
        <f>W152*W157</f>
        <v>0</v>
      </c>
      <c r="X151" s="201">
        <f>X152*X157</f>
        <v>0</v>
      </c>
      <c r="Y151" s="202">
        <f>SUM(U151:X151)</f>
        <v>0</v>
      </c>
      <c r="Z151" s="201">
        <f>Z152*Z157</f>
        <v>0</v>
      </c>
      <c r="AA151" s="201">
        <f>AA152*AA157</f>
        <v>0</v>
      </c>
      <c r="AB151" s="201">
        <f>AB152*AB157</f>
        <v>0</v>
      </c>
      <c r="AC151" s="201">
        <f>AC152*AC157</f>
        <v>0</v>
      </c>
      <c r="AD151" s="202">
        <f>SUM(Z151:AC151)</f>
        <v>0</v>
      </c>
      <c r="AE151" s="202">
        <f>AE152*AE157</f>
        <v>0</v>
      </c>
      <c r="AF151" s="202">
        <f>AF152*AF157</f>
        <v>0</v>
      </c>
      <c r="AG151" s="202">
        <f>AG152*AG157</f>
        <v>0</v>
      </c>
      <c r="AH151" s="9"/>
      <c r="AI151" s="9"/>
      <c r="AJ151" s="9"/>
    </row>
    <row r="152" spans="1:36" ht="12.75" hidden="1" customHeight="1" outlineLevel="1">
      <c r="A152" s="9"/>
      <c r="B152" s="9"/>
      <c r="C152" s="103" t="s">
        <v>249</v>
      </c>
      <c r="D152" s="9"/>
      <c r="E152" s="132"/>
      <c r="F152" s="238">
        <v>0</v>
      </c>
      <c r="G152" s="238">
        <v>0</v>
      </c>
      <c r="H152" s="238">
        <v>0</v>
      </c>
      <c r="I152" s="238">
        <v>0</v>
      </c>
      <c r="J152" s="239">
        <v>0</v>
      </c>
      <c r="K152" s="238">
        <v>0</v>
      </c>
      <c r="L152" s="238">
        <v>0</v>
      </c>
      <c r="M152" s="238">
        <v>0</v>
      </c>
      <c r="N152" s="238">
        <v>0</v>
      </c>
      <c r="O152" s="239">
        <v>0</v>
      </c>
      <c r="P152" s="238">
        <v>0</v>
      </c>
      <c r="Q152" s="238">
        <v>0</v>
      </c>
      <c r="R152" s="238">
        <v>0</v>
      </c>
      <c r="S152" s="238">
        <v>0</v>
      </c>
      <c r="T152" s="239">
        <v>0</v>
      </c>
      <c r="U152" s="238">
        <v>0</v>
      </c>
      <c r="V152" s="240">
        <f>U152*(1+V153)</f>
        <v>0</v>
      </c>
      <c r="W152" s="240">
        <f>V152*(1+W153)</f>
        <v>0</v>
      </c>
      <c r="X152" s="240">
        <f>W152*(1+X153)</f>
        <v>0</v>
      </c>
      <c r="Y152" s="239">
        <f>SUM(U152:X152)</f>
        <v>0</v>
      </c>
      <c r="Z152" s="240">
        <f>X152*(1+Z153)</f>
        <v>0</v>
      </c>
      <c r="AA152" s="240">
        <f>Z152*(1+AA153)</f>
        <v>0</v>
      </c>
      <c r="AB152" s="240">
        <f>AA152*(1+AB153)</f>
        <v>0</v>
      </c>
      <c r="AC152" s="240">
        <f>AB152*(1+AC153)</f>
        <v>0</v>
      </c>
      <c r="AD152" s="239">
        <f>SUM(Z152:AC152)</f>
        <v>0</v>
      </c>
      <c r="AE152" s="239">
        <f>AD152*(1+AE153)</f>
        <v>0</v>
      </c>
      <c r="AF152" s="239">
        <f>AE152*(1+AF153)</f>
        <v>0</v>
      </c>
      <c r="AG152" s="239">
        <f>AF152*(1+AG153)</f>
        <v>0</v>
      </c>
      <c r="AH152" s="9"/>
      <c r="AI152" s="9"/>
      <c r="AJ152" s="9"/>
    </row>
    <row r="153" spans="1:36" ht="12.75" hidden="1" customHeight="1" outlineLevel="1">
      <c r="A153" s="9"/>
      <c r="B153" s="9"/>
      <c r="C153" s="84" t="s">
        <v>250</v>
      </c>
      <c r="D153" s="9"/>
      <c r="E153" s="132"/>
      <c r="F153" s="232"/>
      <c r="G153" s="231" t="str">
        <f>IFERROR(G152/F152-1,"--")</f>
        <v>--</v>
      </c>
      <c r="H153" s="231" t="str">
        <f>IFERROR(H152/G152-1,"--")</f>
        <v>--</v>
      </c>
      <c r="I153" s="231" t="str">
        <f>IFERROR(I152/H152-1,"--")</f>
        <v>--</v>
      </c>
      <c r="J153" s="132"/>
      <c r="K153" s="231" t="str">
        <f>IFERROR(K152/I152-1,"--")</f>
        <v>--</v>
      </c>
      <c r="L153" s="231" t="str">
        <f>IFERROR(L152/K152-1,"--")</f>
        <v>--</v>
      </c>
      <c r="M153" s="231" t="str">
        <f>IFERROR(M152/L152-1,"--")</f>
        <v>--</v>
      </c>
      <c r="N153" s="231" t="str">
        <f>IFERROR(N152/M152-1,"--")</f>
        <v>--</v>
      </c>
      <c r="O153" s="219" t="str">
        <f>IFERROR(O152/J152-1,"--")</f>
        <v>--</v>
      </c>
      <c r="P153" s="231" t="str">
        <f>IFERROR(P152/N152-1,"--")</f>
        <v>--</v>
      </c>
      <c r="Q153" s="231" t="str">
        <f>IFERROR(Q152/P152-1,"--")</f>
        <v>--</v>
      </c>
      <c r="R153" s="231" t="str">
        <f>IFERROR(R152/Q152-1,"--")</f>
        <v>--</v>
      </c>
      <c r="S153" s="231" t="str">
        <f>IFERROR(S152/R152-1,"--")</f>
        <v>--</v>
      </c>
      <c r="T153" s="219" t="str">
        <f>IFERROR(T152/O152-1,"--")</f>
        <v>--</v>
      </c>
      <c r="U153" s="231" t="str">
        <f>IFERROR(U152/S152-1,"--")</f>
        <v>--</v>
      </c>
      <c r="V153" s="218">
        <f>IF(Case_Scenario="Bull",V154,IF(Case_Scenario="Base",V155,IF(Case_Scenario="bear",V156,"N/A")))</f>
        <v>0.05</v>
      </c>
      <c r="W153" s="218">
        <f>IF(Case_Scenario="Bull",W154,IF(Case_Scenario="Base",W155,IF(Case_Scenario="bear",W156,"N/A")))</f>
        <v>0.05</v>
      </c>
      <c r="X153" s="218">
        <f>IF(Case_Scenario="Bull",X154,IF(Case_Scenario="Base",X155,IF(Case_Scenario="bear",X156,"N/A")))</f>
        <v>0.05</v>
      </c>
      <c r="Y153" s="219"/>
      <c r="Z153" s="218">
        <f>IF(Case_Scenario="Bull",Z154,IF(Case_Scenario="Base",Z155,IF(Case_Scenario="bear",Z156,"N/A")))</f>
        <v>0.05</v>
      </c>
      <c r="AA153" s="218">
        <f>IF(Case_Scenario="Bull",AA154,IF(Case_Scenario="Base",AA155,IF(Case_Scenario="bear",AA156,"N/A")))</f>
        <v>0.05</v>
      </c>
      <c r="AB153" s="218">
        <f>IF(Case_Scenario="Bull",AB154,IF(Case_Scenario="Base",AB155,IF(Case_Scenario="bear",AB156,"N/A")))</f>
        <v>0.05</v>
      </c>
      <c r="AC153" s="218">
        <f>IF(Case_Scenario="Bull",AC154,IF(Case_Scenario="Base",AC155,IF(Case_Scenario="bear",AC156,"N/A")))</f>
        <v>0.05</v>
      </c>
      <c r="AD153" s="219"/>
      <c r="AE153" s="219">
        <f>IF(Case_Scenario="Bull",AE154,IF(Case_Scenario="Base",AE155,IF(Case_Scenario="bear",AE156,"N/A")))</f>
        <v>0.05</v>
      </c>
      <c r="AF153" s="219">
        <f>IF(Case_Scenario="Bull",AF154,IF(Case_Scenario="Base",AF155,IF(Case_Scenario="bear",AF156,"N/A")))</f>
        <v>0.05</v>
      </c>
      <c r="AG153" s="219">
        <f>IF(Case_Scenario="Bull",AG154,IF(Case_Scenario="Base",AG155,IF(Case_Scenario="bear",AG156,"N/A")))</f>
        <v>0.05</v>
      </c>
      <c r="AH153" s="9"/>
      <c r="AI153" s="9"/>
      <c r="AJ153" s="9"/>
    </row>
    <row r="154" spans="1:36" ht="12.75" hidden="1" customHeight="1" outlineLevel="1">
      <c r="A154" s="9"/>
      <c r="B154" s="9"/>
      <c r="C154" s="103" t="s">
        <v>245</v>
      </c>
      <c r="D154" s="9"/>
      <c r="E154" s="132"/>
      <c r="F154" s="232"/>
      <c r="G154" s="232"/>
      <c r="H154" s="232"/>
      <c r="I154" s="232"/>
      <c r="J154" s="132"/>
      <c r="K154" s="232"/>
      <c r="L154" s="232"/>
      <c r="M154" s="232"/>
      <c r="N154" s="232"/>
      <c r="O154" s="132"/>
      <c r="P154" s="232"/>
      <c r="Q154" s="232"/>
      <c r="R154" s="232"/>
      <c r="S154" s="232"/>
      <c r="T154" s="132"/>
      <c r="U154" s="232"/>
      <c r="V154" s="233">
        <v>0.1</v>
      </c>
      <c r="W154" s="233">
        <v>0.1</v>
      </c>
      <c r="X154" s="233">
        <v>0.1</v>
      </c>
      <c r="Y154" s="234"/>
      <c r="Z154" s="233">
        <v>0.1</v>
      </c>
      <c r="AA154" s="233">
        <v>0.1</v>
      </c>
      <c r="AB154" s="233">
        <v>0.1</v>
      </c>
      <c r="AC154" s="233">
        <v>0.1</v>
      </c>
      <c r="AD154" s="234"/>
      <c r="AE154" s="234">
        <v>0.1</v>
      </c>
      <c r="AF154" s="234">
        <v>0.1</v>
      </c>
      <c r="AG154" s="234">
        <v>0.1</v>
      </c>
      <c r="AH154" s="9"/>
      <c r="AI154" s="9"/>
      <c r="AJ154" s="9"/>
    </row>
    <row r="155" spans="1:36" ht="12.75" hidden="1" customHeight="1" outlineLevel="1">
      <c r="A155" s="9"/>
      <c r="B155" s="9"/>
      <c r="C155" s="103" t="s">
        <v>246</v>
      </c>
      <c r="D155" s="9"/>
      <c r="E155" s="132"/>
      <c r="F155" s="232"/>
      <c r="G155" s="232"/>
      <c r="H155" s="232"/>
      <c r="I155" s="232"/>
      <c r="J155" s="132"/>
      <c r="K155" s="232"/>
      <c r="L155" s="232"/>
      <c r="M155" s="232"/>
      <c r="N155" s="232"/>
      <c r="O155" s="132"/>
      <c r="P155" s="232"/>
      <c r="Q155" s="232"/>
      <c r="R155" s="232"/>
      <c r="S155" s="232"/>
      <c r="T155" s="132"/>
      <c r="U155" s="232"/>
      <c r="V155" s="233">
        <v>0.05</v>
      </c>
      <c r="W155" s="233">
        <v>0.05</v>
      </c>
      <c r="X155" s="233">
        <v>0.05</v>
      </c>
      <c r="Y155" s="234"/>
      <c r="Z155" s="233">
        <v>0.05</v>
      </c>
      <c r="AA155" s="233">
        <v>0.05</v>
      </c>
      <c r="AB155" s="233">
        <v>0.05</v>
      </c>
      <c r="AC155" s="233">
        <v>0.05</v>
      </c>
      <c r="AD155" s="234"/>
      <c r="AE155" s="234">
        <v>0.05</v>
      </c>
      <c r="AF155" s="234">
        <v>0.05</v>
      </c>
      <c r="AG155" s="234">
        <v>0.05</v>
      </c>
      <c r="AH155" s="9"/>
      <c r="AI155" s="9"/>
      <c r="AJ155" s="9"/>
    </row>
    <row r="156" spans="1:36" ht="12.75" hidden="1" customHeight="1" outlineLevel="1">
      <c r="A156" s="9"/>
      <c r="B156" s="9"/>
      <c r="C156" s="103" t="s">
        <v>247</v>
      </c>
      <c r="D156" s="9"/>
      <c r="E156" s="132"/>
      <c r="F156" s="232"/>
      <c r="G156" s="232"/>
      <c r="H156" s="232"/>
      <c r="I156" s="232"/>
      <c r="J156" s="132"/>
      <c r="K156" s="232"/>
      <c r="L156" s="232"/>
      <c r="M156" s="232"/>
      <c r="N156" s="232"/>
      <c r="O156" s="132"/>
      <c r="P156" s="232"/>
      <c r="Q156" s="232"/>
      <c r="R156" s="232"/>
      <c r="S156" s="232"/>
      <c r="T156" s="132"/>
      <c r="U156" s="232"/>
      <c r="V156" s="233">
        <v>0</v>
      </c>
      <c r="W156" s="233">
        <v>0</v>
      </c>
      <c r="X156" s="233">
        <v>0</v>
      </c>
      <c r="Y156" s="234"/>
      <c r="Z156" s="233">
        <v>0</v>
      </c>
      <c r="AA156" s="233">
        <v>0</v>
      </c>
      <c r="AB156" s="233">
        <v>0</v>
      </c>
      <c r="AC156" s="233">
        <v>0</v>
      </c>
      <c r="AD156" s="234"/>
      <c r="AE156" s="234">
        <v>0</v>
      </c>
      <c r="AF156" s="234">
        <v>0</v>
      </c>
      <c r="AG156" s="234">
        <v>0</v>
      </c>
      <c r="AH156" s="9"/>
      <c r="AI156" s="9"/>
      <c r="AJ156" s="9"/>
    </row>
    <row r="157" spans="1:36" ht="12.75" hidden="1" customHeight="1" outlineLevel="1">
      <c r="A157" s="9"/>
      <c r="B157" s="9"/>
      <c r="C157" s="103" t="s">
        <v>160</v>
      </c>
      <c r="D157" s="9"/>
      <c r="E157" s="132"/>
      <c r="F157" s="230">
        <v>0</v>
      </c>
      <c r="G157" s="230">
        <v>0</v>
      </c>
      <c r="H157" s="230">
        <v>0</v>
      </c>
      <c r="I157" s="230">
        <v>0</v>
      </c>
      <c r="J157" s="202">
        <v>0</v>
      </c>
      <c r="K157" s="230">
        <v>0</v>
      </c>
      <c r="L157" s="230">
        <v>0</v>
      </c>
      <c r="M157" s="230">
        <v>0</v>
      </c>
      <c r="N157" s="230">
        <v>0</v>
      </c>
      <c r="O157" s="202">
        <v>0</v>
      </c>
      <c r="P157" s="230">
        <v>0</v>
      </c>
      <c r="Q157" s="230">
        <v>0</v>
      </c>
      <c r="R157" s="230">
        <v>0</v>
      </c>
      <c r="S157" s="230">
        <v>0</v>
      </c>
      <c r="T157" s="202">
        <v>0</v>
      </c>
      <c r="U157" s="230">
        <v>0</v>
      </c>
      <c r="V157" s="201">
        <f>U157*(1+V158)</f>
        <v>0</v>
      </c>
      <c r="W157" s="201">
        <f>V157*(1+W158)</f>
        <v>0</v>
      </c>
      <c r="X157" s="201">
        <f>W157*(1+X158)</f>
        <v>0</v>
      </c>
      <c r="Y157" s="202">
        <v>0</v>
      </c>
      <c r="Z157" s="201">
        <f>X157*(1+Z158)</f>
        <v>0</v>
      </c>
      <c r="AA157" s="201">
        <f>Z157*(1+AA158)</f>
        <v>0</v>
      </c>
      <c r="AB157" s="201">
        <f>AA157*(1+AB158)</f>
        <v>0</v>
      </c>
      <c r="AC157" s="201">
        <f>AB157*(1+AC158)</f>
        <v>0</v>
      </c>
      <c r="AD157" s="202">
        <v>0</v>
      </c>
      <c r="AE157" s="202">
        <f>AD157*(1+AE158)</f>
        <v>0</v>
      </c>
      <c r="AF157" s="202">
        <f>AE157*(1+AF158)</f>
        <v>0</v>
      </c>
      <c r="AG157" s="202">
        <f>AF157*(1+AG158)</f>
        <v>0</v>
      </c>
      <c r="AH157" s="9"/>
      <c r="AI157" s="9"/>
      <c r="AJ157" s="9"/>
    </row>
    <row r="158" spans="1:36" ht="12.75" hidden="1" customHeight="1" outlineLevel="1">
      <c r="A158" s="9"/>
      <c r="B158" s="9"/>
      <c r="C158" s="84" t="s">
        <v>251</v>
      </c>
      <c r="D158" s="9"/>
      <c r="E158" s="132"/>
      <c r="F158" s="232"/>
      <c r="G158" s="231" t="str">
        <f>IFERROR(G157/F157-1,"--")</f>
        <v>--</v>
      </c>
      <c r="H158" s="231" t="str">
        <f>IFERROR(H157/G157-1,"--")</f>
        <v>--</v>
      </c>
      <c r="I158" s="231" t="str">
        <f>IFERROR(I157/H157-1,"--")</f>
        <v>--</v>
      </c>
      <c r="J158" s="132"/>
      <c r="K158" s="231" t="str">
        <f>IFERROR(K157/I157-1,"--")</f>
        <v>--</v>
      </c>
      <c r="L158" s="231" t="str">
        <f>IFERROR(L157/K157-1,"--")</f>
        <v>--</v>
      </c>
      <c r="M158" s="231" t="str">
        <f>IFERROR(M157/L157-1,"--")</f>
        <v>--</v>
      </c>
      <c r="N158" s="231" t="str">
        <f>IFERROR(N157/M157-1,"--")</f>
        <v>--</v>
      </c>
      <c r="O158" s="219" t="str">
        <f>IFERROR(O157/J157-1,"--")</f>
        <v>--</v>
      </c>
      <c r="P158" s="231" t="str">
        <f>IFERROR(P157/N157-1,"--")</f>
        <v>--</v>
      </c>
      <c r="Q158" s="231" t="str">
        <f>IFERROR(Q157/P157-1,"--")</f>
        <v>--</v>
      </c>
      <c r="R158" s="231" t="str">
        <f>IFERROR(R157/Q157-1,"--")</f>
        <v>--</v>
      </c>
      <c r="S158" s="231" t="str">
        <f>IFERROR(S157/R157-1,"--")</f>
        <v>--</v>
      </c>
      <c r="T158" s="219" t="str">
        <f>IFERROR(T157/O157-1,"--")</f>
        <v>--</v>
      </c>
      <c r="U158" s="231" t="str">
        <f>IFERROR(U157/S157-1,"--")</f>
        <v>--</v>
      </c>
      <c r="V158" s="218">
        <f>IF(Case_Scenario="Bull",V159,IF(Case_Scenario="Base",V160,IF(Case_Scenario="bear",V161,"N/A")))</f>
        <v>0</v>
      </c>
      <c r="W158" s="218">
        <f>IF(Case_Scenario="Bull",W159,IF(Case_Scenario="Base",W160,IF(Case_Scenario="bear",W161,"N/A")))</f>
        <v>0</v>
      </c>
      <c r="X158" s="218">
        <f>IF(Case_Scenario="Bull",X159,IF(Case_Scenario="Base",X160,IF(Case_Scenario="bear",X161,"N/A")))</f>
        <v>0</v>
      </c>
      <c r="Y158" s="239"/>
      <c r="Z158" s="218">
        <f>IF(Case_Scenario="Bull",Z159,IF(Case_Scenario="Base",Z160,IF(Case_Scenario="bear",Z161,"N/A")))</f>
        <v>0</v>
      </c>
      <c r="AA158" s="218">
        <f>IF(Case_Scenario="Bull",AA159,IF(Case_Scenario="Base",AA160,IF(Case_Scenario="bear",AA161,"N/A")))</f>
        <v>0</v>
      </c>
      <c r="AB158" s="218">
        <f>IF(Case_Scenario="Bull",AB159,IF(Case_Scenario="Base",AB160,IF(Case_Scenario="bear",AB161,"N/A")))</f>
        <v>0</v>
      </c>
      <c r="AC158" s="218">
        <f>IF(Case_Scenario="Bull",AC159,IF(Case_Scenario="Base",AC160,IF(Case_Scenario="bear",AC161,"N/A")))</f>
        <v>0</v>
      </c>
      <c r="AD158" s="219"/>
      <c r="AE158" s="219">
        <f>IF(Case_Scenario="Bull",AE159,IF(Case_Scenario="Base",AE160,IF(Case_Scenario="bear",AE161,"N/A")))</f>
        <v>0</v>
      </c>
      <c r="AF158" s="219">
        <f>IF(Case_Scenario="Bull",AF159,IF(Case_Scenario="Base",AF160,IF(Case_Scenario="bear",AF161,"N/A")))</f>
        <v>0</v>
      </c>
      <c r="AG158" s="219">
        <f>IF(Case_Scenario="Bull",AG159,IF(Case_Scenario="Base",AG160,IF(Case_Scenario="bear",AG161,"N/A")))</f>
        <v>0</v>
      </c>
      <c r="AH158" s="9"/>
      <c r="AI158" s="9"/>
      <c r="AJ158" s="9"/>
    </row>
    <row r="159" spans="1:36" ht="12.75" hidden="1" customHeight="1" outlineLevel="1">
      <c r="A159" s="9"/>
      <c r="B159" s="9"/>
      <c r="C159" s="103" t="s">
        <v>245</v>
      </c>
      <c r="D159" s="9"/>
      <c r="E159" s="132"/>
      <c r="F159" s="232"/>
      <c r="G159" s="232"/>
      <c r="H159" s="232"/>
      <c r="I159" s="232"/>
      <c r="J159" s="132"/>
      <c r="K159" s="232"/>
      <c r="L159" s="232"/>
      <c r="M159" s="232"/>
      <c r="N159" s="232"/>
      <c r="O159" s="132"/>
      <c r="P159" s="232"/>
      <c r="Q159" s="232"/>
      <c r="R159" s="232"/>
      <c r="S159" s="232"/>
      <c r="T159" s="132"/>
      <c r="U159" s="232"/>
      <c r="V159" s="233">
        <v>0</v>
      </c>
      <c r="W159" s="233">
        <v>0</v>
      </c>
      <c r="X159" s="233">
        <v>0</v>
      </c>
      <c r="Y159" s="234"/>
      <c r="Z159" s="233">
        <v>0</v>
      </c>
      <c r="AA159" s="233">
        <v>0</v>
      </c>
      <c r="AB159" s="233">
        <v>0</v>
      </c>
      <c r="AC159" s="233">
        <v>0</v>
      </c>
      <c r="AD159" s="234"/>
      <c r="AE159" s="234">
        <v>0</v>
      </c>
      <c r="AF159" s="234">
        <v>0</v>
      </c>
      <c r="AG159" s="234">
        <v>0</v>
      </c>
      <c r="AH159" s="9"/>
      <c r="AI159" s="9"/>
      <c r="AJ159" s="9"/>
    </row>
    <row r="160" spans="1:36" ht="12.75" hidden="1" customHeight="1" outlineLevel="1">
      <c r="A160" s="9"/>
      <c r="B160" s="9"/>
      <c r="C160" s="103" t="s">
        <v>246</v>
      </c>
      <c r="D160" s="9"/>
      <c r="E160" s="132"/>
      <c r="F160" s="232"/>
      <c r="G160" s="232"/>
      <c r="H160" s="232"/>
      <c r="I160" s="232"/>
      <c r="J160" s="132"/>
      <c r="K160" s="232"/>
      <c r="L160" s="232"/>
      <c r="M160" s="232"/>
      <c r="N160" s="232"/>
      <c r="O160" s="132"/>
      <c r="P160" s="232"/>
      <c r="Q160" s="232"/>
      <c r="R160" s="232"/>
      <c r="S160" s="232"/>
      <c r="T160" s="132"/>
      <c r="U160" s="232"/>
      <c r="V160" s="233">
        <v>0</v>
      </c>
      <c r="W160" s="233">
        <v>0</v>
      </c>
      <c r="X160" s="233">
        <v>0</v>
      </c>
      <c r="Y160" s="234"/>
      <c r="Z160" s="233">
        <v>0</v>
      </c>
      <c r="AA160" s="233">
        <v>0</v>
      </c>
      <c r="AB160" s="233">
        <v>0</v>
      </c>
      <c r="AC160" s="233">
        <v>0</v>
      </c>
      <c r="AD160" s="234"/>
      <c r="AE160" s="234">
        <v>0</v>
      </c>
      <c r="AF160" s="234">
        <v>0</v>
      </c>
      <c r="AG160" s="234">
        <v>0</v>
      </c>
      <c r="AH160" s="9"/>
      <c r="AI160" s="9"/>
      <c r="AJ160" s="9"/>
    </row>
    <row r="161" spans="1:36" ht="12.75" hidden="1" customHeight="1" outlineLevel="1">
      <c r="A161" s="9"/>
      <c r="B161" s="9"/>
      <c r="C161" s="103" t="s">
        <v>247</v>
      </c>
      <c r="D161" s="9"/>
      <c r="E161" s="132"/>
      <c r="F161" s="232"/>
      <c r="G161" s="232"/>
      <c r="H161" s="232"/>
      <c r="I161" s="232"/>
      <c r="J161" s="132"/>
      <c r="K161" s="232"/>
      <c r="L161" s="232"/>
      <c r="M161" s="232"/>
      <c r="N161" s="232"/>
      <c r="O161" s="132"/>
      <c r="P161" s="232"/>
      <c r="Q161" s="232"/>
      <c r="R161" s="232"/>
      <c r="S161" s="232"/>
      <c r="T161" s="132"/>
      <c r="U161" s="232"/>
      <c r="V161" s="233">
        <v>0</v>
      </c>
      <c r="W161" s="233">
        <v>0</v>
      </c>
      <c r="X161" s="233">
        <v>0</v>
      </c>
      <c r="Y161" s="234"/>
      <c r="Z161" s="233">
        <v>0</v>
      </c>
      <c r="AA161" s="233">
        <v>0</v>
      </c>
      <c r="AB161" s="233">
        <v>0</v>
      </c>
      <c r="AC161" s="233">
        <v>0</v>
      </c>
      <c r="AD161" s="234"/>
      <c r="AE161" s="234">
        <v>0</v>
      </c>
      <c r="AF161" s="234">
        <v>0</v>
      </c>
      <c r="AG161" s="234">
        <v>0</v>
      </c>
      <c r="AH161" s="9"/>
      <c r="AI161" s="9"/>
      <c r="AJ161" s="9"/>
    </row>
    <row r="162" spans="1:36" ht="12.75" hidden="1" customHeight="1" collapsed="1">
      <c r="A162" s="9"/>
      <c r="B162" s="9"/>
      <c r="C162" s="9"/>
      <c r="D162" s="9"/>
      <c r="E162" s="9"/>
      <c r="F162" s="228"/>
      <c r="G162" s="228"/>
      <c r="H162" s="228"/>
      <c r="I162" s="228"/>
      <c r="J162" s="9"/>
      <c r="K162" s="228"/>
      <c r="L162" s="228"/>
      <c r="M162" s="228"/>
      <c r="N162" s="228"/>
      <c r="O162" s="9"/>
      <c r="P162" s="228"/>
      <c r="Q162" s="228"/>
      <c r="R162" s="228"/>
      <c r="S162" s="228"/>
      <c r="T162" s="9"/>
      <c r="U162" s="228"/>
      <c r="V162" s="229"/>
      <c r="W162" s="229"/>
      <c r="X162" s="229"/>
      <c r="Y162" s="9"/>
      <c r="Z162" s="229"/>
      <c r="AA162" s="229"/>
      <c r="AB162" s="229"/>
      <c r="AC162" s="229"/>
      <c r="AD162" s="9"/>
      <c r="AE162" s="9"/>
      <c r="AF162" s="9"/>
      <c r="AG162" s="9"/>
      <c r="AH162" s="9"/>
      <c r="AI162" s="9"/>
      <c r="AJ162" s="9"/>
    </row>
    <row r="163" spans="1:36" ht="12.75" hidden="1" customHeight="1">
      <c r="A163" s="180" t="s">
        <v>0</v>
      </c>
      <c r="B163" s="9"/>
      <c r="C163" s="50" t="s">
        <v>252</v>
      </c>
      <c r="D163" s="12"/>
      <c r="E163" s="12"/>
      <c r="F163" s="226" t="str">
        <f t="shared" ref="F163:AG163" si="40">F$28</f>
        <v>1Q23</v>
      </c>
      <c r="G163" s="226" t="str">
        <f t="shared" si="40"/>
        <v>2Q23</v>
      </c>
      <c r="H163" s="226" t="str">
        <f t="shared" si="40"/>
        <v>3Q23</v>
      </c>
      <c r="I163" s="226" t="str">
        <f t="shared" si="40"/>
        <v>4Q23</v>
      </c>
      <c r="J163" s="226">
        <f t="shared" si="40"/>
        <v>2023</v>
      </c>
      <c r="K163" s="226" t="str">
        <f t="shared" si="40"/>
        <v>1Q24</v>
      </c>
      <c r="L163" s="226" t="str">
        <f t="shared" si="40"/>
        <v>2Q24</v>
      </c>
      <c r="M163" s="226" t="str">
        <f t="shared" si="40"/>
        <v>3Q24</v>
      </c>
      <c r="N163" s="226" t="str">
        <f t="shared" si="40"/>
        <v>4Q24</v>
      </c>
      <c r="O163" s="226">
        <f t="shared" si="40"/>
        <v>2024</v>
      </c>
      <c r="P163" s="226" t="str">
        <f t="shared" si="40"/>
        <v>1Q25</v>
      </c>
      <c r="Q163" s="226" t="str">
        <f t="shared" si="40"/>
        <v>2Q25</v>
      </c>
      <c r="R163" s="226" t="str">
        <f t="shared" si="40"/>
        <v>3Q25</v>
      </c>
      <c r="S163" s="226" t="str">
        <f t="shared" si="40"/>
        <v>4Q25</v>
      </c>
      <c r="T163" s="226">
        <f t="shared" si="40"/>
        <v>2025</v>
      </c>
      <c r="U163" s="226" t="str">
        <f t="shared" si="40"/>
        <v>1Q26</v>
      </c>
      <c r="V163" s="226" t="str">
        <f t="shared" si="40"/>
        <v>2Q26e</v>
      </c>
      <c r="W163" s="226" t="str">
        <f t="shared" si="40"/>
        <v>3Q26e</v>
      </c>
      <c r="X163" s="226" t="str">
        <f t="shared" si="40"/>
        <v>4Q26e</v>
      </c>
      <c r="Y163" s="226" t="str">
        <f t="shared" si="40"/>
        <v>2026e</v>
      </c>
      <c r="Z163" s="226" t="str">
        <f t="shared" si="40"/>
        <v>1Q27e</v>
      </c>
      <c r="AA163" s="226" t="str">
        <f t="shared" si="40"/>
        <v>2Q27e</v>
      </c>
      <c r="AB163" s="226" t="str">
        <f t="shared" si="40"/>
        <v>3Q27e</v>
      </c>
      <c r="AC163" s="226" t="str">
        <f t="shared" si="40"/>
        <v>4Q27e</v>
      </c>
      <c r="AD163" s="226" t="str">
        <f t="shared" si="40"/>
        <v>2027e</v>
      </c>
      <c r="AE163" s="226" t="str">
        <f t="shared" si="40"/>
        <v>2028e</v>
      </c>
      <c r="AF163" s="226" t="str">
        <f t="shared" si="40"/>
        <v>2029e</v>
      </c>
      <c r="AG163" s="227" t="str">
        <f t="shared" si="40"/>
        <v>2030e</v>
      </c>
      <c r="AH163" s="192" t="s">
        <v>0</v>
      </c>
      <c r="AI163" s="9"/>
      <c r="AJ163" s="9"/>
    </row>
    <row r="164" spans="1:36" ht="12.75" hidden="1" customHeight="1">
      <c r="A164" s="9"/>
      <c r="B164" s="9"/>
      <c r="C164" s="9"/>
      <c r="D164" s="9"/>
      <c r="E164" s="9"/>
      <c r="F164" s="241"/>
      <c r="G164" s="241"/>
      <c r="H164" s="241"/>
      <c r="I164" s="241"/>
      <c r="J164" s="242"/>
      <c r="K164" s="241"/>
      <c r="L164" s="241"/>
      <c r="M164" s="241"/>
      <c r="N164" s="241"/>
      <c r="O164" s="242"/>
      <c r="P164" s="241"/>
      <c r="Q164" s="241"/>
      <c r="R164" s="241"/>
      <c r="S164" s="241"/>
      <c r="T164" s="242"/>
      <c r="U164" s="241"/>
      <c r="V164" s="243"/>
      <c r="W164" s="243"/>
      <c r="X164" s="243"/>
      <c r="Y164" s="242"/>
      <c r="Z164" s="243"/>
      <c r="AA164" s="243"/>
      <c r="AB164" s="243"/>
      <c r="AC164" s="243"/>
      <c r="AD164" s="242"/>
      <c r="AE164" s="242"/>
      <c r="AF164" s="242"/>
      <c r="AG164" s="242"/>
      <c r="AH164" s="9"/>
      <c r="AI164" s="9"/>
      <c r="AJ164" s="9"/>
    </row>
    <row r="165" spans="1:36" ht="12.75" hidden="1" customHeight="1" outlineLevel="1">
      <c r="A165" s="9"/>
      <c r="B165" s="9"/>
      <c r="C165" s="103" t="str">
        <f>C32</f>
        <v>Management &amp; Advisory Fees</v>
      </c>
      <c r="D165" s="9"/>
      <c r="E165" s="9"/>
      <c r="F165" s="230">
        <f t="shared" ref="F165:U165" si="41">F32</f>
        <v>85.945999999999998</v>
      </c>
      <c r="G165" s="230">
        <f t="shared" si="41"/>
        <v>92.88</v>
      </c>
      <c r="H165" s="230">
        <f t="shared" si="41"/>
        <v>97.35499999999999</v>
      </c>
      <c r="I165" s="230">
        <f t="shared" si="41"/>
        <v>95.691999999999993</v>
      </c>
      <c r="J165" s="202">
        <f t="shared" si="41"/>
        <v>371.87299999999999</v>
      </c>
      <c r="K165" s="230">
        <f t="shared" si="41"/>
        <v>105.407</v>
      </c>
      <c r="L165" s="230">
        <f t="shared" si="41"/>
        <v>109.184</v>
      </c>
      <c r="M165" s="230">
        <f t="shared" si="41"/>
        <v>113.64100000000001</v>
      </c>
      <c r="N165" s="230">
        <f t="shared" si="41"/>
        <v>123.70399999999999</v>
      </c>
      <c r="O165" s="202">
        <f t="shared" si="41"/>
        <v>451.93600000000004</v>
      </c>
      <c r="P165" s="230">
        <f t="shared" si="41"/>
        <v>139.96199999999999</v>
      </c>
      <c r="Q165" s="230">
        <f t="shared" si="41"/>
        <v>119.78299999999999</v>
      </c>
      <c r="R165" s="230">
        <f t="shared" si="41"/>
        <v>126.282</v>
      </c>
      <c r="S165" s="230">
        <f t="shared" si="41"/>
        <v>127.83800000000001</v>
      </c>
      <c r="T165" s="202">
        <f t="shared" si="41"/>
        <v>513.86500000000001</v>
      </c>
      <c r="U165" s="230">
        <f t="shared" si="41"/>
        <v>133.696</v>
      </c>
      <c r="V165" s="201">
        <f>V167/V172</f>
        <v>-9279.6256000000049</v>
      </c>
      <c r="W165" s="201">
        <f>W167/W172</f>
        <v>-9743.6068800000066</v>
      </c>
      <c r="X165" s="201">
        <f>X167/X172</f>
        <v>-10230.787224000007</v>
      </c>
      <c r="Y165" s="202">
        <f>SUM(U165:X165)</f>
        <v>-29120.323704000017</v>
      </c>
      <c r="Z165" s="201">
        <f>Z167/Z172</f>
        <v>-10742.326585200008</v>
      </c>
      <c r="AA165" s="201">
        <f>AA167/AA172</f>
        <v>-11279.442914460009</v>
      </c>
      <c r="AB165" s="201">
        <f>AB167/AB172</f>
        <v>-11843.415060183012</v>
      </c>
      <c r="AC165" s="201">
        <f>AC167/AC172</f>
        <v>-12435.585813192163</v>
      </c>
      <c r="AD165" s="202">
        <f>SUM(Z165:AC165)</f>
        <v>-46300.770373035193</v>
      </c>
      <c r="AE165" s="202">
        <f>AE167/AE172</f>
        <v>-48615.808891686953</v>
      </c>
      <c r="AF165" s="202">
        <f>AF167/AF172</f>
        <v>-51046.599336271298</v>
      </c>
      <c r="AG165" s="202">
        <f>AG167/AG172</f>
        <v>-53598.929303084871</v>
      </c>
      <c r="AH165" s="9"/>
      <c r="AI165" s="9"/>
      <c r="AJ165" s="9"/>
    </row>
    <row r="166" spans="1:36" ht="12.75" hidden="1" customHeight="1" outlineLevel="1">
      <c r="A166" s="9"/>
      <c r="B166" s="9"/>
      <c r="C166" s="103" t="s">
        <v>238</v>
      </c>
      <c r="D166" s="9"/>
      <c r="E166" s="9"/>
      <c r="F166" s="244">
        <f>47179+9134</f>
        <v>56313</v>
      </c>
      <c r="G166" s="244">
        <f>46414+8942</f>
        <v>55356</v>
      </c>
      <c r="H166" s="244">
        <f>40127+12896</f>
        <v>53023</v>
      </c>
      <c r="I166" s="244">
        <f>42079+15055</f>
        <v>57134</v>
      </c>
      <c r="J166" s="239">
        <f>I166</f>
        <v>57134</v>
      </c>
      <c r="K166" s="244">
        <f>46463+16145</f>
        <v>62608</v>
      </c>
      <c r="L166" s="244">
        <f>44155+14185</f>
        <v>58340</v>
      </c>
      <c r="M166" s="244">
        <v>45852</v>
      </c>
      <c r="N166" s="244">
        <v>49577</v>
      </c>
      <c r="O166" s="239">
        <f>J166+O167-O165</f>
        <v>49577</v>
      </c>
      <c r="P166" s="244">
        <v>50404</v>
      </c>
      <c r="Q166" s="244">
        <v>51925</v>
      </c>
      <c r="R166" s="244">
        <v>57875</v>
      </c>
      <c r="S166" s="244">
        <v>57166</v>
      </c>
      <c r="T166" s="239">
        <f>O166+T167-T165</f>
        <v>57166.000000000007</v>
      </c>
      <c r="U166" s="238">
        <v>50404</v>
      </c>
      <c r="V166" s="240">
        <f>U166+V167-V165</f>
        <v>52723.9064</v>
      </c>
      <c r="W166" s="240">
        <f>V166+W167-W165</f>
        <v>55159.808120000002</v>
      </c>
      <c r="X166" s="240">
        <f>W166+X167-X165</f>
        <v>57717.504926000001</v>
      </c>
      <c r="Y166" s="239">
        <f>T166+Y167-Y165</f>
        <v>57717.504926000009</v>
      </c>
      <c r="Z166" s="240">
        <f>X166+Z167-Z165</f>
        <v>60403.086572300002</v>
      </c>
      <c r="AA166" s="240">
        <f>Z166+AA167-AA165</f>
        <v>63222.947300915002</v>
      </c>
      <c r="AB166" s="240">
        <f>AA166+AB167-AB165</f>
        <v>66183.801065960753</v>
      </c>
      <c r="AC166" s="240">
        <f>AB166+AC167-AC165</f>
        <v>69292.6975192588</v>
      </c>
      <c r="AD166" s="239">
        <f>Y166+AD167-AD165</f>
        <v>69292.6975192588</v>
      </c>
      <c r="AE166" s="239">
        <f>AD166+AE167-AE165</f>
        <v>81446.64974218054</v>
      </c>
      <c r="AF166" s="239">
        <f>AE166+AF167-AF165</f>
        <v>94208.299576248362</v>
      </c>
      <c r="AG166" s="239">
        <f>AF166+AG167-AG165</f>
        <v>107608.03190201957</v>
      </c>
      <c r="AH166" s="9"/>
      <c r="AI166" s="9"/>
      <c r="AJ166" s="9"/>
    </row>
    <row r="167" spans="1:36" ht="12.75" hidden="1" customHeight="1" outlineLevel="1">
      <c r="A167" s="9"/>
      <c r="B167" s="9"/>
      <c r="C167" s="103" t="s">
        <v>253</v>
      </c>
      <c r="D167" s="9"/>
      <c r="E167" s="9"/>
      <c r="F167" s="244">
        <f>F166+F165-(45187+12488)</f>
        <v>-1276.0539999999964</v>
      </c>
      <c r="G167" s="244">
        <f>G166+G165-F166</f>
        <v>-864.12000000000262</v>
      </c>
      <c r="H167" s="244">
        <f>H166+H165-G166</f>
        <v>-2235.6449999999968</v>
      </c>
      <c r="I167" s="244">
        <f>I166+I165-H166</f>
        <v>4206.6920000000027</v>
      </c>
      <c r="J167" s="239">
        <f>SUM(F167:I167)</f>
        <v>-169.12699999999313</v>
      </c>
      <c r="K167" s="244">
        <f>K166+K165-J166</f>
        <v>5579.4069999999992</v>
      </c>
      <c r="L167" s="244">
        <f>L166+L165-K166</f>
        <v>-4158.8159999999989</v>
      </c>
      <c r="M167" s="244">
        <f>M166+M165-L166</f>
        <v>-12374.358999999997</v>
      </c>
      <c r="N167" s="244">
        <f>N166+N165-M166</f>
        <v>3848.7039999999979</v>
      </c>
      <c r="O167" s="239">
        <f>SUM(K167:N167)</f>
        <v>-7105.0639999999985</v>
      </c>
      <c r="P167" s="244">
        <f>P166+P165-O166</f>
        <v>966.96199999999953</v>
      </c>
      <c r="Q167" s="244">
        <f>Q166+Q165-P166</f>
        <v>1640.7830000000031</v>
      </c>
      <c r="R167" s="244">
        <f>R166+R165-Q166</f>
        <v>6076.2819999999992</v>
      </c>
      <c r="S167" s="244">
        <f>S166+S165-R166</f>
        <v>-581.16199999999662</v>
      </c>
      <c r="T167" s="239">
        <f>SUM(P167:S167)</f>
        <v>8102.8650000000052</v>
      </c>
      <c r="U167" s="238">
        <f>U166+U165-T166</f>
        <v>-6628.3040000000037</v>
      </c>
      <c r="V167" s="240">
        <f>U167*(1+V168)</f>
        <v>-6959.7192000000041</v>
      </c>
      <c r="W167" s="240">
        <f>V167*(1+W168)</f>
        <v>-7307.705160000005</v>
      </c>
      <c r="X167" s="240">
        <f>W167*(1+X168)</f>
        <v>-7673.0904180000052</v>
      </c>
      <c r="Y167" s="239">
        <f>SUM(U167:X167)</f>
        <v>-28568.818778000015</v>
      </c>
      <c r="Z167" s="240">
        <f>X167*(1+Z168)</f>
        <v>-8056.7449389000058</v>
      </c>
      <c r="AA167" s="240">
        <f>Z167*(1+AA168)</f>
        <v>-8459.5821858450072</v>
      </c>
      <c r="AB167" s="240">
        <f>AA167*(1+AB168)</f>
        <v>-8882.5612951372586</v>
      </c>
      <c r="AC167" s="240">
        <f>AB167*(1+AC168)</f>
        <v>-9326.6893598941224</v>
      </c>
      <c r="AD167" s="239">
        <f>SUM(Z167:AC167)</f>
        <v>-34725.577779776395</v>
      </c>
      <c r="AE167" s="239">
        <f>AD167*(1+AE168)</f>
        <v>-36461.856668765213</v>
      </c>
      <c r="AF167" s="239">
        <f>AE167*(1+AF168)</f>
        <v>-38284.949502203475</v>
      </c>
      <c r="AG167" s="239">
        <f>AF167*(1+AG168)</f>
        <v>-40199.196977313652</v>
      </c>
      <c r="AH167" s="9"/>
      <c r="AI167" s="9"/>
      <c r="AJ167" s="9"/>
    </row>
    <row r="168" spans="1:36" ht="12.75" hidden="1" customHeight="1" outlineLevel="1">
      <c r="A168" s="9"/>
      <c r="B168" s="9"/>
      <c r="C168" s="84" t="s">
        <v>254</v>
      </c>
      <c r="D168" s="9"/>
      <c r="E168" s="9"/>
      <c r="F168" s="232"/>
      <c r="G168" s="231">
        <f>IFERROR(G167/F167-1,"--")</f>
        <v>-0.3228186267979215</v>
      </c>
      <c r="H168" s="231">
        <f>IFERROR(H167/G167-1,"--")</f>
        <v>1.5871927510067931</v>
      </c>
      <c r="I168" s="231">
        <f>IFERROR(I167/H167-1,"--")</f>
        <v>-2.8816457890228584</v>
      </c>
      <c r="J168" s="132"/>
      <c r="K168" s="231">
        <f>IFERROR(K167/I167-1,"--")</f>
        <v>0.32631697305150831</v>
      </c>
      <c r="L168" s="231">
        <f>IFERROR(L167/K167-1,"--")</f>
        <v>-1.7453867409206749</v>
      </c>
      <c r="M168" s="231">
        <f>IFERROR(M167/L167-1,"--")</f>
        <v>1.9754523883720752</v>
      </c>
      <c r="N168" s="231">
        <f>IFERROR(N167/M167-1,"--")</f>
        <v>-1.3110224941752537</v>
      </c>
      <c r="O168" s="219">
        <f>IFERROR(O167/J167-1,"--")</f>
        <v>41.010228999510943</v>
      </c>
      <c r="P168" s="231">
        <f>IFERROR(P167/N167-1,"--")</f>
        <v>-0.74875646451376876</v>
      </c>
      <c r="Q168" s="231">
        <f>IFERROR(Q167/P167-1,"--")</f>
        <v>0.69684330925103977</v>
      </c>
      <c r="R168" s="231">
        <f>IFERROR(R167/Q167-1,"--")</f>
        <v>2.7032819086984614</v>
      </c>
      <c r="S168" s="231">
        <f>IFERROR(S167/R167-1,"--")</f>
        <v>-1.095644343037403</v>
      </c>
      <c r="T168" s="219">
        <f>IFERROR(T167/O167-1,"--")</f>
        <v>-2.1404351881981647</v>
      </c>
      <c r="U168" s="231">
        <f>IFERROR(U167/S167-1,"--")</f>
        <v>10.405260495352488</v>
      </c>
      <c r="V168" s="218">
        <f>IF(Case_Scenario="Bull",V169,IF(Case_Scenario="Base",V170,IF(Case_Scenario="bear",V171,"N/A")))</f>
        <v>0.05</v>
      </c>
      <c r="W168" s="218">
        <f>IF(Case_Scenario="Bull",W169,IF(Case_Scenario="Base",W170,IF(Case_Scenario="bear",W171,"N/A")))</f>
        <v>0.05</v>
      </c>
      <c r="X168" s="218">
        <f>IF(Case_Scenario="Bull",X169,IF(Case_Scenario="Base",X170,IF(Case_Scenario="bear",X171,"N/A")))</f>
        <v>0.05</v>
      </c>
      <c r="Y168" s="219"/>
      <c r="Z168" s="218">
        <f>IF(Case_Scenario="Bull",Z169,IF(Case_Scenario="Base",Z170,IF(Case_Scenario="bear",Z171,"N/A")))</f>
        <v>0.05</v>
      </c>
      <c r="AA168" s="218">
        <f>IF(Case_Scenario="Bull",AA169,IF(Case_Scenario="Base",AA170,IF(Case_Scenario="bear",AA171,"N/A")))</f>
        <v>0.05</v>
      </c>
      <c r="AB168" s="218">
        <f>IF(Case_Scenario="Bull",AB169,IF(Case_Scenario="Base",AB170,IF(Case_Scenario="bear",AB171,"N/A")))</f>
        <v>0.05</v>
      </c>
      <c r="AC168" s="218">
        <f>IF(Case_Scenario="Bull",AC169,IF(Case_Scenario="Base",AC170,IF(Case_Scenario="bear",AC171,"N/A")))</f>
        <v>0.05</v>
      </c>
      <c r="AD168" s="219"/>
      <c r="AE168" s="219">
        <f>IF(Case_Scenario="Bull",AE169,IF(Case_Scenario="Base",AE170,IF(Case_Scenario="bear",AE171,"N/A")))</f>
        <v>0.05</v>
      </c>
      <c r="AF168" s="219">
        <f>IF(Case_Scenario="Bull",AF169,IF(Case_Scenario="Base",AF170,IF(Case_Scenario="bear",AF171,"N/A")))</f>
        <v>0.05</v>
      </c>
      <c r="AG168" s="219">
        <f>IF(Case_Scenario="Bull",AG169,IF(Case_Scenario="Base",AG170,IF(Case_Scenario="bear",AG171,"N/A")))</f>
        <v>0.05</v>
      </c>
      <c r="AH168" s="9"/>
      <c r="AI168" s="9"/>
      <c r="AJ168" s="9"/>
    </row>
    <row r="169" spans="1:36" ht="12.75" hidden="1" customHeight="1" outlineLevel="1">
      <c r="A169" s="9"/>
      <c r="B169" s="9"/>
      <c r="C169" s="103" t="s">
        <v>245</v>
      </c>
      <c r="D169" s="9"/>
      <c r="E169" s="9"/>
      <c r="F169" s="232"/>
      <c r="G169" s="232"/>
      <c r="H169" s="232"/>
      <c r="I169" s="232"/>
      <c r="J169" s="132"/>
      <c r="K169" s="232"/>
      <c r="L169" s="232"/>
      <c r="M169" s="232"/>
      <c r="N169" s="232"/>
      <c r="O169" s="132"/>
      <c r="P169" s="232"/>
      <c r="Q169" s="232"/>
      <c r="R169" s="232"/>
      <c r="S169" s="232"/>
      <c r="T169" s="132"/>
      <c r="U169" s="232"/>
      <c r="V169" s="233">
        <v>0.1</v>
      </c>
      <c r="W169" s="233">
        <v>0.1</v>
      </c>
      <c r="X169" s="233">
        <v>0.1</v>
      </c>
      <c r="Y169" s="234"/>
      <c r="Z169" s="233">
        <v>0.1</v>
      </c>
      <c r="AA169" s="233">
        <v>0.1</v>
      </c>
      <c r="AB169" s="233">
        <v>0.1</v>
      </c>
      <c r="AC169" s="233">
        <v>0.1</v>
      </c>
      <c r="AD169" s="234"/>
      <c r="AE169" s="234">
        <v>0.1</v>
      </c>
      <c r="AF169" s="234">
        <v>0.1</v>
      </c>
      <c r="AG169" s="234">
        <v>0.1</v>
      </c>
      <c r="AH169" s="9"/>
      <c r="AI169" s="9"/>
      <c r="AJ169" s="9"/>
    </row>
    <row r="170" spans="1:36" ht="12.75" hidden="1" customHeight="1" outlineLevel="1">
      <c r="A170" s="9"/>
      <c r="B170" s="9"/>
      <c r="C170" s="103" t="s">
        <v>246</v>
      </c>
      <c r="D170" s="9"/>
      <c r="E170" s="9"/>
      <c r="F170" s="232"/>
      <c r="G170" s="232"/>
      <c r="H170" s="232"/>
      <c r="I170" s="232"/>
      <c r="J170" s="132"/>
      <c r="K170" s="232"/>
      <c r="L170" s="232"/>
      <c r="M170" s="232"/>
      <c r="N170" s="232"/>
      <c r="O170" s="132"/>
      <c r="P170" s="232"/>
      <c r="Q170" s="232"/>
      <c r="R170" s="232"/>
      <c r="S170" s="232"/>
      <c r="T170" s="132"/>
      <c r="U170" s="232"/>
      <c r="V170" s="233">
        <v>0.05</v>
      </c>
      <c r="W170" s="233">
        <v>0.05</v>
      </c>
      <c r="X170" s="233">
        <v>0.05</v>
      </c>
      <c r="Y170" s="234"/>
      <c r="Z170" s="233">
        <v>0.05</v>
      </c>
      <c r="AA170" s="233">
        <v>0.05</v>
      </c>
      <c r="AB170" s="233">
        <v>0.05</v>
      </c>
      <c r="AC170" s="233">
        <v>0.05</v>
      </c>
      <c r="AD170" s="234"/>
      <c r="AE170" s="234">
        <v>0.05</v>
      </c>
      <c r="AF170" s="234">
        <v>0.05</v>
      </c>
      <c r="AG170" s="234">
        <v>0.05</v>
      </c>
      <c r="AH170" s="9"/>
      <c r="AI170" s="9"/>
      <c r="AJ170" s="9"/>
    </row>
    <row r="171" spans="1:36" ht="12.75" hidden="1" customHeight="1" outlineLevel="1">
      <c r="A171" s="9"/>
      <c r="B171" s="9"/>
      <c r="C171" s="103" t="s">
        <v>247</v>
      </c>
      <c r="D171" s="9"/>
      <c r="E171" s="9"/>
      <c r="F171" s="232"/>
      <c r="G171" s="232"/>
      <c r="H171" s="232"/>
      <c r="I171" s="232"/>
      <c r="J171" s="132"/>
      <c r="K171" s="232"/>
      <c r="L171" s="232"/>
      <c r="M171" s="232"/>
      <c r="N171" s="232"/>
      <c r="O171" s="132"/>
      <c r="P171" s="232"/>
      <c r="Q171" s="232"/>
      <c r="R171" s="232"/>
      <c r="S171" s="232"/>
      <c r="T171" s="132"/>
      <c r="U171" s="232"/>
      <c r="V171" s="233">
        <v>0</v>
      </c>
      <c r="W171" s="233">
        <v>0</v>
      </c>
      <c r="X171" s="233">
        <v>0</v>
      </c>
      <c r="Y171" s="234"/>
      <c r="Z171" s="233">
        <v>0</v>
      </c>
      <c r="AA171" s="233">
        <v>0</v>
      </c>
      <c r="AB171" s="233">
        <v>0</v>
      </c>
      <c r="AC171" s="233">
        <v>0</v>
      </c>
      <c r="AD171" s="234"/>
      <c r="AE171" s="234">
        <v>0</v>
      </c>
      <c r="AF171" s="234">
        <v>0</v>
      </c>
      <c r="AG171" s="234">
        <v>0</v>
      </c>
      <c r="AH171" s="9"/>
      <c r="AI171" s="9"/>
      <c r="AJ171" s="9"/>
    </row>
    <row r="172" spans="1:36" ht="12.75" hidden="1" customHeight="1" outlineLevel="1">
      <c r="A172" s="9"/>
      <c r="B172" s="9"/>
      <c r="C172" s="103" t="s">
        <v>255</v>
      </c>
      <c r="D172" s="9"/>
      <c r="E172" s="9"/>
      <c r="F172" s="245">
        <f t="shared" ref="F172:U172" si="42">F167/F165</f>
        <v>-14.847159844553516</v>
      </c>
      <c r="G172" s="245">
        <f t="shared" si="42"/>
        <v>-9.3036175710594602</v>
      </c>
      <c r="H172" s="245">
        <f t="shared" si="42"/>
        <v>-22.963843664937571</v>
      </c>
      <c r="I172" s="245">
        <f t="shared" si="42"/>
        <v>43.960749069932731</v>
      </c>
      <c r="J172" s="246">
        <f t="shared" si="42"/>
        <v>-0.45479774008866775</v>
      </c>
      <c r="K172" s="245">
        <f t="shared" si="42"/>
        <v>52.932034874344204</v>
      </c>
      <c r="L172" s="245">
        <f t="shared" si="42"/>
        <v>-38.089976553341138</v>
      </c>
      <c r="M172" s="245">
        <f t="shared" si="42"/>
        <v>-108.88991649140712</v>
      </c>
      <c r="N172" s="245">
        <f t="shared" si="42"/>
        <v>31.112203324063881</v>
      </c>
      <c r="O172" s="246">
        <f t="shared" si="42"/>
        <v>-15.721394179706856</v>
      </c>
      <c r="P172" s="245">
        <f t="shared" si="42"/>
        <v>6.908746659807659</v>
      </c>
      <c r="Q172" s="245">
        <f t="shared" si="42"/>
        <v>13.697962148218055</v>
      </c>
      <c r="R172" s="245">
        <f t="shared" si="42"/>
        <v>48.116770402749395</v>
      </c>
      <c r="S172" s="245">
        <f t="shared" si="42"/>
        <v>-4.5460817597271284</v>
      </c>
      <c r="T172" s="246">
        <f t="shared" si="42"/>
        <v>15.768470318079661</v>
      </c>
      <c r="U172" s="245">
        <f t="shared" si="42"/>
        <v>-49.577429392053645</v>
      </c>
      <c r="V172" s="247">
        <f>IF(Case_Scenario="Bull",V173,IF(Case_Scenario="Base",V174,IF(Case_Scenario="bear",V175,"N/A")))</f>
        <v>0.75</v>
      </c>
      <c r="W172" s="247">
        <f>IF(Case_Scenario="Bull",W173,IF(Case_Scenario="Base",W174,IF(Case_Scenario="bear",W175,"N/A")))</f>
        <v>0.75</v>
      </c>
      <c r="X172" s="247">
        <f>IF(Case_Scenario="Bull",X173,IF(Case_Scenario="Base",X174,IF(Case_Scenario="bear",X175,"N/A")))</f>
        <v>0.75</v>
      </c>
      <c r="Y172" s="246">
        <f>AVERAGE(U172:X172)</f>
        <v>-11.831857348013411</v>
      </c>
      <c r="Z172" s="247">
        <f>IF(Case_Scenario="Bull",Z173,IF(Case_Scenario="Base",Z174,IF(Case_Scenario="bear",Z175,"N/A")))</f>
        <v>0.75</v>
      </c>
      <c r="AA172" s="247">
        <f>IF(Case_Scenario="Bull",AA173,IF(Case_Scenario="Base",AA174,IF(Case_Scenario="bear",AA175,"N/A")))</f>
        <v>0.75</v>
      </c>
      <c r="AB172" s="247">
        <f>IF(Case_Scenario="Bull",AB173,IF(Case_Scenario="Base",AB174,IF(Case_Scenario="bear",AB175,"N/A")))</f>
        <v>0.75</v>
      </c>
      <c r="AC172" s="247">
        <f>IF(Case_Scenario="Bull",AC173,IF(Case_Scenario="Base",AC174,IF(Case_Scenario="bear",AC175,"N/A")))</f>
        <v>0.75</v>
      </c>
      <c r="AD172" s="246">
        <f>AVERAGE(Z172:AC172)</f>
        <v>0.75</v>
      </c>
      <c r="AE172" s="246">
        <f>IF(Case_Scenario="Bull",AE173,IF(Case_Scenario="Base",AE174,IF(Case_Scenario="bear",AE175,"N/A")))</f>
        <v>0.75</v>
      </c>
      <c r="AF172" s="246">
        <f>IF(Case_Scenario="Bull",AF173,IF(Case_Scenario="Base",AF174,IF(Case_Scenario="bear",AF175,"N/A")))</f>
        <v>0.75</v>
      </c>
      <c r="AG172" s="246">
        <f>IF(Case_Scenario="Bull",AG173,IF(Case_Scenario="Base",AG174,IF(Case_Scenario="bear",AG175,"N/A")))</f>
        <v>0.75</v>
      </c>
      <c r="AH172" s="9"/>
      <c r="AI172" s="9"/>
      <c r="AJ172" s="9"/>
    </row>
    <row r="173" spans="1:36" ht="12.75" hidden="1" customHeight="1" outlineLevel="1">
      <c r="A173" s="9"/>
      <c r="B173" s="9"/>
      <c r="C173" s="103" t="s">
        <v>245</v>
      </c>
      <c r="D173" s="9"/>
      <c r="E173" s="9"/>
      <c r="F173" s="245"/>
      <c r="G173" s="248"/>
      <c r="H173" s="248"/>
      <c r="I173" s="248"/>
      <c r="J173" s="246"/>
      <c r="K173" s="248"/>
      <c r="L173" s="248"/>
      <c r="M173" s="248"/>
      <c r="N173" s="248"/>
      <c r="O173" s="249"/>
      <c r="P173" s="248"/>
      <c r="Q173" s="248"/>
      <c r="R173" s="248"/>
      <c r="S173" s="248"/>
      <c r="T173" s="249"/>
      <c r="U173" s="248"/>
      <c r="V173" s="250">
        <v>0.5</v>
      </c>
      <c r="W173" s="250">
        <v>0.5</v>
      </c>
      <c r="X173" s="250">
        <v>0.5</v>
      </c>
      <c r="Y173" s="251"/>
      <c r="Z173" s="250">
        <v>0.5</v>
      </c>
      <c r="AA173" s="250">
        <v>0.5</v>
      </c>
      <c r="AB173" s="250">
        <v>0.5</v>
      </c>
      <c r="AC173" s="250">
        <v>0.5</v>
      </c>
      <c r="AD173" s="251"/>
      <c r="AE173" s="251">
        <v>0.5</v>
      </c>
      <c r="AF173" s="251">
        <v>0.5</v>
      </c>
      <c r="AG173" s="251">
        <v>0.5</v>
      </c>
      <c r="AH173" s="9"/>
      <c r="AI173" s="9"/>
      <c r="AJ173" s="9"/>
    </row>
    <row r="174" spans="1:36" ht="12.75" hidden="1" customHeight="1" outlineLevel="1">
      <c r="A174" s="9"/>
      <c r="B174" s="9"/>
      <c r="C174" s="103" t="s">
        <v>246</v>
      </c>
      <c r="D174" s="9"/>
      <c r="E174" s="9"/>
      <c r="F174" s="245"/>
      <c r="G174" s="245"/>
      <c r="H174" s="245"/>
      <c r="I174" s="245"/>
      <c r="J174" s="246"/>
      <c r="K174" s="245"/>
      <c r="L174" s="245"/>
      <c r="M174" s="245"/>
      <c r="N174" s="245"/>
      <c r="O174" s="246"/>
      <c r="P174" s="245"/>
      <c r="Q174" s="245"/>
      <c r="R174" s="245"/>
      <c r="S174" s="245"/>
      <c r="T174" s="246"/>
      <c r="U174" s="245"/>
      <c r="V174" s="250">
        <v>0.75</v>
      </c>
      <c r="W174" s="250">
        <v>0.75</v>
      </c>
      <c r="X174" s="250">
        <v>0.75</v>
      </c>
      <c r="Y174" s="251"/>
      <c r="Z174" s="250">
        <v>0.75</v>
      </c>
      <c r="AA174" s="250">
        <v>0.75</v>
      </c>
      <c r="AB174" s="250">
        <v>0.75</v>
      </c>
      <c r="AC174" s="250">
        <v>0.75</v>
      </c>
      <c r="AD174" s="251"/>
      <c r="AE174" s="251">
        <v>0.75</v>
      </c>
      <c r="AF174" s="251">
        <v>0.75</v>
      </c>
      <c r="AG174" s="251">
        <v>0.75</v>
      </c>
      <c r="AH174" s="9"/>
      <c r="AI174" s="9"/>
      <c r="AJ174" s="9"/>
    </row>
    <row r="175" spans="1:36" ht="12.75" hidden="1" customHeight="1" outlineLevel="1">
      <c r="A175" s="9"/>
      <c r="B175" s="9"/>
      <c r="C175" s="103" t="s">
        <v>247</v>
      </c>
      <c r="D175" s="9"/>
      <c r="E175" s="9"/>
      <c r="F175" s="245"/>
      <c r="G175" s="245"/>
      <c r="H175" s="245"/>
      <c r="I175" s="245"/>
      <c r="J175" s="246"/>
      <c r="K175" s="245"/>
      <c r="L175" s="245"/>
      <c r="M175" s="245"/>
      <c r="N175" s="245"/>
      <c r="O175" s="246"/>
      <c r="P175" s="245"/>
      <c r="Q175" s="245"/>
      <c r="R175" s="245"/>
      <c r="S175" s="245"/>
      <c r="T175" s="246"/>
      <c r="U175" s="245"/>
      <c r="V175" s="250">
        <v>1</v>
      </c>
      <c r="W175" s="250">
        <v>1</v>
      </c>
      <c r="X175" s="250">
        <v>1</v>
      </c>
      <c r="Y175" s="251"/>
      <c r="Z175" s="250">
        <v>1</v>
      </c>
      <c r="AA175" s="250">
        <v>1</v>
      </c>
      <c r="AB175" s="250">
        <v>1</v>
      </c>
      <c r="AC175" s="250">
        <v>1</v>
      </c>
      <c r="AD175" s="251"/>
      <c r="AE175" s="251">
        <v>1</v>
      </c>
      <c r="AF175" s="251">
        <v>1</v>
      </c>
      <c r="AG175" s="251">
        <v>1</v>
      </c>
      <c r="AH175" s="9"/>
      <c r="AI175" s="9"/>
      <c r="AJ175" s="9"/>
    </row>
    <row r="176" spans="1:36" ht="12.75" hidden="1" customHeight="1" outlineLevel="1">
      <c r="A176" s="9"/>
      <c r="B176" s="9"/>
      <c r="C176" s="9"/>
      <c r="D176" s="9"/>
      <c r="E176" s="9"/>
      <c r="F176" s="232"/>
      <c r="G176" s="232"/>
      <c r="H176" s="232"/>
      <c r="I176" s="232"/>
      <c r="J176" s="132"/>
      <c r="K176" s="232"/>
      <c r="L176" s="232"/>
      <c r="M176" s="232"/>
      <c r="N176" s="232"/>
      <c r="O176" s="132"/>
      <c r="P176" s="232"/>
      <c r="Q176" s="232"/>
      <c r="R176" s="232"/>
      <c r="S176" s="232"/>
      <c r="T176" s="132"/>
      <c r="U176" s="232"/>
      <c r="V176" s="233"/>
      <c r="W176" s="233"/>
      <c r="X176" s="233"/>
      <c r="Y176" s="234"/>
      <c r="Z176" s="233"/>
      <c r="AA176" s="233"/>
      <c r="AB176" s="233"/>
      <c r="AC176" s="233"/>
      <c r="AD176" s="234"/>
      <c r="AE176" s="234"/>
      <c r="AF176" s="234"/>
      <c r="AG176" s="234"/>
      <c r="AH176" s="9"/>
      <c r="AI176" s="9"/>
      <c r="AJ176" s="9"/>
    </row>
    <row r="177" spans="1:36" ht="12.75" hidden="1" customHeight="1" outlineLevel="1">
      <c r="A177" s="180" t="s">
        <v>0</v>
      </c>
      <c r="B177" s="9"/>
      <c r="C177" s="103" t="str">
        <f>C35</f>
        <v>Incentive Fees</v>
      </c>
      <c r="D177" s="9"/>
      <c r="E177" s="9"/>
      <c r="F177" s="230">
        <f t="shared" ref="F177:U177" si="43">F35</f>
        <v>49.563000000000002</v>
      </c>
      <c r="G177" s="230">
        <f t="shared" si="43"/>
        <v>60.501999999999995</v>
      </c>
      <c r="H177" s="230">
        <f t="shared" si="43"/>
        <v>29.719000000000001</v>
      </c>
      <c r="I177" s="230">
        <f t="shared" si="43"/>
        <v>17.096</v>
      </c>
      <c r="J177" s="202">
        <f t="shared" si="43"/>
        <v>156.88</v>
      </c>
      <c r="K177" s="230">
        <f t="shared" si="43"/>
        <v>19.630000000000003</v>
      </c>
      <c r="L177" s="230">
        <f t="shared" si="43"/>
        <v>17.692</v>
      </c>
      <c r="M177" s="230">
        <f t="shared" si="43"/>
        <v>11.623000000000001</v>
      </c>
      <c r="N177" s="230">
        <f t="shared" si="43"/>
        <v>52.960999999999999</v>
      </c>
      <c r="O177" s="202">
        <f t="shared" si="43"/>
        <v>101.90600000000001</v>
      </c>
      <c r="P177" s="230">
        <f t="shared" si="43"/>
        <v>56.769000000000005</v>
      </c>
      <c r="Q177" s="230">
        <f t="shared" si="43"/>
        <v>30.216000000000001</v>
      </c>
      <c r="R177" s="230">
        <f t="shared" si="43"/>
        <v>41.978999999999999</v>
      </c>
      <c r="S177" s="230">
        <f t="shared" si="43"/>
        <v>70.135000000000005</v>
      </c>
      <c r="T177" s="202">
        <f t="shared" si="43"/>
        <v>199.09899999999999</v>
      </c>
      <c r="U177" s="230">
        <f t="shared" si="43"/>
        <v>42.262</v>
      </c>
      <c r="V177" s="201">
        <f>V179/V184</f>
        <v>2614.30007999999</v>
      </c>
      <c r="W177" s="201">
        <f>W179/W184</f>
        <v>2745.0150839999897</v>
      </c>
      <c r="X177" s="201">
        <f>X179/X184</f>
        <v>2882.265838199989</v>
      </c>
      <c r="Y177" s="202">
        <f>SUM(U177:X177)</f>
        <v>8283.8430021999702</v>
      </c>
      <c r="Z177" s="201">
        <f>Z179/Z184</f>
        <v>3026.3791301099891</v>
      </c>
      <c r="AA177" s="201">
        <f>AA179/AA184</f>
        <v>3177.6980866154886</v>
      </c>
      <c r="AB177" s="201">
        <f>AB179/AB184</f>
        <v>3336.5829909462627</v>
      </c>
      <c r="AC177" s="201">
        <f>AC179/AC184</f>
        <v>3503.4121404935759</v>
      </c>
      <c r="AD177" s="202">
        <f>SUM(Z177:AC177)</f>
        <v>13044.072348165317</v>
      </c>
      <c r="AE177" s="202">
        <f>AE179/AE184</f>
        <v>13696.275965573583</v>
      </c>
      <c r="AF177" s="202">
        <f>AF179/AF184</f>
        <v>14381.089763852264</v>
      </c>
      <c r="AG177" s="202">
        <f>AG179/AG184</f>
        <v>15100.14425204488</v>
      </c>
      <c r="AH177" s="9"/>
      <c r="AI177" s="9"/>
      <c r="AJ177" s="9"/>
    </row>
    <row r="178" spans="1:36" ht="12.75" hidden="1" customHeight="1" outlineLevel="1">
      <c r="A178" s="9"/>
      <c r="B178" s="9"/>
      <c r="C178" s="103" t="s">
        <v>238</v>
      </c>
      <c r="D178" s="9"/>
      <c r="E178" s="9"/>
      <c r="F178" s="238">
        <f>422982+632</f>
        <v>423614</v>
      </c>
      <c r="G178" s="238">
        <f>416576+282</f>
        <v>416858</v>
      </c>
      <c r="H178" s="238">
        <f>408756+219</f>
        <v>408975</v>
      </c>
      <c r="I178" s="238">
        <f>416198+160</f>
        <v>416358</v>
      </c>
      <c r="J178" s="239">
        <f>431408+216+J179-J177</f>
        <v>416358</v>
      </c>
      <c r="K178" s="238">
        <f>415086+1810</f>
        <v>416896</v>
      </c>
      <c r="L178" s="238">
        <f>423446+376</f>
        <v>423822</v>
      </c>
      <c r="M178" s="238">
        <v>412185</v>
      </c>
      <c r="N178" s="238">
        <v>421345</v>
      </c>
      <c r="O178" s="239">
        <f>J178+O179-O177</f>
        <v>421345</v>
      </c>
      <c r="P178" s="238">
        <v>415377</v>
      </c>
      <c r="Q178" s="238">
        <v>415723</v>
      </c>
      <c r="R178" s="238">
        <v>413064</v>
      </c>
      <c r="S178" s="238">
        <v>412307</v>
      </c>
      <c r="T178" s="239">
        <f>O178+T179-T177</f>
        <v>412307</v>
      </c>
      <c r="U178" s="238">
        <v>415377</v>
      </c>
      <c r="V178" s="240">
        <f>U178+V179-V177</f>
        <v>416030.57501999999</v>
      </c>
      <c r="W178" s="240">
        <f>V178+W179-W177</f>
        <v>416716.82879099995</v>
      </c>
      <c r="X178" s="240">
        <f>W178+X179-X177</f>
        <v>417437.39525054995</v>
      </c>
      <c r="Y178" s="239">
        <f>T178+Y179-Y177</f>
        <v>417437.39525055001</v>
      </c>
      <c r="Z178" s="240">
        <f>X178+Z179-Z177</f>
        <v>418193.99003307748</v>
      </c>
      <c r="AA178" s="240">
        <f>Z178+AA179-AA177</f>
        <v>418988.41455473134</v>
      </c>
      <c r="AB178" s="240">
        <f>AA178+AB179-AB177</f>
        <v>419822.5603024679</v>
      </c>
      <c r="AC178" s="240">
        <f>AB178+AC179-AC177</f>
        <v>420698.41333759128</v>
      </c>
      <c r="AD178" s="239">
        <f>Y178+AD179-AD177</f>
        <v>420698.41333759134</v>
      </c>
      <c r="AE178" s="239">
        <f>AD178+AE179-AE177</f>
        <v>424122.48232898477</v>
      </c>
      <c r="AF178" s="239">
        <f>AE178+AF179-AF177</f>
        <v>427717.75476994785</v>
      </c>
      <c r="AG178" s="239">
        <f>AF178+AG179-AG177</f>
        <v>431492.79083295906</v>
      </c>
      <c r="AH178" s="9"/>
      <c r="AI178" s="9"/>
      <c r="AJ178" s="9"/>
    </row>
    <row r="179" spans="1:36" ht="12.75" hidden="1" customHeight="1" outlineLevel="1">
      <c r="A179" s="9"/>
      <c r="B179" s="9"/>
      <c r="C179" s="103" t="s">
        <v>253</v>
      </c>
      <c r="D179" s="9"/>
      <c r="E179" s="9"/>
      <c r="F179" s="238">
        <f>F178+F177-(431408+216)</f>
        <v>-7960.4369999999763</v>
      </c>
      <c r="G179" s="238">
        <f>G178+G177-F178</f>
        <v>-6695.4980000000214</v>
      </c>
      <c r="H179" s="238">
        <f>H178+H177-G178</f>
        <v>-7853.2810000000172</v>
      </c>
      <c r="I179" s="238">
        <f>I178+I177-H178</f>
        <v>7400.0960000000196</v>
      </c>
      <c r="J179" s="239">
        <f>SUM(F179:I179)</f>
        <v>-15109.119999999995</v>
      </c>
      <c r="K179" s="238">
        <f>K178+K177-J178</f>
        <v>557.63000000000466</v>
      </c>
      <c r="L179" s="238">
        <f>L178+L177-K178</f>
        <v>6943.6919999999809</v>
      </c>
      <c r="M179" s="238">
        <f>M178+M177-L178</f>
        <v>-11625.376999999979</v>
      </c>
      <c r="N179" s="238">
        <f>N178+N177-M178</f>
        <v>9212.9610000000102</v>
      </c>
      <c r="O179" s="239">
        <f>SUM(K179:N179)</f>
        <v>5088.9060000000172</v>
      </c>
      <c r="P179" s="238">
        <f>P178+P177-O178</f>
        <v>-5911.2310000000289</v>
      </c>
      <c r="Q179" s="238">
        <f>Q178+Q177-P178</f>
        <v>376.2160000000149</v>
      </c>
      <c r="R179" s="238">
        <f>R178+R177-Q178</f>
        <v>-2617.0210000000079</v>
      </c>
      <c r="S179" s="238">
        <f>S178+S177-R178</f>
        <v>-686.86499999999069</v>
      </c>
      <c r="T179" s="239">
        <f>SUM(P179:S179)</f>
        <v>-8838.9010000000126</v>
      </c>
      <c r="U179" s="238">
        <f>U178+U177-T178</f>
        <v>3112.2619999999879</v>
      </c>
      <c r="V179" s="240">
        <f>U179*(1+V180)</f>
        <v>3267.8750999999875</v>
      </c>
      <c r="W179" s="240">
        <f>V179*(1+W180)</f>
        <v>3431.2688549999871</v>
      </c>
      <c r="X179" s="240">
        <f>W179*(1+X180)</f>
        <v>3602.8322977499865</v>
      </c>
      <c r="Y179" s="239">
        <f>SUM(U179:X179)</f>
        <v>13414.238252749949</v>
      </c>
      <c r="Z179" s="240">
        <f>X179*(1+Z180)</f>
        <v>3782.9739126374861</v>
      </c>
      <c r="AA179" s="240">
        <f>Z179*(1+AA180)</f>
        <v>3972.1226082693606</v>
      </c>
      <c r="AB179" s="240">
        <f>AA179*(1+AB180)</f>
        <v>4170.7287386828284</v>
      </c>
      <c r="AC179" s="240">
        <f>AB179*(1+AC180)</f>
        <v>4379.2651756169698</v>
      </c>
      <c r="AD179" s="239">
        <f>SUM(Z179:AC179)</f>
        <v>16305.090435206646</v>
      </c>
      <c r="AE179" s="239">
        <f>AD179*(1+AE180)</f>
        <v>17120.344956966979</v>
      </c>
      <c r="AF179" s="239">
        <f>AE179*(1+AF180)</f>
        <v>17976.36220481533</v>
      </c>
      <c r="AG179" s="239">
        <f>AF179*(1+AG180)</f>
        <v>18875.180315056099</v>
      </c>
      <c r="AH179" s="9"/>
      <c r="AI179" s="9"/>
      <c r="AJ179" s="9"/>
    </row>
    <row r="180" spans="1:36" ht="12.75" hidden="1" customHeight="1" outlineLevel="1">
      <c r="A180" s="9"/>
      <c r="B180" s="9"/>
      <c r="C180" s="84" t="s">
        <v>254</v>
      </c>
      <c r="D180" s="9"/>
      <c r="E180" s="9"/>
      <c r="F180" s="232"/>
      <c r="G180" s="231">
        <f>IFERROR(G179/F179-1,"--")</f>
        <v>-0.15890321096693039</v>
      </c>
      <c r="H180" s="231">
        <f>IFERROR(H179/G179-1,"--")</f>
        <v>0.17291962449992404</v>
      </c>
      <c r="I180" s="231">
        <f>IFERROR(I179/H179-1,"--")</f>
        <v>-1.9422935458440878</v>
      </c>
      <c r="J180" s="132"/>
      <c r="K180" s="231">
        <f>IFERROR(K179/I179-1,"--")</f>
        <v>-0.92464557216554988</v>
      </c>
      <c r="L180" s="231">
        <f>IFERROR(L179/K179-1,"--")</f>
        <v>11.452149274608473</v>
      </c>
      <c r="M180" s="231">
        <f>IFERROR(M179/L179-1,"--")</f>
        <v>-2.6742356947860029</v>
      </c>
      <c r="N180" s="231">
        <f>IFERROR(N179/M179-1,"--")</f>
        <v>-1.7924870737525351</v>
      </c>
      <c r="O180" s="219">
        <f>IFERROR(O179/J179-1,"--")</f>
        <v>-1.3368102179345998</v>
      </c>
      <c r="P180" s="231">
        <f>IFERROR(P179/N179-1,"--")</f>
        <v>-1.6416211899735624</v>
      </c>
      <c r="Q180" s="231">
        <f>IFERROR(Q179/P179-1,"--")</f>
        <v>-1.0636442730795013</v>
      </c>
      <c r="R180" s="231">
        <f>IFERROR(R179/Q179-1,"--")</f>
        <v>-7.9561661386009748</v>
      </c>
      <c r="S180" s="231">
        <f>IFERROR(S179/R179-1,"--")</f>
        <v>-0.73753936250416463</v>
      </c>
      <c r="T180" s="219">
        <f>IFERROR(T179/O179-1,"--")</f>
        <v>-2.7368961030131</v>
      </c>
      <c r="U180" s="231">
        <f>IFERROR(U179/S179-1,"--")</f>
        <v>-5.5311116449375497</v>
      </c>
      <c r="V180" s="218">
        <f>IF(Case_Scenario="Bull",V181,IF(Case_Scenario="Base",V182,IF(Case_Scenario="bear",V183,"N/A")))</f>
        <v>0.05</v>
      </c>
      <c r="W180" s="218">
        <f>IF(Case_Scenario="Bull",W181,IF(Case_Scenario="Base",W182,IF(Case_Scenario="bear",W183,"N/A")))</f>
        <v>0.05</v>
      </c>
      <c r="X180" s="218">
        <f>IF(Case_Scenario="Bull",X181,IF(Case_Scenario="Base",X182,IF(Case_Scenario="bear",X183,"N/A")))</f>
        <v>0.05</v>
      </c>
      <c r="Y180" s="219"/>
      <c r="Z180" s="218">
        <f>IF(Case_Scenario="Bull",Z181,IF(Case_Scenario="Base",Z182,IF(Case_Scenario="bear",Z183,"N/A")))</f>
        <v>0.05</v>
      </c>
      <c r="AA180" s="218">
        <f>IF(Case_Scenario="Bull",AA181,IF(Case_Scenario="Base",AA182,IF(Case_Scenario="bear",AA183,"N/A")))</f>
        <v>0.05</v>
      </c>
      <c r="AB180" s="218">
        <f>IF(Case_Scenario="Bull",AB181,IF(Case_Scenario="Base",AB182,IF(Case_Scenario="bear",AB183,"N/A")))</f>
        <v>0.05</v>
      </c>
      <c r="AC180" s="218">
        <f>IF(Case_Scenario="Bull",AC181,IF(Case_Scenario="Base",AC182,IF(Case_Scenario="bear",AC183,"N/A")))</f>
        <v>0.05</v>
      </c>
      <c r="AD180" s="219"/>
      <c r="AE180" s="219">
        <f>IF(Case_Scenario="Bull",AE181,IF(Case_Scenario="Base",AE182,IF(Case_Scenario="bear",AE183,"N/A")))</f>
        <v>0.05</v>
      </c>
      <c r="AF180" s="219">
        <f>IF(Case_Scenario="Bull",AF181,IF(Case_Scenario="Base",AF182,IF(Case_Scenario="bear",AF183,"N/A")))</f>
        <v>0.05</v>
      </c>
      <c r="AG180" s="219">
        <f>IF(Case_Scenario="Bull",AG181,IF(Case_Scenario="Base",AG182,IF(Case_Scenario="bear",AG183,"N/A")))</f>
        <v>0.05</v>
      </c>
      <c r="AH180" s="9"/>
      <c r="AI180" s="9"/>
      <c r="AJ180" s="9"/>
    </row>
    <row r="181" spans="1:36" ht="12.75" hidden="1" customHeight="1" outlineLevel="1">
      <c r="A181" s="9"/>
      <c r="B181" s="9"/>
      <c r="C181" s="103" t="s">
        <v>245</v>
      </c>
      <c r="D181" s="9"/>
      <c r="E181" s="9"/>
      <c r="F181" s="232"/>
      <c r="G181" s="232"/>
      <c r="H181" s="232"/>
      <c r="I181" s="232"/>
      <c r="J181" s="132"/>
      <c r="K181" s="232"/>
      <c r="L181" s="232"/>
      <c r="M181" s="232"/>
      <c r="N181" s="232"/>
      <c r="O181" s="132"/>
      <c r="P181" s="232"/>
      <c r="Q181" s="232"/>
      <c r="R181" s="232"/>
      <c r="S181" s="232"/>
      <c r="T181" s="132"/>
      <c r="U181" s="232"/>
      <c r="V181" s="233">
        <v>0.1</v>
      </c>
      <c r="W181" s="233">
        <v>0.1</v>
      </c>
      <c r="X181" s="233">
        <v>0.1</v>
      </c>
      <c r="Y181" s="234"/>
      <c r="Z181" s="233">
        <v>0.1</v>
      </c>
      <c r="AA181" s="233">
        <v>0.1</v>
      </c>
      <c r="AB181" s="233">
        <v>0.1</v>
      </c>
      <c r="AC181" s="233">
        <v>0.1</v>
      </c>
      <c r="AD181" s="234"/>
      <c r="AE181" s="234">
        <v>0.1</v>
      </c>
      <c r="AF181" s="234">
        <v>0.1</v>
      </c>
      <c r="AG181" s="234">
        <v>0.1</v>
      </c>
      <c r="AH181" s="9"/>
      <c r="AI181" s="9"/>
      <c r="AJ181" s="9"/>
    </row>
    <row r="182" spans="1:36" ht="12.75" hidden="1" customHeight="1" outlineLevel="1">
      <c r="A182" s="9"/>
      <c r="B182" s="9"/>
      <c r="C182" s="103" t="s">
        <v>246</v>
      </c>
      <c r="D182" s="9"/>
      <c r="E182" s="9"/>
      <c r="F182" s="232"/>
      <c r="G182" s="232"/>
      <c r="H182" s="232"/>
      <c r="I182" s="232"/>
      <c r="J182" s="132"/>
      <c r="K182" s="232"/>
      <c r="L182" s="232"/>
      <c r="M182" s="232"/>
      <c r="N182" s="232"/>
      <c r="O182" s="132"/>
      <c r="P182" s="232"/>
      <c r="Q182" s="232"/>
      <c r="R182" s="232"/>
      <c r="S182" s="232"/>
      <c r="T182" s="132"/>
      <c r="U182" s="232"/>
      <c r="V182" s="233">
        <v>0.05</v>
      </c>
      <c r="W182" s="233">
        <v>0.05</v>
      </c>
      <c r="X182" s="233">
        <v>0.05</v>
      </c>
      <c r="Y182" s="234"/>
      <c r="Z182" s="233">
        <v>0.05</v>
      </c>
      <c r="AA182" s="233">
        <v>0.05</v>
      </c>
      <c r="AB182" s="233">
        <v>0.05</v>
      </c>
      <c r="AC182" s="233">
        <v>0.05</v>
      </c>
      <c r="AD182" s="234"/>
      <c r="AE182" s="234">
        <v>0.05</v>
      </c>
      <c r="AF182" s="234">
        <v>0.05</v>
      </c>
      <c r="AG182" s="234">
        <v>0.05</v>
      </c>
      <c r="AH182" s="9"/>
      <c r="AI182" s="9"/>
      <c r="AJ182" s="9"/>
    </row>
    <row r="183" spans="1:36" ht="12.75" hidden="1" customHeight="1" outlineLevel="1">
      <c r="A183" s="9"/>
      <c r="B183" s="9"/>
      <c r="C183" s="103" t="s">
        <v>247</v>
      </c>
      <c r="D183" s="9"/>
      <c r="E183" s="9"/>
      <c r="F183" s="232"/>
      <c r="G183" s="232"/>
      <c r="H183" s="232"/>
      <c r="I183" s="232"/>
      <c r="J183" s="132"/>
      <c r="K183" s="232"/>
      <c r="L183" s="232"/>
      <c r="M183" s="232"/>
      <c r="N183" s="232"/>
      <c r="O183" s="132"/>
      <c r="P183" s="232"/>
      <c r="Q183" s="232"/>
      <c r="R183" s="232"/>
      <c r="S183" s="232"/>
      <c r="T183" s="132"/>
      <c r="U183" s="232"/>
      <c r="V183" s="233">
        <v>0</v>
      </c>
      <c r="W183" s="233">
        <v>0</v>
      </c>
      <c r="X183" s="233">
        <v>0</v>
      </c>
      <c r="Y183" s="234"/>
      <c r="Z183" s="233">
        <v>0</v>
      </c>
      <c r="AA183" s="233">
        <v>0</v>
      </c>
      <c r="AB183" s="233">
        <v>0</v>
      </c>
      <c r="AC183" s="233">
        <v>0</v>
      </c>
      <c r="AD183" s="234"/>
      <c r="AE183" s="234">
        <v>0</v>
      </c>
      <c r="AF183" s="234">
        <v>0</v>
      </c>
      <c r="AG183" s="234">
        <v>0</v>
      </c>
      <c r="AH183" s="9"/>
      <c r="AI183" s="9"/>
      <c r="AJ183" s="9"/>
    </row>
    <row r="184" spans="1:36" ht="12.75" hidden="1" customHeight="1" outlineLevel="1">
      <c r="A184" s="9"/>
      <c r="B184" s="9"/>
      <c r="C184" s="103" t="s">
        <v>255</v>
      </c>
      <c r="D184" s="9"/>
      <c r="E184" s="9"/>
      <c r="F184" s="252">
        <f t="shared" ref="F184:U184" si="44">F179/F177</f>
        <v>-160.61249319048434</v>
      </c>
      <c r="G184" s="252">
        <f t="shared" si="44"/>
        <v>-110.66573005851083</v>
      </c>
      <c r="H184" s="252">
        <f t="shared" si="44"/>
        <v>-264.25118610989659</v>
      </c>
      <c r="I184" s="252">
        <f t="shared" si="44"/>
        <v>432.8554047730475</v>
      </c>
      <c r="J184" s="253">
        <f t="shared" si="44"/>
        <v>-96.310045894951529</v>
      </c>
      <c r="K184" s="252">
        <f t="shared" si="44"/>
        <v>28.407030056036913</v>
      </c>
      <c r="L184" s="252">
        <f t="shared" si="44"/>
        <v>392.47637350214677</v>
      </c>
      <c r="M184" s="252">
        <f t="shared" si="44"/>
        <v>-1000.2045083025017</v>
      </c>
      <c r="N184" s="252">
        <f t="shared" si="44"/>
        <v>173.95745926247636</v>
      </c>
      <c r="O184" s="253">
        <f t="shared" si="44"/>
        <v>49.937255902498549</v>
      </c>
      <c r="P184" s="252">
        <f t="shared" si="44"/>
        <v>-104.12779862248813</v>
      </c>
      <c r="Q184" s="252">
        <f t="shared" si="44"/>
        <v>12.450886947313174</v>
      </c>
      <c r="R184" s="252">
        <f t="shared" si="44"/>
        <v>-62.341194406727361</v>
      </c>
      <c r="S184" s="252">
        <f t="shared" si="44"/>
        <v>-9.7934697369357764</v>
      </c>
      <c r="T184" s="253">
        <f t="shared" si="44"/>
        <v>-44.394502232557741</v>
      </c>
      <c r="U184" s="252">
        <f t="shared" si="44"/>
        <v>73.642089820642369</v>
      </c>
      <c r="V184" s="247">
        <f>IF(Case_Scenario="Bull",V185,IF(Case_Scenario="Base",V186,IF(Case_Scenario="bear",V187,"N/A")))</f>
        <v>1.25</v>
      </c>
      <c r="W184" s="247">
        <f>IF(Case_Scenario="Bull",W185,IF(Case_Scenario="Base",W186,IF(Case_Scenario="bear",W187,"N/A")))</f>
        <v>1.25</v>
      </c>
      <c r="X184" s="247">
        <f>IF(Case_Scenario="Bull",X185,IF(Case_Scenario="Base",X186,IF(Case_Scenario="bear",X187,"N/A")))</f>
        <v>1.25</v>
      </c>
      <c r="Y184" s="246">
        <f>AVERAGE(U184:X184)</f>
        <v>19.348022455160592</v>
      </c>
      <c r="Z184" s="247">
        <f>IF(Case_Scenario="Bull",Z185,IF(Case_Scenario="Base",Z186,IF(Case_Scenario="bear",Z187,"N/A")))</f>
        <v>1.25</v>
      </c>
      <c r="AA184" s="247">
        <f>IF(Case_Scenario="Bull",AA185,IF(Case_Scenario="Base",AA186,IF(Case_Scenario="bear",AA187,"N/A")))</f>
        <v>1.25</v>
      </c>
      <c r="AB184" s="247">
        <f>IF(Case_Scenario="Bull",AB185,IF(Case_Scenario="Base",AB186,IF(Case_Scenario="bear",AB187,"N/A")))</f>
        <v>1.25</v>
      </c>
      <c r="AC184" s="247">
        <f>IF(Case_Scenario="Bull",AC185,IF(Case_Scenario="Base",AC186,IF(Case_Scenario="bear",AC187,"N/A")))</f>
        <v>1.25</v>
      </c>
      <c r="AD184" s="246">
        <f>AVERAGE(Z184:AC184)</f>
        <v>1.25</v>
      </c>
      <c r="AE184" s="246">
        <f>IF(Case_Scenario="Bull",AE185,IF(Case_Scenario="Base",AE186,IF(Case_Scenario="bear",AE187,"N/A")))</f>
        <v>1.25</v>
      </c>
      <c r="AF184" s="246">
        <f>IF(Case_Scenario="Bull",AF185,IF(Case_Scenario="Base",AF186,IF(Case_Scenario="bear",AF187,"N/A")))</f>
        <v>1.25</v>
      </c>
      <c r="AG184" s="246">
        <f>IF(Case_Scenario="Bull",AG185,IF(Case_Scenario="Base",AG186,IF(Case_Scenario="bear",AG187,"N/A")))</f>
        <v>1.25</v>
      </c>
      <c r="AH184" s="9"/>
      <c r="AI184" s="9"/>
      <c r="AJ184" s="9"/>
    </row>
    <row r="185" spans="1:36" ht="12.75" hidden="1" customHeight="1" outlineLevel="1">
      <c r="A185" s="9"/>
      <c r="B185" s="9"/>
      <c r="C185" s="103" t="s">
        <v>245</v>
      </c>
      <c r="D185" s="9"/>
      <c r="E185" s="9"/>
      <c r="F185" s="232"/>
      <c r="G185" s="231"/>
      <c r="H185" s="231"/>
      <c r="I185" s="231"/>
      <c r="J185" s="132"/>
      <c r="K185" s="231"/>
      <c r="L185" s="231"/>
      <c r="M185" s="231"/>
      <c r="N185" s="231"/>
      <c r="O185" s="219"/>
      <c r="P185" s="231"/>
      <c r="Q185" s="231"/>
      <c r="R185" s="231"/>
      <c r="S185" s="231"/>
      <c r="T185" s="219"/>
      <c r="U185" s="231"/>
      <c r="V185" s="250">
        <v>1</v>
      </c>
      <c r="W185" s="250">
        <v>1</v>
      </c>
      <c r="X185" s="250">
        <v>1</v>
      </c>
      <c r="Y185" s="251"/>
      <c r="Z185" s="250">
        <v>1</v>
      </c>
      <c r="AA185" s="250">
        <v>1</v>
      </c>
      <c r="AB185" s="250">
        <v>1</v>
      </c>
      <c r="AC185" s="250">
        <v>1</v>
      </c>
      <c r="AD185" s="251"/>
      <c r="AE185" s="251">
        <v>1</v>
      </c>
      <c r="AF185" s="251">
        <v>1</v>
      </c>
      <c r="AG185" s="251">
        <v>1</v>
      </c>
      <c r="AH185" s="9"/>
      <c r="AI185" s="9"/>
      <c r="AJ185" s="9"/>
    </row>
    <row r="186" spans="1:36" ht="12.75" hidden="1" customHeight="1" outlineLevel="1">
      <c r="A186" s="9"/>
      <c r="B186" s="9"/>
      <c r="C186" s="103" t="s">
        <v>246</v>
      </c>
      <c r="D186" s="9"/>
      <c r="E186" s="9"/>
      <c r="F186" s="232"/>
      <c r="G186" s="232"/>
      <c r="H186" s="232"/>
      <c r="I186" s="232"/>
      <c r="J186" s="132"/>
      <c r="K186" s="232"/>
      <c r="L186" s="232"/>
      <c r="M186" s="232"/>
      <c r="N186" s="232"/>
      <c r="O186" s="132"/>
      <c r="P186" s="232"/>
      <c r="Q186" s="232"/>
      <c r="R186" s="232"/>
      <c r="S186" s="232"/>
      <c r="T186" s="132"/>
      <c r="U186" s="232"/>
      <c r="V186" s="250">
        <v>1.25</v>
      </c>
      <c r="W186" s="250">
        <v>1.25</v>
      </c>
      <c r="X186" s="250">
        <v>1.25</v>
      </c>
      <c r="Y186" s="251"/>
      <c r="Z186" s="250">
        <v>1.25</v>
      </c>
      <c r="AA186" s="250">
        <v>1.25</v>
      </c>
      <c r="AB186" s="250">
        <v>1.25</v>
      </c>
      <c r="AC186" s="250">
        <v>1.25</v>
      </c>
      <c r="AD186" s="251"/>
      <c r="AE186" s="251">
        <v>1.25</v>
      </c>
      <c r="AF186" s="251">
        <v>1.25</v>
      </c>
      <c r="AG186" s="251">
        <v>1.25</v>
      </c>
      <c r="AH186" s="9"/>
      <c r="AI186" s="9"/>
      <c r="AJ186" s="9"/>
    </row>
    <row r="187" spans="1:36" ht="12.75" hidden="1" customHeight="1" outlineLevel="1">
      <c r="A187" s="9"/>
      <c r="B187" s="9"/>
      <c r="C187" s="103" t="s">
        <v>247</v>
      </c>
      <c r="D187" s="9"/>
      <c r="E187" s="9"/>
      <c r="F187" s="232"/>
      <c r="G187" s="232"/>
      <c r="H187" s="232"/>
      <c r="I187" s="232"/>
      <c r="J187" s="132"/>
      <c r="K187" s="232"/>
      <c r="L187" s="232"/>
      <c r="M187" s="232"/>
      <c r="N187" s="232"/>
      <c r="O187" s="132"/>
      <c r="P187" s="232"/>
      <c r="Q187" s="232"/>
      <c r="R187" s="232"/>
      <c r="S187" s="232"/>
      <c r="T187" s="132"/>
      <c r="U187" s="232"/>
      <c r="V187" s="250">
        <v>1.5</v>
      </c>
      <c r="W187" s="250">
        <v>1.5</v>
      </c>
      <c r="X187" s="250">
        <v>1.5</v>
      </c>
      <c r="Y187" s="251"/>
      <c r="Z187" s="250">
        <v>1.5</v>
      </c>
      <c r="AA187" s="250">
        <v>1.5</v>
      </c>
      <c r="AB187" s="250">
        <v>1.5</v>
      </c>
      <c r="AC187" s="250">
        <v>1.5</v>
      </c>
      <c r="AD187" s="251"/>
      <c r="AE187" s="251">
        <v>1.5</v>
      </c>
      <c r="AF187" s="251">
        <v>1.5</v>
      </c>
      <c r="AG187" s="251">
        <v>1.5</v>
      </c>
      <c r="AH187" s="9"/>
      <c r="AI187" s="9"/>
      <c r="AJ187" s="9"/>
    </row>
    <row r="188" spans="1:36" ht="12.75" hidden="1" customHeight="1" outlineLevel="1">
      <c r="A188" s="9"/>
      <c r="B188" s="9"/>
      <c r="C188" s="9"/>
      <c r="D188" s="9"/>
      <c r="E188" s="9"/>
      <c r="F188" s="232"/>
      <c r="G188" s="232"/>
      <c r="H188" s="232"/>
      <c r="I188" s="232"/>
      <c r="J188" s="132"/>
      <c r="K188" s="232"/>
      <c r="L188" s="232"/>
      <c r="M188" s="232"/>
      <c r="N188" s="232"/>
      <c r="O188" s="132"/>
      <c r="P188" s="232"/>
      <c r="Q188" s="232"/>
      <c r="R188" s="232"/>
      <c r="S188" s="232"/>
      <c r="T188" s="132"/>
      <c r="U188" s="232"/>
      <c r="V188" s="233"/>
      <c r="W188" s="233"/>
      <c r="X188" s="233"/>
      <c r="Y188" s="234"/>
      <c r="Z188" s="233"/>
      <c r="AA188" s="233"/>
      <c r="AB188" s="233"/>
      <c r="AC188" s="233"/>
      <c r="AD188" s="234"/>
      <c r="AE188" s="234"/>
      <c r="AF188" s="234"/>
      <c r="AG188" s="234"/>
      <c r="AH188" s="9"/>
      <c r="AI188" s="9"/>
      <c r="AJ188" s="9"/>
    </row>
    <row r="189" spans="1:36" ht="12.75" hidden="1" customHeight="1" outlineLevel="1">
      <c r="A189" s="180" t="s">
        <v>0</v>
      </c>
      <c r="B189" s="9"/>
      <c r="C189" s="103" t="str">
        <f>C38</f>
        <v>Segment 3 Revenue</v>
      </c>
      <c r="D189" s="9"/>
      <c r="E189" s="9"/>
      <c r="F189" s="230">
        <f t="shared" ref="F189:U189" si="45">F55</f>
        <v>0</v>
      </c>
      <c r="G189" s="230">
        <f t="shared" si="45"/>
        <v>0</v>
      </c>
      <c r="H189" s="230">
        <f t="shared" si="45"/>
        <v>0</v>
      </c>
      <c r="I189" s="230">
        <f t="shared" si="45"/>
        <v>0</v>
      </c>
      <c r="J189" s="202">
        <f t="shared" si="45"/>
        <v>0</v>
      </c>
      <c r="K189" s="230">
        <f t="shared" si="45"/>
        <v>0</v>
      </c>
      <c r="L189" s="230">
        <f t="shared" si="45"/>
        <v>0</v>
      </c>
      <c r="M189" s="230">
        <f t="shared" si="45"/>
        <v>0</v>
      </c>
      <c r="N189" s="230">
        <f t="shared" si="45"/>
        <v>0</v>
      </c>
      <c r="O189" s="202">
        <f t="shared" si="45"/>
        <v>0</v>
      </c>
      <c r="P189" s="230">
        <f t="shared" si="45"/>
        <v>0</v>
      </c>
      <c r="Q189" s="230">
        <f t="shared" si="45"/>
        <v>0</v>
      </c>
      <c r="R189" s="230">
        <f t="shared" si="45"/>
        <v>0</v>
      </c>
      <c r="S189" s="230">
        <f t="shared" si="45"/>
        <v>0</v>
      </c>
      <c r="T189" s="202">
        <f t="shared" si="45"/>
        <v>0</v>
      </c>
      <c r="U189" s="230">
        <f t="shared" si="45"/>
        <v>0</v>
      </c>
      <c r="V189" s="201">
        <f>V191/V196</f>
        <v>0</v>
      </c>
      <c r="W189" s="201">
        <f>W191/W196</f>
        <v>0</v>
      </c>
      <c r="X189" s="201">
        <f>X191/X196</f>
        <v>0</v>
      </c>
      <c r="Y189" s="202">
        <f>SUM(U189:X189)</f>
        <v>0</v>
      </c>
      <c r="Z189" s="201">
        <f>Z191/Z196</f>
        <v>0</v>
      </c>
      <c r="AA189" s="201">
        <f>AA191/AA196</f>
        <v>0</v>
      </c>
      <c r="AB189" s="201">
        <f>AB191/AB196</f>
        <v>0</v>
      </c>
      <c r="AC189" s="201">
        <f>AC191/AC196</f>
        <v>0</v>
      </c>
      <c r="AD189" s="202">
        <f>SUM(Z189:AC189)</f>
        <v>0</v>
      </c>
      <c r="AE189" s="202">
        <f>AE191/AE196</f>
        <v>0</v>
      </c>
      <c r="AF189" s="202">
        <f>AF191/AF196</f>
        <v>0</v>
      </c>
      <c r="AG189" s="202">
        <f>AG191/AG196</f>
        <v>0</v>
      </c>
      <c r="AH189" s="9"/>
      <c r="AI189" s="9"/>
      <c r="AJ189" s="9"/>
    </row>
    <row r="190" spans="1:36" ht="12.75" hidden="1" customHeight="1" outlineLevel="1">
      <c r="A190" s="9"/>
      <c r="B190" s="9"/>
      <c r="C190" s="103" t="s">
        <v>238</v>
      </c>
      <c r="D190" s="9"/>
      <c r="E190" s="9"/>
      <c r="F190" s="238">
        <v>0</v>
      </c>
      <c r="G190" s="238">
        <v>0</v>
      </c>
      <c r="H190" s="238">
        <v>0</v>
      </c>
      <c r="I190" s="238">
        <v>0</v>
      </c>
      <c r="J190" s="239">
        <v>0</v>
      </c>
      <c r="K190" s="238">
        <v>0</v>
      </c>
      <c r="L190" s="238">
        <v>0</v>
      </c>
      <c r="M190" s="238">
        <v>0</v>
      </c>
      <c r="N190" s="238">
        <v>0</v>
      </c>
      <c r="O190" s="239">
        <v>0</v>
      </c>
      <c r="P190" s="238">
        <v>0</v>
      </c>
      <c r="Q190" s="238">
        <v>0</v>
      </c>
      <c r="R190" s="238">
        <v>0</v>
      </c>
      <c r="S190" s="238">
        <v>0</v>
      </c>
      <c r="T190" s="239">
        <v>0</v>
      </c>
      <c r="U190" s="238">
        <v>0</v>
      </c>
      <c r="V190" s="240">
        <f>U190+V191-V189</f>
        <v>0</v>
      </c>
      <c r="W190" s="240">
        <f>V190+W191-W189</f>
        <v>0</v>
      </c>
      <c r="X190" s="240">
        <f>W190+X191-X189</f>
        <v>0</v>
      </c>
      <c r="Y190" s="239">
        <f>T190+Y191-Y189</f>
        <v>0</v>
      </c>
      <c r="Z190" s="240">
        <f>X190+Z191-Z189</f>
        <v>0</v>
      </c>
      <c r="AA190" s="240">
        <f>Z190+AA191-AA189</f>
        <v>0</v>
      </c>
      <c r="AB190" s="240">
        <f>AA190+AB191-AB189</f>
        <v>0</v>
      </c>
      <c r="AC190" s="240">
        <f>AB190+AC191-AC189</f>
        <v>0</v>
      </c>
      <c r="AD190" s="239">
        <f>Y190+AD191-AD189</f>
        <v>0</v>
      </c>
      <c r="AE190" s="239">
        <f>AD190+AE191-AE189</f>
        <v>0</v>
      </c>
      <c r="AF190" s="239">
        <f>AE190+AF191-AF189</f>
        <v>0</v>
      </c>
      <c r="AG190" s="239">
        <f>AF190+AG191-AG189</f>
        <v>0</v>
      </c>
      <c r="AH190" s="9"/>
      <c r="AI190" s="9"/>
      <c r="AJ190" s="9"/>
    </row>
    <row r="191" spans="1:36" ht="12.75" hidden="1" customHeight="1" outlineLevel="1">
      <c r="A191" s="9"/>
      <c r="B191" s="9"/>
      <c r="C191" s="103" t="s">
        <v>253</v>
      </c>
      <c r="D191" s="9"/>
      <c r="E191" s="9"/>
      <c r="F191" s="238">
        <f>F190+F189-(0)</f>
        <v>0</v>
      </c>
      <c r="G191" s="238">
        <f>G190+G189-F190</f>
        <v>0</v>
      </c>
      <c r="H191" s="238">
        <f>H190+H189-G190</f>
        <v>0</v>
      </c>
      <c r="I191" s="238">
        <f>I190+I189-H190</f>
        <v>0</v>
      </c>
      <c r="J191" s="239">
        <f>SUM(F191:I191)</f>
        <v>0</v>
      </c>
      <c r="K191" s="238">
        <f>K190+K189-J190</f>
        <v>0</v>
      </c>
      <c r="L191" s="238">
        <f>L190+L189-K190</f>
        <v>0</v>
      </c>
      <c r="M191" s="238">
        <f>M190+M189-L190</f>
        <v>0</v>
      </c>
      <c r="N191" s="238">
        <f>N190+N189-M190</f>
        <v>0</v>
      </c>
      <c r="O191" s="239">
        <f>SUM(K191:N191)</f>
        <v>0</v>
      </c>
      <c r="P191" s="238">
        <f>P190+P189-O190</f>
        <v>0</v>
      </c>
      <c r="Q191" s="238">
        <f>Q190+Q189-P190</f>
        <v>0</v>
      </c>
      <c r="R191" s="238">
        <f>R190+R189-Q190</f>
        <v>0</v>
      </c>
      <c r="S191" s="238">
        <f>S190+S189-R190</f>
        <v>0</v>
      </c>
      <c r="T191" s="239">
        <f>SUM(P191:S191)</f>
        <v>0</v>
      </c>
      <c r="U191" s="238">
        <f>U190+U189-T190</f>
        <v>0</v>
      </c>
      <c r="V191" s="240">
        <f>U191*(1+V192)</f>
        <v>0</v>
      </c>
      <c r="W191" s="240">
        <f>V191*(1+W192)</f>
        <v>0</v>
      </c>
      <c r="X191" s="240">
        <f>W191*(1+X192)</f>
        <v>0</v>
      </c>
      <c r="Y191" s="239">
        <f>SUM(U191:X191)</f>
        <v>0</v>
      </c>
      <c r="Z191" s="240">
        <f>X191*(1+Z192)</f>
        <v>0</v>
      </c>
      <c r="AA191" s="240">
        <f>Z191*(1+AA192)</f>
        <v>0</v>
      </c>
      <c r="AB191" s="240">
        <f>AA191*(1+AB192)</f>
        <v>0</v>
      </c>
      <c r="AC191" s="240">
        <f>AB191*(1+AC192)</f>
        <v>0</v>
      </c>
      <c r="AD191" s="239">
        <f>SUM(Z191:AC191)</f>
        <v>0</v>
      </c>
      <c r="AE191" s="239">
        <f>AD191*(1+AE192)</f>
        <v>0</v>
      </c>
      <c r="AF191" s="239">
        <f>AE191*(1+AF192)</f>
        <v>0</v>
      </c>
      <c r="AG191" s="239">
        <f>AF191*(1+AG192)</f>
        <v>0</v>
      </c>
      <c r="AH191" s="9"/>
      <c r="AI191" s="9"/>
      <c r="AJ191" s="9"/>
    </row>
    <row r="192" spans="1:36" ht="12.75" hidden="1" customHeight="1" outlineLevel="1">
      <c r="A192" s="9"/>
      <c r="B192" s="9"/>
      <c r="C192" s="84" t="s">
        <v>254</v>
      </c>
      <c r="D192" s="9"/>
      <c r="E192" s="9"/>
      <c r="F192" s="232"/>
      <c r="G192" s="231" t="str">
        <f>IFERROR(G191/F191-1,"--")</f>
        <v>--</v>
      </c>
      <c r="H192" s="231" t="str">
        <f>IFERROR(H191/G191-1,"--")</f>
        <v>--</v>
      </c>
      <c r="I192" s="231" t="str">
        <f>IFERROR(I191/H191-1,"--")</f>
        <v>--</v>
      </c>
      <c r="J192" s="132"/>
      <c r="K192" s="231" t="str">
        <f>IFERROR(K191/I191-1,"--")</f>
        <v>--</v>
      </c>
      <c r="L192" s="231" t="str">
        <f>IFERROR(L191/K191-1,"--")</f>
        <v>--</v>
      </c>
      <c r="M192" s="231" t="str">
        <f>IFERROR(M191/L191-1,"--")</f>
        <v>--</v>
      </c>
      <c r="N192" s="231" t="str">
        <f>IFERROR(N191/M191-1,"--")</f>
        <v>--</v>
      </c>
      <c r="O192" s="219" t="str">
        <f>IFERROR(O191/J191-1,"--")</f>
        <v>--</v>
      </c>
      <c r="P192" s="231" t="str">
        <f>IFERROR(P191/N191-1,"--")</f>
        <v>--</v>
      </c>
      <c r="Q192" s="231" t="str">
        <f>IFERROR(Q191/P191-1,"--")</f>
        <v>--</v>
      </c>
      <c r="R192" s="231" t="str">
        <f>IFERROR(R191/Q191-1,"--")</f>
        <v>--</v>
      </c>
      <c r="S192" s="231" t="str">
        <f>IFERROR(S191/R191-1,"--")</f>
        <v>--</v>
      </c>
      <c r="T192" s="219" t="str">
        <f>IFERROR(T191/O191-1,"--")</f>
        <v>--</v>
      </c>
      <c r="U192" s="231" t="str">
        <f>IFERROR(U191/S191-1,"--")</f>
        <v>--</v>
      </c>
      <c r="V192" s="218">
        <f>IF(Case_Scenario="Bull",V193,IF(Case_Scenario="Base",V194,IF(Case_Scenario="bear",V195,"N/A")))</f>
        <v>0.05</v>
      </c>
      <c r="W192" s="218">
        <f>IF(Case_Scenario="Bull",W193,IF(Case_Scenario="Base",W194,IF(Case_Scenario="bear",W195,"N/A")))</f>
        <v>0.05</v>
      </c>
      <c r="X192" s="218">
        <f>IF(Case_Scenario="Bull",X193,IF(Case_Scenario="Base",X194,IF(Case_Scenario="bear",X195,"N/A")))</f>
        <v>0.05</v>
      </c>
      <c r="Y192" s="219"/>
      <c r="Z192" s="218">
        <f>IF(Case_Scenario="Bull",Z193,IF(Case_Scenario="Base",Z194,IF(Case_Scenario="bear",Z195,"N/A")))</f>
        <v>0.05</v>
      </c>
      <c r="AA192" s="218">
        <f>IF(Case_Scenario="Bull",AA193,IF(Case_Scenario="Base",AA194,IF(Case_Scenario="bear",AA195,"N/A")))</f>
        <v>0.05</v>
      </c>
      <c r="AB192" s="218">
        <f>IF(Case_Scenario="Bull",AB193,IF(Case_Scenario="Base",AB194,IF(Case_Scenario="bear",AB195,"N/A")))</f>
        <v>0.05</v>
      </c>
      <c r="AC192" s="218">
        <f>IF(Case_Scenario="Bull",AC193,IF(Case_Scenario="Base",AC194,IF(Case_Scenario="bear",AC195,"N/A")))</f>
        <v>0.05</v>
      </c>
      <c r="AD192" s="219"/>
      <c r="AE192" s="219">
        <f>IF(Case_Scenario="Bull",AE193,IF(Case_Scenario="Base",AE194,IF(Case_Scenario="bear",AE195,"N/A")))</f>
        <v>0.05</v>
      </c>
      <c r="AF192" s="219">
        <f>IF(Case_Scenario="Bull",AF193,IF(Case_Scenario="Base",AF194,IF(Case_Scenario="bear",AF195,"N/A")))</f>
        <v>0.05</v>
      </c>
      <c r="AG192" s="219">
        <f>IF(Case_Scenario="Bull",AG193,IF(Case_Scenario="Base",AG194,IF(Case_Scenario="bear",AG195,"N/A")))</f>
        <v>0.05</v>
      </c>
      <c r="AH192" s="9"/>
      <c r="AI192" s="9"/>
      <c r="AJ192" s="9"/>
    </row>
    <row r="193" spans="1:36" ht="12.75" hidden="1" customHeight="1" outlineLevel="1">
      <c r="A193" s="9"/>
      <c r="B193" s="9"/>
      <c r="C193" s="103" t="s">
        <v>245</v>
      </c>
      <c r="D193" s="9"/>
      <c r="E193" s="9"/>
      <c r="F193" s="232"/>
      <c r="G193" s="232"/>
      <c r="H193" s="232"/>
      <c r="I193" s="232"/>
      <c r="J193" s="132"/>
      <c r="K193" s="232"/>
      <c r="L193" s="232"/>
      <c r="M193" s="232"/>
      <c r="N193" s="232"/>
      <c r="O193" s="132"/>
      <c r="P193" s="232"/>
      <c r="Q193" s="232"/>
      <c r="R193" s="232"/>
      <c r="S193" s="232"/>
      <c r="T193" s="132"/>
      <c r="U193" s="232"/>
      <c r="V193" s="233">
        <v>0.1</v>
      </c>
      <c r="W193" s="233">
        <v>0.1</v>
      </c>
      <c r="X193" s="233">
        <v>0.1</v>
      </c>
      <c r="Y193" s="234"/>
      <c r="Z193" s="233">
        <v>0.1</v>
      </c>
      <c r="AA193" s="233">
        <v>0.1</v>
      </c>
      <c r="AB193" s="233">
        <v>0.1</v>
      </c>
      <c r="AC193" s="233">
        <v>0.1</v>
      </c>
      <c r="AD193" s="234"/>
      <c r="AE193" s="234">
        <v>0.1</v>
      </c>
      <c r="AF193" s="234">
        <v>0.1</v>
      </c>
      <c r="AG193" s="234">
        <v>0.1</v>
      </c>
      <c r="AH193" s="9"/>
      <c r="AI193" s="9"/>
      <c r="AJ193" s="9"/>
    </row>
    <row r="194" spans="1:36" ht="12.75" hidden="1" customHeight="1" outlineLevel="1">
      <c r="A194" s="9"/>
      <c r="B194" s="9"/>
      <c r="C194" s="103" t="s">
        <v>246</v>
      </c>
      <c r="D194" s="9"/>
      <c r="E194" s="9"/>
      <c r="F194" s="232"/>
      <c r="G194" s="232"/>
      <c r="H194" s="232"/>
      <c r="I194" s="232"/>
      <c r="J194" s="132"/>
      <c r="K194" s="232"/>
      <c r="L194" s="232"/>
      <c r="M194" s="232"/>
      <c r="N194" s="232"/>
      <c r="O194" s="132"/>
      <c r="P194" s="232"/>
      <c r="Q194" s="232"/>
      <c r="R194" s="232"/>
      <c r="S194" s="232"/>
      <c r="T194" s="132"/>
      <c r="U194" s="232"/>
      <c r="V194" s="233">
        <v>0.05</v>
      </c>
      <c r="W194" s="233">
        <v>0.05</v>
      </c>
      <c r="X194" s="233">
        <v>0.05</v>
      </c>
      <c r="Y194" s="234"/>
      <c r="Z194" s="233">
        <v>0.05</v>
      </c>
      <c r="AA194" s="233">
        <v>0.05</v>
      </c>
      <c r="AB194" s="233">
        <v>0.05</v>
      </c>
      <c r="AC194" s="233">
        <v>0.05</v>
      </c>
      <c r="AD194" s="234"/>
      <c r="AE194" s="234">
        <v>0.05</v>
      </c>
      <c r="AF194" s="234">
        <v>0.05</v>
      </c>
      <c r="AG194" s="234">
        <v>0.05</v>
      </c>
      <c r="AH194" s="9"/>
      <c r="AI194" s="9"/>
      <c r="AJ194" s="9"/>
    </row>
    <row r="195" spans="1:36" ht="12.75" hidden="1" customHeight="1" outlineLevel="1">
      <c r="A195" s="9"/>
      <c r="B195" s="9"/>
      <c r="C195" s="103" t="s">
        <v>247</v>
      </c>
      <c r="D195" s="9"/>
      <c r="E195" s="9"/>
      <c r="F195" s="232"/>
      <c r="G195" s="232"/>
      <c r="H195" s="232"/>
      <c r="I195" s="232"/>
      <c r="J195" s="132"/>
      <c r="K195" s="232"/>
      <c r="L195" s="232"/>
      <c r="M195" s="232"/>
      <c r="N195" s="232"/>
      <c r="O195" s="132"/>
      <c r="P195" s="232"/>
      <c r="Q195" s="232"/>
      <c r="R195" s="232"/>
      <c r="S195" s="232"/>
      <c r="T195" s="132"/>
      <c r="U195" s="232"/>
      <c r="V195" s="233">
        <v>0</v>
      </c>
      <c r="W195" s="233">
        <v>0</v>
      </c>
      <c r="X195" s="233">
        <v>0</v>
      </c>
      <c r="Y195" s="234"/>
      <c r="Z195" s="233">
        <v>0</v>
      </c>
      <c r="AA195" s="233">
        <v>0</v>
      </c>
      <c r="AB195" s="233">
        <v>0</v>
      </c>
      <c r="AC195" s="233">
        <v>0</v>
      </c>
      <c r="AD195" s="234"/>
      <c r="AE195" s="234">
        <v>0</v>
      </c>
      <c r="AF195" s="234">
        <v>0</v>
      </c>
      <c r="AG195" s="234">
        <v>0</v>
      </c>
      <c r="AH195" s="9"/>
      <c r="AI195" s="9"/>
      <c r="AJ195" s="9"/>
    </row>
    <row r="196" spans="1:36" ht="12.75" hidden="1" customHeight="1" outlineLevel="1">
      <c r="A196" s="9"/>
      <c r="B196" s="9"/>
      <c r="C196" s="103" t="s">
        <v>255</v>
      </c>
      <c r="D196" s="9"/>
      <c r="E196" s="9"/>
      <c r="F196" s="252" t="e">
        <f t="shared" ref="F196:U196" si="46">F191/F189</f>
        <v>#DIV/0!</v>
      </c>
      <c r="G196" s="252" t="e">
        <f t="shared" si="46"/>
        <v>#DIV/0!</v>
      </c>
      <c r="H196" s="252" t="e">
        <f t="shared" si="46"/>
        <v>#DIV/0!</v>
      </c>
      <c r="I196" s="252" t="e">
        <f t="shared" si="46"/>
        <v>#DIV/0!</v>
      </c>
      <c r="J196" s="253" t="e">
        <f t="shared" si="46"/>
        <v>#DIV/0!</v>
      </c>
      <c r="K196" s="252" t="e">
        <f t="shared" si="46"/>
        <v>#DIV/0!</v>
      </c>
      <c r="L196" s="252" t="e">
        <f t="shared" si="46"/>
        <v>#DIV/0!</v>
      </c>
      <c r="M196" s="252" t="e">
        <f t="shared" si="46"/>
        <v>#DIV/0!</v>
      </c>
      <c r="N196" s="252" t="e">
        <f t="shared" si="46"/>
        <v>#DIV/0!</v>
      </c>
      <c r="O196" s="253" t="e">
        <f t="shared" si="46"/>
        <v>#DIV/0!</v>
      </c>
      <c r="P196" s="252" t="e">
        <f t="shared" si="46"/>
        <v>#DIV/0!</v>
      </c>
      <c r="Q196" s="252" t="e">
        <f t="shared" si="46"/>
        <v>#DIV/0!</v>
      </c>
      <c r="R196" s="252" t="e">
        <f t="shared" si="46"/>
        <v>#DIV/0!</v>
      </c>
      <c r="S196" s="252" t="e">
        <f t="shared" si="46"/>
        <v>#DIV/0!</v>
      </c>
      <c r="T196" s="253" t="e">
        <f t="shared" si="46"/>
        <v>#DIV/0!</v>
      </c>
      <c r="U196" s="252" t="e">
        <f t="shared" si="46"/>
        <v>#DIV/0!</v>
      </c>
      <c r="V196" s="247">
        <f>IF(Case_Scenario="Bull",V197,IF(Case_Scenario="Base",V198,IF(Case_Scenario="bear",V199,"N/A")))</f>
        <v>1.25</v>
      </c>
      <c r="W196" s="247">
        <f>IF(Case_Scenario="Bull",W197,IF(Case_Scenario="Base",W198,IF(Case_Scenario="bear",W199,"N/A")))</f>
        <v>1.25</v>
      </c>
      <c r="X196" s="247">
        <f>IF(Case_Scenario="Bull",X197,IF(Case_Scenario="Base",X198,IF(Case_Scenario="bear",X199,"N/A")))</f>
        <v>1.25</v>
      </c>
      <c r="Y196" s="246" t="e">
        <f>AVERAGE(U196:X196)</f>
        <v>#DIV/0!</v>
      </c>
      <c r="Z196" s="247">
        <f>IF(Case_Scenario="Bull",Z197,IF(Case_Scenario="Base",Z198,IF(Case_Scenario="bear",Z199,"N/A")))</f>
        <v>1.25</v>
      </c>
      <c r="AA196" s="247">
        <f>IF(Case_Scenario="Bull",AA197,IF(Case_Scenario="Base",AA198,IF(Case_Scenario="bear",AA199,"N/A")))</f>
        <v>1.25</v>
      </c>
      <c r="AB196" s="247">
        <f>IF(Case_Scenario="Bull",AB197,IF(Case_Scenario="Base",AB198,IF(Case_Scenario="bear",AB199,"N/A")))</f>
        <v>1.25</v>
      </c>
      <c r="AC196" s="247">
        <f>IF(Case_Scenario="Bull",AC197,IF(Case_Scenario="Base",AC198,IF(Case_Scenario="bear",AC199,"N/A")))</f>
        <v>1.25</v>
      </c>
      <c r="AD196" s="246">
        <f>AVERAGE(Z196:AC196)</f>
        <v>1.25</v>
      </c>
      <c r="AE196" s="246">
        <f>IF(Case_Scenario="Bull",AE197,IF(Case_Scenario="Base",AE198,IF(Case_Scenario="bear",AE199,"N/A")))</f>
        <v>1.25</v>
      </c>
      <c r="AF196" s="246">
        <f>IF(Case_Scenario="Bull",AF197,IF(Case_Scenario="Base",AF198,IF(Case_Scenario="bear",AF199,"N/A")))</f>
        <v>1.25</v>
      </c>
      <c r="AG196" s="246">
        <f>IF(Case_Scenario="Bull",AG197,IF(Case_Scenario="Base",AG198,IF(Case_Scenario="bear",AG199,"N/A")))</f>
        <v>1.25</v>
      </c>
      <c r="AH196" s="9"/>
      <c r="AI196" s="9"/>
      <c r="AJ196" s="9"/>
    </row>
    <row r="197" spans="1:36" ht="12.75" hidden="1" customHeight="1" outlineLevel="1">
      <c r="A197" s="9"/>
      <c r="B197" s="9"/>
      <c r="C197" s="103" t="s">
        <v>245</v>
      </c>
      <c r="D197" s="9"/>
      <c r="E197" s="9"/>
      <c r="F197" s="232"/>
      <c r="G197" s="231"/>
      <c r="H197" s="231"/>
      <c r="I197" s="231"/>
      <c r="J197" s="132"/>
      <c r="K197" s="231"/>
      <c r="L197" s="231"/>
      <c r="M197" s="231"/>
      <c r="N197" s="231"/>
      <c r="O197" s="219"/>
      <c r="P197" s="231"/>
      <c r="Q197" s="231"/>
      <c r="R197" s="231"/>
      <c r="S197" s="231"/>
      <c r="T197" s="219"/>
      <c r="U197" s="231"/>
      <c r="V197" s="250">
        <v>1</v>
      </c>
      <c r="W197" s="250">
        <v>1</v>
      </c>
      <c r="X197" s="250">
        <v>1</v>
      </c>
      <c r="Y197" s="251"/>
      <c r="Z197" s="250">
        <v>1</v>
      </c>
      <c r="AA197" s="250">
        <v>1</v>
      </c>
      <c r="AB197" s="250">
        <v>1</v>
      </c>
      <c r="AC197" s="250">
        <v>1</v>
      </c>
      <c r="AD197" s="251"/>
      <c r="AE197" s="251">
        <v>1</v>
      </c>
      <c r="AF197" s="251">
        <v>1</v>
      </c>
      <c r="AG197" s="251">
        <v>1</v>
      </c>
      <c r="AH197" s="9"/>
      <c r="AI197" s="9"/>
      <c r="AJ197" s="9"/>
    </row>
    <row r="198" spans="1:36" ht="12.75" hidden="1" customHeight="1" outlineLevel="1">
      <c r="A198" s="9"/>
      <c r="B198" s="9"/>
      <c r="C198" s="103" t="s">
        <v>246</v>
      </c>
      <c r="D198" s="9"/>
      <c r="E198" s="9"/>
      <c r="F198" s="232"/>
      <c r="G198" s="232"/>
      <c r="H198" s="232"/>
      <c r="I198" s="232"/>
      <c r="J198" s="132"/>
      <c r="K198" s="232"/>
      <c r="L198" s="232"/>
      <c r="M198" s="232"/>
      <c r="N198" s="232"/>
      <c r="O198" s="132"/>
      <c r="P198" s="232"/>
      <c r="Q198" s="232"/>
      <c r="R198" s="232"/>
      <c r="S198" s="232"/>
      <c r="T198" s="132"/>
      <c r="U198" s="232"/>
      <c r="V198" s="250">
        <v>1.25</v>
      </c>
      <c r="W198" s="250">
        <v>1.25</v>
      </c>
      <c r="X198" s="250">
        <v>1.25</v>
      </c>
      <c r="Y198" s="251"/>
      <c r="Z198" s="250">
        <v>1.25</v>
      </c>
      <c r="AA198" s="250">
        <v>1.25</v>
      </c>
      <c r="AB198" s="250">
        <v>1.25</v>
      </c>
      <c r="AC198" s="250">
        <v>1.25</v>
      </c>
      <c r="AD198" s="251"/>
      <c r="AE198" s="251">
        <v>1.25</v>
      </c>
      <c r="AF198" s="251">
        <v>1.25</v>
      </c>
      <c r="AG198" s="251">
        <v>1.25</v>
      </c>
      <c r="AH198" s="9"/>
      <c r="AI198" s="9"/>
      <c r="AJ198" s="9"/>
    </row>
    <row r="199" spans="1:36" ht="12.75" hidden="1" customHeight="1" outlineLevel="1">
      <c r="A199" s="9"/>
      <c r="B199" s="9"/>
      <c r="C199" s="103" t="s">
        <v>247</v>
      </c>
      <c r="D199" s="9"/>
      <c r="E199" s="9"/>
      <c r="F199" s="232"/>
      <c r="G199" s="232"/>
      <c r="H199" s="232"/>
      <c r="I199" s="232"/>
      <c r="J199" s="132"/>
      <c r="K199" s="232"/>
      <c r="L199" s="232"/>
      <c r="M199" s="232"/>
      <c r="N199" s="232"/>
      <c r="O199" s="132"/>
      <c r="P199" s="232"/>
      <c r="Q199" s="232"/>
      <c r="R199" s="232"/>
      <c r="S199" s="232"/>
      <c r="T199" s="132"/>
      <c r="U199" s="232"/>
      <c r="V199" s="250">
        <v>1.5</v>
      </c>
      <c r="W199" s="250">
        <v>1.5</v>
      </c>
      <c r="X199" s="250">
        <v>1.5</v>
      </c>
      <c r="Y199" s="251"/>
      <c r="Z199" s="250">
        <v>1.5</v>
      </c>
      <c r="AA199" s="250">
        <v>1.5</v>
      </c>
      <c r="AB199" s="250">
        <v>1.5</v>
      </c>
      <c r="AC199" s="250">
        <v>1.5</v>
      </c>
      <c r="AD199" s="251"/>
      <c r="AE199" s="251">
        <v>1.5</v>
      </c>
      <c r="AF199" s="251">
        <v>1.5</v>
      </c>
      <c r="AG199" s="251">
        <v>1.5</v>
      </c>
      <c r="AH199" s="9"/>
      <c r="AI199" s="9"/>
      <c r="AJ199" s="9"/>
    </row>
    <row r="200" spans="1:36" ht="12.75" hidden="1" customHeight="1" outlineLevel="1">
      <c r="A200" s="9"/>
      <c r="B200" s="9"/>
      <c r="C200" s="9"/>
      <c r="D200" s="9"/>
      <c r="E200" s="9"/>
      <c r="F200" s="232"/>
      <c r="G200" s="232"/>
      <c r="H200" s="232"/>
      <c r="I200" s="232"/>
      <c r="J200" s="132"/>
      <c r="K200" s="232"/>
      <c r="L200" s="232"/>
      <c r="M200" s="232"/>
      <c r="N200" s="232"/>
      <c r="O200" s="132"/>
      <c r="P200" s="232"/>
      <c r="Q200" s="232"/>
      <c r="R200" s="232"/>
      <c r="S200" s="232"/>
      <c r="T200" s="132"/>
      <c r="U200" s="232"/>
      <c r="V200" s="233"/>
      <c r="W200" s="233"/>
      <c r="X200" s="233"/>
      <c r="Y200" s="234"/>
      <c r="Z200" s="233"/>
      <c r="AA200" s="233"/>
      <c r="AB200" s="233"/>
      <c r="AC200" s="233"/>
      <c r="AD200" s="234"/>
      <c r="AE200" s="234"/>
      <c r="AF200" s="234"/>
      <c r="AG200" s="234"/>
      <c r="AH200" s="9"/>
      <c r="AI200" s="9"/>
      <c r="AJ200" s="9"/>
    </row>
    <row r="201" spans="1:36" ht="12.75" hidden="1" customHeight="1" outlineLevel="1">
      <c r="A201" s="180" t="s">
        <v>0</v>
      </c>
      <c r="B201" s="9"/>
      <c r="C201" s="103" t="str">
        <f>C41</f>
        <v>Segment 4 Revenue</v>
      </c>
      <c r="D201" s="9"/>
      <c r="E201" s="9"/>
      <c r="F201" s="230">
        <f t="shared" ref="F201:U201" si="47">F67</f>
        <v>0</v>
      </c>
      <c r="G201" s="230">
        <f t="shared" si="47"/>
        <v>0</v>
      </c>
      <c r="H201" s="230">
        <f t="shared" si="47"/>
        <v>0</v>
      </c>
      <c r="I201" s="230">
        <f t="shared" si="47"/>
        <v>0</v>
      </c>
      <c r="J201" s="202">
        <f t="shared" si="47"/>
        <v>0</v>
      </c>
      <c r="K201" s="230">
        <f t="shared" si="47"/>
        <v>0</v>
      </c>
      <c r="L201" s="230">
        <f t="shared" si="47"/>
        <v>0</v>
      </c>
      <c r="M201" s="230">
        <f t="shared" si="47"/>
        <v>0</v>
      </c>
      <c r="N201" s="230">
        <f t="shared" si="47"/>
        <v>0</v>
      </c>
      <c r="O201" s="202">
        <f t="shared" si="47"/>
        <v>0</v>
      </c>
      <c r="P201" s="230">
        <f t="shared" si="47"/>
        <v>0</v>
      </c>
      <c r="Q201" s="230">
        <f t="shared" si="47"/>
        <v>0</v>
      </c>
      <c r="R201" s="230">
        <f t="shared" si="47"/>
        <v>0</v>
      </c>
      <c r="S201" s="230">
        <f t="shared" si="47"/>
        <v>0</v>
      </c>
      <c r="T201" s="202">
        <f t="shared" si="47"/>
        <v>0</v>
      </c>
      <c r="U201" s="230">
        <f t="shared" si="47"/>
        <v>0</v>
      </c>
      <c r="V201" s="201">
        <f>V203/V208</f>
        <v>0</v>
      </c>
      <c r="W201" s="201">
        <f>W203/W208</f>
        <v>0</v>
      </c>
      <c r="X201" s="201">
        <f>X203/X208</f>
        <v>0</v>
      </c>
      <c r="Y201" s="202">
        <f>SUM(U201:X201)</f>
        <v>0</v>
      </c>
      <c r="Z201" s="201">
        <f>Z203/Z208</f>
        <v>0</v>
      </c>
      <c r="AA201" s="201">
        <f>AA203/AA208</f>
        <v>0</v>
      </c>
      <c r="AB201" s="201">
        <f>AB203/AB208</f>
        <v>0</v>
      </c>
      <c r="AC201" s="201">
        <f>AC203/AC208</f>
        <v>0</v>
      </c>
      <c r="AD201" s="202">
        <f>SUM(Z201:AC201)</f>
        <v>0</v>
      </c>
      <c r="AE201" s="202">
        <f>AE203/AE208</f>
        <v>0</v>
      </c>
      <c r="AF201" s="202">
        <f>AF203/AF208</f>
        <v>0</v>
      </c>
      <c r="AG201" s="202">
        <f>AG203/AG208</f>
        <v>0</v>
      </c>
      <c r="AH201" s="9"/>
      <c r="AI201" s="9"/>
      <c r="AJ201" s="9"/>
    </row>
    <row r="202" spans="1:36" ht="12.75" hidden="1" customHeight="1" outlineLevel="1">
      <c r="A202" s="9"/>
      <c r="B202" s="9"/>
      <c r="C202" s="103" t="s">
        <v>238</v>
      </c>
      <c r="D202" s="9"/>
      <c r="E202" s="9"/>
      <c r="F202" s="238">
        <v>0</v>
      </c>
      <c r="G202" s="238">
        <v>0</v>
      </c>
      <c r="H202" s="238">
        <v>0</v>
      </c>
      <c r="I202" s="238">
        <v>0</v>
      </c>
      <c r="J202" s="239">
        <v>0</v>
      </c>
      <c r="K202" s="238">
        <v>0</v>
      </c>
      <c r="L202" s="238">
        <v>0</v>
      </c>
      <c r="M202" s="238">
        <v>0</v>
      </c>
      <c r="N202" s="238">
        <v>0</v>
      </c>
      <c r="O202" s="239">
        <v>0</v>
      </c>
      <c r="P202" s="238">
        <v>0</v>
      </c>
      <c r="Q202" s="238">
        <v>0</v>
      </c>
      <c r="R202" s="238">
        <v>0</v>
      </c>
      <c r="S202" s="238">
        <v>0</v>
      </c>
      <c r="T202" s="239">
        <v>0</v>
      </c>
      <c r="U202" s="238">
        <v>0</v>
      </c>
      <c r="V202" s="240">
        <f>U202+V203-V201</f>
        <v>0</v>
      </c>
      <c r="W202" s="240">
        <f>V202+W203-W201</f>
        <v>0</v>
      </c>
      <c r="X202" s="240">
        <f>W202+X203-X201</f>
        <v>0</v>
      </c>
      <c r="Y202" s="239">
        <f>T202+Y203-Y201</f>
        <v>0</v>
      </c>
      <c r="Z202" s="240">
        <f>X202+Z203-Z201</f>
        <v>0</v>
      </c>
      <c r="AA202" s="240">
        <f>Z202+AA203-AA201</f>
        <v>0</v>
      </c>
      <c r="AB202" s="240">
        <f>AA202+AB203-AB201</f>
        <v>0</v>
      </c>
      <c r="AC202" s="240">
        <f>AB202+AC203-AC201</f>
        <v>0</v>
      </c>
      <c r="AD202" s="239">
        <f>Y202+AD203-AD201</f>
        <v>0</v>
      </c>
      <c r="AE202" s="239">
        <f>AD202+AE203-AE201</f>
        <v>0</v>
      </c>
      <c r="AF202" s="239">
        <f>AE202+AF203-AF201</f>
        <v>0</v>
      </c>
      <c r="AG202" s="239">
        <f>AF202+AG203-AG201</f>
        <v>0</v>
      </c>
      <c r="AH202" s="9"/>
      <c r="AI202" s="9"/>
      <c r="AJ202" s="9"/>
    </row>
    <row r="203" spans="1:36" ht="12.75" hidden="1" customHeight="1" outlineLevel="1">
      <c r="A203" s="9"/>
      <c r="B203" s="9"/>
      <c r="C203" s="103" t="s">
        <v>253</v>
      </c>
      <c r="D203" s="9"/>
      <c r="E203" s="9"/>
      <c r="F203" s="238">
        <f>F202+F201-(0)</f>
        <v>0</v>
      </c>
      <c r="G203" s="238">
        <f>G202+G201-F202</f>
        <v>0</v>
      </c>
      <c r="H203" s="238">
        <f>H202+H201-G202</f>
        <v>0</v>
      </c>
      <c r="I203" s="238">
        <f>I202+I201-H202</f>
        <v>0</v>
      </c>
      <c r="J203" s="239">
        <f>SUM(F203:I203)</f>
        <v>0</v>
      </c>
      <c r="K203" s="238">
        <f>K202+K201-J202</f>
        <v>0</v>
      </c>
      <c r="L203" s="238">
        <f>L202+L201-K202</f>
        <v>0</v>
      </c>
      <c r="M203" s="238">
        <f>M202+M201-L202</f>
        <v>0</v>
      </c>
      <c r="N203" s="238">
        <f>N202+N201-M202</f>
        <v>0</v>
      </c>
      <c r="O203" s="239">
        <f>SUM(K203:N203)</f>
        <v>0</v>
      </c>
      <c r="P203" s="238">
        <f>P202+P201-O202</f>
        <v>0</v>
      </c>
      <c r="Q203" s="238">
        <f>Q202+Q201-P202</f>
        <v>0</v>
      </c>
      <c r="R203" s="238">
        <f>R202+R201-Q202</f>
        <v>0</v>
      </c>
      <c r="S203" s="238">
        <f>S202+S201-R202</f>
        <v>0</v>
      </c>
      <c r="T203" s="239">
        <f>SUM(P203:S203)</f>
        <v>0</v>
      </c>
      <c r="U203" s="238">
        <f>U202+U201-T202</f>
        <v>0</v>
      </c>
      <c r="V203" s="240">
        <f>U203*(1+V204)</f>
        <v>0</v>
      </c>
      <c r="W203" s="240">
        <f>V203*(1+W204)</f>
        <v>0</v>
      </c>
      <c r="X203" s="240">
        <f>W203*(1+X204)</f>
        <v>0</v>
      </c>
      <c r="Y203" s="239">
        <f>SUM(U203:X203)</f>
        <v>0</v>
      </c>
      <c r="Z203" s="240">
        <f>X203*(1+Z204)</f>
        <v>0</v>
      </c>
      <c r="AA203" s="240">
        <f>Z203*(1+AA204)</f>
        <v>0</v>
      </c>
      <c r="AB203" s="240">
        <f>AA203*(1+AB204)</f>
        <v>0</v>
      </c>
      <c r="AC203" s="240">
        <f>AB203*(1+AC204)</f>
        <v>0</v>
      </c>
      <c r="AD203" s="239">
        <f>SUM(Z203:AC203)</f>
        <v>0</v>
      </c>
      <c r="AE203" s="239">
        <f>AD203*(1+AE204)</f>
        <v>0</v>
      </c>
      <c r="AF203" s="239">
        <f>AE203*(1+AF204)</f>
        <v>0</v>
      </c>
      <c r="AG203" s="239">
        <f>AF203*(1+AG204)</f>
        <v>0</v>
      </c>
      <c r="AH203" s="9"/>
      <c r="AI203" s="9"/>
      <c r="AJ203" s="9"/>
    </row>
    <row r="204" spans="1:36" ht="12.75" hidden="1" customHeight="1" outlineLevel="1">
      <c r="A204" s="9"/>
      <c r="B204" s="9"/>
      <c r="C204" s="84" t="s">
        <v>254</v>
      </c>
      <c r="D204" s="9"/>
      <c r="E204" s="9"/>
      <c r="F204" s="232"/>
      <c r="G204" s="231" t="str">
        <f>IFERROR(G203/F203-1,"--")</f>
        <v>--</v>
      </c>
      <c r="H204" s="231" t="str">
        <f>IFERROR(H203/G203-1,"--")</f>
        <v>--</v>
      </c>
      <c r="I204" s="231" t="str">
        <f>IFERROR(I203/H203-1,"--")</f>
        <v>--</v>
      </c>
      <c r="J204" s="132"/>
      <c r="K204" s="231" t="str">
        <f>IFERROR(K203/I203-1,"--")</f>
        <v>--</v>
      </c>
      <c r="L204" s="231" t="str">
        <f>IFERROR(L203/K203-1,"--")</f>
        <v>--</v>
      </c>
      <c r="M204" s="231" t="str">
        <f>IFERROR(M203/L203-1,"--")</f>
        <v>--</v>
      </c>
      <c r="N204" s="231" t="str">
        <f>IFERROR(N203/M203-1,"--")</f>
        <v>--</v>
      </c>
      <c r="O204" s="219" t="str">
        <f>IFERROR(O203/J203-1,"--")</f>
        <v>--</v>
      </c>
      <c r="P204" s="231" t="str">
        <f>IFERROR(P203/N203-1,"--")</f>
        <v>--</v>
      </c>
      <c r="Q204" s="231" t="str">
        <f>IFERROR(Q203/P203-1,"--")</f>
        <v>--</v>
      </c>
      <c r="R204" s="231" t="str">
        <f>IFERROR(R203/Q203-1,"--")</f>
        <v>--</v>
      </c>
      <c r="S204" s="231" t="str">
        <f>IFERROR(S203/R203-1,"--")</f>
        <v>--</v>
      </c>
      <c r="T204" s="219" t="str">
        <f>IFERROR(T203/O203-1,"--")</f>
        <v>--</v>
      </c>
      <c r="U204" s="231" t="str">
        <f>IFERROR(U203/S203-1,"--")</f>
        <v>--</v>
      </c>
      <c r="V204" s="218">
        <f>IF(Case_Scenario="Bull",V205,IF(Case_Scenario="Base",V206,IF(Case_Scenario="bear",V207,"N/A")))</f>
        <v>0.05</v>
      </c>
      <c r="W204" s="218">
        <f>IF(Case_Scenario="Bull",W205,IF(Case_Scenario="Base",W206,IF(Case_Scenario="bear",W207,"N/A")))</f>
        <v>0.05</v>
      </c>
      <c r="X204" s="218">
        <f>IF(Case_Scenario="Bull",X205,IF(Case_Scenario="Base",X206,IF(Case_Scenario="bear",X207,"N/A")))</f>
        <v>0.05</v>
      </c>
      <c r="Y204" s="219"/>
      <c r="Z204" s="218">
        <f>IF(Case_Scenario="Bull",Z205,IF(Case_Scenario="Base",Z206,IF(Case_Scenario="bear",Z207,"N/A")))</f>
        <v>0.05</v>
      </c>
      <c r="AA204" s="218">
        <f>IF(Case_Scenario="Bull",AA205,IF(Case_Scenario="Base",AA206,IF(Case_Scenario="bear",AA207,"N/A")))</f>
        <v>0.05</v>
      </c>
      <c r="AB204" s="218">
        <f>IF(Case_Scenario="Bull",AB205,IF(Case_Scenario="Base",AB206,IF(Case_Scenario="bear",AB207,"N/A")))</f>
        <v>0.05</v>
      </c>
      <c r="AC204" s="218">
        <f>IF(Case_Scenario="Bull",AC205,IF(Case_Scenario="Base",AC206,IF(Case_Scenario="bear",AC207,"N/A")))</f>
        <v>0.05</v>
      </c>
      <c r="AD204" s="219"/>
      <c r="AE204" s="219">
        <f>IF(Case_Scenario="Bull",AE205,IF(Case_Scenario="Base",AE206,IF(Case_Scenario="bear",AE207,"N/A")))</f>
        <v>0.05</v>
      </c>
      <c r="AF204" s="219">
        <f>IF(Case_Scenario="Bull",AF205,IF(Case_Scenario="Base",AF206,IF(Case_Scenario="bear",AF207,"N/A")))</f>
        <v>0.05</v>
      </c>
      <c r="AG204" s="219">
        <f>IF(Case_Scenario="Bull",AG205,IF(Case_Scenario="Base",AG206,IF(Case_Scenario="bear",AG207,"N/A")))</f>
        <v>0.05</v>
      </c>
      <c r="AH204" s="9"/>
      <c r="AI204" s="9"/>
      <c r="AJ204" s="9"/>
    </row>
    <row r="205" spans="1:36" ht="12.75" hidden="1" customHeight="1" outlineLevel="1">
      <c r="A205" s="9"/>
      <c r="B205" s="9"/>
      <c r="C205" s="103" t="s">
        <v>245</v>
      </c>
      <c r="D205" s="9"/>
      <c r="E205" s="9"/>
      <c r="F205" s="232"/>
      <c r="G205" s="232"/>
      <c r="H205" s="232"/>
      <c r="I205" s="232"/>
      <c r="J205" s="132"/>
      <c r="K205" s="232"/>
      <c r="L205" s="232"/>
      <c r="M205" s="232"/>
      <c r="N205" s="232"/>
      <c r="O205" s="132"/>
      <c r="P205" s="232"/>
      <c r="Q205" s="232"/>
      <c r="R205" s="232"/>
      <c r="S205" s="232"/>
      <c r="T205" s="132"/>
      <c r="U205" s="232"/>
      <c r="V205" s="233">
        <v>0.1</v>
      </c>
      <c r="W205" s="233">
        <v>0.1</v>
      </c>
      <c r="X205" s="233">
        <v>0.1</v>
      </c>
      <c r="Y205" s="234"/>
      <c r="Z205" s="233">
        <v>0.1</v>
      </c>
      <c r="AA205" s="233">
        <v>0.1</v>
      </c>
      <c r="AB205" s="233">
        <v>0.1</v>
      </c>
      <c r="AC205" s="233">
        <v>0.1</v>
      </c>
      <c r="AD205" s="234"/>
      <c r="AE205" s="234">
        <v>0.1</v>
      </c>
      <c r="AF205" s="234">
        <v>0.1</v>
      </c>
      <c r="AG205" s="234">
        <v>0.1</v>
      </c>
      <c r="AH205" s="9"/>
      <c r="AI205" s="9"/>
      <c r="AJ205" s="9"/>
    </row>
    <row r="206" spans="1:36" ht="12.75" hidden="1" customHeight="1" outlineLevel="1">
      <c r="A206" s="9"/>
      <c r="B206" s="9"/>
      <c r="C206" s="103" t="s">
        <v>246</v>
      </c>
      <c r="D206" s="9"/>
      <c r="E206" s="9"/>
      <c r="F206" s="232"/>
      <c r="G206" s="232"/>
      <c r="H206" s="232"/>
      <c r="I206" s="232"/>
      <c r="J206" s="132"/>
      <c r="K206" s="232"/>
      <c r="L206" s="232"/>
      <c r="M206" s="232"/>
      <c r="N206" s="232"/>
      <c r="O206" s="132"/>
      <c r="P206" s="232"/>
      <c r="Q206" s="232"/>
      <c r="R206" s="232"/>
      <c r="S206" s="232"/>
      <c r="T206" s="132"/>
      <c r="U206" s="232"/>
      <c r="V206" s="233">
        <v>0.05</v>
      </c>
      <c r="W206" s="233">
        <v>0.05</v>
      </c>
      <c r="X206" s="233">
        <v>0.05</v>
      </c>
      <c r="Y206" s="234"/>
      <c r="Z206" s="233">
        <v>0.05</v>
      </c>
      <c r="AA206" s="233">
        <v>0.05</v>
      </c>
      <c r="AB206" s="233">
        <v>0.05</v>
      </c>
      <c r="AC206" s="233">
        <v>0.05</v>
      </c>
      <c r="AD206" s="234"/>
      <c r="AE206" s="234">
        <v>0.05</v>
      </c>
      <c r="AF206" s="234">
        <v>0.05</v>
      </c>
      <c r="AG206" s="234">
        <v>0.05</v>
      </c>
      <c r="AH206" s="9"/>
      <c r="AI206" s="9"/>
      <c r="AJ206" s="9"/>
    </row>
    <row r="207" spans="1:36" ht="12.75" hidden="1" customHeight="1" outlineLevel="1">
      <c r="A207" s="9"/>
      <c r="B207" s="9"/>
      <c r="C207" s="103" t="s">
        <v>247</v>
      </c>
      <c r="D207" s="9"/>
      <c r="E207" s="9"/>
      <c r="F207" s="232"/>
      <c r="G207" s="232"/>
      <c r="H207" s="232"/>
      <c r="I207" s="232"/>
      <c r="J207" s="132"/>
      <c r="K207" s="232"/>
      <c r="L207" s="232"/>
      <c r="M207" s="232"/>
      <c r="N207" s="232"/>
      <c r="O207" s="132"/>
      <c r="P207" s="232"/>
      <c r="Q207" s="232"/>
      <c r="R207" s="232"/>
      <c r="S207" s="232"/>
      <c r="T207" s="132"/>
      <c r="U207" s="232"/>
      <c r="V207" s="233">
        <v>0</v>
      </c>
      <c r="W207" s="233">
        <v>0</v>
      </c>
      <c r="X207" s="233">
        <v>0</v>
      </c>
      <c r="Y207" s="234"/>
      <c r="Z207" s="233">
        <v>0</v>
      </c>
      <c r="AA207" s="233">
        <v>0</v>
      </c>
      <c r="AB207" s="233">
        <v>0</v>
      </c>
      <c r="AC207" s="233">
        <v>0</v>
      </c>
      <c r="AD207" s="234"/>
      <c r="AE207" s="234">
        <v>0</v>
      </c>
      <c r="AF207" s="234">
        <v>0</v>
      </c>
      <c r="AG207" s="234">
        <v>0</v>
      </c>
      <c r="AH207" s="9"/>
      <c r="AI207" s="9"/>
      <c r="AJ207" s="9"/>
    </row>
    <row r="208" spans="1:36" ht="12.75" hidden="1" customHeight="1" outlineLevel="1">
      <c r="A208" s="9"/>
      <c r="B208" s="9"/>
      <c r="C208" s="103" t="s">
        <v>255</v>
      </c>
      <c r="D208" s="9"/>
      <c r="E208" s="9"/>
      <c r="F208" s="252" t="e">
        <f t="shared" ref="F208:U208" si="48">F203/F201</f>
        <v>#DIV/0!</v>
      </c>
      <c r="G208" s="252" t="e">
        <f t="shared" si="48"/>
        <v>#DIV/0!</v>
      </c>
      <c r="H208" s="252" t="e">
        <f t="shared" si="48"/>
        <v>#DIV/0!</v>
      </c>
      <c r="I208" s="252" t="e">
        <f t="shared" si="48"/>
        <v>#DIV/0!</v>
      </c>
      <c r="J208" s="253" t="e">
        <f t="shared" si="48"/>
        <v>#DIV/0!</v>
      </c>
      <c r="K208" s="252" t="e">
        <f t="shared" si="48"/>
        <v>#DIV/0!</v>
      </c>
      <c r="L208" s="252" t="e">
        <f t="shared" si="48"/>
        <v>#DIV/0!</v>
      </c>
      <c r="M208" s="252" t="e">
        <f t="shared" si="48"/>
        <v>#DIV/0!</v>
      </c>
      <c r="N208" s="252" t="e">
        <f t="shared" si="48"/>
        <v>#DIV/0!</v>
      </c>
      <c r="O208" s="253" t="e">
        <f t="shared" si="48"/>
        <v>#DIV/0!</v>
      </c>
      <c r="P208" s="252" t="e">
        <f t="shared" si="48"/>
        <v>#DIV/0!</v>
      </c>
      <c r="Q208" s="252" t="e">
        <f t="shared" si="48"/>
        <v>#DIV/0!</v>
      </c>
      <c r="R208" s="252" t="e">
        <f t="shared" si="48"/>
        <v>#DIV/0!</v>
      </c>
      <c r="S208" s="252" t="e">
        <f t="shared" si="48"/>
        <v>#DIV/0!</v>
      </c>
      <c r="T208" s="253" t="e">
        <f t="shared" si="48"/>
        <v>#DIV/0!</v>
      </c>
      <c r="U208" s="252" t="e">
        <f t="shared" si="48"/>
        <v>#DIV/0!</v>
      </c>
      <c r="V208" s="247">
        <f>IF(Case_Scenario="Bull",V209,IF(Case_Scenario="Base",V210,IF(Case_Scenario="bear",V211,"N/A")))</f>
        <v>1.25</v>
      </c>
      <c r="W208" s="247">
        <f>IF(Case_Scenario="Bull",W209,IF(Case_Scenario="Base",W210,IF(Case_Scenario="bear",W211,"N/A")))</f>
        <v>1.25</v>
      </c>
      <c r="X208" s="247">
        <f>IF(Case_Scenario="Bull",X209,IF(Case_Scenario="Base",X210,IF(Case_Scenario="bear",X211,"N/A")))</f>
        <v>1.25</v>
      </c>
      <c r="Y208" s="246" t="e">
        <f>AVERAGE(U208:X208)</f>
        <v>#DIV/0!</v>
      </c>
      <c r="Z208" s="247">
        <f>IF(Case_Scenario="Bull",Z209,IF(Case_Scenario="Base",Z210,IF(Case_Scenario="bear",Z211,"N/A")))</f>
        <v>1.25</v>
      </c>
      <c r="AA208" s="247">
        <f>IF(Case_Scenario="Bull",AA209,IF(Case_Scenario="Base",AA210,IF(Case_Scenario="bear",AA211,"N/A")))</f>
        <v>1.25</v>
      </c>
      <c r="AB208" s="247">
        <f>IF(Case_Scenario="Bull",AB209,IF(Case_Scenario="Base",AB210,IF(Case_Scenario="bear",AB211,"N/A")))</f>
        <v>1.25</v>
      </c>
      <c r="AC208" s="247">
        <f>IF(Case_Scenario="Bull",AC209,IF(Case_Scenario="Base",AC210,IF(Case_Scenario="bear",AC211,"N/A")))</f>
        <v>1.25</v>
      </c>
      <c r="AD208" s="246">
        <f>AVERAGE(Z208:AC208)</f>
        <v>1.25</v>
      </c>
      <c r="AE208" s="246">
        <f>IF(Case_Scenario="Bull",AE209,IF(Case_Scenario="Base",AE210,IF(Case_Scenario="bear",AE211,"N/A")))</f>
        <v>1.25</v>
      </c>
      <c r="AF208" s="246">
        <f>IF(Case_Scenario="Bull",AF209,IF(Case_Scenario="Base",AF210,IF(Case_Scenario="bear",AF211,"N/A")))</f>
        <v>1.25</v>
      </c>
      <c r="AG208" s="246">
        <f>IF(Case_Scenario="Bull",AG209,IF(Case_Scenario="Base",AG210,IF(Case_Scenario="bear",AG211,"N/A")))</f>
        <v>1.25</v>
      </c>
      <c r="AH208" s="9"/>
      <c r="AI208" s="9"/>
      <c r="AJ208" s="9"/>
    </row>
    <row r="209" spans="1:36" ht="12.75" hidden="1" customHeight="1" outlineLevel="1">
      <c r="A209" s="9"/>
      <c r="B209" s="9"/>
      <c r="C209" s="103" t="s">
        <v>245</v>
      </c>
      <c r="D209" s="9"/>
      <c r="E209" s="9"/>
      <c r="F209" s="232"/>
      <c r="G209" s="231"/>
      <c r="H209" s="231"/>
      <c r="I209" s="231"/>
      <c r="J209" s="132"/>
      <c r="K209" s="231"/>
      <c r="L209" s="231"/>
      <c r="M209" s="231"/>
      <c r="N209" s="231"/>
      <c r="O209" s="219"/>
      <c r="P209" s="231"/>
      <c r="Q209" s="231"/>
      <c r="R209" s="231"/>
      <c r="S209" s="231"/>
      <c r="T209" s="219"/>
      <c r="U209" s="231"/>
      <c r="V209" s="250">
        <v>1</v>
      </c>
      <c r="W209" s="250">
        <v>1</v>
      </c>
      <c r="X209" s="250">
        <v>1</v>
      </c>
      <c r="Y209" s="251"/>
      <c r="Z209" s="250">
        <v>1</v>
      </c>
      <c r="AA209" s="250">
        <v>1</v>
      </c>
      <c r="AB209" s="250">
        <v>1</v>
      </c>
      <c r="AC209" s="250">
        <v>1</v>
      </c>
      <c r="AD209" s="251"/>
      <c r="AE209" s="251">
        <v>1</v>
      </c>
      <c r="AF209" s="251">
        <v>1</v>
      </c>
      <c r="AG209" s="251">
        <v>1</v>
      </c>
      <c r="AH209" s="9"/>
      <c r="AI209" s="9"/>
      <c r="AJ209" s="9"/>
    </row>
    <row r="210" spans="1:36" ht="12.75" hidden="1" customHeight="1" outlineLevel="1">
      <c r="A210" s="9"/>
      <c r="B210" s="9"/>
      <c r="C210" s="103" t="s">
        <v>246</v>
      </c>
      <c r="D210" s="9"/>
      <c r="E210" s="9"/>
      <c r="F210" s="232"/>
      <c r="G210" s="232"/>
      <c r="H210" s="232"/>
      <c r="I210" s="232"/>
      <c r="J210" s="132"/>
      <c r="K210" s="232"/>
      <c r="L210" s="232"/>
      <c r="M210" s="232"/>
      <c r="N210" s="232"/>
      <c r="O210" s="132"/>
      <c r="P210" s="232"/>
      <c r="Q210" s="232"/>
      <c r="R210" s="232"/>
      <c r="S210" s="232"/>
      <c r="T210" s="132"/>
      <c r="U210" s="232"/>
      <c r="V210" s="250">
        <v>1.25</v>
      </c>
      <c r="W210" s="250">
        <v>1.25</v>
      </c>
      <c r="X210" s="250">
        <v>1.25</v>
      </c>
      <c r="Y210" s="251"/>
      <c r="Z210" s="250">
        <v>1.25</v>
      </c>
      <c r="AA210" s="250">
        <v>1.25</v>
      </c>
      <c r="AB210" s="250">
        <v>1.25</v>
      </c>
      <c r="AC210" s="250">
        <v>1.25</v>
      </c>
      <c r="AD210" s="251"/>
      <c r="AE210" s="251">
        <v>1.25</v>
      </c>
      <c r="AF210" s="251">
        <v>1.25</v>
      </c>
      <c r="AG210" s="251">
        <v>1.25</v>
      </c>
      <c r="AH210" s="9"/>
      <c r="AI210" s="9"/>
      <c r="AJ210" s="9"/>
    </row>
    <row r="211" spans="1:36" ht="12.75" hidden="1" customHeight="1" outlineLevel="1">
      <c r="A211" s="9"/>
      <c r="B211" s="9"/>
      <c r="C211" s="103" t="s">
        <v>247</v>
      </c>
      <c r="D211" s="9"/>
      <c r="E211" s="9"/>
      <c r="F211" s="232"/>
      <c r="G211" s="232"/>
      <c r="H211" s="232"/>
      <c r="I211" s="232"/>
      <c r="J211" s="132"/>
      <c r="K211" s="232"/>
      <c r="L211" s="232"/>
      <c r="M211" s="232"/>
      <c r="N211" s="232"/>
      <c r="O211" s="132"/>
      <c r="P211" s="232"/>
      <c r="Q211" s="232"/>
      <c r="R211" s="232"/>
      <c r="S211" s="232"/>
      <c r="T211" s="132"/>
      <c r="U211" s="232"/>
      <c r="V211" s="250">
        <v>1.5</v>
      </c>
      <c r="W211" s="250">
        <v>1.5</v>
      </c>
      <c r="X211" s="250">
        <v>1.5</v>
      </c>
      <c r="Y211" s="251"/>
      <c r="Z211" s="250">
        <v>1.5</v>
      </c>
      <c r="AA211" s="250">
        <v>1.5</v>
      </c>
      <c r="AB211" s="250">
        <v>1.5</v>
      </c>
      <c r="AC211" s="250">
        <v>1.5</v>
      </c>
      <c r="AD211" s="251"/>
      <c r="AE211" s="251">
        <v>1.5</v>
      </c>
      <c r="AF211" s="251">
        <v>1.5</v>
      </c>
      <c r="AG211" s="251">
        <v>1.5</v>
      </c>
      <c r="AH211" s="9"/>
      <c r="AI211" s="9"/>
      <c r="AJ211" s="9"/>
    </row>
    <row r="212" spans="1:36" ht="12.75" hidden="1" customHeight="1" outlineLevel="1">
      <c r="A212" s="9"/>
      <c r="B212" s="9"/>
      <c r="C212" s="9"/>
      <c r="D212" s="9"/>
      <c r="E212" s="9"/>
      <c r="F212" s="232"/>
      <c r="G212" s="232"/>
      <c r="H212" s="232"/>
      <c r="I212" s="232"/>
      <c r="J212" s="132"/>
      <c r="K212" s="232"/>
      <c r="L212" s="232"/>
      <c r="M212" s="232"/>
      <c r="N212" s="232"/>
      <c r="O212" s="132"/>
      <c r="P212" s="232"/>
      <c r="Q212" s="232"/>
      <c r="R212" s="232"/>
      <c r="S212" s="232"/>
      <c r="T212" s="132"/>
      <c r="U212" s="232"/>
      <c r="V212" s="233"/>
      <c r="W212" s="233"/>
      <c r="X212" s="233"/>
      <c r="Y212" s="234"/>
      <c r="Z212" s="233"/>
      <c r="AA212" s="233"/>
      <c r="AB212" s="233"/>
      <c r="AC212" s="233"/>
      <c r="AD212" s="234"/>
      <c r="AE212" s="234"/>
      <c r="AF212" s="234"/>
      <c r="AG212" s="234"/>
      <c r="AH212" s="9"/>
      <c r="AI212" s="9"/>
      <c r="AJ212" s="9"/>
    </row>
    <row r="213" spans="1:36" ht="12.75" hidden="1" customHeight="1" outlineLevel="1">
      <c r="A213" s="180" t="s">
        <v>0</v>
      </c>
      <c r="B213" s="9"/>
      <c r="C213" s="103" t="str">
        <f>C44</f>
        <v>Segment 5 Revenue</v>
      </c>
      <c r="D213" s="9"/>
      <c r="E213" s="9"/>
      <c r="F213" s="230">
        <f t="shared" ref="F213:U213" si="49">F44</f>
        <v>0</v>
      </c>
      <c r="G213" s="230">
        <f t="shared" si="49"/>
        <v>0</v>
      </c>
      <c r="H213" s="230">
        <f t="shared" si="49"/>
        <v>0</v>
      </c>
      <c r="I213" s="230">
        <f t="shared" si="49"/>
        <v>0</v>
      </c>
      <c r="J213" s="202">
        <f t="shared" si="49"/>
        <v>0</v>
      </c>
      <c r="K213" s="230">
        <f t="shared" si="49"/>
        <v>0</v>
      </c>
      <c r="L213" s="230">
        <f t="shared" si="49"/>
        <v>0</v>
      </c>
      <c r="M213" s="230">
        <f t="shared" si="49"/>
        <v>0</v>
      </c>
      <c r="N213" s="230">
        <f t="shared" si="49"/>
        <v>0</v>
      </c>
      <c r="O213" s="202">
        <f t="shared" si="49"/>
        <v>0</v>
      </c>
      <c r="P213" s="230">
        <f t="shared" si="49"/>
        <v>0</v>
      </c>
      <c r="Q213" s="230">
        <f t="shared" si="49"/>
        <v>0</v>
      </c>
      <c r="R213" s="230">
        <f t="shared" si="49"/>
        <v>0</v>
      </c>
      <c r="S213" s="230">
        <f t="shared" si="49"/>
        <v>0</v>
      </c>
      <c r="T213" s="202">
        <f t="shared" si="49"/>
        <v>0</v>
      </c>
      <c r="U213" s="230">
        <f t="shared" si="49"/>
        <v>0</v>
      </c>
      <c r="V213" s="201">
        <f>V215/V220</f>
        <v>-456.96000000000004</v>
      </c>
      <c r="W213" s="201">
        <f>W215/W220</f>
        <v>-479.80800000000011</v>
      </c>
      <c r="X213" s="201">
        <f>X215/X220</f>
        <v>-503.79840000000013</v>
      </c>
      <c r="Y213" s="202">
        <f>SUM(U213:X213)</f>
        <v>-1440.5664000000002</v>
      </c>
      <c r="Z213" s="201">
        <f>Z215/Z220</f>
        <v>-528.98832000000016</v>
      </c>
      <c r="AA213" s="201">
        <f>AA215/AA220</f>
        <v>-555.43773600000009</v>
      </c>
      <c r="AB213" s="201">
        <f>AB215/AB220</f>
        <v>-583.20962280000015</v>
      </c>
      <c r="AC213" s="201">
        <f>AC215/AC220</f>
        <v>-612.37010394000015</v>
      </c>
      <c r="AD213" s="202">
        <f>SUM(Z213:AC213)</f>
        <v>-2280.0057827400005</v>
      </c>
      <c r="AE213" s="202">
        <f>AE215/AE220</f>
        <v>-2394.006071877001</v>
      </c>
      <c r="AF213" s="202">
        <f>AF215/AF220</f>
        <v>-2513.7063754708511</v>
      </c>
      <c r="AG213" s="202">
        <f>AG215/AG220</f>
        <v>-2639.3916942443934</v>
      </c>
      <c r="AH213" s="9"/>
      <c r="AI213" s="9"/>
      <c r="AJ213" s="9"/>
    </row>
    <row r="214" spans="1:36" ht="12.75" hidden="1" customHeight="1" outlineLevel="1">
      <c r="A214" s="9"/>
      <c r="B214" s="9"/>
      <c r="C214" s="103" t="s">
        <v>238</v>
      </c>
      <c r="D214" s="9"/>
      <c r="E214" s="9"/>
      <c r="F214" s="238">
        <v>0</v>
      </c>
      <c r="G214" s="238">
        <v>0</v>
      </c>
      <c r="H214" s="238">
        <v>0</v>
      </c>
      <c r="I214" s="238">
        <v>0</v>
      </c>
      <c r="J214" s="239">
        <f>0+J215-J213</f>
        <v>0</v>
      </c>
      <c r="K214" s="238">
        <v>0</v>
      </c>
      <c r="L214" s="238">
        <v>0</v>
      </c>
      <c r="M214" s="238">
        <v>16251</v>
      </c>
      <c r="N214" s="238">
        <v>17223</v>
      </c>
      <c r="O214" s="239">
        <f>15631+O215-O213</f>
        <v>17223</v>
      </c>
      <c r="P214" s="238">
        <v>20464</v>
      </c>
      <c r="Q214" s="238">
        <v>20388</v>
      </c>
      <c r="R214" s="238">
        <v>20240</v>
      </c>
      <c r="S214" s="238">
        <v>21008</v>
      </c>
      <c r="T214" s="239">
        <f>O214+T215-T213</f>
        <v>21008</v>
      </c>
      <c r="U214" s="238">
        <v>20464</v>
      </c>
      <c r="V214" s="240">
        <f>U214+V215-V213</f>
        <v>20349.759999999998</v>
      </c>
      <c r="W214" s="240">
        <f>V214+W215-W213</f>
        <v>20229.808000000001</v>
      </c>
      <c r="X214" s="240">
        <f>W214+X215-X213</f>
        <v>20103.858400000001</v>
      </c>
      <c r="Y214" s="239">
        <f>T214+Y215-Y213</f>
        <v>20103.858400000001</v>
      </c>
      <c r="Z214" s="240">
        <f>X214+Z215-Z213</f>
        <v>19971.61132</v>
      </c>
      <c r="AA214" s="240">
        <f>Z214+AA215-AA213</f>
        <v>19832.751885999998</v>
      </c>
      <c r="AB214" s="240">
        <f>AA214+AB215-AB213</f>
        <v>19686.949480299998</v>
      </c>
      <c r="AC214" s="240">
        <f>AB214+AC215-AC213</f>
        <v>19533.856954314997</v>
      </c>
      <c r="AD214" s="239">
        <f>Y214+AD215-AD213</f>
        <v>19533.856954315001</v>
      </c>
      <c r="AE214" s="239">
        <f>AD214+AE215-AE213</f>
        <v>18935.355436345748</v>
      </c>
      <c r="AF214" s="239">
        <f>AE214+AF215-AF213</f>
        <v>18306.928842478035</v>
      </c>
      <c r="AG214" s="239">
        <f>AF214+AG215-AG213</f>
        <v>17647.080918916938</v>
      </c>
      <c r="AH214" s="9"/>
      <c r="AI214" s="9"/>
      <c r="AJ214" s="9"/>
    </row>
    <row r="215" spans="1:36" ht="12.75" hidden="1" customHeight="1" outlineLevel="1">
      <c r="A215" s="9"/>
      <c r="B215" s="9"/>
      <c r="C215" s="103" t="s">
        <v>253</v>
      </c>
      <c r="D215" s="9"/>
      <c r="E215" s="9"/>
      <c r="F215" s="238">
        <f>F214+F213-(0)</f>
        <v>0</v>
      </c>
      <c r="G215" s="238">
        <f>G214+G213-F214</f>
        <v>0</v>
      </c>
      <c r="H215" s="238">
        <f>H214+H213-G214</f>
        <v>0</v>
      </c>
      <c r="I215" s="238">
        <f>I214+I213-H214</f>
        <v>0</v>
      </c>
      <c r="J215" s="239">
        <f>SUM(F215:I215)</f>
        <v>0</v>
      </c>
      <c r="K215" s="238">
        <f>K214+K213-J214</f>
        <v>0</v>
      </c>
      <c r="L215" s="238">
        <f>L214+L213-K214</f>
        <v>0</v>
      </c>
      <c r="M215" s="238">
        <f>M214+M213-15631</f>
        <v>620</v>
      </c>
      <c r="N215" s="238">
        <f>N214+N213-M214</f>
        <v>972</v>
      </c>
      <c r="O215" s="239">
        <f>SUM(M215:N215)</f>
        <v>1592</v>
      </c>
      <c r="P215" s="238">
        <f>P214+P213-O214</f>
        <v>3241</v>
      </c>
      <c r="Q215" s="238">
        <f>Q214+Q213-P214</f>
        <v>-76</v>
      </c>
      <c r="R215" s="238">
        <f>R214+R213-Q214</f>
        <v>-148</v>
      </c>
      <c r="S215" s="238">
        <f>S214+S213-R214</f>
        <v>768</v>
      </c>
      <c r="T215" s="239">
        <f>SUM(P215:S215)</f>
        <v>3785</v>
      </c>
      <c r="U215" s="238">
        <f>U214+U213-T214</f>
        <v>-544</v>
      </c>
      <c r="V215" s="240">
        <f>U215*(1+V216)</f>
        <v>-571.20000000000005</v>
      </c>
      <c r="W215" s="240">
        <f>V215*(1+W216)</f>
        <v>-599.7600000000001</v>
      </c>
      <c r="X215" s="240">
        <f>W215*(1+X216)</f>
        <v>-629.74800000000016</v>
      </c>
      <c r="Y215" s="239">
        <f>SUM(U215:X215)</f>
        <v>-2344.7080000000001</v>
      </c>
      <c r="Z215" s="240">
        <f>X215*(1+Z216)</f>
        <v>-661.23540000000014</v>
      </c>
      <c r="AA215" s="240">
        <f>Z215*(1+AA216)</f>
        <v>-694.29717000000016</v>
      </c>
      <c r="AB215" s="240">
        <f>AA215*(1+AB216)</f>
        <v>-729.01202850000016</v>
      </c>
      <c r="AC215" s="240">
        <f>AB215*(1+AC216)</f>
        <v>-765.46262992500021</v>
      </c>
      <c r="AD215" s="239">
        <f>SUM(Z215:AC215)</f>
        <v>-2850.0072284250009</v>
      </c>
      <c r="AE215" s="239">
        <f>AD215*(1+AE216)</f>
        <v>-2992.507589846251</v>
      </c>
      <c r="AF215" s="239">
        <f>AE215*(1+AF216)</f>
        <v>-3142.1329693385637</v>
      </c>
      <c r="AG215" s="239">
        <f>AF215*(1+AG216)</f>
        <v>-3299.2396178054919</v>
      </c>
      <c r="AH215" s="9"/>
      <c r="AI215" s="9"/>
      <c r="AJ215" s="9"/>
    </row>
    <row r="216" spans="1:36" ht="12.75" hidden="1" customHeight="1" outlineLevel="1">
      <c r="A216" s="9"/>
      <c r="B216" s="9"/>
      <c r="C216" s="84" t="s">
        <v>254</v>
      </c>
      <c r="D216" s="9"/>
      <c r="E216" s="9"/>
      <c r="F216" s="232"/>
      <c r="G216" s="231" t="str">
        <f>IFERROR(G215/F215-1,"--")</f>
        <v>--</v>
      </c>
      <c r="H216" s="231" t="str">
        <f>IFERROR(H215/G215-1,"--")</f>
        <v>--</v>
      </c>
      <c r="I216" s="231" t="str">
        <f>IFERROR(I215/H215-1,"--")</f>
        <v>--</v>
      </c>
      <c r="J216" s="132"/>
      <c r="K216" s="231" t="str">
        <f>IFERROR(K215/I215-1,"--")</f>
        <v>--</v>
      </c>
      <c r="L216" s="231" t="str">
        <f>IFERROR(L215/K215-1,"--")</f>
        <v>--</v>
      </c>
      <c r="M216" s="231" t="str">
        <f>IFERROR(M215/L215-1,"--")</f>
        <v>--</v>
      </c>
      <c r="N216" s="231">
        <f>IFERROR(N215/M215-1,"--")</f>
        <v>0.56774193548387086</v>
      </c>
      <c r="O216" s="219" t="str">
        <f>IFERROR(O215/J215-1,"--")</f>
        <v>--</v>
      </c>
      <c r="P216" s="231">
        <f>IFERROR(P215/N215-1,"--")</f>
        <v>2.3343621399176953</v>
      </c>
      <c r="Q216" s="231">
        <f>IFERROR(Q215/P215-1,"--")</f>
        <v>-1.02344955260722</v>
      </c>
      <c r="R216" s="231">
        <f>IFERROR(R215/Q215-1,"--")</f>
        <v>0.94736842105263164</v>
      </c>
      <c r="S216" s="231">
        <f>IFERROR(S215/R215-1,"--")</f>
        <v>-6.1891891891891895</v>
      </c>
      <c r="T216" s="219">
        <f>IFERROR(T215/O215-1,"--")</f>
        <v>1.3775125628140703</v>
      </c>
      <c r="U216" s="231">
        <f>IFERROR(U215/S215-1,"--")</f>
        <v>-1.7083333333333335</v>
      </c>
      <c r="V216" s="218">
        <f>IF(Case_Scenario="Bull",V217,IF(Case_Scenario="Base",V218,IF(Case_Scenario="bear",V219,"N/A")))</f>
        <v>0.05</v>
      </c>
      <c r="W216" s="218">
        <f>IF(Case_Scenario="Bull",W217,IF(Case_Scenario="Base",W218,IF(Case_Scenario="bear",W219,"N/A")))</f>
        <v>0.05</v>
      </c>
      <c r="X216" s="218">
        <f>IF(Case_Scenario="Bull",X217,IF(Case_Scenario="Base",X218,IF(Case_Scenario="bear",X219,"N/A")))</f>
        <v>0.05</v>
      </c>
      <c r="Y216" s="219"/>
      <c r="Z216" s="218">
        <f>IF(Case_Scenario="Bull",Z217,IF(Case_Scenario="Base",Z218,IF(Case_Scenario="bear",Z219,"N/A")))</f>
        <v>0.05</v>
      </c>
      <c r="AA216" s="218">
        <f>IF(Case_Scenario="Bull",AA217,IF(Case_Scenario="Base",AA218,IF(Case_Scenario="bear",AA219,"N/A")))</f>
        <v>0.05</v>
      </c>
      <c r="AB216" s="218">
        <f>IF(Case_Scenario="Bull",AB217,IF(Case_Scenario="Base",AB218,IF(Case_Scenario="bear",AB219,"N/A")))</f>
        <v>0.05</v>
      </c>
      <c r="AC216" s="218">
        <f>IF(Case_Scenario="Bull",AC217,IF(Case_Scenario="Base",AC218,IF(Case_Scenario="bear",AC219,"N/A")))</f>
        <v>0.05</v>
      </c>
      <c r="AD216" s="219"/>
      <c r="AE216" s="219">
        <f>IF(Case_Scenario="Bull",AE217,IF(Case_Scenario="Base",AE218,IF(Case_Scenario="bear",AE219,"N/A")))</f>
        <v>0.05</v>
      </c>
      <c r="AF216" s="219">
        <f>IF(Case_Scenario="Bull",AF217,IF(Case_Scenario="Base",AF218,IF(Case_Scenario="bear",AF219,"N/A")))</f>
        <v>0.05</v>
      </c>
      <c r="AG216" s="219">
        <f>IF(Case_Scenario="Bull",AG217,IF(Case_Scenario="Base",AG218,IF(Case_Scenario="bear",AG219,"N/A")))</f>
        <v>0.05</v>
      </c>
      <c r="AH216" s="9"/>
      <c r="AI216" s="9"/>
      <c r="AJ216" s="9"/>
    </row>
    <row r="217" spans="1:36" ht="12.75" hidden="1" customHeight="1" outlineLevel="1">
      <c r="A217" s="9"/>
      <c r="B217" s="9"/>
      <c r="C217" s="103" t="s">
        <v>245</v>
      </c>
      <c r="D217" s="9"/>
      <c r="E217" s="9"/>
      <c r="F217" s="232"/>
      <c r="G217" s="232"/>
      <c r="H217" s="232"/>
      <c r="I217" s="232"/>
      <c r="J217" s="132"/>
      <c r="K217" s="232"/>
      <c r="L217" s="232"/>
      <c r="M217" s="232"/>
      <c r="N217" s="232"/>
      <c r="O217" s="132"/>
      <c r="P217" s="232"/>
      <c r="Q217" s="232"/>
      <c r="R217" s="232"/>
      <c r="S217" s="232"/>
      <c r="T217" s="132"/>
      <c r="U217" s="232"/>
      <c r="V217" s="233">
        <v>0.1</v>
      </c>
      <c r="W217" s="233">
        <v>0.1</v>
      </c>
      <c r="X217" s="233">
        <v>0.1</v>
      </c>
      <c r="Y217" s="234"/>
      <c r="Z217" s="233">
        <v>0.1</v>
      </c>
      <c r="AA217" s="233">
        <v>0.1</v>
      </c>
      <c r="AB217" s="233">
        <v>0.1</v>
      </c>
      <c r="AC217" s="233">
        <v>0.1</v>
      </c>
      <c r="AD217" s="234"/>
      <c r="AE217" s="234">
        <v>0.1</v>
      </c>
      <c r="AF217" s="234">
        <v>0.1</v>
      </c>
      <c r="AG217" s="234">
        <v>0.1</v>
      </c>
      <c r="AH217" s="9"/>
      <c r="AI217" s="9"/>
      <c r="AJ217" s="9"/>
    </row>
    <row r="218" spans="1:36" ht="12.75" hidden="1" customHeight="1" outlineLevel="1">
      <c r="A218" s="9"/>
      <c r="B218" s="9"/>
      <c r="C218" s="103" t="s">
        <v>246</v>
      </c>
      <c r="D218" s="9"/>
      <c r="E218" s="9"/>
      <c r="F218" s="232"/>
      <c r="G218" s="232"/>
      <c r="H218" s="232"/>
      <c r="I218" s="232"/>
      <c r="J218" s="132"/>
      <c r="K218" s="232"/>
      <c r="L218" s="232"/>
      <c r="M218" s="232"/>
      <c r="N218" s="232"/>
      <c r="O218" s="132"/>
      <c r="P218" s="232"/>
      <c r="Q218" s="232"/>
      <c r="R218" s="232"/>
      <c r="S218" s="232"/>
      <c r="T218" s="132"/>
      <c r="U218" s="232"/>
      <c r="V218" s="233">
        <v>0.05</v>
      </c>
      <c r="W218" s="233">
        <v>0.05</v>
      </c>
      <c r="X218" s="233">
        <v>0.05</v>
      </c>
      <c r="Y218" s="234"/>
      <c r="Z218" s="233">
        <v>0.05</v>
      </c>
      <c r="AA218" s="233">
        <v>0.05</v>
      </c>
      <c r="AB218" s="233">
        <v>0.05</v>
      </c>
      <c r="AC218" s="233">
        <v>0.05</v>
      </c>
      <c r="AD218" s="234"/>
      <c r="AE218" s="234">
        <v>0.05</v>
      </c>
      <c r="AF218" s="234">
        <v>0.05</v>
      </c>
      <c r="AG218" s="234">
        <v>0.05</v>
      </c>
      <c r="AH218" s="9"/>
      <c r="AI218" s="9"/>
      <c r="AJ218" s="9"/>
    </row>
    <row r="219" spans="1:36" ht="12.75" hidden="1" customHeight="1" outlineLevel="1">
      <c r="A219" s="9"/>
      <c r="B219" s="9"/>
      <c r="C219" s="103" t="s">
        <v>247</v>
      </c>
      <c r="D219" s="9"/>
      <c r="E219" s="9"/>
      <c r="F219" s="232"/>
      <c r="G219" s="232"/>
      <c r="H219" s="232"/>
      <c r="I219" s="232"/>
      <c r="J219" s="132"/>
      <c r="K219" s="232"/>
      <c r="L219" s="232"/>
      <c r="M219" s="232"/>
      <c r="N219" s="232"/>
      <c r="O219" s="132"/>
      <c r="P219" s="232"/>
      <c r="Q219" s="232"/>
      <c r="R219" s="232"/>
      <c r="S219" s="232"/>
      <c r="T219" s="132"/>
      <c r="U219" s="232"/>
      <c r="V219" s="233">
        <v>0</v>
      </c>
      <c r="W219" s="233">
        <v>0</v>
      </c>
      <c r="X219" s="233">
        <v>0</v>
      </c>
      <c r="Y219" s="234"/>
      <c r="Z219" s="233">
        <v>0</v>
      </c>
      <c r="AA219" s="233">
        <v>0</v>
      </c>
      <c r="AB219" s="233">
        <v>0</v>
      </c>
      <c r="AC219" s="233">
        <v>0</v>
      </c>
      <c r="AD219" s="234"/>
      <c r="AE219" s="234">
        <v>0</v>
      </c>
      <c r="AF219" s="234">
        <v>0</v>
      </c>
      <c r="AG219" s="234">
        <v>0</v>
      </c>
      <c r="AH219" s="9"/>
      <c r="AI219" s="9"/>
      <c r="AJ219" s="9"/>
    </row>
    <row r="220" spans="1:36" ht="12.75" hidden="1" customHeight="1" outlineLevel="1">
      <c r="A220" s="9"/>
      <c r="B220" s="9"/>
      <c r="C220" s="103" t="s">
        <v>255</v>
      </c>
      <c r="D220" s="9"/>
      <c r="E220" s="9"/>
      <c r="F220" s="252" t="e">
        <f t="shared" ref="F220:U220" si="50">F215/F213</f>
        <v>#DIV/0!</v>
      </c>
      <c r="G220" s="252" t="e">
        <f t="shared" si="50"/>
        <v>#DIV/0!</v>
      </c>
      <c r="H220" s="252" t="e">
        <f t="shared" si="50"/>
        <v>#DIV/0!</v>
      </c>
      <c r="I220" s="252" t="e">
        <f t="shared" si="50"/>
        <v>#DIV/0!</v>
      </c>
      <c r="J220" s="253" t="e">
        <f t="shared" si="50"/>
        <v>#DIV/0!</v>
      </c>
      <c r="K220" s="252" t="e">
        <f t="shared" si="50"/>
        <v>#DIV/0!</v>
      </c>
      <c r="L220" s="252" t="e">
        <f t="shared" si="50"/>
        <v>#DIV/0!</v>
      </c>
      <c r="M220" s="252" t="e">
        <f t="shared" si="50"/>
        <v>#DIV/0!</v>
      </c>
      <c r="N220" s="252" t="e">
        <f t="shared" si="50"/>
        <v>#DIV/0!</v>
      </c>
      <c r="O220" s="253" t="e">
        <f t="shared" si="50"/>
        <v>#DIV/0!</v>
      </c>
      <c r="P220" s="252" t="e">
        <f t="shared" si="50"/>
        <v>#DIV/0!</v>
      </c>
      <c r="Q220" s="252" t="e">
        <f t="shared" si="50"/>
        <v>#DIV/0!</v>
      </c>
      <c r="R220" s="252" t="e">
        <f t="shared" si="50"/>
        <v>#DIV/0!</v>
      </c>
      <c r="S220" s="252" t="e">
        <f t="shared" si="50"/>
        <v>#DIV/0!</v>
      </c>
      <c r="T220" s="253" t="e">
        <f t="shared" si="50"/>
        <v>#DIV/0!</v>
      </c>
      <c r="U220" s="252" t="e">
        <f t="shared" si="50"/>
        <v>#DIV/0!</v>
      </c>
      <c r="V220" s="247">
        <f>IF(Case_Scenario="Bull",V221,IF(Case_Scenario="Base",V222,IF(Case_Scenario="bear",V223,"N/A")))</f>
        <v>1.25</v>
      </c>
      <c r="W220" s="247">
        <f>IF(Case_Scenario="Bull",W221,IF(Case_Scenario="Base",W222,IF(Case_Scenario="bear",W223,"N/A")))</f>
        <v>1.25</v>
      </c>
      <c r="X220" s="247">
        <f>IF(Case_Scenario="Bull",X221,IF(Case_Scenario="Base",X222,IF(Case_Scenario="bear",X223,"N/A")))</f>
        <v>1.25</v>
      </c>
      <c r="Y220" s="246" t="e">
        <f>AVERAGE(U220:X220)</f>
        <v>#DIV/0!</v>
      </c>
      <c r="Z220" s="247">
        <f>IF(Case_Scenario="Bull",Z221,IF(Case_Scenario="Base",Z222,IF(Case_Scenario="bear",Z223,"N/A")))</f>
        <v>1.25</v>
      </c>
      <c r="AA220" s="247">
        <f>IF(Case_Scenario="Bull",AA221,IF(Case_Scenario="Base",AA222,IF(Case_Scenario="bear",AA223,"N/A")))</f>
        <v>1.25</v>
      </c>
      <c r="AB220" s="247">
        <f>IF(Case_Scenario="Bull",AB221,IF(Case_Scenario="Base",AB222,IF(Case_Scenario="bear",AB223,"N/A")))</f>
        <v>1.25</v>
      </c>
      <c r="AC220" s="247">
        <f>IF(Case_Scenario="Bull",AC221,IF(Case_Scenario="Base",AC222,IF(Case_Scenario="bear",AC223,"N/A")))</f>
        <v>1.25</v>
      </c>
      <c r="AD220" s="246">
        <f>AVERAGE(Z220:AC220)</f>
        <v>1.25</v>
      </c>
      <c r="AE220" s="246">
        <f>IF(Case_Scenario="Bull",AE221,IF(Case_Scenario="Base",AE222,IF(Case_Scenario="bear",AE223,"N/A")))</f>
        <v>1.25</v>
      </c>
      <c r="AF220" s="246">
        <f>IF(Case_Scenario="Bull",AF221,IF(Case_Scenario="Base",AF222,IF(Case_Scenario="bear",AF223,"N/A")))</f>
        <v>1.25</v>
      </c>
      <c r="AG220" s="246">
        <f>IF(Case_Scenario="Bull",AG221,IF(Case_Scenario="Base",AG222,IF(Case_Scenario="bear",AG223,"N/A")))</f>
        <v>1.25</v>
      </c>
      <c r="AH220" s="9"/>
      <c r="AI220" s="9"/>
      <c r="AJ220" s="9"/>
    </row>
    <row r="221" spans="1:36" ht="12.75" hidden="1" customHeight="1" outlineLevel="1">
      <c r="A221" s="9"/>
      <c r="B221" s="9"/>
      <c r="C221" s="103" t="s">
        <v>245</v>
      </c>
      <c r="D221" s="9"/>
      <c r="E221" s="9"/>
      <c r="F221" s="232"/>
      <c r="G221" s="231"/>
      <c r="H221" s="231"/>
      <c r="I221" s="231"/>
      <c r="J221" s="132"/>
      <c r="K221" s="231"/>
      <c r="L221" s="231"/>
      <c r="M221" s="231"/>
      <c r="N221" s="231"/>
      <c r="O221" s="219"/>
      <c r="P221" s="231"/>
      <c r="Q221" s="231"/>
      <c r="R221" s="231"/>
      <c r="S221" s="231"/>
      <c r="T221" s="219"/>
      <c r="U221" s="231"/>
      <c r="V221" s="250">
        <v>1</v>
      </c>
      <c r="W221" s="250">
        <v>1</v>
      </c>
      <c r="X221" s="250">
        <v>1</v>
      </c>
      <c r="Y221" s="251"/>
      <c r="Z221" s="250">
        <v>1</v>
      </c>
      <c r="AA221" s="250">
        <v>1</v>
      </c>
      <c r="AB221" s="250">
        <v>1</v>
      </c>
      <c r="AC221" s="250">
        <v>1</v>
      </c>
      <c r="AD221" s="251"/>
      <c r="AE221" s="251">
        <v>1</v>
      </c>
      <c r="AF221" s="251">
        <v>1</v>
      </c>
      <c r="AG221" s="251">
        <v>1</v>
      </c>
      <c r="AH221" s="9"/>
      <c r="AI221" s="9"/>
      <c r="AJ221" s="9"/>
    </row>
    <row r="222" spans="1:36" ht="12.75" hidden="1" customHeight="1" outlineLevel="1">
      <c r="A222" s="9"/>
      <c r="B222" s="9"/>
      <c r="C222" s="103" t="s">
        <v>246</v>
      </c>
      <c r="D222" s="9"/>
      <c r="E222" s="9"/>
      <c r="F222" s="232"/>
      <c r="G222" s="232"/>
      <c r="H222" s="232"/>
      <c r="I222" s="232"/>
      <c r="J222" s="132"/>
      <c r="K222" s="232"/>
      <c r="L222" s="232"/>
      <c r="M222" s="232"/>
      <c r="N222" s="232"/>
      <c r="O222" s="132"/>
      <c r="P222" s="232"/>
      <c r="Q222" s="232"/>
      <c r="R222" s="232"/>
      <c r="S222" s="232"/>
      <c r="T222" s="132"/>
      <c r="U222" s="232"/>
      <c r="V222" s="250">
        <v>1.25</v>
      </c>
      <c r="W222" s="250">
        <v>1.25</v>
      </c>
      <c r="X222" s="250">
        <v>1.25</v>
      </c>
      <c r="Y222" s="251"/>
      <c r="Z222" s="250">
        <v>1.25</v>
      </c>
      <c r="AA222" s="250">
        <v>1.25</v>
      </c>
      <c r="AB222" s="250">
        <v>1.25</v>
      </c>
      <c r="AC222" s="250">
        <v>1.25</v>
      </c>
      <c r="AD222" s="251"/>
      <c r="AE222" s="251">
        <v>1.25</v>
      </c>
      <c r="AF222" s="251">
        <v>1.25</v>
      </c>
      <c r="AG222" s="251">
        <v>1.25</v>
      </c>
      <c r="AH222" s="9"/>
      <c r="AI222" s="9"/>
      <c r="AJ222" s="9"/>
    </row>
    <row r="223" spans="1:36" ht="12.75" hidden="1" customHeight="1" outlineLevel="1">
      <c r="A223" s="9"/>
      <c r="B223" s="9"/>
      <c r="C223" s="103" t="s">
        <v>247</v>
      </c>
      <c r="D223" s="9"/>
      <c r="E223" s="9"/>
      <c r="F223" s="232"/>
      <c r="G223" s="232"/>
      <c r="H223" s="232"/>
      <c r="I223" s="232"/>
      <c r="J223" s="132"/>
      <c r="K223" s="232"/>
      <c r="L223" s="232"/>
      <c r="M223" s="232"/>
      <c r="N223" s="232"/>
      <c r="O223" s="132"/>
      <c r="P223" s="232"/>
      <c r="Q223" s="232"/>
      <c r="R223" s="232"/>
      <c r="S223" s="232"/>
      <c r="T223" s="132"/>
      <c r="U223" s="232"/>
      <c r="V223" s="250">
        <v>1.5</v>
      </c>
      <c r="W223" s="250">
        <v>1.5</v>
      </c>
      <c r="X223" s="250">
        <v>1.5</v>
      </c>
      <c r="Y223" s="251"/>
      <c r="Z223" s="250">
        <v>1.5</v>
      </c>
      <c r="AA223" s="250">
        <v>1.5</v>
      </c>
      <c r="AB223" s="250">
        <v>1.5</v>
      </c>
      <c r="AC223" s="250">
        <v>1.5</v>
      </c>
      <c r="AD223" s="251"/>
      <c r="AE223" s="251">
        <v>1.5</v>
      </c>
      <c r="AF223" s="251">
        <v>1.5</v>
      </c>
      <c r="AG223" s="251">
        <v>1.5</v>
      </c>
      <c r="AH223" s="9"/>
      <c r="AI223" s="9"/>
      <c r="AJ223" s="9"/>
    </row>
    <row r="224" spans="1:36" ht="12.75" hidden="1" customHeight="1" outlineLevel="1">
      <c r="A224" s="9"/>
      <c r="B224" s="9"/>
      <c r="C224" s="9"/>
      <c r="D224" s="9"/>
      <c r="E224" s="9"/>
      <c r="F224" s="232"/>
      <c r="G224" s="232"/>
      <c r="H224" s="232"/>
      <c r="I224" s="232"/>
      <c r="J224" s="132"/>
      <c r="K224" s="232"/>
      <c r="L224" s="232"/>
      <c r="M224" s="232"/>
      <c r="N224" s="232"/>
      <c r="O224" s="132"/>
      <c r="P224" s="232"/>
      <c r="Q224" s="232"/>
      <c r="R224" s="232"/>
      <c r="S224" s="232"/>
      <c r="T224" s="132"/>
      <c r="U224" s="232"/>
      <c r="V224" s="233"/>
      <c r="W224" s="233"/>
      <c r="X224" s="233"/>
      <c r="Y224" s="234"/>
      <c r="Z224" s="233"/>
      <c r="AA224" s="233"/>
      <c r="AB224" s="233"/>
      <c r="AC224" s="233"/>
      <c r="AD224" s="234"/>
      <c r="AE224" s="234"/>
      <c r="AF224" s="234"/>
      <c r="AG224" s="234"/>
      <c r="AH224" s="9"/>
      <c r="AI224" s="9"/>
      <c r="AJ224" s="9"/>
    </row>
    <row r="225" spans="1:36" ht="12.75" hidden="1" customHeight="1" outlineLevel="1">
      <c r="A225" s="180" t="s">
        <v>0</v>
      </c>
      <c r="B225" s="9"/>
      <c r="C225" s="103" t="str">
        <f>C47</f>
        <v>Segment 6 Revenue</v>
      </c>
      <c r="D225" s="9"/>
      <c r="E225" s="9"/>
      <c r="F225" s="230">
        <f t="shared" ref="F225:U225" si="51">F47</f>
        <v>0</v>
      </c>
      <c r="G225" s="230">
        <f t="shared" si="51"/>
        <v>0</v>
      </c>
      <c r="H225" s="230">
        <f t="shared" si="51"/>
        <v>0</v>
      </c>
      <c r="I225" s="230">
        <f t="shared" si="51"/>
        <v>0</v>
      </c>
      <c r="J225" s="202">
        <f t="shared" si="51"/>
        <v>0</v>
      </c>
      <c r="K225" s="230">
        <f t="shared" si="51"/>
        <v>0</v>
      </c>
      <c r="L225" s="230">
        <f t="shared" si="51"/>
        <v>0</v>
      </c>
      <c r="M225" s="230">
        <f t="shared" si="51"/>
        <v>0</v>
      </c>
      <c r="N225" s="230">
        <f t="shared" si="51"/>
        <v>0</v>
      </c>
      <c r="O225" s="202">
        <f t="shared" si="51"/>
        <v>0</v>
      </c>
      <c r="P225" s="230">
        <f t="shared" si="51"/>
        <v>0</v>
      </c>
      <c r="Q225" s="230">
        <f t="shared" si="51"/>
        <v>0</v>
      </c>
      <c r="R225" s="230">
        <f t="shared" si="51"/>
        <v>0</v>
      </c>
      <c r="S225" s="230">
        <f t="shared" si="51"/>
        <v>0</v>
      </c>
      <c r="T225" s="202">
        <f t="shared" si="51"/>
        <v>0</v>
      </c>
      <c r="U225" s="230">
        <f t="shared" si="51"/>
        <v>0</v>
      </c>
      <c r="V225" s="201">
        <f>V227/V232</f>
        <v>0</v>
      </c>
      <c r="W225" s="201">
        <f>W227/W232</f>
        <v>0</v>
      </c>
      <c r="X225" s="201">
        <f>X227/X232</f>
        <v>0</v>
      </c>
      <c r="Y225" s="202">
        <f>SUM(U225:X225)</f>
        <v>0</v>
      </c>
      <c r="Z225" s="201">
        <f>Z227/Z232</f>
        <v>0</v>
      </c>
      <c r="AA225" s="201">
        <f>AA227/AA232</f>
        <v>0</v>
      </c>
      <c r="AB225" s="201">
        <f>AB227/AB232</f>
        <v>0</v>
      </c>
      <c r="AC225" s="201">
        <f>AC227/AC232</f>
        <v>0</v>
      </c>
      <c r="AD225" s="202">
        <f>SUM(Z225:AC225)</f>
        <v>0</v>
      </c>
      <c r="AE225" s="202">
        <f>AE227/AE232</f>
        <v>0</v>
      </c>
      <c r="AF225" s="202">
        <f>AF227/AF232</f>
        <v>0</v>
      </c>
      <c r="AG225" s="202">
        <f>AG227/AG232</f>
        <v>0</v>
      </c>
      <c r="AH225" s="9"/>
      <c r="AI225" s="9"/>
      <c r="AJ225" s="9"/>
    </row>
    <row r="226" spans="1:36" ht="12.75" hidden="1" customHeight="1" outlineLevel="1">
      <c r="A226" s="9"/>
      <c r="B226" s="9"/>
      <c r="C226" s="103" t="s">
        <v>238</v>
      </c>
      <c r="D226" s="9"/>
      <c r="E226" s="9"/>
      <c r="F226" s="238">
        <v>0</v>
      </c>
      <c r="G226" s="238">
        <v>0</v>
      </c>
      <c r="H226" s="238">
        <v>0</v>
      </c>
      <c r="I226" s="238">
        <v>0</v>
      </c>
      <c r="J226" s="239">
        <v>0</v>
      </c>
      <c r="K226" s="238">
        <v>0</v>
      </c>
      <c r="L226" s="238">
        <v>0</v>
      </c>
      <c r="M226" s="238">
        <v>0</v>
      </c>
      <c r="N226" s="238">
        <v>0</v>
      </c>
      <c r="O226" s="239">
        <v>0</v>
      </c>
      <c r="P226" s="238">
        <v>0</v>
      </c>
      <c r="Q226" s="238">
        <v>0</v>
      </c>
      <c r="R226" s="238">
        <v>0</v>
      </c>
      <c r="S226" s="238">
        <v>0</v>
      </c>
      <c r="T226" s="239">
        <v>0</v>
      </c>
      <c r="U226" s="238">
        <v>0</v>
      </c>
      <c r="V226" s="240">
        <f>U226+V227-V225</f>
        <v>0</v>
      </c>
      <c r="W226" s="240">
        <f>V226+W227-W225</f>
        <v>0</v>
      </c>
      <c r="X226" s="240">
        <f>W226+X227-X225</f>
        <v>0</v>
      </c>
      <c r="Y226" s="239">
        <f>T226+Y227-Y225</f>
        <v>0</v>
      </c>
      <c r="Z226" s="240">
        <f>X226+Z227-Z225</f>
        <v>0</v>
      </c>
      <c r="AA226" s="240">
        <f>Z226+AA227-AA225</f>
        <v>0</v>
      </c>
      <c r="AB226" s="240">
        <f>AA226+AB227-AB225</f>
        <v>0</v>
      </c>
      <c r="AC226" s="240">
        <f>AB226+AC227-AC225</f>
        <v>0</v>
      </c>
      <c r="AD226" s="239">
        <f>Y226+AD227-AD225</f>
        <v>0</v>
      </c>
      <c r="AE226" s="239">
        <f>AD226+AE227-AE225</f>
        <v>0</v>
      </c>
      <c r="AF226" s="239">
        <f>AE226+AF227-AF225</f>
        <v>0</v>
      </c>
      <c r="AG226" s="239">
        <f>AF226+AG227-AG225</f>
        <v>0</v>
      </c>
      <c r="AH226" s="9"/>
      <c r="AI226" s="9"/>
      <c r="AJ226" s="9"/>
    </row>
    <row r="227" spans="1:36" ht="12.75" hidden="1" customHeight="1" outlineLevel="1">
      <c r="A227" s="9"/>
      <c r="B227" s="9"/>
      <c r="C227" s="103" t="s">
        <v>253</v>
      </c>
      <c r="D227" s="9"/>
      <c r="E227" s="9"/>
      <c r="F227" s="238">
        <f>F226+F225-(0)</f>
        <v>0</v>
      </c>
      <c r="G227" s="238">
        <f>G226+G225-F226</f>
        <v>0</v>
      </c>
      <c r="H227" s="238">
        <f>H226+H225-G226</f>
        <v>0</v>
      </c>
      <c r="I227" s="238">
        <f>I226+I225-H226</f>
        <v>0</v>
      </c>
      <c r="J227" s="239">
        <f>SUM(F227:I227)</f>
        <v>0</v>
      </c>
      <c r="K227" s="238">
        <f>K226+K225-J226</f>
        <v>0</v>
      </c>
      <c r="L227" s="238">
        <f>L226+L225-K226</f>
        <v>0</v>
      </c>
      <c r="M227" s="238">
        <f>M226+M225-L226</f>
        <v>0</v>
      </c>
      <c r="N227" s="238">
        <f>N226+N225-M226</f>
        <v>0</v>
      </c>
      <c r="O227" s="239">
        <f>SUM(K227:N227)</f>
        <v>0</v>
      </c>
      <c r="P227" s="238">
        <f>P226+P225-O226</f>
        <v>0</v>
      </c>
      <c r="Q227" s="238">
        <f>Q226+Q225-P226</f>
        <v>0</v>
      </c>
      <c r="R227" s="238">
        <f>R226+R225-Q226</f>
        <v>0</v>
      </c>
      <c r="S227" s="238">
        <f>S226+S225-R226</f>
        <v>0</v>
      </c>
      <c r="T227" s="239">
        <f>SUM(P227:S227)</f>
        <v>0</v>
      </c>
      <c r="U227" s="238">
        <f>U226+U225-T226</f>
        <v>0</v>
      </c>
      <c r="V227" s="240">
        <f>U227*(1+V228)</f>
        <v>0</v>
      </c>
      <c r="W227" s="240">
        <f>V227*(1+W228)</f>
        <v>0</v>
      </c>
      <c r="X227" s="240">
        <f>W227*(1+X228)</f>
        <v>0</v>
      </c>
      <c r="Y227" s="239">
        <f>SUM(U227:X227)</f>
        <v>0</v>
      </c>
      <c r="Z227" s="240">
        <f>X227*(1+Z228)</f>
        <v>0</v>
      </c>
      <c r="AA227" s="240">
        <f>Z227*(1+AA228)</f>
        <v>0</v>
      </c>
      <c r="AB227" s="240">
        <f>AA227*(1+AB228)</f>
        <v>0</v>
      </c>
      <c r="AC227" s="240">
        <f>AB227*(1+AC228)</f>
        <v>0</v>
      </c>
      <c r="AD227" s="239">
        <f>SUM(Z227:AC227)</f>
        <v>0</v>
      </c>
      <c r="AE227" s="239">
        <f>AD227*(1+AE228)</f>
        <v>0</v>
      </c>
      <c r="AF227" s="239">
        <f>AE227*(1+AF228)</f>
        <v>0</v>
      </c>
      <c r="AG227" s="239">
        <f>AF227*(1+AG228)</f>
        <v>0</v>
      </c>
      <c r="AH227" s="9"/>
      <c r="AI227" s="9"/>
      <c r="AJ227" s="9"/>
    </row>
    <row r="228" spans="1:36" ht="12.75" hidden="1" customHeight="1" outlineLevel="1">
      <c r="A228" s="9"/>
      <c r="B228" s="9"/>
      <c r="C228" s="84" t="s">
        <v>254</v>
      </c>
      <c r="D228" s="9"/>
      <c r="E228" s="9"/>
      <c r="F228" s="232"/>
      <c r="G228" s="231" t="str">
        <f>IFERROR(G227/F227-1,"--")</f>
        <v>--</v>
      </c>
      <c r="H228" s="231" t="str">
        <f>IFERROR(H227/G227-1,"--")</f>
        <v>--</v>
      </c>
      <c r="I228" s="231" t="str">
        <f>IFERROR(I227/H227-1,"--")</f>
        <v>--</v>
      </c>
      <c r="J228" s="132"/>
      <c r="K228" s="231" t="str">
        <f>IFERROR(K227/I227-1,"--")</f>
        <v>--</v>
      </c>
      <c r="L228" s="231" t="str">
        <f>IFERROR(L227/K227-1,"--")</f>
        <v>--</v>
      </c>
      <c r="M228" s="231" t="str">
        <f>IFERROR(M227/L227-1,"--")</f>
        <v>--</v>
      </c>
      <c r="N228" s="231" t="str">
        <f>IFERROR(N227/M227-1,"--")</f>
        <v>--</v>
      </c>
      <c r="O228" s="219" t="str">
        <f>IFERROR(O227/J227-1,"--")</f>
        <v>--</v>
      </c>
      <c r="P228" s="231" t="str">
        <f>IFERROR(P227/N227-1,"--")</f>
        <v>--</v>
      </c>
      <c r="Q228" s="231" t="str">
        <f>IFERROR(Q227/P227-1,"--")</f>
        <v>--</v>
      </c>
      <c r="R228" s="231" t="str">
        <f>IFERROR(R227/Q227-1,"--")</f>
        <v>--</v>
      </c>
      <c r="S228" s="231" t="str">
        <f>IFERROR(S227/R227-1,"--")</f>
        <v>--</v>
      </c>
      <c r="T228" s="219" t="str">
        <f>IFERROR(T227/O227-1,"--")</f>
        <v>--</v>
      </c>
      <c r="U228" s="231" t="str">
        <f>IFERROR(U227/S227-1,"--")</f>
        <v>--</v>
      </c>
      <c r="V228" s="218">
        <f>IF(Case_Scenario="Bull",V229,IF(Case_Scenario="Base",V230,IF(Case_Scenario="bear",V231,"N/A")))</f>
        <v>0.05</v>
      </c>
      <c r="W228" s="218">
        <f>IF(Case_Scenario="Bull",W229,IF(Case_Scenario="Base",W230,IF(Case_Scenario="bear",W231,"N/A")))</f>
        <v>0.05</v>
      </c>
      <c r="X228" s="218">
        <f>IF(Case_Scenario="Bull",X229,IF(Case_Scenario="Base",X230,IF(Case_Scenario="bear",X231,"N/A")))</f>
        <v>0.05</v>
      </c>
      <c r="Y228" s="219"/>
      <c r="Z228" s="218">
        <f>IF(Case_Scenario="Bull",Z229,IF(Case_Scenario="Base",Z230,IF(Case_Scenario="bear",Z231,"N/A")))</f>
        <v>0.05</v>
      </c>
      <c r="AA228" s="218">
        <f>IF(Case_Scenario="Bull",AA229,IF(Case_Scenario="Base",AA230,IF(Case_Scenario="bear",AA231,"N/A")))</f>
        <v>0.05</v>
      </c>
      <c r="AB228" s="218">
        <f>IF(Case_Scenario="Bull",AB229,IF(Case_Scenario="Base",AB230,IF(Case_Scenario="bear",AB231,"N/A")))</f>
        <v>0.05</v>
      </c>
      <c r="AC228" s="218">
        <f>IF(Case_Scenario="Bull",AC229,IF(Case_Scenario="Base",AC230,IF(Case_Scenario="bear",AC231,"N/A")))</f>
        <v>0.05</v>
      </c>
      <c r="AD228" s="219"/>
      <c r="AE228" s="219">
        <f>IF(Case_Scenario="Bull",AE229,IF(Case_Scenario="Base",AE230,IF(Case_Scenario="bear",AE231,"N/A")))</f>
        <v>0.05</v>
      </c>
      <c r="AF228" s="219">
        <f>IF(Case_Scenario="Bull",AF229,IF(Case_Scenario="Base",AF230,IF(Case_Scenario="bear",AF231,"N/A")))</f>
        <v>0.05</v>
      </c>
      <c r="AG228" s="219">
        <f>IF(Case_Scenario="Bull",AG229,IF(Case_Scenario="Base",AG230,IF(Case_Scenario="bear",AG231,"N/A")))</f>
        <v>0.05</v>
      </c>
      <c r="AH228" s="9"/>
      <c r="AI228" s="9"/>
      <c r="AJ228" s="9"/>
    </row>
    <row r="229" spans="1:36" ht="12.75" hidden="1" customHeight="1" outlineLevel="1">
      <c r="A229" s="9"/>
      <c r="B229" s="9"/>
      <c r="C229" s="103" t="s">
        <v>245</v>
      </c>
      <c r="D229" s="9"/>
      <c r="E229" s="9"/>
      <c r="F229" s="232"/>
      <c r="G229" s="232"/>
      <c r="H229" s="232"/>
      <c r="I229" s="232"/>
      <c r="J229" s="132"/>
      <c r="K229" s="232"/>
      <c r="L229" s="232"/>
      <c r="M229" s="232"/>
      <c r="N229" s="232"/>
      <c r="O229" s="132"/>
      <c r="P229" s="232"/>
      <c r="Q229" s="232"/>
      <c r="R229" s="232"/>
      <c r="S229" s="232"/>
      <c r="T229" s="132"/>
      <c r="U229" s="232"/>
      <c r="V229" s="233">
        <v>0.1</v>
      </c>
      <c r="W229" s="233">
        <v>0.1</v>
      </c>
      <c r="X229" s="233">
        <v>0.1</v>
      </c>
      <c r="Y229" s="234"/>
      <c r="Z229" s="233">
        <v>0.1</v>
      </c>
      <c r="AA229" s="233">
        <v>0.1</v>
      </c>
      <c r="AB229" s="233">
        <v>0.1</v>
      </c>
      <c r="AC229" s="233">
        <v>0.1</v>
      </c>
      <c r="AD229" s="234"/>
      <c r="AE229" s="234">
        <v>0.1</v>
      </c>
      <c r="AF229" s="234">
        <v>0.1</v>
      </c>
      <c r="AG229" s="234">
        <v>0.1</v>
      </c>
      <c r="AH229" s="9"/>
      <c r="AI229" s="9"/>
      <c r="AJ229" s="9"/>
    </row>
    <row r="230" spans="1:36" ht="12.75" hidden="1" customHeight="1" outlineLevel="1">
      <c r="A230" s="9"/>
      <c r="B230" s="9"/>
      <c r="C230" s="103" t="s">
        <v>246</v>
      </c>
      <c r="D230" s="9"/>
      <c r="E230" s="9"/>
      <c r="F230" s="232"/>
      <c r="G230" s="232"/>
      <c r="H230" s="232"/>
      <c r="I230" s="232"/>
      <c r="J230" s="132"/>
      <c r="K230" s="232"/>
      <c r="L230" s="232"/>
      <c r="M230" s="232"/>
      <c r="N230" s="232"/>
      <c r="O230" s="132"/>
      <c r="P230" s="232"/>
      <c r="Q230" s="232"/>
      <c r="R230" s="232"/>
      <c r="S230" s="232"/>
      <c r="T230" s="132"/>
      <c r="U230" s="232"/>
      <c r="V230" s="233">
        <v>0.05</v>
      </c>
      <c r="W230" s="233">
        <v>0.05</v>
      </c>
      <c r="X230" s="233">
        <v>0.05</v>
      </c>
      <c r="Y230" s="234"/>
      <c r="Z230" s="233">
        <v>0.05</v>
      </c>
      <c r="AA230" s="233">
        <v>0.05</v>
      </c>
      <c r="AB230" s="233">
        <v>0.05</v>
      </c>
      <c r="AC230" s="233">
        <v>0.05</v>
      </c>
      <c r="AD230" s="234"/>
      <c r="AE230" s="234">
        <v>0.05</v>
      </c>
      <c r="AF230" s="234">
        <v>0.05</v>
      </c>
      <c r="AG230" s="234">
        <v>0.05</v>
      </c>
      <c r="AH230" s="9"/>
      <c r="AI230" s="9"/>
      <c r="AJ230" s="9"/>
    </row>
    <row r="231" spans="1:36" ht="12.75" hidden="1" customHeight="1" outlineLevel="1">
      <c r="A231" s="9"/>
      <c r="B231" s="9"/>
      <c r="C231" s="103" t="s">
        <v>247</v>
      </c>
      <c r="D231" s="9"/>
      <c r="E231" s="9"/>
      <c r="F231" s="232"/>
      <c r="G231" s="232"/>
      <c r="H231" s="232"/>
      <c r="I231" s="232"/>
      <c r="J231" s="132"/>
      <c r="K231" s="232"/>
      <c r="L231" s="232"/>
      <c r="M231" s="232"/>
      <c r="N231" s="232"/>
      <c r="O231" s="132"/>
      <c r="P231" s="232"/>
      <c r="Q231" s="232"/>
      <c r="R231" s="232"/>
      <c r="S231" s="232"/>
      <c r="T231" s="132"/>
      <c r="U231" s="232"/>
      <c r="V231" s="233">
        <v>0</v>
      </c>
      <c r="W231" s="233">
        <v>0</v>
      </c>
      <c r="X231" s="233">
        <v>0</v>
      </c>
      <c r="Y231" s="234"/>
      <c r="Z231" s="233">
        <v>0</v>
      </c>
      <c r="AA231" s="233">
        <v>0</v>
      </c>
      <c r="AB231" s="233">
        <v>0</v>
      </c>
      <c r="AC231" s="233">
        <v>0</v>
      </c>
      <c r="AD231" s="234"/>
      <c r="AE231" s="234">
        <v>0</v>
      </c>
      <c r="AF231" s="234">
        <v>0</v>
      </c>
      <c r="AG231" s="234">
        <v>0</v>
      </c>
      <c r="AH231" s="9"/>
      <c r="AI231" s="9"/>
      <c r="AJ231" s="9"/>
    </row>
    <row r="232" spans="1:36" ht="12.75" hidden="1" customHeight="1" outlineLevel="1">
      <c r="A232" s="9"/>
      <c r="B232" s="9"/>
      <c r="C232" s="103" t="s">
        <v>255</v>
      </c>
      <c r="D232" s="9"/>
      <c r="E232" s="9"/>
      <c r="F232" s="252" t="e">
        <f t="shared" ref="F232:U232" si="52">F227/F225</f>
        <v>#DIV/0!</v>
      </c>
      <c r="G232" s="252" t="e">
        <f t="shared" si="52"/>
        <v>#DIV/0!</v>
      </c>
      <c r="H232" s="252" t="e">
        <f t="shared" si="52"/>
        <v>#DIV/0!</v>
      </c>
      <c r="I232" s="252" t="e">
        <f t="shared" si="52"/>
        <v>#DIV/0!</v>
      </c>
      <c r="J232" s="253" t="e">
        <f t="shared" si="52"/>
        <v>#DIV/0!</v>
      </c>
      <c r="K232" s="252" t="e">
        <f t="shared" si="52"/>
        <v>#DIV/0!</v>
      </c>
      <c r="L232" s="252" t="e">
        <f t="shared" si="52"/>
        <v>#DIV/0!</v>
      </c>
      <c r="M232" s="252" t="e">
        <f t="shared" si="52"/>
        <v>#DIV/0!</v>
      </c>
      <c r="N232" s="252" t="e">
        <f t="shared" si="52"/>
        <v>#DIV/0!</v>
      </c>
      <c r="O232" s="253" t="e">
        <f t="shared" si="52"/>
        <v>#DIV/0!</v>
      </c>
      <c r="P232" s="252" t="e">
        <f t="shared" si="52"/>
        <v>#DIV/0!</v>
      </c>
      <c r="Q232" s="252" t="e">
        <f t="shared" si="52"/>
        <v>#DIV/0!</v>
      </c>
      <c r="R232" s="252" t="e">
        <f t="shared" si="52"/>
        <v>#DIV/0!</v>
      </c>
      <c r="S232" s="252" t="e">
        <f t="shared" si="52"/>
        <v>#DIV/0!</v>
      </c>
      <c r="T232" s="253" t="e">
        <f t="shared" si="52"/>
        <v>#DIV/0!</v>
      </c>
      <c r="U232" s="252" t="e">
        <f t="shared" si="52"/>
        <v>#DIV/0!</v>
      </c>
      <c r="V232" s="247">
        <f>IF(Case_Scenario="Bull",V233,IF(Case_Scenario="Base",V234,IF(Case_Scenario="bear",V235,"N/A")))</f>
        <v>1.25</v>
      </c>
      <c r="W232" s="247">
        <f>IF(Case_Scenario="Bull",W233,IF(Case_Scenario="Base",W234,IF(Case_Scenario="bear",W235,"N/A")))</f>
        <v>1.25</v>
      </c>
      <c r="X232" s="247">
        <f>IF(Case_Scenario="Bull",X233,IF(Case_Scenario="Base",X234,IF(Case_Scenario="bear",X235,"N/A")))</f>
        <v>1.25</v>
      </c>
      <c r="Y232" s="246" t="e">
        <f>AVERAGE(U232:X232)</f>
        <v>#DIV/0!</v>
      </c>
      <c r="Z232" s="247">
        <f>IF(Case_Scenario="Bull",Z233,IF(Case_Scenario="Base",Z234,IF(Case_Scenario="bear",Z235,"N/A")))</f>
        <v>1.25</v>
      </c>
      <c r="AA232" s="247">
        <f>IF(Case_Scenario="Bull",AA233,IF(Case_Scenario="Base",AA234,IF(Case_Scenario="bear",AA235,"N/A")))</f>
        <v>1.25</v>
      </c>
      <c r="AB232" s="247">
        <f>IF(Case_Scenario="Bull",AB233,IF(Case_Scenario="Base",AB234,IF(Case_Scenario="bear",AB235,"N/A")))</f>
        <v>1.25</v>
      </c>
      <c r="AC232" s="247">
        <f>IF(Case_Scenario="Bull",AC233,IF(Case_Scenario="Base",AC234,IF(Case_Scenario="bear",AC235,"N/A")))</f>
        <v>1.25</v>
      </c>
      <c r="AD232" s="246">
        <f>AVERAGE(Z232:AC232)</f>
        <v>1.25</v>
      </c>
      <c r="AE232" s="246">
        <f>IF(Case_Scenario="Bull",AE233,IF(Case_Scenario="Base",AE234,IF(Case_Scenario="bear",AE235,"N/A")))</f>
        <v>1.25</v>
      </c>
      <c r="AF232" s="246">
        <f>IF(Case_Scenario="Bull",AF233,IF(Case_Scenario="Base",AF234,IF(Case_Scenario="bear",AF235,"N/A")))</f>
        <v>1.25</v>
      </c>
      <c r="AG232" s="246">
        <f>IF(Case_Scenario="Bull",AG233,IF(Case_Scenario="Base",AG234,IF(Case_Scenario="bear",AG235,"N/A")))</f>
        <v>1.25</v>
      </c>
      <c r="AH232" s="9"/>
      <c r="AI232" s="9"/>
      <c r="AJ232" s="9"/>
    </row>
    <row r="233" spans="1:36" ht="12.75" hidden="1" customHeight="1" outlineLevel="1">
      <c r="A233" s="9"/>
      <c r="B233" s="9"/>
      <c r="C233" s="103" t="s">
        <v>245</v>
      </c>
      <c r="D233" s="9"/>
      <c r="E233" s="9"/>
      <c r="F233" s="232"/>
      <c r="G233" s="231"/>
      <c r="H233" s="231"/>
      <c r="I233" s="231"/>
      <c r="J233" s="132"/>
      <c r="K233" s="231"/>
      <c r="L233" s="231"/>
      <c r="M233" s="231"/>
      <c r="N233" s="231"/>
      <c r="O233" s="219"/>
      <c r="P233" s="231"/>
      <c r="Q233" s="231"/>
      <c r="R233" s="231"/>
      <c r="S233" s="231"/>
      <c r="T233" s="219"/>
      <c r="U233" s="231"/>
      <c r="V233" s="250">
        <v>1</v>
      </c>
      <c r="W233" s="250">
        <v>1</v>
      </c>
      <c r="X233" s="250">
        <v>1</v>
      </c>
      <c r="Y233" s="251"/>
      <c r="Z233" s="250">
        <v>1</v>
      </c>
      <c r="AA233" s="250">
        <v>1</v>
      </c>
      <c r="AB233" s="250">
        <v>1</v>
      </c>
      <c r="AC233" s="250">
        <v>1</v>
      </c>
      <c r="AD233" s="251"/>
      <c r="AE233" s="251">
        <v>1</v>
      </c>
      <c r="AF233" s="251">
        <v>1</v>
      </c>
      <c r="AG233" s="251">
        <v>1</v>
      </c>
      <c r="AH233" s="9"/>
      <c r="AI233" s="9"/>
      <c r="AJ233" s="9"/>
    </row>
    <row r="234" spans="1:36" ht="12.75" hidden="1" customHeight="1" outlineLevel="1">
      <c r="A234" s="9"/>
      <c r="B234" s="9"/>
      <c r="C234" s="103" t="s">
        <v>246</v>
      </c>
      <c r="D234" s="9"/>
      <c r="E234" s="9"/>
      <c r="F234" s="232"/>
      <c r="G234" s="232"/>
      <c r="H234" s="232"/>
      <c r="I234" s="232"/>
      <c r="J234" s="132"/>
      <c r="K234" s="232"/>
      <c r="L234" s="232"/>
      <c r="M234" s="232"/>
      <c r="N234" s="232"/>
      <c r="O234" s="132"/>
      <c r="P234" s="232"/>
      <c r="Q234" s="232"/>
      <c r="R234" s="232"/>
      <c r="S234" s="232"/>
      <c r="T234" s="132"/>
      <c r="U234" s="232"/>
      <c r="V234" s="250">
        <v>1.25</v>
      </c>
      <c r="W234" s="250">
        <v>1.25</v>
      </c>
      <c r="X234" s="250">
        <v>1.25</v>
      </c>
      <c r="Y234" s="251"/>
      <c r="Z234" s="250">
        <v>1.25</v>
      </c>
      <c r="AA234" s="250">
        <v>1.25</v>
      </c>
      <c r="AB234" s="250">
        <v>1.25</v>
      </c>
      <c r="AC234" s="250">
        <v>1.25</v>
      </c>
      <c r="AD234" s="251"/>
      <c r="AE234" s="251">
        <v>1.25</v>
      </c>
      <c r="AF234" s="251">
        <v>1.25</v>
      </c>
      <c r="AG234" s="251">
        <v>1.25</v>
      </c>
      <c r="AH234" s="9"/>
      <c r="AI234" s="9"/>
      <c r="AJ234" s="9"/>
    </row>
    <row r="235" spans="1:36" ht="12.75" hidden="1" customHeight="1" outlineLevel="1">
      <c r="A235" s="9"/>
      <c r="B235" s="9"/>
      <c r="C235" s="103" t="s">
        <v>247</v>
      </c>
      <c r="D235" s="9"/>
      <c r="E235" s="9"/>
      <c r="F235" s="232"/>
      <c r="G235" s="232"/>
      <c r="H235" s="232"/>
      <c r="I235" s="232"/>
      <c r="J235" s="132"/>
      <c r="K235" s="232"/>
      <c r="L235" s="232"/>
      <c r="M235" s="232"/>
      <c r="N235" s="232"/>
      <c r="O235" s="132"/>
      <c r="P235" s="232"/>
      <c r="Q235" s="232"/>
      <c r="R235" s="232"/>
      <c r="S235" s="232"/>
      <c r="T235" s="132"/>
      <c r="U235" s="232"/>
      <c r="V235" s="250">
        <v>1.5</v>
      </c>
      <c r="W235" s="250">
        <v>1.5</v>
      </c>
      <c r="X235" s="250">
        <v>1.5</v>
      </c>
      <c r="Y235" s="251"/>
      <c r="Z235" s="250">
        <v>1.5</v>
      </c>
      <c r="AA235" s="250">
        <v>1.5</v>
      </c>
      <c r="AB235" s="250">
        <v>1.5</v>
      </c>
      <c r="AC235" s="250">
        <v>1.5</v>
      </c>
      <c r="AD235" s="251"/>
      <c r="AE235" s="251">
        <v>1.5</v>
      </c>
      <c r="AF235" s="251">
        <v>1.5</v>
      </c>
      <c r="AG235" s="251">
        <v>1.5</v>
      </c>
      <c r="AH235" s="9"/>
      <c r="AI235" s="9"/>
      <c r="AJ235" s="9"/>
    </row>
    <row r="236" spans="1:36" ht="12.75" hidden="1" customHeight="1" collapsed="1">
      <c r="A236" s="9"/>
      <c r="B236" s="9"/>
      <c r="C236" s="9"/>
      <c r="D236" s="9"/>
      <c r="E236" s="9"/>
      <c r="F236" s="228"/>
      <c r="G236" s="228"/>
      <c r="H236" s="228"/>
      <c r="I236" s="228"/>
      <c r="J236" s="9"/>
      <c r="K236" s="228"/>
      <c r="L236" s="228"/>
      <c r="M236" s="228"/>
      <c r="N236" s="228"/>
      <c r="O236" s="9"/>
      <c r="P236" s="228"/>
      <c r="Q236" s="228"/>
      <c r="R236" s="228"/>
      <c r="S236" s="228"/>
      <c r="T236" s="9"/>
      <c r="U236" s="228"/>
      <c r="V236" s="254"/>
      <c r="W236" s="254"/>
      <c r="X236" s="254"/>
      <c r="Y236" s="255"/>
      <c r="Z236" s="254"/>
      <c r="AA236" s="254"/>
      <c r="AB236" s="254"/>
      <c r="AC236" s="254"/>
      <c r="AD236" s="255"/>
      <c r="AE236" s="255"/>
      <c r="AF236" s="255"/>
      <c r="AG236" s="255"/>
      <c r="AH236" s="9"/>
      <c r="AI236" s="9"/>
      <c r="AJ236" s="9"/>
    </row>
    <row r="237" spans="1:36" ht="12.75" customHeight="1">
      <c r="A237" s="180" t="s">
        <v>0</v>
      </c>
      <c r="B237" s="180" t="s">
        <v>0</v>
      </c>
      <c r="C237" s="50" t="s">
        <v>256</v>
      </c>
      <c r="D237" s="12"/>
      <c r="E237" s="12"/>
      <c r="F237" s="226"/>
      <c r="G237" s="226"/>
      <c r="H237" s="226"/>
      <c r="I237" s="226"/>
      <c r="J237" s="226"/>
      <c r="K237" s="226"/>
      <c r="L237" s="226"/>
      <c r="M237" s="226"/>
      <c r="N237" s="226"/>
      <c r="O237" s="226"/>
      <c r="P237" s="226"/>
      <c r="Q237" s="226"/>
      <c r="R237" s="226"/>
      <c r="S237" s="226"/>
      <c r="T237" s="226"/>
      <c r="U237" s="226"/>
      <c r="V237" s="226"/>
      <c r="W237" s="226"/>
      <c r="X237" s="226"/>
      <c r="Y237" s="226"/>
      <c r="Z237" s="226"/>
      <c r="AA237" s="226"/>
      <c r="AB237" s="226"/>
      <c r="AC237" s="226"/>
      <c r="AD237" s="226"/>
      <c r="AE237" s="226"/>
      <c r="AF237" s="226"/>
      <c r="AG237" s="227"/>
      <c r="AH237" s="192" t="s">
        <v>0</v>
      </c>
      <c r="AI237" s="9"/>
      <c r="AJ237" s="9"/>
    </row>
    <row r="238" spans="1:36" ht="12.75" customHeight="1">
      <c r="A238" s="9"/>
      <c r="B238" s="9"/>
      <c r="C238" s="103"/>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spans="1:36" ht="12.75" customHeight="1">
      <c r="A239" s="9"/>
      <c r="B239" s="9"/>
      <c r="C239" s="84"/>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spans="1:36" ht="12.75" customHeight="1">
      <c r="A240" s="180" t="s">
        <v>0</v>
      </c>
      <c r="B240" s="180" t="s">
        <v>0</v>
      </c>
      <c r="C240" s="103"/>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spans="1:36" ht="12.75" customHeight="1">
      <c r="A241" s="9"/>
      <c r="B241" s="9"/>
      <c r="C241" s="103"/>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spans="1:36" ht="12.75" customHeight="1">
      <c r="A242" s="9"/>
      <c r="B242" s="9"/>
      <c r="C242" s="103"/>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spans="1:36" ht="12.75" customHeight="1">
      <c r="A243" s="9"/>
      <c r="B243" s="9"/>
      <c r="C243" s="103"/>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spans="1:36" ht="12.75" customHeight="1">
      <c r="A244" s="9"/>
      <c r="B244" s="9"/>
      <c r="C244" s="103"/>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spans="1:36" ht="12.75" customHeight="1">
      <c r="A245" s="9"/>
      <c r="B245" s="9"/>
      <c r="C245" s="103"/>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spans="1:36" ht="12.75" customHeight="1">
      <c r="A246" s="9"/>
      <c r="B246" s="9"/>
      <c r="C246" s="103"/>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spans="1:36" ht="12.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spans="1:36" ht="12.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spans="1:36" ht="12.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spans="1:36" ht="12.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spans="1:36" ht="12.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spans="1:36" ht="12.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spans="1:36" ht="12.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spans="1:36" ht="12.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spans="1:36" ht="12.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spans="1:36" ht="12.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spans="1:36" ht="12.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spans="1:36" ht="12.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spans="1:36" ht="12.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spans="1:36" ht="12.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spans="1:36" ht="12.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spans="1:36" ht="12.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spans="1:36" ht="12.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spans="1:36" ht="12.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spans="1:36" ht="12.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spans="1:36" ht="12.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spans="1:36" ht="12.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spans="1:36" ht="12.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spans="1:36" ht="12.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spans="1:36" ht="12.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spans="1:36" ht="12.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spans="1:36" ht="12.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spans="1:36" ht="12.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spans="1:36" ht="12.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spans="1:36" ht="12.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spans="1:36" ht="12.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spans="1:36" ht="12.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spans="1:36" ht="12.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spans="1:36" ht="12.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spans="1:36" ht="12.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spans="1:36" ht="12.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spans="1:36" ht="12.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spans="1:36" ht="12.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spans="1:36" ht="12.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spans="1:36" ht="12.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spans="1:36" ht="12.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spans="1:36" ht="12.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spans="1:36" ht="12.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spans="1:36" ht="12.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spans="1:36" ht="12.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spans="1:36" ht="12.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spans="1:36" ht="12.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spans="1:36" ht="12.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spans="1:36" ht="12.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spans="1:36" ht="12.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spans="1:36" ht="12.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spans="1:36" ht="12.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spans="1:36" ht="12.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spans="1:36" ht="12.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spans="1:36" ht="12.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spans="1:36" ht="12.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spans="1:36" ht="12.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spans="1:36" ht="12.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spans="1:36" ht="12.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spans="1:36" ht="12.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spans="1:36" ht="12.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spans="1:36" ht="12.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spans="1:36" ht="12.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spans="1:36" ht="12.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spans="1:36" ht="12.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spans="1:36" ht="12.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spans="1:36" ht="12.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spans="1:36" ht="12.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spans="1:36" ht="12.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spans="1:36" ht="12.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spans="1:36" ht="12.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spans="1:36" ht="12.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spans="1:36" ht="12.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spans="1:36" ht="12.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spans="1:36" ht="12.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spans="1:36" ht="12.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spans="1:36" ht="12.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spans="1:36" ht="12.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spans="1:36" ht="12.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spans="1:36" ht="12.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spans="1:36" ht="12.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spans="1:36" ht="12.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spans="1:36" ht="12.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spans="1:36" ht="12.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spans="1:36" ht="12.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spans="1:36" ht="12.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spans="1:36" ht="12.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spans="1:36" ht="12.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spans="1:36" ht="12.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spans="1:36" ht="12.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spans="1:36" ht="12.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spans="1:36" ht="12.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spans="1:36" ht="12.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spans="1:36" ht="12.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spans="1:36" ht="12.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spans="1:36" ht="12.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spans="1:36" ht="12.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spans="1:36" ht="12.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spans="1:36" ht="12.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spans="1:36" ht="12.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spans="1:36" ht="12.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spans="1:36" ht="12.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spans="1:36" ht="12.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spans="1:36" ht="12.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spans="1:36" ht="12.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spans="1:36" ht="12.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spans="1:36" ht="12.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spans="1:36" ht="12.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spans="1:36" ht="12.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spans="1:36" ht="12.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spans="1:36" ht="12.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spans="1:36" ht="12.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spans="1:36" ht="12.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spans="1:36" ht="12.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spans="1:36" ht="12.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spans="1:36" ht="12.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spans="1:36" ht="12.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spans="1:36" ht="12.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spans="1:36" ht="12.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spans="1:36" ht="12.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spans="1:36" ht="12.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spans="1:36" ht="12.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spans="1:36" ht="12.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spans="1:36" ht="12.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spans="1:36" ht="12.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spans="1:36" ht="12.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spans="1:36" ht="12.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spans="1:36" ht="12.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spans="1:36" ht="12.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spans="1:36" ht="12.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spans="1:36" ht="12.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spans="1:36" ht="12.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spans="1:36" ht="12.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spans="1:36" ht="12.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spans="1:36" ht="12.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spans="1:36" ht="12.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spans="1:36" ht="12.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spans="1:36" ht="12.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spans="1:36" ht="12.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spans="1:36" ht="12.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spans="1:36" ht="12.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spans="1:36" ht="12.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spans="1:36" ht="12.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spans="1:36" ht="12.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spans="1:36" ht="12.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spans="1:36" ht="12.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spans="1:36" ht="12.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spans="1:36" ht="12.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spans="1:36" ht="12.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spans="1:36" ht="12.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spans="1:36" ht="12.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spans="1:36" ht="12.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spans="1:36" ht="12.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spans="1:36" ht="12.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spans="1:36" ht="12.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spans="1:36" ht="12.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spans="1:36" ht="12.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spans="1:36" ht="12.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spans="1:36" ht="12.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spans="1:36" ht="12.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spans="1:36" ht="12.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spans="1:36" ht="12.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spans="1:36" ht="12.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spans="1:36" ht="12.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spans="1:36" ht="12.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spans="1:36" ht="12.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spans="1:36" ht="12.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spans="1:36" ht="12.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spans="1:36" ht="12.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spans="1:36" ht="12.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spans="1:36" ht="12.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spans="1:36" ht="12.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spans="1:36" ht="12.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spans="1:36" ht="12.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spans="1:36" ht="12.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spans="1:36" ht="12.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spans="1:36" ht="12.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spans="1:36" ht="12.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spans="1:36" ht="12.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spans="1:36" ht="12.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spans="1:36" ht="12.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spans="1:36" ht="12.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spans="1:36" ht="12.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spans="1:36" ht="12.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spans="1:36" ht="12.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spans="1:36" ht="12.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spans="1:36" ht="12.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spans="1:36" ht="12.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spans="1:36" ht="12.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spans="1:36" ht="12.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spans="1:36" ht="12.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spans="1:36" ht="12.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spans="1:36" ht="12.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spans="1:36" ht="12.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spans="1:36" ht="12.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spans="1:36" ht="12.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spans="1:36" ht="12.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spans="1:36" ht="12.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spans="1:36" ht="12.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spans="1:36" ht="12.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spans="1:36" ht="12.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spans="1:36" ht="12.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spans="1:36" ht="12.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spans="1:36" ht="12.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spans="1:36" ht="12.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spans="1:36" ht="12.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spans="1:36" ht="12.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spans="1:36" ht="12.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spans="1:36" ht="12.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spans="1:36" ht="12.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spans="1:36" ht="12.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spans="1:36" ht="12.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spans="1:36" ht="12.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spans="1:36" ht="12.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spans="1:36" ht="12.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spans="1:36" ht="12.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spans="1:36" ht="12.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spans="1:36" ht="12.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spans="1:36" ht="12.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spans="1:36" ht="12.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spans="1:36" ht="12.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spans="1:36" ht="12.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spans="1:36" ht="12.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spans="1:36" ht="12.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spans="1:36" ht="12.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spans="1:36" ht="12.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spans="1:36" ht="12.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spans="1:36" ht="12.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spans="1:36" ht="12.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spans="1:36" ht="12.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spans="1:36" ht="12.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spans="1:36" ht="12.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spans="1:36" ht="12.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spans="1:36" ht="12.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spans="1:36" ht="12.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spans="1:36" ht="12.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spans="1:36" ht="12.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spans="1:36" ht="12.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spans="1:36" ht="12.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spans="1:36" ht="12.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spans="1:36" ht="12.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spans="1:36" ht="12.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spans="1:36" ht="12.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spans="1:36" ht="12.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spans="1:36" ht="12.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spans="1:36" ht="12.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spans="1:36" ht="12.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spans="1:36" ht="12.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spans="1:36" ht="12.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spans="1:36" ht="12.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spans="1:36" ht="12.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spans="1:36" ht="12.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spans="1:36" ht="12.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spans="1:36" ht="12.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spans="1:36" ht="12.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spans="1:36" ht="12.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spans="1:36" ht="12.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spans="1:36" ht="12.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spans="1:36" ht="12.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spans="1:36" ht="12.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spans="1:36" ht="12.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spans="1:36" ht="12.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spans="1:36" ht="12.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spans="1:36" ht="12.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spans="1:36" ht="12.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spans="1:36" ht="12.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spans="1:36" ht="12.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spans="1:36" ht="12.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spans="1:36" ht="12.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spans="1:36" ht="12.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spans="1:36" ht="12.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spans="1:36" ht="12.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spans="1:36" ht="12.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spans="1:36" ht="12.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spans="1:36" ht="12.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spans="1:36" ht="12.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spans="1:36" ht="12.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spans="1:36" ht="12.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spans="1:36" ht="12.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spans="1:36" ht="12.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spans="1:36" ht="12.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spans="1:36" ht="12.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spans="1:36" ht="12.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spans="1:36" ht="12.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spans="1:36" ht="12.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spans="1:36" ht="12.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spans="1:36" ht="12.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spans="1:36" ht="12.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spans="1:36" ht="12.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spans="1:36" ht="12.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spans="1:36" ht="12.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spans="1:36" ht="12.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spans="1:36" ht="12.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spans="1:36" ht="12.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spans="1:36" ht="12.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spans="1:36" ht="12.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spans="1:36" ht="12.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spans="1:36" ht="12.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spans="1:36" ht="12.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spans="1:36" ht="12.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spans="1:36" ht="12.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spans="1:36" ht="12.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spans="1:36" ht="12.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spans="1:36" ht="12.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spans="1:36" ht="12.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spans="1:36" ht="12.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spans="1:36" ht="12.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spans="1:36" ht="12.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spans="1:36" ht="12.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spans="1:36" ht="12.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spans="1:36" ht="12.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spans="1:36" ht="12.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spans="1:36" ht="12.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spans="1:36" ht="12.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spans="1:36" ht="12.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spans="1:36" ht="12.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spans="1:36" ht="12.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spans="1:36" ht="12.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spans="1:36" ht="12.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spans="1:36" ht="12.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spans="1:36" ht="12.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spans="1:36" ht="12.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spans="1:36" ht="12.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spans="1:36" ht="12.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spans="1:36" ht="12.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spans="1:36" ht="12.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spans="1:36" ht="12.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spans="1:36" ht="12.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spans="1:36" ht="12.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spans="1:36" ht="12.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spans="1:36" ht="12.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spans="1:36" ht="12.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spans="1:36" ht="12.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spans="1:36" ht="12.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spans="1:36" ht="12.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spans="1:36" ht="12.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spans="1:36" ht="12.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spans="1:36" ht="12.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spans="1:36" ht="12.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spans="1:36" ht="12.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spans="1:36" ht="12.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spans="1:36" ht="12.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spans="1:36" ht="12.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spans="1:36" ht="12.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spans="1:36" ht="12.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spans="1:36" ht="12.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spans="1:36" ht="12.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spans="1:36" ht="12.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spans="1:36" ht="12.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spans="1:36" ht="12.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spans="1:36" ht="12.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spans="1:36" ht="12.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spans="1:36" ht="12.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spans="1:36" ht="12.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spans="1:36" ht="12.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spans="1:36" ht="12.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spans="1:36" ht="12.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spans="1:36" ht="12.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spans="1:36" ht="12.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spans="1:36" ht="12.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spans="1:36" ht="12.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spans="1:36" ht="12.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spans="1:36" ht="12.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spans="1:36" ht="12.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spans="1:36" ht="12.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spans="1:36" ht="12.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spans="1:36" ht="12.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spans="1:36" ht="12.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spans="1:36" ht="12.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spans="1:36" ht="12.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spans="1:36" ht="12.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spans="1:36" ht="12.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spans="1:36" ht="12.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spans="1:36" ht="12.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spans="1:36" ht="12.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spans="1:36" ht="12.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spans="1:36" ht="12.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spans="1:36" ht="12.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spans="1:36" ht="12.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spans="1:36" ht="12.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spans="1:36" ht="12.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spans="1:36" ht="12.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spans="1:36" ht="12.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spans="1:36" ht="12.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spans="1:36" ht="12.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spans="1:36" ht="12.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spans="1:36" ht="12.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spans="1:36" ht="12.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spans="1:36" ht="12.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spans="1:36" ht="12.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spans="1:36" ht="12.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spans="1:36" ht="12.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spans="1:36" ht="12.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spans="1:36" ht="12.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spans="1:36" ht="12.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spans="1:36" ht="12.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spans="1:36" ht="12.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spans="1:36" ht="12.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spans="1:36" ht="12.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spans="1:36" ht="12.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spans="1:36" ht="12.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spans="1:36" ht="12.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spans="1:36" ht="12.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spans="1:36" ht="12.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spans="1:36" ht="12.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spans="1:36" ht="12.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spans="1:36" ht="12.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spans="1:36" ht="12.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spans="1:36" ht="12.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spans="1:36" ht="12.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spans="1:36" ht="12.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spans="1:36" ht="12.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spans="1:36" ht="12.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spans="1:36" ht="12.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spans="1:36" ht="12.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spans="1:36" ht="12.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spans="1:36" ht="12.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spans="1:36" ht="12.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spans="1:36" ht="12.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spans="1:36" ht="12.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spans="1:36" ht="12.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spans="1:36" ht="12.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spans="1:36" ht="12.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spans="1:36" ht="12.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spans="1:36" ht="12.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spans="1:36" ht="12.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spans="1:36" ht="12.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spans="1:36" ht="12.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spans="1:36" ht="12.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spans="1:36" ht="12.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spans="1:36" ht="12.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spans="1:36" ht="12.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spans="1:36" ht="12.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spans="1:36" ht="12.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spans="1:36" ht="12.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spans="1:36" ht="12.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spans="1:36" ht="12.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spans="1:36" ht="12.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spans="1:36" ht="12.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spans="1:36" ht="12.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spans="1:36" ht="12.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spans="1:36" ht="12.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spans="1:36" ht="12.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spans="1:36" ht="12.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spans="1:36" ht="12.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spans="1:36" ht="12.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spans="1:36" ht="12.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spans="1:36" ht="12.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spans="1:36" ht="12.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spans="1:36" ht="12.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spans="1:36" ht="12.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spans="1:36" ht="12.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spans="1:36" ht="12.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spans="1:36" ht="12.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spans="1:36" ht="12.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spans="1:36" ht="12.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spans="1:36" ht="12.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spans="1:36" ht="12.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spans="1:36" ht="12.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spans="1:36" ht="12.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spans="1:36" ht="12.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spans="1:36" ht="12.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spans="1:36" ht="12.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spans="1:36" ht="12.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spans="1:36" ht="12.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spans="1:36" ht="12.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spans="1:36" ht="12.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spans="1:36" ht="12.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spans="1:36" ht="12.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spans="1:36" ht="12.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spans="1:36" ht="12.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spans="1:36" ht="12.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spans="1:36" ht="12.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spans="1:36" ht="12.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spans="1:36" ht="12.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spans="1:36" ht="12.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spans="1:36" ht="12.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spans="1:36" ht="12.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spans="1:36" ht="12.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spans="1:36" ht="12.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spans="1:36" ht="12.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spans="1:36" ht="12.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spans="1:36" ht="12.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spans="1:36" ht="12.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spans="1:36" ht="12.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spans="1:36" ht="12.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spans="1:36" ht="12.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spans="1:36" ht="12.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spans="1:36" ht="12.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spans="1:36" ht="12.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spans="1:36" ht="12.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spans="1:36" ht="12.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spans="1:36" ht="12.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spans="1:36" ht="12.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spans="1:36" ht="12.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spans="1:36" ht="12.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spans="1:36" ht="12.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spans="1:36" ht="12.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spans="1:36" ht="12.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spans="1:36" ht="12.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spans="1:36" ht="12.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spans="1:36" ht="12.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spans="1:36" ht="12.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spans="1:36" ht="12.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spans="1:36" ht="12.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spans="1:36" ht="12.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spans="1:36" ht="12.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spans="1:36" ht="12.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spans="1:36" ht="12.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spans="1:36" ht="12.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spans="1:36" ht="12.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spans="1:36" ht="12.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spans="1:36" ht="12.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spans="1:36" ht="12.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spans="1:36" ht="12.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spans="1:36" ht="12.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spans="1:36" ht="12.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spans="1:36" ht="12.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spans="1:36" ht="12.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spans="1:36" ht="12.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spans="1:36" ht="12.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spans="1:36" ht="12.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spans="1:36" ht="12.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spans="1:36" ht="12.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spans="1:36" ht="12.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spans="1:36" ht="12.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spans="1:36" ht="12.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spans="1:36" ht="12.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spans="1:36" ht="12.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spans="1:36" ht="12.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spans="1:36" ht="12.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spans="1:36" ht="12.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spans="1:36" ht="12.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spans="1:36" ht="12.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spans="1:36" ht="12.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spans="1:36" ht="12.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spans="1:36" ht="12.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spans="1:36" ht="12.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spans="1:36" ht="12.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spans="1:36" ht="12.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spans="1:36" ht="12.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spans="1:36" ht="12.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spans="1:36" ht="12.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spans="1:36" ht="12.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spans="1:36" ht="12.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spans="1:36" ht="12.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spans="1:36" ht="12.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spans="1:36" ht="12.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spans="1:36" ht="12.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spans="1:36" ht="12.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spans="1:36" ht="12.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spans="1:36" ht="12.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spans="1:36" ht="12.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spans="1:36" ht="12.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spans="1:36" ht="12.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spans="1:36" ht="12.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spans="1:36" ht="12.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spans="1:36" ht="12.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spans="1:36" ht="12.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spans="1:36" ht="12.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spans="1:36" ht="12.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spans="1:36" ht="12.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spans="1:36" ht="12.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spans="1:36" ht="12.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spans="1:36" ht="12.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spans="1:36" ht="12.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spans="1:36" ht="12.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spans="1:36" ht="12.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spans="1:36" ht="12.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spans="1:36" ht="12.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spans="1:36" ht="12.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spans="1:36" ht="12.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spans="1:36" ht="12.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spans="1:36" ht="12.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spans="1:36" ht="12.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spans="1:36" ht="12.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spans="1:36" ht="12.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spans="1:36" ht="12.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spans="1:36" ht="12.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spans="1:36" ht="12.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spans="1:36" ht="12.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spans="1:36" ht="12.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spans="1:36" ht="12.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spans="1:36" ht="12.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spans="1:36" ht="12.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spans="1:36" ht="12.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spans="1:36" ht="12.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spans="1:36" ht="12.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spans="1:36" ht="12.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spans="1:36" ht="12.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spans="1:36" ht="12.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spans="1:36" ht="12.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spans="1:36" ht="12.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spans="1:36" ht="12.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spans="1:36" ht="12.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spans="1:36" ht="12.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spans="1:36" ht="12.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spans="1:36" ht="12.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spans="1:36" ht="12.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spans="1:36" ht="12.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spans="1:36" ht="12.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spans="1:36" ht="12.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spans="1:36" ht="12.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spans="1:36" ht="12.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spans="1:36" ht="12.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spans="1:36" ht="12.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spans="1:36" ht="12.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spans="1:36" ht="12.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spans="1:36" ht="12.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spans="1:36" ht="12.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spans="1:36" ht="12.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spans="1:36" ht="12.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spans="1:36" ht="12.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spans="1:36" ht="12.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spans="1:36" ht="12.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spans="1:36" ht="12.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spans="1:36" ht="12.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spans="1:36" ht="12.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spans="1:36" ht="12.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spans="1:36" ht="12.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spans="1:36" ht="12.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spans="1:36" ht="12.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spans="1:36" ht="12.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spans="1:36" ht="12.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spans="1:36" ht="12.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spans="1:36" ht="12.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spans="1:36" ht="12.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spans="1:36" ht="12.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spans="1:36" ht="12.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spans="1:36" ht="12.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spans="1:36" ht="12.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spans="1:36" ht="12.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spans="1:36" ht="12.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spans="1:36" ht="12.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spans="1:36" ht="12.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spans="1:36" ht="12.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spans="1:36" ht="12.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spans="1:36" ht="12.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spans="1:36" ht="12.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spans="1:36" ht="12.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spans="1:36" ht="12.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spans="1:36" ht="12.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spans="1:36" ht="12.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spans="1:36" ht="12.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spans="1:36" ht="12.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spans="1:36" ht="12.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spans="1:36" ht="12.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spans="1:36" ht="12.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spans="1:36" ht="12.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spans="1:36" ht="12.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spans="1:36" ht="12.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spans="1:36" ht="12.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spans="1:36" ht="12.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spans="1:36" ht="12.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spans="1:36" ht="12.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spans="1:36" ht="12.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spans="1:36" ht="12.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spans="1:36" ht="12.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spans="1:36" ht="12.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spans="1:36" ht="12.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spans="1:36" ht="12.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spans="1:36" ht="12.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spans="1:36" ht="12.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spans="1:36" ht="12.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spans="1:36" ht="12.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spans="1:36" ht="12.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spans="1:36" ht="12.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spans="1:36" ht="12.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spans="1:36" ht="12.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spans="1:36" ht="12.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spans="1:36" ht="12.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spans="1:36" ht="12.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spans="1:36" ht="12.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spans="1:36" ht="12.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spans="1:36" ht="12.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spans="1:36" ht="12.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spans="1:36" ht="12.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spans="1:36" ht="12.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spans="1:36" ht="12.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spans="1:36" ht="12.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spans="1:36" ht="12.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spans="1:36" ht="12.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spans="1:36" ht="12.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spans="1:36" ht="12.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spans="1:36" ht="12.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spans="1:36" ht="12.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spans="1:36" ht="12.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spans="1:36" ht="12.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spans="1:36" ht="12.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spans="1:36" ht="12.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spans="1:36" ht="12.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spans="1:36" ht="12.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spans="1:36" ht="12.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spans="1:36" ht="12.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spans="1:36" ht="12.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spans="1:36" ht="12.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spans="1:36" ht="12.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spans="1:36" ht="12.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spans="1:36" ht="12.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spans="1:36" ht="12.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spans="1:36" ht="12.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spans="1:36" ht="12.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spans="1:36" ht="12.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spans="1:36" ht="12.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spans="1:36" ht="12.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spans="1:36" ht="12.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spans="1:36" ht="12.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spans="1:36" ht="12.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spans="1:36" ht="12.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spans="1:36" ht="12.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spans="1:36" ht="12.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spans="1:36" ht="12.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spans="1:36" ht="12.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spans="1:36" ht="12.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spans="1:36" ht="12.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spans="1:36" ht="12.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spans="1:36" ht="12.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spans="1:36" ht="12.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spans="1:36" ht="12.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spans="1:36" ht="12.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spans="1:36" ht="12.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spans="1:36" ht="12.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spans="1:36" ht="12.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spans="1:36" ht="12.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spans="1:36" ht="12.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spans="1:36" ht="12.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spans="1:36" ht="12.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spans="1:36" ht="12.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spans="1:36" ht="12.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spans="1:36" ht="12.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spans="1:36" ht="12.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spans="1:36" ht="12.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spans="1:36" ht="12.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spans="1:36" ht="12.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spans="1:36" ht="12.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spans="1:36" ht="12.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spans="1:36" ht="12.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spans="1:36" ht="12.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spans="1:36" ht="12.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spans="1:36" ht="12.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spans="1:36" ht="12.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spans="1:36" ht="12.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spans="1:36" ht="12.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spans="1:36" ht="12.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spans="1:36" ht="12.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spans="1:36" ht="12.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spans="1:36" ht="12.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spans="1:36" ht="12.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spans="1:36" ht="12.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spans="1:36" ht="12.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spans="1:36" ht="12.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spans="1:36" ht="12.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spans="1:36" ht="12.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spans="1:36" ht="12.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spans="1:36" ht="12.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mergeCells count="1">
    <mergeCell ref="AI27:AJ27"/>
  </mergeCells>
  <conditionalFormatting sqref="F30:AG49">
    <cfRule type="expression" dxfId="129" priority="1">
      <formula>$C$22="Report"</formula>
    </cfRule>
  </conditionalFormatting>
  <dataValidations count="4">
    <dataValidation type="list" allowBlank="1" showErrorMessage="1" sqref="D9 D11 D13 D15 D17 D19:D20" xr:uid="{00000000-0002-0000-0600-000000000000}">
      <formula1>"Segment,Activity-Based,Backlog"</formula1>
    </dataValidation>
    <dataValidation type="list" allowBlank="1" showErrorMessage="1" sqref="C22" xr:uid="{00000000-0002-0000-0600-000001000000}">
      <formula1>"Working,Report"</formula1>
    </dataValidation>
    <dataValidation type="list" allowBlank="1" showErrorMessage="1" sqref="C25" xr:uid="{00000000-0002-0000-0600-000002000000}">
      <formula1>"Quarterly,Annual"</formula1>
    </dataValidation>
    <dataValidation type="list" allowBlank="1" showErrorMessage="1" sqref="C7" xr:uid="{00000000-0002-0000-0600-000003000000}">
      <formula1>"Segment,Activity-Based,Backlog,Mixed"</formula1>
    </dataValidation>
  </dataValidations>
  <pageMargins left="0.7" right="0.7" top="0.75" bottom="0.75" header="0" footer="0"/>
  <pageSetup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355F"/>
  </sheetPr>
  <dimension ref="A1:AK1001"/>
  <sheetViews>
    <sheetView showGridLines="0" zoomScale="80" zoomScaleNormal="80" workbookViewId="0">
      <pane xSplit="4" ySplit="2" topLeftCell="E3" activePane="bottomRight" state="frozen"/>
      <selection activeCell="X35" sqref="X35"/>
      <selection pane="topRight" activeCell="X35" sqref="X35"/>
      <selection pane="bottomLeft" activeCell="X35" sqref="X35"/>
      <selection pane="bottomRight"/>
    </sheetView>
  </sheetViews>
  <sheetFormatPr defaultColWidth="14.44140625" defaultRowHeight="15" customHeight="1" outlineLevelRow="1" outlineLevelCol="1"/>
  <cols>
    <col min="1" max="2" width="1.6640625" style="2" customWidth="1"/>
    <col min="3" max="3" width="51.33203125" style="2" customWidth="1"/>
    <col min="4" max="5" width="1.6640625" style="2" customWidth="1"/>
    <col min="6" max="9" width="12.6640625" style="2" hidden="1" customWidth="1" outlineLevel="1"/>
    <col min="10" max="10" width="12.88671875" style="2" customWidth="1" collapsed="1"/>
    <col min="11" max="14" width="12.6640625" style="2" hidden="1" customWidth="1" outlineLevel="1"/>
    <col min="15" max="15" width="12.88671875" style="2" customWidth="1" collapsed="1"/>
    <col min="16" max="18" width="12.6640625" style="2" hidden="1" customWidth="1" outlineLevel="1"/>
    <col min="19" max="19" width="13.109375" style="2" hidden="1" customWidth="1" outlineLevel="1"/>
    <col min="20" max="20" width="13.44140625" style="2" customWidth="1" collapsed="1"/>
    <col min="21" max="24" width="12.6640625" style="2" hidden="1" customWidth="1" outlineLevel="1"/>
    <col min="25" max="25" width="13.44140625" style="2" customWidth="1" collapsed="1"/>
    <col min="26" max="29" width="12.6640625" style="2" hidden="1" customWidth="1" outlineLevel="1"/>
    <col min="30" max="30" width="13.44140625" style="2" customWidth="1" collapsed="1"/>
    <col min="31" max="33" width="13.44140625" style="2" customWidth="1"/>
    <col min="34" max="34" width="1.6640625" style="2" customWidth="1"/>
    <col min="35" max="37" width="12.6640625" style="2" customWidth="1"/>
    <col min="38" max="16384" width="14.44140625" style="2"/>
  </cols>
  <sheetData>
    <row r="1" spans="1:37" ht="13.5" customHeight="1">
      <c r="A1" s="256"/>
      <c r="B1" s="4"/>
      <c r="C1" s="5" t="str">
        <f ca="1">Company_Name&amp;" - "&amp;MID(CELL("filename",A1),FIND("]",CELL("filename",A1))+1,255)&amp;": "&amp;Case_Scenario&amp;" Case"</f>
        <v>Hamilton Lane Inc. - Model: Base Case</v>
      </c>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row>
    <row r="2" spans="1:37" ht="13.5" customHeight="1">
      <c r="A2" s="257"/>
      <c r="C2" s="7" t="str">
        <f>Cover!C2</f>
        <v>$ in Millions Except Per Share Data</v>
      </c>
    </row>
    <row r="3" spans="1:37" ht="13.5" customHeight="1">
      <c r="A3" s="258"/>
      <c r="C3" s="216"/>
    </row>
    <row r="4" spans="1:37" ht="13.5" customHeight="1">
      <c r="A4" s="257"/>
      <c r="C4" s="182" t="s">
        <v>1</v>
      </c>
    </row>
    <row r="5" spans="1:37" ht="13.5" customHeight="1">
      <c r="A5" s="257"/>
      <c r="C5" s="183" t="s">
        <v>1153</v>
      </c>
    </row>
    <row r="6" spans="1:37" ht="13.5" customHeight="1">
      <c r="A6" s="257"/>
      <c r="C6" s="9"/>
    </row>
    <row r="7" spans="1:37" ht="13.5" customHeight="1">
      <c r="A7" s="257"/>
      <c r="C7" s="182" t="s">
        <v>257</v>
      </c>
    </row>
    <row r="8" spans="1:37" ht="13.5" customHeight="1">
      <c r="A8" s="180"/>
      <c r="B8" s="9"/>
      <c r="C8" s="183" t="s">
        <v>258</v>
      </c>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row>
    <row r="9" spans="1:37" ht="13.5" customHeight="1">
      <c r="A9" s="180"/>
      <c r="B9" s="9"/>
      <c r="C9" s="25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row>
    <row r="10" spans="1:37" ht="13.5" customHeight="1">
      <c r="A10" s="180" t="s">
        <v>0</v>
      </c>
      <c r="B10" s="37"/>
      <c r="C10" s="138" t="s">
        <v>259</v>
      </c>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row>
    <row r="11" spans="1:37" ht="13.5" hidden="1" customHeight="1" outlineLevel="1">
      <c r="A11" s="180"/>
      <c r="B11" s="9"/>
      <c r="C11" s="260" t="str">
        <f>$C$25</f>
        <v>Income Statement</v>
      </c>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row>
    <row r="12" spans="1:37" ht="13.5" hidden="1" customHeight="1" outlineLevel="1">
      <c r="A12" s="180"/>
      <c r="B12" s="9"/>
      <c r="C12" s="261" t="str">
        <f>$C$74</f>
        <v>Cash Flow Statement</v>
      </c>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row>
    <row r="13" spans="1:37" ht="13.5" hidden="1" customHeight="1" outlineLevel="1">
      <c r="A13" s="180"/>
      <c r="B13" s="9"/>
      <c r="C13" s="261" t="str">
        <f>$C$120</f>
        <v>Balance Sheet</v>
      </c>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row>
    <row r="14" spans="1:37" ht="13.5" hidden="1" customHeight="1" outlineLevel="1">
      <c r="A14" s="180"/>
      <c r="B14" s="9"/>
      <c r="C14" s="261" t="str">
        <f>$C$161</f>
        <v>Working Capital Schedule</v>
      </c>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row>
    <row r="15" spans="1:37" ht="13.5" hidden="1" customHeight="1" outlineLevel="1">
      <c r="A15" s="180"/>
      <c r="B15" s="9"/>
      <c r="C15" s="261" t="str">
        <f>$C$191</f>
        <v>PP&amp;E / Depreciation Schedule</v>
      </c>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row>
    <row r="16" spans="1:37" ht="13.5" hidden="1" customHeight="1" outlineLevel="1">
      <c r="A16" s="180"/>
      <c r="B16" s="9"/>
      <c r="C16" s="261" t="str">
        <f>$C$205</f>
        <v>Investments Schedule</v>
      </c>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row>
    <row r="17" spans="1:37" ht="13.5" hidden="1" customHeight="1" outlineLevel="1">
      <c r="A17" s="180"/>
      <c r="B17" s="9"/>
      <c r="C17" s="261" t="str">
        <f>$C$217</f>
        <v>Other Long-Term Items Schedule</v>
      </c>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row>
    <row r="18" spans="1:37" ht="13.5" hidden="1" customHeight="1" outlineLevel="1">
      <c r="A18" s="180"/>
      <c r="B18" s="9"/>
      <c r="C18" s="261" t="str">
        <f>$C$235</f>
        <v>Shareholder's Equity Schedule</v>
      </c>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row>
    <row r="19" spans="1:37" ht="13.5" hidden="1" customHeight="1" outlineLevel="1">
      <c r="A19" s="180"/>
      <c r="B19" s="9"/>
      <c r="C19" s="261" t="str">
        <f>$C$276</f>
        <v>Shares Outstanding Schedule</v>
      </c>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row>
    <row r="20" spans="1:37" ht="13.5" hidden="1" customHeight="1" outlineLevel="1">
      <c r="A20" s="180"/>
      <c r="B20" s="9"/>
      <c r="C20" s="262" t="str">
        <f>$C$287</f>
        <v>Debt and Interest Schedule</v>
      </c>
      <c r="D20" s="9"/>
      <c r="E20" s="9"/>
      <c r="F20" s="9"/>
      <c r="G20" s="9"/>
      <c r="H20" s="9"/>
      <c r="I20" s="9"/>
      <c r="J20" s="9"/>
      <c r="K20" s="9"/>
      <c r="L20" s="9"/>
      <c r="M20" s="9"/>
      <c r="N20" s="9"/>
      <c r="O20" s="9"/>
      <c r="P20" s="9"/>
      <c r="Q20" s="9"/>
      <c r="R20" s="9"/>
      <c r="S20" s="9"/>
      <c r="T20" s="9"/>
      <c r="U20" s="9"/>
      <c r="V20" s="972"/>
      <c r="W20" s="972"/>
      <c r="X20" s="972"/>
      <c r="Y20" s="972"/>
      <c r="Z20" s="972"/>
      <c r="AA20" s="972"/>
      <c r="AB20" s="972"/>
      <c r="AC20" s="972"/>
      <c r="AD20" s="972"/>
      <c r="AE20" s="972"/>
      <c r="AF20" s="972"/>
      <c r="AG20" s="972"/>
      <c r="AH20" s="9"/>
      <c r="AI20" s="9"/>
      <c r="AJ20" s="9"/>
      <c r="AK20" s="9"/>
    </row>
    <row r="21" spans="1:37" ht="13.5" customHeight="1" collapsed="1">
      <c r="A21" s="180"/>
      <c r="B21" s="9"/>
      <c r="C21" s="103"/>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row>
    <row r="22" spans="1:37" ht="13.5" customHeight="1">
      <c r="A22" s="180"/>
      <c r="B22" s="9"/>
      <c r="C22" s="9"/>
      <c r="D22" s="9"/>
      <c r="E22" s="9"/>
      <c r="F22" s="9"/>
      <c r="G22" s="9"/>
      <c r="H22" s="9"/>
      <c r="I22" s="9"/>
      <c r="J22" s="9"/>
      <c r="K22" s="9"/>
      <c r="L22" s="9"/>
      <c r="M22" s="9"/>
      <c r="N22" s="9"/>
      <c r="O22" s="9"/>
      <c r="P22" s="9"/>
      <c r="Q22" s="9"/>
      <c r="R22" s="9"/>
      <c r="S22" s="9"/>
      <c r="T22" s="9"/>
      <c r="U22" s="9"/>
      <c r="V22" s="91"/>
      <c r="W22" s="91"/>
      <c r="X22" s="91"/>
      <c r="Y22" s="91"/>
      <c r="Z22" s="91"/>
      <c r="AA22" s="91"/>
      <c r="AB22" s="91"/>
      <c r="AC22" s="91"/>
      <c r="AD22" s="91"/>
      <c r="AE22" s="91"/>
      <c r="AF22" s="91"/>
      <c r="AG22" s="91"/>
      <c r="AH22" s="9"/>
      <c r="AI22" s="9"/>
      <c r="AJ22" s="9"/>
      <c r="AK22" s="9"/>
    </row>
    <row r="23" spans="1:37" ht="13.5" hidden="1" customHeight="1" outlineLevel="1">
      <c r="A23" s="180"/>
      <c r="B23" s="9"/>
      <c r="C23" s="9"/>
      <c r="D23" s="9"/>
      <c r="E23" s="9"/>
      <c r="F23" s="9"/>
      <c r="G23" s="9"/>
      <c r="H23" s="9"/>
      <c r="I23" s="9"/>
      <c r="J23" s="9">
        <v>1</v>
      </c>
      <c r="K23" s="9"/>
      <c r="L23" s="9"/>
      <c r="M23" s="9"/>
      <c r="N23" s="9"/>
      <c r="O23" s="9">
        <v>2</v>
      </c>
      <c r="P23" s="9"/>
      <c r="Q23" s="9"/>
      <c r="R23" s="9"/>
      <c r="S23" s="9"/>
      <c r="T23" s="9">
        <v>3</v>
      </c>
      <c r="U23" s="9"/>
      <c r="V23" s="9"/>
      <c r="W23" s="9"/>
      <c r="X23" s="9"/>
      <c r="Y23" s="9">
        <v>4</v>
      </c>
      <c r="Z23" s="9"/>
      <c r="AA23" s="9"/>
      <c r="AB23" s="9"/>
      <c r="AC23" s="9"/>
      <c r="AD23" s="9">
        <v>5</v>
      </c>
      <c r="AE23" s="9">
        <v>6</v>
      </c>
      <c r="AF23" s="9">
        <v>7</v>
      </c>
      <c r="AG23" s="9">
        <v>8</v>
      </c>
      <c r="AH23" s="9"/>
      <c r="AI23" s="9"/>
      <c r="AJ23" s="9"/>
      <c r="AK23" s="9"/>
    </row>
    <row r="24" spans="1:37" ht="13.5" hidden="1" customHeight="1" outlineLevel="1">
      <c r="A24" s="180"/>
      <c r="B24" s="9"/>
      <c r="C24" s="9"/>
      <c r="D24" s="9"/>
      <c r="E24" s="9"/>
      <c r="F24" s="9">
        <f>G24</f>
        <v>2023</v>
      </c>
      <c r="G24" s="9">
        <f>H24</f>
        <v>2023</v>
      </c>
      <c r="H24" s="9">
        <f>I24</f>
        <v>2023</v>
      </c>
      <c r="I24" s="9">
        <f>J24</f>
        <v>2023</v>
      </c>
      <c r="J24" s="9">
        <f>O24-1</f>
        <v>2023</v>
      </c>
      <c r="K24" s="9">
        <f>L24</f>
        <v>2024</v>
      </c>
      <c r="L24" s="9">
        <f>M24</f>
        <v>2024</v>
      </c>
      <c r="M24" s="9">
        <f>N24</f>
        <v>2024</v>
      </c>
      <c r="N24" s="9">
        <f>O24</f>
        <v>2024</v>
      </c>
      <c r="O24" s="9">
        <f>T24-1</f>
        <v>2024</v>
      </c>
      <c r="P24" s="9">
        <f>Q24</f>
        <v>2025</v>
      </c>
      <c r="Q24" s="9">
        <f>R24</f>
        <v>2025</v>
      </c>
      <c r="R24" s="9">
        <f>S24</f>
        <v>2025</v>
      </c>
      <c r="S24" s="9">
        <f>T24</f>
        <v>2025</v>
      </c>
      <c r="T24" s="9">
        <f>YEAR(Last_FYE)</f>
        <v>2025</v>
      </c>
      <c r="U24" s="9">
        <f>V24</f>
        <v>2026</v>
      </c>
      <c r="V24" s="9">
        <f>W24</f>
        <v>2026</v>
      </c>
      <c r="W24" s="9">
        <f>X24</f>
        <v>2026</v>
      </c>
      <c r="X24" s="9">
        <f>Y24</f>
        <v>2026</v>
      </c>
      <c r="Y24" s="9">
        <f>T24+1</f>
        <v>2026</v>
      </c>
      <c r="Z24" s="9">
        <f>AA24</f>
        <v>2027</v>
      </c>
      <c r="AA24" s="9">
        <f>AB24</f>
        <v>2027</v>
      </c>
      <c r="AB24" s="9">
        <f>AC24</f>
        <v>2027</v>
      </c>
      <c r="AC24" s="9">
        <f>AD24</f>
        <v>2027</v>
      </c>
      <c r="AD24" s="9">
        <f>Y24+1</f>
        <v>2027</v>
      </c>
      <c r="AE24" s="9">
        <f>AD24+1</f>
        <v>2028</v>
      </c>
      <c r="AF24" s="9">
        <f>AE24+1</f>
        <v>2029</v>
      </c>
      <c r="AG24" s="9">
        <f>AF24+1</f>
        <v>2030</v>
      </c>
      <c r="AH24" s="9"/>
      <c r="AI24" s="9"/>
      <c r="AJ24" s="9"/>
      <c r="AK24" s="9"/>
    </row>
    <row r="25" spans="1:37" ht="13.5" customHeight="1" collapsed="1">
      <c r="A25" s="180" t="s">
        <v>0</v>
      </c>
      <c r="B25" s="9"/>
      <c r="C25" s="263" t="s">
        <v>260</v>
      </c>
      <c r="D25" s="138"/>
      <c r="E25" s="138"/>
      <c r="F25" s="138" t="str">
        <f>"1Q"&amp;RIGHT(F24,2)</f>
        <v>1Q23</v>
      </c>
      <c r="G25" s="138" t="str">
        <f>"2Q"&amp;RIGHT(G24,2)</f>
        <v>2Q23</v>
      </c>
      <c r="H25" s="138" t="str">
        <f>"3Q"&amp;RIGHT(H24,2)</f>
        <v>3Q23</v>
      </c>
      <c r="I25" s="138" t="str">
        <f>"4Q"&amp;RIGHT(I24,2)</f>
        <v>4Q23</v>
      </c>
      <c r="J25" s="138">
        <f>J24</f>
        <v>2023</v>
      </c>
      <c r="K25" s="138" t="str">
        <f>"1Q"&amp;RIGHT(K24,2)</f>
        <v>1Q24</v>
      </c>
      <c r="L25" s="138" t="str">
        <f>"2Q"&amp;RIGHT(L24,2)</f>
        <v>2Q24</v>
      </c>
      <c r="M25" s="138" t="str">
        <f>"3Q"&amp;RIGHT(M24,2)</f>
        <v>3Q24</v>
      </c>
      <c r="N25" s="138" t="str">
        <f>"4Q"&amp;RIGHT(N24,2)</f>
        <v>4Q24</v>
      </c>
      <c r="O25" s="138">
        <f>O24</f>
        <v>2024</v>
      </c>
      <c r="P25" s="138" t="str">
        <f>"1Q"&amp;RIGHT(P24,2)</f>
        <v>1Q25</v>
      </c>
      <c r="Q25" s="138" t="str">
        <f>"2Q"&amp;RIGHT(Q24,2)</f>
        <v>2Q25</v>
      </c>
      <c r="R25" s="138" t="str">
        <f>"3Q"&amp;RIGHT(R24,2)</f>
        <v>3Q25</v>
      </c>
      <c r="S25" s="138" t="str">
        <f>"4Q"&amp;RIGHT(S24,2)</f>
        <v>4Q25</v>
      </c>
      <c r="T25" s="138">
        <f>T24</f>
        <v>2025</v>
      </c>
      <c r="U25" s="264" t="str">
        <f>IF(Last_FQR="4Q","1Q"&amp;RIGHT(U24,2)&amp;"e","1Q"&amp;RIGHT(U24,2))</f>
        <v>1Q26</v>
      </c>
      <c r="V25" s="138" t="str">
        <f>"2Q"&amp;RIGHT(V24,2)&amp;"e"</f>
        <v>2Q26e</v>
      </c>
      <c r="W25" s="138" t="str">
        <f>"3Q"&amp;RIGHT(W24,2)&amp;"e"</f>
        <v>3Q26e</v>
      </c>
      <c r="X25" s="264" t="str">
        <f>"4Q"&amp;RIGHT(U24,2)&amp;"e"</f>
        <v>4Q26e</v>
      </c>
      <c r="Y25" s="138" t="str">
        <f>Y24&amp;"e"</f>
        <v>2026e</v>
      </c>
      <c r="Z25" s="138" t="str">
        <f>"1Q"&amp;RIGHT(Z24,2)&amp;"e"</f>
        <v>1Q27e</v>
      </c>
      <c r="AA25" s="138" t="str">
        <f>"2Q"&amp;RIGHT(AA24,2)&amp;"e"</f>
        <v>2Q27e</v>
      </c>
      <c r="AB25" s="138" t="str">
        <f>"3Q"&amp;RIGHT(AB24,2)&amp;"e"</f>
        <v>3Q27e</v>
      </c>
      <c r="AC25" s="138" t="str">
        <f>"4Q"&amp;RIGHT(AC24,2)&amp;"e"</f>
        <v>4Q27e</v>
      </c>
      <c r="AD25" s="138" t="str">
        <f>AD24&amp;"e"</f>
        <v>2027e</v>
      </c>
      <c r="AE25" s="138" t="str">
        <f>AE24&amp;"e"</f>
        <v>2028e</v>
      </c>
      <c r="AF25" s="138" t="str">
        <f>AF24&amp;"e"</f>
        <v>2029e</v>
      </c>
      <c r="AG25" s="265" t="str">
        <f>AG24&amp;"e"</f>
        <v>2030e</v>
      </c>
      <c r="AH25" s="180" t="s">
        <v>0</v>
      </c>
      <c r="AI25" s="9"/>
      <c r="AJ25" s="9"/>
      <c r="AK25" s="9"/>
    </row>
    <row r="26" spans="1:37" ht="13.5" customHeight="1">
      <c r="A26" s="180"/>
      <c r="B26" s="9"/>
      <c r="C26" s="189" t="s">
        <v>261</v>
      </c>
      <c r="D26" s="140"/>
      <c r="E26" s="140"/>
      <c r="F26" s="140">
        <v>91</v>
      </c>
      <c r="G26" s="140">
        <v>91</v>
      </c>
      <c r="H26" s="140">
        <v>92</v>
      </c>
      <c r="I26" s="140">
        <v>92</v>
      </c>
      <c r="J26" s="140">
        <f>SUM(F26:I26)</f>
        <v>366</v>
      </c>
      <c r="K26" s="140">
        <v>90</v>
      </c>
      <c r="L26" s="140">
        <v>91</v>
      </c>
      <c r="M26" s="140">
        <v>92</v>
      </c>
      <c r="N26" s="140">
        <v>92</v>
      </c>
      <c r="O26" s="140">
        <f>SUM(K26:N26)</f>
        <v>365</v>
      </c>
      <c r="P26" s="140">
        <v>90</v>
      </c>
      <c r="Q26" s="140">
        <v>91</v>
      </c>
      <c r="R26" s="140">
        <v>92</v>
      </c>
      <c r="S26" s="140">
        <v>92</v>
      </c>
      <c r="T26" s="140">
        <f>SUM(P26:S26)</f>
        <v>365</v>
      </c>
      <c r="U26" s="140">
        <v>90</v>
      </c>
      <c r="V26" s="140">
        <v>91</v>
      </c>
      <c r="W26" s="140">
        <v>92</v>
      </c>
      <c r="X26" s="140">
        <v>92</v>
      </c>
      <c r="Y26" s="140">
        <f>SUM(U26:X26)</f>
        <v>365</v>
      </c>
      <c r="Z26" s="140">
        <v>91</v>
      </c>
      <c r="AA26" s="140">
        <v>91</v>
      </c>
      <c r="AB26" s="140">
        <v>92</v>
      </c>
      <c r="AC26" s="140">
        <v>92</v>
      </c>
      <c r="AD26" s="140">
        <f>SUM(Z26:AC26)</f>
        <v>366</v>
      </c>
      <c r="AE26" s="140">
        <v>365</v>
      </c>
      <c r="AF26" s="140">
        <v>365</v>
      </c>
      <c r="AG26" s="141">
        <v>365</v>
      </c>
      <c r="AH26" s="9"/>
      <c r="AI26" s="9"/>
      <c r="AJ26" s="9"/>
      <c r="AK26" s="9"/>
    </row>
    <row r="27" spans="1:37" ht="13.5" customHeight="1">
      <c r="A27" s="180"/>
      <c r="B27" s="9"/>
      <c r="C27" s="103"/>
      <c r="D27" s="9"/>
      <c r="E27" s="9"/>
      <c r="F27" s="228"/>
      <c r="G27" s="228"/>
      <c r="H27" s="228"/>
      <c r="I27" s="228"/>
      <c r="J27" s="9"/>
      <c r="K27" s="228"/>
      <c r="L27" s="228"/>
      <c r="M27" s="228"/>
      <c r="N27" s="228"/>
      <c r="O27" s="9"/>
      <c r="P27" s="228"/>
      <c r="Q27" s="228"/>
      <c r="R27" s="228"/>
      <c r="S27" s="228"/>
      <c r="T27" s="9"/>
      <c r="U27" s="228"/>
      <c r="V27" s="229"/>
      <c r="W27" s="229"/>
      <c r="X27" s="229"/>
      <c r="Y27" s="9"/>
      <c r="Z27" s="229"/>
      <c r="AA27" s="229"/>
      <c r="AB27" s="229"/>
      <c r="AC27" s="229"/>
      <c r="AD27" s="9"/>
      <c r="AE27" s="9"/>
      <c r="AF27" s="9"/>
      <c r="AG27" s="9"/>
      <c r="AH27" s="9"/>
      <c r="AI27" s="9"/>
      <c r="AJ27" s="9"/>
      <c r="AK27" s="9"/>
    </row>
    <row r="28" spans="1:37" ht="13.5" customHeight="1">
      <c r="A28" s="180"/>
      <c r="B28" s="9"/>
      <c r="C28" s="103" t="s">
        <v>262</v>
      </c>
      <c r="D28" s="9"/>
      <c r="E28" s="9"/>
      <c r="F28" s="266">
        <f>'Segment Analysis'!F7</f>
        <v>135.50900000000001</v>
      </c>
      <c r="G28" s="266">
        <f>'Segment Analysis'!G7</f>
        <v>153.38200000000001</v>
      </c>
      <c r="H28" s="266">
        <f>'Segment Analysis'!H7</f>
        <v>127.07399999999998</v>
      </c>
      <c r="I28" s="266">
        <f>'Segment Analysis'!I7</f>
        <v>112.788</v>
      </c>
      <c r="J28" s="197">
        <f>SUM(F28:I28)</f>
        <v>528.75300000000004</v>
      </c>
      <c r="K28" s="266">
        <f>'Segment Analysis'!K7</f>
        <v>125.03700000000001</v>
      </c>
      <c r="L28" s="266">
        <f>'Segment Analysis'!L7</f>
        <v>126.876</v>
      </c>
      <c r="M28" s="266">
        <f>'Segment Analysis'!M7</f>
        <v>125.26400000000001</v>
      </c>
      <c r="N28" s="266">
        <f>'Segment Analysis'!N7</f>
        <v>176.66499999999999</v>
      </c>
      <c r="O28" s="197">
        <f>SUM(K28:N28)</f>
        <v>553.84199999999998</v>
      </c>
      <c r="P28" s="266">
        <f>'Segment Analysis'!P7</f>
        <v>196.73099999999999</v>
      </c>
      <c r="Q28" s="266">
        <f>'Segment Analysis'!Q7</f>
        <v>149.999</v>
      </c>
      <c r="R28" s="266">
        <f>'Segment Analysis'!R7</f>
        <v>168.261</v>
      </c>
      <c r="S28" s="266">
        <f>'Segment Analysis'!S7</f>
        <v>197.97300000000001</v>
      </c>
      <c r="T28" s="197">
        <f>SUM(P28:S28)</f>
        <v>712.96399999999994</v>
      </c>
      <c r="U28" s="266">
        <f>'Segment Analysis'!U7</f>
        <v>175.958</v>
      </c>
      <c r="V28" s="196">
        <f>'Segment Analysis'!V7</f>
        <v>183.91066000000001</v>
      </c>
      <c r="W28" s="196">
        <f>'Segment Analysis'!W7</f>
        <v>195.211905</v>
      </c>
      <c r="X28" s="196">
        <f>'Segment Analysis'!X7</f>
        <v>211.57638516</v>
      </c>
      <c r="Y28" s="197">
        <f>SUM(U28:X28)</f>
        <v>766.65695015999995</v>
      </c>
      <c r="Z28" s="196">
        <f>'Segment Analysis'!Z7</f>
        <v>224.5177825758</v>
      </c>
      <c r="AA28" s="196">
        <f>'Segment Analysis'!AA7</f>
        <v>237.98884953034801</v>
      </c>
      <c r="AB28" s="196">
        <f>'Segment Analysis'!AB7</f>
        <v>249.25560509975202</v>
      </c>
      <c r="AC28" s="196">
        <f>'Segment Analysis'!AC7</f>
        <v>260.7660605763748</v>
      </c>
      <c r="AD28" s="197">
        <f>SUM(Z28:AC28)</f>
        <v>972.52829778227476</v>
      </c>
      <c r="AE28" s="197">
        <f>'Segment Analysis'!AE7</f>
        <v>1040.6052786270343</v>
      </c>
      <c r="AF28" s="197">
        <f>'Segment Analysis'!AF7</f>
        <v>1097.838568951521</v>
      </c>
      <c r="AG28" s="197">
        <f>'Segment Analysis'!AG7</f>
        <v>1169.5212445076716</v>
      </c>
      <c r="AH28" s="9"/>
      <c r="AI28" s="9"/>
      <c r="AJ28" s="9"/>
      <c r="AK28" s="9"/>
    </row>
    <row r="29" spans="1:37" ht="13.5" customHeight="1">
      <c r="A29" s="180"/>
      <c r="B29" s="9"/>
      <c r="C29" s="103" t="s">
        <v>263</v>
      </c>
      <c r="D29" s="9"/>
      <c r="E29" s="9"/>
      <c r="F29" s="267">
        <v>0</v>
      </c>
      <c r="G29" s="267">
        <v>0</v>
      </c>
      <c r="H29" s="267">
        <v>0</v>
      </c>
      <c r="I29" s="267">
        <v>0</v>
      </c>
      <c r="J29" s="268">
        <f>SUM(F29:I29)</f>
        <v>0</v>
      </c>
      <c r="K29" s="267">
        <v>0</v>
      </c>
      <c r="L29" s="267">
        <v>0</v>
      </c>
      <c r="M29" s="267">
        <v>0</v>
      </c>
      <c r="N29" s="267">
        <v>0</v>
      </c>
      <c r="O29" s="268">
        <f>SUM(K29:N29)</f>
        <v>0</v>
      </c>
      <c r="P29" s="267">
        <v>0</v>
      </c>
      <c r="Q29" s="267">
        <v>0</v>
      </c>
      <c r="R29" s="267">
        <v>0</v>
      </c>
      <c r="S29" s="267">
        <v>0</v>
      </c>
      <c r="T29" s="268">
        <f>SUM(P29:S29)</f>
        <v>0</v>
      </c>
      <c r="U29" s="267">
        <v>0</v>
      </c>
      <c r="V29" s="269">
        <f>IF(Cover!$F$37="Bottom Up",(V30-V28),(-V28*(1-V66)))</f>
        <v>0</v>
      </c>
      <c r="W29" s="269">
        <f>IF(Cover!$F$37="Bottom Up",(W30-W28),(-W28*(1-W66)))</f>
        <v>0</v>
      </c>
      <c r="X29" s="269">
        <f>IF(Cover!$F$37="Bottom Up",(X30-X28),(-X28*(1-X66)))</f>
        <v>0</v>
      </c>
      <c r="Y29" s="268">
        <f>SUM(U29:X29)</f>
        <v>0</v>
      </c>
      <c r="Z29" s="269">
        <f>IF(Cover!$F$37="Bottom Up",(Z30-Z28),(-Z28*(1-Z66)))</f>
        <v>0</v>
      </c>
      <c r="AA29" s="269">
        <f>IF(Cover!$F$37="Bottom Up",(AA30-AA28),(-AA28*(1-AA66)))</f>
        <v>0</v>
      </c>
      <c r="AB29" s="269">
        <f>IF(Cover!$F$37="Bottom Up",(AB30-AB28),(-AB28*(1-AB66)))</f>
        <v>0</v>
      </c>
      <c r="AC29" s="269">
        <f>IF(Cover!$F$37="Bottom Up",(AC30-AC28),(-AC28*(1-AC66)))</f>
        <v>0</v>
      </c>
      <c r="AD29" s="268">
        <f>SUM(Z29:AC29)</f>
        <v>0</v>
      </c>
      <c r="AE29" s="268">
        <f>IF(Cover!$F$37="Bottom Up",(AE30-AE28),(-AE28*(1-AE66)))</f>
        <v>0</v>
      </c>
      <c r="AF29" s="268">
        <f>IF(Cover!$F$37="Bottom Up",(AF30-AF28),(-AF28*(1-AF66)))</f>
        <v>0</v>
      </c>
      <c r="AG29" s="268">
        <f>IF(Cover!$F$37="Bottom Up",(AG30-AG28),(-AG28*(1-AG66)))</f>
        <v>0</v>
      </c>
      <c r="AH29" s="9"/>
      <c r="AI29" s="9"/>
      <c r="AJ29" s="9"/>
      <c r="AK29" s="9"/>
    </row>
    <row r="30" spans="1:37" ht="13.5" customHeight="1">
      <c r="A30" s="180"/>
      <c r="B30" s="9"/>
      <c r="C30" s="103" t="s">
        <v>264</v>
      </c>
      <c r="D30" s="9"/>
      <c r="E30" s="9"/>
      <c r="F30" s="266">
        <f>SUM(F28:F29)</f>
        <v>135.50900000000001</v>
      </c>
      <c r="G30" s="266">
        <f>SUM(G28:G29)</f>
        <v>153.38200000000001</v>
      </c>
      <c r="H30" s="266">
        <f>SUM(H28:H29)</f>
        <v>127.07399999999998</v>
      </c>
      <c r="I30" s="266">
        <f>SUM(I28:I29)</f>
        <v>112.788</v>
      </c>
      <c r="J30" s="197">
        <f>SUM(F30:I30)</f>
        <v>528.75300000000004</v>
      </c>
      <c r="K30" s="266">
        <f>SUM(K28:K29)</f>
        <v>125.03700000000001</v>
      </c>
      <c r="L30" s="266">
        <f>SUM(L28:L29)</f>
        <v>126.876</v>
      </c>
      <c r="M30" s="266">
        <f>SUM(M28:M29)</f>
        <v>125.26400000000001</v>
      </c>
      <c r="N30" s="266">
        <f>SUM(N28:N29)</f>
        <v>176.66499999999999</v>
      </c>
      <c r="O30" s="197">
        <f>SUM(K30:N30)</f>
        <v>553.84199999999998</v>
      </c>
      <c r="P30" s="266">
        <f>SUM(P28:P29)</f>
        <v>196.73099999999999</v>
      </c>
      <c r="Q30" s="266">
        <f>SUM(Q28:Q29)</f>
        <v>149.999</v>
      </c>
      <c r="R30" s="266">
        <f>SUM(R28:R29)</f>
        <v>168.261</v>
      </c>
      <c r="S30" s="266">
        <f>SUM(S28:S29)</f>
        <v>197.97300000000001</v>
      </c>
      <c r="T30" s="197">
        <f>SUM(P30:S30)</f>
        <v>712.96399999999994</v>
      </c>
      <c r="U30" s="266">
        <f>SUM(U28:U29)</f>
        <v>175.958</v>
      </c>
      <c r="V30" s="196">
        <f>IF(Cover!$F$37="Bottom Up",(V36-SUM(V32:V33,V35)),V28+V29)</f>
        <v>183.91066000000001</v>
      </c>
      <c r="W30" s="196">
        <f>IF(Cover!$F$37="Bottom Up",(W36-SUM(W32:W33,W35)),W28+W29)</f>
        <v>195.211905</v>
      </c>
      <c r="X30" s="196">
        <f>IF(Cover!$F$37="Bottom Up",(X36-SUM(X32:X33,X35)),X28+X29)</f>
        <v>211.57638516</v>
      </c>
      <c r="Y30" s="197">
        <f>SUM(U30:X30)</f>
        <v>766.65695015999995</v>
      </c>
      <c r="Z30" s="196">
        <f>IF(Cover!$F$37="Bottom Up",(Z36-SUM(Z32:Z33,Z35)),Z28+Z29)</f>
        <v>224.5177825758</v>
      </c>
      <c r="AA30" s="196">
        <f>IF(Cover!$F$37="Bottom Up",(AA36-SUM(AA32:AA33,AA35)),AA28+AA29)</f>
        <v>237.98884953034801</v>
      </c>
      <c r="AB30" s="196">
        <f>IF(Cover!$F$37="Bottom Up",(AB36-SUM(AB32:AB33,AB35)),AB28+AB29)</f>
        <v>249.25560509975202</v>
      </c>
      <c r="AC30" s="196">
        <f>IF(Cover!$F$37="Bottom Up",(AC36-SUM(AC32:AC33,AC35)),AC28+AC29)</f>
        <v>260.7660605763748</v>
      </c>
      <c r="AD30" s="197">
        <f>SUM(Z30:AC30)</f>
        <v>972.52829778227476</v>
      </c>
      <c r="AE30" s="197">
        <f>IF(Cover!$F$37="Bottom Up",(AE36-SUM(AE32:AE33,AE35)),AE28+AE29)</f>
        <v>1040.6052786270343</v>
      </c>
      <c r="AF30" s="197">
        <f>IF(Cover!$F$37="Bottom Up",(AF36-SUM(AF32:AF33,AF35)),AF28+AF29)</f>
        <v>1097.838568951521</v>
      </c>
      <c r="AG30" s="197">
        <f>IF(Cover!$F$37="Bottom Up",(AG36-SUM(AG32:AG33,AG35)),AG28+AG29)</f>
        <v>1169.5212445076716</v>
      </c>
      <c r="AH30" s="9"/>
      <c r="AI30" s="9"/>
      <c r="AJ30" s="9"/>
      <c r="AK30" s="9"/>
    </row>
    <row r="31" spans="1:37" ht="13.5" customHeight="1">
      <c r="A31" s="180"/>
      <c r="B31" s="9"/>
      <c r="C31" s="103"/>
      <c r="D31" s="9"/>
      <c r="E31" s="9"/>
      <c r="F31" s="270"/>
      <c r="G31" s="228"/>
      <c r="H31" s="228"/>
      <c r="I31" s="228"/>
      <c r="J31" s="9"/>
      <c r="K31" s="270"/>
      <c r="L31" s="228"/>
      <c r="M31" s="228"/>
      <c r="N31" s="228"/>
      <c r="O31" s="9"/>
      <c r="P31" s="270"/>
      <c r="Q31" s="228"/>
      <c r="R31" s="228"/>
      <c r="S31" s="228"/>
      <c r="T31" s="9"/>
      <c r="U31" s="270"/>
      <c r="V31" s="229"/>
      <c r="W31" s="229"/>
      <c r="X31" s="229"/>
      <c r="Y31" s="9"/>
      <c r="Z31" s="229"/>
      <c r="AA31" s="229"/>
      <c r="AB31" s="229"/>
      <c r="AC31" s="229"/>
      <c r="AD31" s="9"/>
      <c r="AE31" s="9"/>
      <c r="AF31" s="9"/>
      <c r="AG31" s="9"/>
      <c r="AH31" s="9"/>
      <c r="AI31" s="9"/>
      <c r="AJ31" s="9"/>
      <c r="AK31" s="9"/>
    </row>
    <row r="32" spans="1:37" ht="13.5" customHeight="1">
      <c r="A32" s="180"/>
      <c r="B32" s="9"/>
      <c r="C32" s="103" t="s">
        <v>265</v>
      </c>
      <c r="D32" s="9"/>
      <c r="E32" s="9"/>
      <c r="F32" s="271">
        <f>-0.3+-20.513</f>
        <v>-20.813000000000002</v>
      </c>
      <c r="G32" s="271">
        <f>-0.4+-22.836</f>
        <v>-23.235999999999997</v>
      </c>
      <c r="H32" s="271">
        <f>-0.3-22.717</f>
        <v>-23.016999999999999</v>
      </c>
      <c r="I32" s="271">
        <f>-23.329-0.035</f>
        <v>-23.364000000000001</v>
      </c>
      <c r="J32" s="126">
        <f>SUM(F32:I32)</f>
        <v>-90.43</v>
      </c>
      <c r="K32" s="271">
        <v>-25.995000000000001</v>
      </c>
      <c r="L32" s="271">
        <v>-25.349</v>
      </c>
      <c r="M32" s="271">
        <v>-24.164000000000001</v>
      </c>
      <c r="N32" s="271">
        <v>-28.512</v>
      </c>
      <c r="O32" s="126">
        <f>SUM(K32:N32)</f>
        <v>-104.02000000000001</v>
      </c>
      <c r="P32" s="271">
        <v>-28.685000000000002</v>
      </c>
      <c r="Q32" s="271">
        <v>-27.736999999999998</v>
      </c>
      <c r="R32" s="271">
        <v>-30.634</v>
      </c>
      <c r="S32" s="271">
        <v>-34.856999999999999</v>
      </c>
      <c r="T32" s="126">
        <f>SUM(P32:S32)</f>
        <v>-121.913</v>
      </c>
      <c r="U32" s="271">
        <v>-29.427</v>
      </c>
      <c r="V32" s="272">
        <f t="shared" ref="V32:X33" si="0">V67*V$28</f>
        <v>-31.632633519999999</v>
      </c>
      <c r="W32" s="272">
        <f t="shared" si="0"/>
        <v>-33.576447659999999</v>
      </c>
      <c r="X32" s="272">
        <f t="shared" si="0"/>
        <v>-36.391138247519997</v>
      </c>
      <c r="Y32" s="126">
        <f>SUM(U32:X32)</f>
        <v>-131.02721942751998</v>
      </c>
      <c r="Z32" s="272">
        <f t="shared" ref="Z32:AC33" si="1">Z67*Z$28</f>
        <v>-39.290611950764998</v>
      </c>
      <c r="AA32" s="272">
        <f t="shared" si="1"/>
        <v>-41.648048667810897</v>
      </c>
      <c r="AB32" s="272">
        <f t="shared" si="1"/>
        <v>-43.619730892456602</v>
      </c>
      <c r="AC32" s="272">
        <f t="shared" si="1"/>
        <v>-45.634060600865588</v>
      </c>
      <c r="AD32" s="126">
        <f>SUM(Z32:AC32)</f>
        <v>-170.19245211189809</v>
      </c>
      <c r="AE32" s="126">
        <f t="shared" ref="AE32:AG33" si="2">AE67*AE$28</f>
        <v>-182.10592375973098</v>
      </c>
      <c r="AF32" s="126">
        <f t="shared" si="2"/>
        <v>-192.12174956651617</v>
      </c>
      <c r="AG32" s="126">
        <f t="shared" si="2"/>
        <v>-204.66621778884252</v>
      </c>
      <c r="AH32" s="9"/>
      <c r="AI32" s="9"/>
      <c r="AJ32" s="9"/>
      <c r="AK32" s="9"/>
    </row>
    <row r="33" spans="1:37" ht="13.5" customHeight="1">
      <c r="A33" s="180"/>
      <c r="B33" s="9"/>
      <c r="C33" s="103" t="s">
        <v>846</v>
      </c>
      <c r="D33" s="9"/>
      <c r="E33" s="9"/>
      <c r="F33" s="271">
        <v>-52.194000000000003</v>
      </c>
      <c r="G33" s="271">
        <v>-60.363999999999997</v>
      </c>
      <c r="H33" s="271">
        <v>-45.676000000000002</v>
      </c>
      <c r="I33" s="271">
        <v>-40.177</v>
      </c>
      <c r="J33" s="126">
        <f>SUM(F33:I33)</f>
        <v>-198.41099999999997</v>
      </c>
      <c r="K33" s="271">
        <v>-44.103000000000002</v>
      </c>
      <c r="L33" s="271">
        <v>-45.93</v>
      </c>
      <c r="M33" s="271">
        <v>-49.706000000000003</v>
      </c>
      <c r="N33" s="271">
        <v>-64.266000000000005</v>
      </c>
      <c r="O33" s="126">
        <f>SUM(K33:N33)</f>
        <v>-204.005</v>
      </c>
      <c r="P33" s="271">
        <v>-78.435000000000002</v>
      </c>
      <c r="Q33" s="271">
        <v>-55.07</v>
      </c>
      <c r="R33" s="271">
        <v>-61.905000000000001</v>
      </c>
      <c r="S33" s="271">
        <v>-79.087999999999994</v>
      </c>
      <c r="T33" s="126">
        <f>SUM(P33:S33)</f>
        <v>-274.49799999999999</v>
      </c>
      <c r="U33" s="271">
        <v>-69.555999999999997</v>
      </c>
      <c r="V33" s="272">
        <f t="shared" si="0"/>
        <v>-72.644710700000005</v>
      </c>
      <c r="W33" s="272">
        <f t="shared" si="0"/>
        <v>-77.108702475000001</v>
      </c>
      <c r="X33" s="272">
        <f t="shared" si="0"/>
        <v>-83.572672138200005</v>
      </c>
      <c r="Y33" s="126">
        <f>SUM(U33:X33)</f>
        <v>-302.88208531320004</v>
      </c>
      <c r="Z33" s="272">
        <f t="shared" si="1"/>
        <v>-88.684524117441001</v>
      </c>
      <c r="AA33" s="272">
        <f t="shared" si="1"/>
        <v>-94.005595564487464</v>
      </c>
      <c r="AB33" s="272">
        <f t="shared" si="1"/>
        <v>-98.455964014402056</v>
      </c>
      <c r="AC33" s="272">
        <f t="shared" si="1"/>
        <v>-103.00259392766804</v>
      </c>
      <c r="AD33" s="126">
        <f>SUM(Z33:AC33)</f>
        <v>-384.14867762399859</v>
      </c>
      <c r="AE33" s="126">
        <f t="shared" si="2"/>
        <v>-421.44513784394894</v>
      </c>
      <c r="AF33" s="126">
        <f t="shared" si="2"/>
        <v>-444.624620425366</v>
      </c>
      <c r="AG33" s="126">
        <f t="shared" si="2"/>
        <v>-473.65610402560702</v>
      </c>
      <c r="AH33" s="9"/>
      <c r="AI33" s="9"/>
      <c r="AJ33" s="9"/>
      <c r="AK33" s="9"/>
    </row>
    <row r="34" spans="1:37" ht="13.5" customHeight="1">
      <c r="A34" s="180"/>
      <c r="B34" s="9"/>
      <c r="C34" s="103" t="s">
        <v>266</v>
      </c>
      <c r="D34" s="9"/>
      <c r="E34" s="9"/>
      <c r="F34" s="271">
        <v>0</v>
      </c>
      <c r="G34" s="271">
        <v>0</v>
      </c>
      <c r="H34" s="271">
        <v>0</v>
      </c>
      <c r="I34" s="271">
        <v>0</v>
      </c>
      <c r="J34" s="126">
        <f>SUM(F34:I34)</f>
        <v>0</v>
      </c>
      <c r="K34" s="271">
        <v>0</v>
      </c>
      <c r="L34" s="271">
        <v>0</v>
      </c>
      <c r="M34" s="271">
        <v>0</v>
      </c>
      <c r="N34" s="271">
        <v>0</v>
      </c>
      <c r="O34" s="126">
        <f>SUM(K34:N34)</f>
        <v>0</v>
      </c>
      <c r="P34" s="271">
        <v>0</v>
      </c>
      <c r="Q34" s="271">
        <v>0</v>
      </c>
      <c r="R34" s="271">
        <v>0</v>
      </c>
      <c r="S34" s="271">
        <v>0</v>
      </c>
      <c r="T34" s="126">
        <f>SUM(P34:S34)</f>
        <v>0</v>
      </c>
      <c r="U34" s="271">
        <v>0</v>
      </c>
      <c r="V34" s="272">
        <f>-V77</f>
        <v>0</v>
      </c>
      <c r="W34" s="272">
        <f>-W77</f>
        <v>0</v>
      </c>
      <c r="X34" s="272">
        <f>-X77</f>
        <v>0</v>
      </c>
      <c r="Y34" s="126">
        <f>SUM(U34:X34)</f>
        <v>0</v>
      </c>
      <c r="Z34" s="272">
        <f>-Z77</f>
        <v>0</v>
      </c>
      <c r="AA34" s="272">
        <f>-AA77</f>
        <v>0</v>
      </c>
      <c r="AB34" s="272">
        <f>-AB77</f>
        <v>0</v>
      </c>
      <c r="AC34" s="272">
        <f>-AC77</f>
        <v>0</v>
      </c>
      <c r="AD34" s="126">
        <f>SUM(Z34:AC34)</f>
        <v>0</v>
      </c>
      <c r="AE34" s="126">
        <f>-AE77</f>
        <v>0</v>
      </c>
      <c r="AF34" s="126">
        <f>-AF77</f>
        <v>0</v>
      </c>
      <c r="AG34" s="126">
        <f>-AG77</f>
        <v>0</v>
      </c>
      <c r="AH34" s="9"/>
      <c r="AI34" s="9"/>
      <c r="AJ34" s="9"/>
      <c r="AK34" s="9"/>
    </row>
    <row r="35" spans="1:37" ht="13.5" customHeight="1">
      <c r="A35" s="180"/>
      <c r="B35" s="9"/>
      <c r="C35" s="103" t="s">
        <v>267</v>
      </c>
      <c r="D35" s="9"/>
      <c r="E35" s="9"/>
      <c r="F35" s="267">
        <v>0</v>
      </c>
      <c r="G35" s="267">
        <v>0</v>
      </c>
      <c r="H35" s="267">
        <v>0</v>
      </c>
      <c r="I35" s="267">
        <v>0</v>
      </c>
      <c r="J35" s="268">
        <f>SUM(F35:I35)</f>
        <v>0</v>
      </c>
      <c r="K35" s="267">
        <v>0</v>
      </c>
      <c r="L35" s="267">
        <v>0</v>
      </c>
      <c r="M35" s="267">
        <v>0</v>
      </c>
      <c r="N35" s="267">
        <v>0</v>
      </c>
      <c r="O35" s="268">
        <f>SUM(K35:N35)</f>
        <v>0</v>
      </c>
      <c r="P35" s="267">
        <v>0</v>
      </c>
      <c r="Q35" s="267">
        <v>0</v>
      </c>
      <c r="R35" s="267">
        <v>0</v>
      </c>
      <c r="S35" s="267">
        <v>0</v>
      </c>
      <c r="T35" s="268">
        <f>SUM(P35:S35)</f>
        <v>0</v>
      </c>
      <c r="U35" s="267">
        <v>0</v>
      </c>
      <c r="V35" s="269">
        <f>V69*V$28</f>
        <v>0</v>
      </c>
      <c r="W35" s="269">
        <f>W69*W$28</f>
        <v>0</v>
      </c>
      <c r="X35" s="269">
        <f>X69*X$28</f>
        <v>0</v>
      </c>
      <c r="Y35" s="268">
        <f>SUM(U35:X35)</f>
        <v>0</v>
      </c>
      <c r="Z35" s="269">
        <f>Z69*Z$28</f>
        <v>0</v>
      </c>
      <c r="AA35" s="269">
        <f>AA69*AA$28</f>
        <v>0</v>
      </c>
      <c r="AB35" s="269">
        <f>AB69*AB$28</f>
        <v>0</v>
      </c>
      <c r="AC35" s="269">
        <f>AC69*AC$28</f>
        <v>0</v>
      </c>
      <c r="AD35" s="268">
        <f>SUM(Z35:AC35)</f>
        <v>0</v>
      </c>
      <c r="AE35" s="268">
        <f>AE69*AE$28</f>
        <v>0</v>
      </c>
      <c r="AF35" s="268">
        <f>AF69*AF$28</f>
        <v>0</v>
      </c>
      <c r="AG35" s="268">
        <f>AG69*AG$28</f>
        <v>0</v>
      </c>
      <c r="AH35" s="9"/>
      <c r="AI35" s="9"/>
      <c r="AJ35" s="9"/>
      <c r="AK35" s="9"/>
    </row>
    <row r="36" spans="1:37" ht="13.5" customHeight="1">
      <c r="A36" s="180"/>
      <c r="B36" s="9"/>
      <c r="C36" s="103" t="s">
        <v>268</v>
      </c>
      <c r="D36" s="9"/>
      <c r="E36" s="9"/>
      <c r="F36" s="266">
        <f>IF($C$34="Depreciation &amp; Amortization (incl. in SG&amp;A)",F30+SUM(F32:F33,F35),F30+SUM(F32:F35))</f>
        <v>62.50200000000001</v>
      </c>
      <c r="G36" s="266">
        <f>IF($C$34="Depreciation &amp; Amortization (incl. in SG&amp;A)",G30+SUM(G32:G33,G35),G30+SUM(G32:G35))</f>
        <v>69.782000000000011</v>
      </c>
      <c r="H36" s="266">
        <f>IF($C$34="Depreciation &amp; Amortization (incl. in SG&amp;A)",H30+SUM(H32:H33,H35),H30+SUM(H32:H35))</f>
        <v>58.380999999999986</v>
      </c>
      <c r="I36" s="266">
        <f>IF($C$34="Depreciation &amp; Amortization (incl. in SG&amp;A)",I30+SUM(I32:I33,I35),I30+SUM(I32:I35))</f>
        <v>49.247</v>
      </c>
      <c r="J36" s="197">
        <f>SUM(F36:I36)</f>
        <v>239.91200000000003</v>
      </c>
      <c r="K36" s="266">
        <f>IF($C$34="Depreciation &amp; Amortization (incl. in SG&amp;A)",K30+SUM(K32:K33,K35),K30+SUM(K32:K35))</f>
        <v>54.939000000000007</v>
      </c>
      <c r="L36" s="266">
        <f>IF($C$34="Depreciation &amp; Amortization (incl. in SG&amp;A)",L30+SUM(L32:L33,L35),L30+SUM(L32:L35))</f>
        <v>55.597000000000008</v>
      </c>
      <c r="M36" s="266">
        <f>IF($C$34="Depreciation &amp; Amortization (incl. in SG&amp;A)",M30+SUM(M32:M33,M35),M30+SUM(M32:M35))</f>
        <v>51.394000000000005</v>
      </c>
      <c r="N36" s="266">
        <f>IF($C$34="Depreciation &amp; Amortization (incl. in SG&amp;A)",N30+SUM(N32:N33,N35),N30+SUM(N32:N35))</f>
        <v>83.886999999999986</v>
      </c>
      <c r="O36" s="197">
        <f>SUM(K36:N36)</f>
        <v>245.81700000000001</v>
      </c>
      <c r="P36" s="266">
        <f>IF($C$34="Depreciation &amp; Amortization (incl. in SG&amp;A)",P30+SUM(P32:P33,P35),P30+SUM(P32:P35))</f>
        <v>89.61099999999999</v>
      </c>
      <c r="Q36" s="266">
        <f>IF($C$34="Depreciation &amp; Amortization (incl. in SG&amp;A)",Q30+SUM(Q32:Q33,Q35),Q30+SUM(Q32:Q35))</f>
        <v>67.191999999999993</v>
      </c>
      <c r="R36" s="266">
        <f>IF($C$34="Depreciation &amp; Amortization (incl. in SG&amp;A)",R30+SUM(R32:R33,R35),R30+SUM(R32:R35))</f>
        <v>75.721999999999994</v>
      </c>
      <c r="S36" s="266">
        <f>IF($C$34="Depreciation &amp; Amortization (incl. in SG&amp;A)",S30+SUM(S32:S33,S35),S30+SUM(S32:S35))</f>
        <v>84.02800000000002</v>
      </c>
      <c r="T36" s="197">
        <f>SUM(P36:S36)</f>
        <v>316.553</v>
      </c>
      <c r="U36" s="266">
        <f>IF($C$34="Depreciation &amp; Amortization (incl. in SG&amp;A)",U30+SUM(U32:U33,U35),U30+SUM(U32:U35))</f>
        <v>76.974999999999994</v>
      </c>
      <c r="V36" s="196">
        <f>IF(Cover!$F$37="Bottom Up",'Segment Analysis'!V23,IF($C$34="Depreciation &amp; Amortization (incl. in SG&amp;A)",V30+SUM(V32:V33,V35),V30+SUM(V32:V35)))</f>
        <v>79.633315780000004</v>
      </c>
      <c r="W36" s="196">
        <f>IF(Cover!$F$37="Bottom Up",'Segment Analysis'!W23,IF($C$34="Depreciation &amp; Amortization (incl. in SG&amp;A)",W30+SUM(W32:W33,W35),W30+SUM(W32:W35)))</f>
        <v>84.526754865000001</v>
      </c>
      <c r="X36" s="196">
        <f>IF(Cover!$F$37="Bottom Up",'Segment Analysis'!X23,IF($C$34="Depreciation &amp; Amortization (incl. in SG&amp;A)",X30+SUM(X32:X33,X35),X30+SUM(X32:X35)))</f>
        <v>91.612574774280006</v>
      </c>
      <c r="Y36" s="197">
        <f>SUM(U36:X36)</f>
        <v>332.74764541927999</v>
      </c>
      <c r="Z36" s="196">
        <f>IF(Cover!$F$37="Bottom Up",'Segment Analysis'!Z23,IF($C$34="Depreciation &amp; Amortization (incl. in SG&amp;A)",Z30+SUM(Z32:Z33,Z35),Z30+SUM(Z32:Z35)))</f>
        <v>96.542646507594</v>
      </c>
      <c r="AA36" s="196">
        <f>IF(Cover!$F$37="Bottom Up",'Segment Analysis'!AA23,IF($C$34="Depreciation &amp; Amortization (incl. in SG&amp;A)",AA30+SUM(AA32:AA33,AA35),AA30+SUM(AA32:AA35)))</f>
        <v>102.33520529804966</v>
      </c>
      <c r="AB36" s="196">
        <f>IF(Cover!$F$37="Bottom Up",'Segment Analysis'!AB23,IF($C$34="Depreciation &amp; Amortization (incl. in SG&amp;A)",AB30+SUM(AB32:AB33,AB35),AB30+SUM(AB32:AB35)))</f>
        <v>107.17991019289337</v>
      </c>
      <c r="AC36" s="196">
        <f>IF(Cover!$F$37="Bottom Up",'Segment Analysis'!AC23,IF($C$34="Depreciation &amp; Amortization (incl. in SG&amp;A)",AC30+SUM(AC32:AC33,AC35),AC30+SUM(AC32:AC35)))</f>
        <v>112.12940604784117</v>
      </c>
      <c r="AD36" s="197">
        <f>SUM(Z36:AC36)</f>
        <v>418.18716804637825</v>
      </c>
      <c r="AE36" s="197">
        <f>IF(Cover!$F$37="Bottom Up",'Segment Analysis'!AE23,IF($C$34="Depreciation &amp; Amortization (incl. in SG&amp;A)",AE30+SUM(AE32:AE33,AE35),AE30+SUM(AE32:AE35)))</f>
        <v>437.05421702335434</v>
      </c>
      <c r="AF36" s="197">
        <f>IF(Cover!$F$37="Bottom Up",'Segment Analysis'!AF23,IF($C$34="Depreciation &amp; Amortization (incl. in SG&amp;A)",AF30+SUM(AF32:AF33,AF35),AF30+SUM(AF32:AF35)))</f>
        <v>461.09219895963884</v>
      </c>
      <c r="AG36" s="197">
        <f>IF(Cover!$F$37="Bottom Up",'Segment Analysis'!AG23,IF($C$34="Depreciation &amp; Amortization (incl. in SG&amp;A)",AG30+SUM(AG32:AG33,AG35),AG30+SUM(AG32:AG35)))</f>
        <v>491.19892269322202</v>
      </c>
      <c r="AH36" s="9"/>
      <c r="AI36" s="9"/>
      <c r="AJ36" s="9"/>
      <c r="AK36" s="9"/>
    </row>
    <row r="37" spans="1:37" ht="13.5" customHeight="1">
      <c r="A37" s="180"/>
      <c r="B37" s="9"/>
      <c r="C37" s="103"/>
      <c r="D37" s="9"/>
      <c r="E37" s="9"/>
      <c r="F37" s="815"/>
      <c r="G37" s="270"/>
      <c r="H37" s="270"/>
      <c r="I37" s="270"/>
      <c r="J37" s="9"/>
      <c r="K37" s="270"/>
      <c r="L37" s="270"/>
      <c r="M37" s="270"/>
      <c r="N37" s="270"/>
      <c r="O37" s="9"/>
      <c r="P37" s="270"/>
      <c r="Q37" s="270"/>
      <c r="R37" s="270"/>
      <c r="S37" s="270"/>
      <c r="T37" s="9"/>
      <c r="U37" s="270"/>
      <c r="V37" s="273"/>
      <c r="W37" s="273"/>
      <c r="X37" s="273"/>
      <c r="Y37" s="9"/>
      <c r="Z37" s="273"/>
      <c r="AA37" s="273"/>
      <c r="AB37" s="273"/>
      <c r="AC37" s="273"/>
      <c r="AD37" s="9"/>
      <c r="AE37" s="9"/>
      <c r="AF37" s="9"/>
      <c r="AG37" s="9"/>
      <c r="AH37" s="9"/>
      <c r="AI37" s="9"/>
      <c r="AJ37" s="9"/>
      <c r="AK37" s="9"/>
    </row>
    <row r="38" spans="1:37" ht="13.5" customHeight="1">
      <c r="A38" s="180"/>
      <c r="B38" s="9"/>
      <c r="C38" s="103" t="s">
        <v>269</v>
      </c>
      <c r="D38" s="9"/>
      <c r="E38" s="9"/>
      <c r="F38" s="271">
        <v>0.16800000000000001</v>
      </c>
      <c r="G38" s="271">
        <v>1.107</v>
      </c>
      <c r="H38" s="271">
        <v>2.5530000000000004</v>
      </c>
      <c r="I38" s="271">
        <v>1.286</v>
      </c>
      <c r="J38" s="126">
        <f>SUM(F38:I38)</f>
        <v>5.1140000000000008</v>
      </c>
      <c r="K38" s="271">
        <v>2.677</v>
      </c>
      <c r="L38" s="271">
        <v>3.9400000000000004</v>
      </c>
      <c r="M38" s="271">
        <v>1.5</v>
      </c>
      <c r="N38" s="271">
        <v>1.891</v>
      </c>
      <c r="O38" s="126">
        <f>SUM(K38:N38)</f>
        <v>10.008000000000001</v>
      </c>
      <c r="P38" s="271">
        <v>0.78200000000000003</v>
      </c>
      <c r="Q38" s="271">
        <v>1.498</v>
      </c>
      <c r="R38" s="271">
        <v>2.798</v>
      </c>
      <c r="S38" s="271">
        <v>3.0020000000000002</v>
      </c>
      <c r="T38" s="126">
        <f>SUM(P38:S38)</f>
        <v>8.08</v>
      </c>
      <c r="U38" s="271">
        <v>3.0339999999999998</v>
      </c>
      <c r="V38" s="272">
        <f ca="1">V330</f>
        <v>3.2782304327716405</v>
      </c>
      <c r="W38" s="272">
        <f ca="1">W330</f>
        <v>3.4018128409855848</v>
      </c>
      <c r="X38" s="272">
        <f ca="1">X330</f>
        <v>3.4819528153507244</v>
      </c>
      <c r="Y38" s="126">
        <f ca="1">SUM(U38:X38)</f>
        <v>13.19599608910795</v>
      </c>
      <c r="Z38" s="272">
        <f ca="1">Z330</f>
        <v>3.2636413255436993</v>
      </c>
      <c r="AA38" s="272">
        <f ca="1">AA330</f>
        <v>3.079203172724823</v>
      </c>
      <c r="AB38" s="272">
        <f ca="1">AB330</f>
        <v>2.9971970998025883</v>
      </c>
      <c r="AC38" s="272">
        <f ca="1">AC330</f>
        <v>2.761590014499288</v>
      </c>
      <c r="AD38" s="126">
        <f ca="1">SUM(Z38:AC38)</f>
        <v>12.101631612570397</v>
      </c>
      <c r="AE38" s="126">
        <f ca="1">AE330</f>
        <v>2.8931910853644518</v>
      </c>
      <c r="AF38" s="126">
        <f ca="1">AF330</f>
        <v>3.2868919485508266</v>
      </c>
      <c r="AG38" s="126">
        <f ca="1">AG330</f>
        <v>3.2618389685067188</v>
      </c>
      <c r="AH38" s="9"/>
      <c r="AI38" s="9"/>
      <c r="AJ38" s="9"/>
      <c r="AK38" s="9"/>
    </row>
    <row r="39" spans="1:37" ht="13.5" customHeight="1">
      <c r="A39" s="180"/>
      <c r="B39" s="9"/>
      <c r="C39" s="103" t="s">
        <v>270</v>
      </c>
      <c r="D39" s="9"/>
      <c r="E39" s="9"/>
      <c r="F39" s="271">
        <v>-1.4950000000000001</v>
      </c>
      <c r="G39" s="271">
        <v>-2.1139999999999999</v>
      </c>
      <c r="H39" s="271">
        <v>-2.419</v>
      </c>
      <c r="I39" s="271">
        <v>-2.59</v>
      </c>
      <c r="J39" s="126">
        <f>SUM(F39:I39)</f>
        <v>-8.6180000000000003</v>
      </c>
      <c r="K39" s="271">
        <v>-2.8959999999999999</v>
      </c>
      <c r="L39" s="271">
        <v>-2.7429999999999999</v>
      </c>
      <c r="M39" s="271">
        <v>-2.7480000000000002</v>
      </c>
      <c r="N39" s="271">
        <v>-2.7879999999999998</v>
      </c>
      <c r="O39" s="126">
        <f>SUM(K39:N39)</f>
        <v>-11.175000000000001</v>
      </c>
      <c r="P39" s="271">
        <v>-2.9470000000000001</v>
      </c>
      <c r="Q39" s="271">
        <v>-2.7040000000000002</v>
      </c>
      <c r="R39" s="271">
        <v>-3.8660000000000001</v>
      </c>
      <c r="S39" s="271">
        <v>-3.8149999999999999</v>
      </c>
      <c r="T39" s="126">
        <f>SUM(P39:S39)</f>
        <v>-13.331999999999999</v>
      </c>
      <c r="U39" s="271">
        <v>-3.8559999999999999</v>
      </c>
      <c r="V39" s="272">
        <f ca="1">V323</f>
        <v>-2.5113341999999998</v>
      </c>
      <c r="W39" s="272">
        <f ca="1">W323</f>
        <v>-2.4982467000000002</v>
      </c>
      <c r="X39" s="272">
        <f ca="1">X323</f>
        <v>-2.4851592</v>
      </c>
      <c r="Y39" s="126">
        <f ca="1">SUM(U39:X39)</f>
        <v>-11.350740100000001</v>
      </c>
      <c r="Z39" s="272">
        <f ca="1">Z323</f>
        <v>-2.4720716999999999</v>
      </c>
      <c r="AA39" s="272">
        <f ca="1">AA323</f>
        <v>-2.4589842000000002</v>
      </c>
      <c r="AB39" s="272">
        <f ca="1">AB323</f>
        <v>-2.4458967</v>
      </c>
      <c r="AC39" s="272">
        <f ca="1">AC323</f>
        <v>-2.4328091999999999</v>
      </c>
      <c r="AD39" s="126">
        <f ca="1">SUM(Z39:AC39)</f>
        <v>-9.8097618000000004</v>
      </c>
      <c r="AE39" s="126">
        <f ca="1">AE323</f>
        <v>-9.6003617999999999</v>
      </c>
      <c r="AF39" s="126">
        <f ca="1">AF323</f>
        <v>-9.3909617999999995</v>
      </c>
      <c r="AG39" s="126">
        <f ca="1">AG323</f>
        <v>-9.1815618000000008</v>
      </c>
      <c r="AH39" s="9"/>
      <c r="AI39" s="9"/>
      <c r="AJ39" s="9"/>
      <c r="AK39" s="9"/>
    </row>
    <row r="40" spans="1:37" ht="13.5" customHeight="1">
      <c r="A40" s="180"/>
      <c r="B40" s="9"/>
      <c r="C40" s="103" t="s">
        <v>271</v>
      </c>
      <c r="D40" s="9"/>
      <c r="E40" s="9"/>
      <c r="F40" s="271">
        <v>0</v>
      </c>
      <c r="G40" s="271">
        <v>0</v>
      </c>
      <c r="H40" s="271">
        <v>0</v>
      </c>
      <c r="I40" s="271">
        <v>0</v>
      </c>
      <c r="J40" s="126">
        <f>SUM(F40:I40)</f>
        <v>0</v>
      </c>
      <c r="K40" s="271">
        <v>0</v>
      </c>
      <c r="L40" s="271">
        <v>0</v>
      </c>
      <c r="M40" s="271">
        <v>0</v>
      </c>
      <c r="N40" s="271">
        <v>0</v>
      </c>
      <c r="O40" s="126">
        <f>SUM(K40:N40)</f>
        <v>0</v>
      </c>
      <c r="P40" s="271">
        <v>0</v>
      </c>
      <c r="Q40" s="271">
        <v>0</v>
      </c>
      <c r="R40" s="271">
        <v>0</v>
      </c>
      <c r="S40" s="271">
        <v>0</v>
      </c>
      <c r="T40" s="126">
        <f>SUM(P40:S40)</f>
        <v>0</v>
      </c>
      <c r="U40" s="271">
        <v>0</v>
      </c>
      <c r="V40" s="274">
        <v>0</v>
      </c>
      <c r="W40" s="274">
        <v>0</v>
      </c>
      <c r="X40" s="274">
        <v>0</v>
      </c>
      <c r="Y40" s="126">
        <f>SUM(U40:X40)</f>
        <v>0</v>
      </c>
      <c r="Z40" s="274">
        <v>0</v>
      </c>
      <c r="AA40" s="274">
        <v>0</v>
      </c>
      <c r="AB40" s="274">
        <v>0</v>
      </c>
      <c r="AC40" s="274">
        <v>0</v>
      </c>
      <c r="AD40" s="126">
        <f>SUM(Z40:AC40)</f>
        <v>0</v>
      </c>
      <c r="AE40" s="275">
        <v>0</v>
      </c>
      <c r="AF40" s="275">
        <v>0</v>
      </c>
      <c r="AG40" s="275">
        <v>0</v>
      </c>
      <c r="AH40" s="9"/>
      <c r="AI40" s="9"/>
      <c r="AJ40" s="9"/>
      <c r="AK40" s="9"/>
    </row>
    <row r="41" spans="1:37" ht="13.5" customHeight="1">
      <c r="A41" s="180"/>
      <c r="B41" s="9"/>
      <c r="C41" s="103" t="s">
        <v>272</v>
      </c>
      <c r="D41" s="9"/>
      <c r="E41" s="9"/>
      <c r="F41" s="267">
        <v>6.4160000000000004</v>
      </c>
      <c r="G41" s="267">
        <v>4.4089999999999998</v>
      </c>
      <c r="H41" s="267">
        <v>-24.834</v>
      </c>
      <c r="I41" s="267">
        <v>20.081</v>
      </c>
      <c r="J41" s="268">
        <f>SUM(F41:I41)</f>
        <v>6.0719999999999992</v>
      </c>
      <c r="K41" s="267">
        <v>13.023999999999999</v>
      </c>
      <c r="L41" s="267">
        <v>9.5649999999999995</v>
      </c>
      <c r="M41" s="267">
        <v>0.186</v>
      </c>
      <c r="N41" s="267">
        <v>14.234</v>
      </c>
      <c r="O41" s="268">
        <f>SUM(K41:N41)</f>
        <v>37.009</v>
      </c>
      <c r="P41" s="267">
        <v>19.327999999999999</v>
      </c>
      <c r="Q41" s="267">
        <v>11.108000000000001</v>
      </c>
      <c r="R41" s="267">
        <v>15.497</v>
      </c>
      <c r="S41" s="267">
        <v>5.0429999999999993</v>
      </c>
      <c r="T41" s="268">
        <f>SUM(P41:S41)</f>
        <v>50.975999999999999</v>
      </c>
      <c r="U41" s="267">
        <v>19.295999999999999</v>
      </c>
      <c r="V41" s="269">
        <f>V70*V28</f>
        <v>8.2759797000000006</v>
      </c>
      <c r="W41" s="269">
        <f>W70*W28</f>
        <v>8.7845357249999996</v>
      </c>
      <c r="X41" s="269">
        <f>X70*X28</f>
        <v>9.520937332199999</v>
      </c>
      <c r="Y41" s="268">
        <f>SUM(U41:X41)</f>
        <v>45.877452757199997</v>
      </c>
      <c r="Z41" s="269">
        <f>Z70*Z28</f>
        <v>13.471066954548</v>
      </c>
      <c r="AA41" s="269">
        <f>AA70*AA28</f>
        <v>14.27933097182088</v>
      </c>
      <c r="AB41" s="269">
        <f>AB70*AB28</f>
        <v>11.216502229488841</v>
      </c>
      <c r="AC41" s="269">
        <f>AC70*AC28</f>
        <v>11.734472725936865</v>
      </c>
      <c r="AD41" s="268">
        <f>SUM(Z41:AC41)</f>
        <v>50.701372881794583</v>
      </c>
      <c r="AE41" s="268">
        <f>AE70*AE28</f>
        <v>62.436316717622056</v>
      </c>
      <c r="AF41" s="268">
        <f>AF70*AF28</f>
        <v>65.870314137091256</v>
      </c>
      <c r="AG41" s="268">
        <f>AG70*AG28</f>
        <v>70.171274670460292</v>
      </c>
      <c r="AH41" s="9"/>
      <c r="AI41" s="9"/>
      <c r="AJ41" s="9"/>
      <c r="AK41" s="9"/>
    </row>
    <row r="42" spans="1:37" ht="13.5" customHeight="1">
      <c r="A42" s="180"/>
      <c r="B42" s="9"/>
      <c r="C42" s="103" t="s">
        <v>273</v>
      </c>
      <c r="D42" s="9"/>
      <c r="E42" s="9"/>
      <c r="F42" s="266">
        <f>F36+SUM(F38:F41)</f>
        <v>67.591000000000008</v>
      </c>
      <c r="G42" s="266">
        <f>G36+SUM(G38:G41)</f>
        <v>73.184000000000012</v>
      </c>
      <c r="H42" s="266">
        <f>H36+SUM(H38:H41)</f>
        <v>33.680999999999983</v>
      </c>
      <c r="I42" s="266">
        <f>I36+SUM(I38:I41)</f>
        <v>68.024000000000001</v>
      </c>
      <c r="J42" s="197">
        <f>SUM(F42:I42)</f>
        <v>242.48000000000002</v>
      </c>
      <c r="K42" s="266">
        <f>K36+SUM(K38:K41)</f>
        <v>67.744</v>
      </c>
      <c r="L42" s="266">
        <f>L36+SUM(L38:L41)</f>
        <v>66.359000000000009</v>
      </c>
      <c r="M42" s="266">
        <f>M36+SUM(M38:M41)</f>
        <v>50.332000000000008</v>
      </c>
      <c r="N42" s="266">
        <f>N36+SUM(N38:N41)</f>
        <v>97.22399999999999</v>
      </c>
      <c r="O42" s="197">
        <f>SUM(K42:N42)</f>
        <v>281.65899999999999</v>
      </c>
      <c r="P42" s="266">
        <f>P36+SUM(P38:P41)</f>
        <v>106.77399999999999</v>
      </c>
      <c r="Q42" s="266">
        <f>Q36+SUM(Q38:Q41)</f>
        <v>77.093999999999994</v>
      </c>
      <c r="R42" s="266">
        <f>IF($C$8="On",R36+SUM(R38:R41),IF($C$8="off",R36+SUM(R40:R41),"N/A"))</f>
        <v>90.150999999999996</v>
      </c>
      <c r="S42" s="266">
        <f>IF($C$8="On",S36+SUM(S38:S41),IF($C$8="off",S36+SUM(S40:S41),"N/A"))</f>
        <v>88.258000000000024</v>
      </c>
      <c r="T42" s="197">
        <f>SUM(P42:S42)</f>
        <v>362.27700000000004</v>
      </c>
      <c r="U42" s="266">
        <f>U36+SUM(U38:U41)</f>
        <v>95.448999999999998</v>
      </c>
      <c r="V42" s="196">
        <f ca="1">IF($C$8="On",V36+SUM(V38:V41),IF($C$8="off",V36+SUM(V40:V41),"N/A"))</f>
        <v>88.67619171277164</v>
      </c>
      <c r="W42" s="196">
        <f ca="1">IF($C$8="On",W36+SUM(W38:W41),IF($C$8="off",W36+SUM(W40:W41),"N/A"))</f>
        <v>94.214856730985588</v>
      </c>
      <c r="X42" s="196">
        <f ca="1">IF($C$8="On",X36+SUM(X38:X41),IF($C$8="off",X36+SUM(X40:X41),"N/A"))</f>
        <v>102.13030572183072</v>
      </c>
      <c r="Y42" s="197">
        <f ca="1">SUM(U42:X42)</f>
        <v>380.47035416558799</v>
      </c>
      <c r="Z42" s="196">
        <f ca="1">IF($C$8="On",Z36+SUM(Z38:Z41),IF($C$8="off",Z36+SUM(Z40:Z41),"N/A"))</f>
        <v>110.80528308768569</v>
      </c>
      <c r="AA42" s="196">
        <f ca="1">IF($C$8="On",AA36+SUM(AA38:AA41),IF($C$8="off",AA36+SUM(AA40:AA41),"N/A"))</f>
        <v>117.23475524259536</v>
      </c>
      <c r="AB42" s="196">
        <f ca="1">IF($C$8="On",AB36+SUM(AB38:AB41),IF($C$8="off",AB36+SUM(AB40:AB41),"N/A"))</f>
        <v>118.9477128221848</v>
      </c>
      <c r="AC42" s="196">
        <f ca="1">IF($C$8="On",AC36+SUM(AC38:AC41),IF($C$8="off",AC36+SUM(AC40:AC41),"N/A"))</f>
        <v>124.19265958827732</v>
      </c>
      <c r="AD42" s="197">
        <f ca="1">SUM(Z42:AC42)</f>
        <v>471.18041074074318</v>
      </c>
      <c r="AE42" s="197">
        <f ca="1">IF($C$8="On",AE36+SUM(AE38:AE41),IF($C$8="off",AE36+SUM(AE40:AE41),"N/A"))</f>
        <v>492.78336302634085</v>
      </c>
      <c r="AF42" s="197">
        <f ca="1">IF($C$8="On",AF36+SUM(AF38:AF41),IF($C$8="off",AF36+SUM(AF40:AF41),"N/A"))</f>
        <v>520.85844324528091</v>
      </c>
      <c r="AG42" s="197">
        <f ca="1">IF($C$8="On",AG36+SUM(AG38:AG41),IF($C$8="off",AG36+SUM(AG40:AG41),"N/A"))</f>
        <v>555.45047453218899</v>
      </c>
      <c r="AH42" s="9"/>
      <c r="AI42" s="9"/>
      <c r="AJ42" s="9"/>
      <c r="AK42" s="9"/>
    </row>
    <row r="43" spans="1:37" ht="13.5" customHeight="1">
      <c r="A43" s="180"/>
      <c r="B43" s="9"/>
      <c r="C43" s="103"/>
      <c r="D43" s="9"/>
      <c r="E43" s="9"/>
      <c r="F43" s="270"/>
      <c r="G43" s="270"/>
      <c r="H43" s="270"/>
      <c r="I43" s="270"/>
      <c r="J43" s="9"/>
      <c r="K43" s="270"/>
      <c r="L43" s="270"/>
      <c r="M43" s="270"/>
      <c r="N43" s="270"/>
      <c r="O43" s="9"/>
      <c r="P43" s="270"/>
      <c r="Q43" s="270"/>
      <c r="R43" s="270"/>
      <c r="S43" s="270"/>
      <c r="T43" s="9"/>
      <c r="U43" s="270"/>
      <c r="V43" s="273"/>
      <c r="W43" s="273"/>
      <c r="X43" s="273"/>
      <c r="Y43" s="9"/>
      <c r="Z43" s="273"/>
      <c r="AA43" s="273"/>
      <c r="AB43" s="273"/>
      <c r="AC43" s="273"/>
      <c r="AD43" s="9"/>
      <c r="AE43" s="9"/>
      <c r="AF43" s="9"/>
      <c r="AG43" s="9"/>
      <c r="AH43" s="9"/>
      <c r="AI43" s="9"/>
      <c r="AJ43" s="9"/>
      <c r="AK43" s="9"/>
    </row>
    <row r="44" spans="1:37" ht="13.5" customHeight="1">
      <c r="A44" s="180"/>
      <c r="B44" s="9"/>
      <c r="C44" s="103" t="s">
        <v>274</v>
      </c>
      <c r="D44" s="9"/>
      <c r="E44" s="9"/>
      <c r="F44" s="267">
        <v>-11.488</v>
      </c>
      <c r="G44" s="267">
        <v>-15.489000000000001</v>
      </c>
      <c r="H44" s="267">
        <v>-11.788</v>
      </c>
      <c r="I44" s="267">
        <v>-16.658999999999999</v>
      </c>
      <c r="J44" s="268">
        <f>SUM(F44:I44)</f>
        <v>-55.423999999999999</v>
      </c>
      <c r="K44" s="267">
        <v>-16.399999999999999</v>
      </c>
      <c r="L44" s="267">
        <v>-1.8560000000000001</v>
      </c>
      <c r="M44" s="267">
        <v>-15.8</v>
      </c>
      <c r="N44" s="267">
        <v>-20.399000000000001</v>
      </c>
      <c r="O44" s="268">
        <f>SUM(K44:N44)</f>
        <v>-54.454999999999998</v>
      </c>
      <c r="P44" s="267">
        <v>-19.687000000000001</v>
      </c>
      <c r="Q44" s="267">
        <v>-1.1719999999999999</v>
      </c>
      <c r="R44" s="267">
        <v>-12.696</v>
      </c>
      <c r="S44" s="267">
        <v>-14.954000000000001</v>
      </c>
      <c r="T44" s="268">
        <f>SUM(P44:S44)</f>
        <v>-48.509</v>
      </c>
      <c r="U44" s="267">
        <v>-18.379000000000001</v>
      </c>
      <c r="V44" s="269">
        <f ca="1">-V71*V42</f>
        <v>-20.838905052501335</v>
      </c>
      <c r="W44" s="269">
        <f ca="1">-W71*W42</f>
        <v>-22.140491331781611</v>
      </c>
      <c r="X44" s="269">
        <f ca="1">-X71*X42</f>
        <v>-24.000621844630217</v>
      </c>
      <c r="Y44" s="268">
        <f ca="1">SUM(U44:X44)</f>
        <v>-85.359018228913158</v>
      </c>
      <c r="Z44" s="269">
        <f ca="1">-Z71*Z42</f>
        <v>-26.593267941044566</v>
      </c>
      <c r="AA44" s="269">
        <f ca="1">-AA71*AA42</f>
        <v>-28.136341258222885</v>
      </c>
      <c r="AB44" s="269">
        <f ca="1">-AB71*AB42</f>
        <v>-28.54745107732435</v>
      </c>
      <c r="AC44" s="269">
        <f ca="1">-AC71*AC42</f>
        <v>-29.806238301186557</v>
      </c>
      <c r="AD44" s="268">
        <f ca="1">SUM(Z44:AC44)</f>
        <v>-113.08329857777835</v>
      </c>
      <c r="AE44" s="268">
        <f ca="1">-AE71*AE42</f>
        <v>-118.26800712632181</v>
      </c>
      <c r="AF44" s="268">
        <f ca="1">-AF71*AF42</f>
        <v>-125.00602637886742</v>
      </c>
      <c r="AG44" s="268">
        <f ca="1">-AG71*AG42</f>
        <v>-133.30811388772534</v>
      </c>
      <c r="AH44" s="9"/>
      <c r="AI44" s="9"/>
      <c r="AJ44" s="9"/>
      <c r="AK44" s="9"/>
    </row>
    <row r="45" spans="1:37" ht="13.5" customHeight="1">
      <c r="A45" s="180"/>
      <c r="B45" s="9"/>
      <c r="C45" s="103" t="s">
        <v>275</v>
      </c>
      <c r="D45" s="9"/>
      <c r="E45" s="9"/>
      <c r="F45" s="266">
        <f>F42+F44</f>
        <v>56.103000000000009</v>
      </c>
      <c r="G45" s="266">
        <f>G42+G44</f>
        <v>57.695000000000007</v>
      </c>
      <c r="H45" s="266">
        <f>H42+H44</f>
        <v>21.892999999999983</v>
      </c>
      <c r="I45" s="266">
        <f>I42+I44</f>
        <v>51.365000000000002</v>
      </c>
      <c r="J45" s="197">
        <f>SUM(F45:I45)</f>
        <v>187.05600000000001</v>
      </c>
      <c r="K45" s="266">
        <f>K42+K44</f>
        <v>51.344000000000001</v>
      </c>
      <c r="L45" s="266">
        <f>L42+L44</f>
        <v>64.503000000000014</v>
      </c>
      <c r="M45" s="266">
        <f>M42+M44</f>
        <v>34.532000000000011</v>
      </c>
      <c r="N45" s="266">
        <f>N42+N44</f>
        <v>76.824999999999989</v>
      </c>
      <c r="O45" s="197">
        <f>SUM(K45:N45)</f>
        <v>227.20400000000001</v>
      </c>
      <c r="P45" s="266">
        <f>P42+P44</f>
        <v>87.086999999999989</v>
      </c>
      <c r="Q45" s="266">
        <f>Q42+Q44</f>
        <v>75.921999999999997</v>
      </c>
      <c r="R45" s="266">
        <f>R42+R44</f>
        <v>77.454999999999998</v>
      </c>
      <c r="S45" s="266">
        <f>S42+S44</f>
        <v>73.30400000000003</v>
      </c>
      <c r="T45" s="197">
        <f>SUM(P45:S45)</f>
        <v>313.76800000000003</v>
      </c>
      <c r="U45" s="266">
        <f>U42+U44</f>
        <v>77.069999999999993</v>
      </c>
      <c r="V45" s="196">
        <f ca="1">V42+V44</f>
        <v>67.837286660270308</v>
      </c>
      <c r="W45" s="196">
        <f ca="1">W42+W44</f>
        <v>72.07436539920397</v>
      </c>
      <c r="X45" s="196">
        <f ca="1">X42+X44</f>
        <v>78.129683877200506</v>
      </c>
      <c r="Y45" s="197">
        <f ca="1">SUM(U45:X45)</f>
        <v>295.11133593667478</v>
      </c>
      <c r="Z45" s="196">
        <f ca="1">Z42+Z44</f>
        <v>84.212015146641136</v>
      </c>
      <c r="AA45" s="196">
        <f ca="1">AA42+AA44</f>
        <v>89.098413984372471</v>
      </c>
      <c r="AB45" s="196">
        <f ca="1">AB42+AB44</f>
        <v>90.400261744860444</v>
      </c>
      <c r="AC45" s="196">
        <f ca="1">AC42+AC44</f>
        <v>94.386421287090769</v>
      </c>
      <c r="AD45" s="197">
        <f ca="1">SUM(Z45:AC45)</f>
        <v>358.09711216296489</v>
      </c>
      <c r="AE45" s="197">
        <f ca="1">AE42+AE44</f>
        <v>374.51535590001902</v>
      </c>
      <c r="AF45" s="197">
        <f ca="1">AF42+AF44</f>
        <v>395.85241686641348</v>
      </c>
      <c r="AG45" s="197">
        <f ca="1">AG42+AG44</f>
        <v>422.14236064446368</v>
      </c>
      <c r="AH45" s="9"/>
      <c r="AI45" s="9"/>
      <c r="AJ45" s="9"/>
      <c r="AK45" s="9"/>
    </row>
    <row r="46" spans="1:37" ht="13.5" customHeight="1">
      <c r="A46" s="180"/>
      <c r="B46" s="9"/>
      <c r="C46" s="103"/>
      <c r="D46" s="9"/>
      <c r="E46" s="9"/>
      <c r="F46" s="276"/>
      <c r="G46" s="276"/>
      <c r="H46" s="276"/>
      <c r="I46" s="276"/>
      <c r="J46" s="9"/>
      <c r="K46" s="276"/>
      <c r="L46" s="276"/>
      <c r="M46" s="276"/>
      <c r="N46" s="276"/>
      <c r="O46" s="9"/>
      <c r="P46" s="276"/>
      <c r="Q46" s="276"/>
      <c r="R46" s="276"/>
      <c r="S46" s="276"/>
      <c r="T46" s="9"/>
      <c r="U46" s="276"/>
      <c r="V46" s="277"/>
      <c r="W46" s="277"/>
      <c r="X46" s="277"/>
      <c r="Y46" s="9"/>
      <c r="Z46" s="277"/>
      <c r="AA46" s="277"/>
      <c r="AB46" s="277"/>
      <c r="AC46" s="277"/>
      <c r="AD46" s="9"/>
      <c r="AE46" s="9"/>
      <c r="AF46" s="9"/>
      <c r="AG46" s="9"/>
      <c r="AH46" s="9"/>
      <c r="AI46" s="9"/>
      <c r="AJ46" s="9"/>
      <c r="AK46" s="9"/>
    </row>
    <row r="47" spans="1:37" ht="13.5" customHeight="1">
      <c r="A47" s="180"/>
      <c r="B47" s="9"/>
      <c r="C47" s="103" t="s">
        <v>276</v>
      </c>
      <c r="D47" s="9"/>
      <c r="E47" s="9"/>
      <c r="F47" s="271">
        <v>0</v>
      </c>
      <c r="G47" s="271">
        <v>0</v>
      </c>
      <c r="H47" s="271">
        <v>0</v>
      </c>
      <c r="I47" s="271">
        <v>0</v>
      </c>
      <c r="J47" s="126">
        <f>SUM(F47:I47)</f>
        <v>0</v>
      </c>
      <c r="K47" s="271">
        <v>0</v>
      </c>
      <c r="L47" s="271">
        <v>0</v>
      </c>
      <c r="M47" s="271">
        <v>0</v>
      </c>
      <c r="N47" s="271">
        <v>0</v>
      </c>
      <c r="O47" s="126">
        <f>SUM(K47:N47)</f>
        <v>0</v>
      </c>
      <c r="P47" s="271">
        <v>0</v>
      </c>
      <c r="Q47" s="271">
        <v>0</v>
      </c>
      <c r="R47" s="271">
        <v>0</v>
      </c>
      <c r="S47" s="271">
        <v>0</v>
      </c>
      <c r="T47" s="126">
        <f>SUM(P47:S47)</f>
        <v>0</v>
      </c>
      <c r="U47" s="271">
        <v>0</v>
      </c>
      <c r="V47" s="272">
        <v>0</v>
      </c>
      <c r="W47" s="272">
        <v>0</v>
      </c>
      <c r="X47" s="272">
        <v>0</v>
      </c>
      <c r="Y47" s="126">
        <f>SUM(U47:X47)</f>
        <v>0</v>
      </c>
      <c r="Z47" s="272">
        <v>0</v>
      </c>
      <c r="AA47" s="272">
        <v>0</v>
      </c>
      <c r="AB47" s="272">
        <v>0</v>
      </c>
      <c r="AC47" s="272">
        <v>0</v>
      </c>
      <c r="AD47" s="126">
        <f>SUM(Z47:AC47)</f>
        <v>0</v>
      </c>
      <c r="AE47" s="126">
        <v>0</v>
      </c>
      <c r="AF47" s="126">
        <v>0</v>
      </c>
      <c r="AG47" s="126">
        <v>0</v>
      </c>
      <c r="AH47" s="9"/>
      <c r="AI47" s="9"/>
      <c r="AJ47" s="9"/>
      <c r="AK47" s="9"/>
    </row>
    <row r="48" spans="1:37" ht="13.5" customHeight="1">
      <c r="A48" s="180"/>
      <c r="B48" s="9"/>
      <c r="C48" s="103" t="s">
        <v>277</v>
      </c>
      <c r="D48" s="9"/>
      <c r="E48" s="9"/>
      <c r="F48" s="271">
        <v>0</v>
      </c>
      <c r="G48" s="271">
        <v>0</v>
      </c>
      <c r="H48" s="271">
        <v>0</v>
      </c>
      <c r="I48" s="271">
        <v>0</v>
      </c>
      <c r="J48" s="126">
        <f>SUM(F48:I48)</f>
        <v>0</v>
      </c>
      <c r="K48" s="271">
        <v>0</v>
      </c>
      <c r="L48" s="271">
        <v>0</v>
      </c>
      <c r="M48" s="271">
        <v>0</v>
      </c>
      <c r="N48" s="271">
        <v>0</v>
      </c>
      <c r="O48" s="126">
        <f>SUM(K48:N48)</f>
        <v>0</v>
      </c>
      <c r="P48" s="271">
        <v>0</v>
      </c>
      <c r="Q48" s="271">
        <v>0</v>
      </c>
      <c r="R48" s="271">
        <v>0</v>
      </c>
      <c r="S48" s="271">
        <v>0</v>
      </c>
      <c r="T48" s="126">
        <f>SUM(P48:S48)</f>
        <v>0</v>
      </c>
      <c r="U48" s="271">
        <v>0</v>
      </c>
      <c r="V48" s="272">
        <v>0</v>
      </c>
      <c r="W48" s="272">
        <v>0</v>
      </c>
      <c r="X48" s="272">
        <v>0</v>
      </c>
      <c r="Y48" s="126">
        <f>SUM(U48:X48)</f>
        <v>0</v>
      </c>
      <c r="Z48" s="272">
        <v>0</v>
      </c>
      <c r="AA48" s="272">
        <v>0</v>
      </c>
      <c r="AB48" s="272">
        <v>0</v>
      </c>
      <c r="AC48" s="272">
        <v>0</v>
      </c>
      <c r="AD48" s="126">
        <f>SUM(Z48:AC48)</f>
        <v>0</v>
      </c>
      <c r="AE48" s="126">
        <v>0</v>
      </c>
      <c r="AF48" s="126">
        <v>0</v>
      </c>
      <c r="AG48" s="126">
        <v>0</v>
      </c>
      <c r="AH48" s="9"/>
      <c r="AI48" s="9"/>
      <c r="AJ48" s="9"/>
      <c r="AK48" s="9"/>
    </row>
    <row r="49" spans="1:37" ht="13.5" customHeight="1">
      <c r="A49" s="180"/>
      <c r="B49" s="9"/>
      <c r="C49" s="103" t="s">
        <v>278</v>
      </c>
      <c r="D49" s="9"/>
      <c r="E49" s="9"/>
      <c r="F49" s="271">
        <v>0</v>
      </c>
      <c r="G49" s="271">
        <v>0</v>
      </c>
      <c r="H49" s="271">
        <v>0</v>
      </c>
      <c r="I49" s="271">
        <v>0</v>
      </c>
      <c r="J49" s="126">
        <f>SUM(F49:I49)</f>
        <v>0</v>
      </c>
      <c r="K49" s="271">
        <v>0</v>
      </c>
      <c r="L49" s="271">
        <v>0</v>
      </c>
      <c r="M49" s="271">
        <v>0</v>
      </c>
      <c r="N49" s="271">
        <v>0</v>
      </c>
      <c r="O49" s="126">
        <f>SUM(K49:N49)</f>
        <v>0</v>
      </c>
      <c r="P49" s="271">
        <v>0</v>
      </c>
      <c r="Q49" s="271">
        <v>0</v>
      </c>
      <c r="R49" s="271">
        <v>0</v>
      </c>
      <c r="S49" s="271">
        <v>0</v>
      </c>
      <c r="T49" s="126">
        <f>SUM(P49:S49)</f>
        <v>0</v>
      </c>
      <c r="U49" s="271">
        <v>0</v>
      </c>
      <c r="V49" s="272">
        <v>0</v>
      </c>
      <c r="W49" s="272">
        <v>0</v>
      </c>
      <c r="X49" s="272">
        <v>0</v>
      </c>
      <c r="Y49" s="126">
        <f>SUM(U49:X49)</f>
        <v>0</v>
      </c>
      <c r="Z49" s="272">
        <v>0</v>
      </c>
      <c r="AA49" s="272">
        <v>0</v>
      </c>
      <c r="AB49" s="272">
        <v>0</v>
      </c>
      <c r="AC49" s="272">
        <v>0</v>
      </c>
      <c r="AD49" s="126">
        <f>SUM(Z49:AC49)</f>
        <v>0</v>
      </c>
      <c r="AE49" s="126">
        <v>0</v>
      </c>
      <c r="AF49" s="126">
        <v>0</v>
      </c>
      <c r="AG49" s="126">
        <v>0</v>
      </c>
      <c r="AH49" s="9"/>
      <c r="AI49" s="9"/>
      <c r="AJ49" s="9"/>
      <c r="AK49" s="9"/>
    </row>
    <row r="50" spans="1:37" ht="13.5" customHeight="1">
      <c r="A50" s="180"/>
      <c r="B50" s="9"/>
      <c r="C50" s="103" t="s">
        <v>279</v>
      </c>
      <c r="D50" s="9"/>
      <c r="E50" s="9"/>
      <c r="F50" s="271">
        <v>-22.641999999999999</v>
      </c>
      <c r="G50" s="271">
        <v>-22.858000000000001</v>
      </c>
      <c r="H50" s="271">
        <v>-12.215000000000002</v>
      </c>
      <c r="I50" s="271">
        <v>-20.349</v>
      </c>
      <c r="J50" s="126">
        <f>SUM(F50:I50)</f>
        <v>-78.064000000000007</v>
      </c>
      <c r="K50" s="271">
        <v>-20.346</v>
      </c>
      <c r="L50" s="271">
        <v>-22.509</v>
      </c>
      <c r="M50" s="271">
        <v>-15.026000000000002</v>
      </c>
      <c r="N50" s="271">
        <v>-28.465</v>
      </c>
      <c r="O50" s="126">
        <f>SUM(K50:N50)</f>
        <v>-86.346000000000004</v>
      </c>
      <c r="P50" s="271">
        <v>-28.123000000000001</v>
      </c>
      <c r="Q50" s="271">
        <v>-20.94</v>
      </c>
      <c r="R50" s="271">
        <v>-24.483000000000001</v>
      </c>
      <c r="S50" s="271">
        <v>-22.805</v>
      </c>
      <c r="T50" s="126">
        <f>SUM(P50:S50)</f>
        <v>-96.350999999999999</v>
      </c>
      <c r="U50" s="271">
        <v>-23.324999999999999</v>
      </c>
      <c r="V50" s="272">
        <f>V72*V154</f>
        <v>-20.230172600000003</v>
      </c>
      <c r="W50" s="272">
        <f>W72*W154</f>
        <v>-21.473309550000003</v>
      </c>
      <c r="X50" s="272">
        <f>X72*X154</f>
        <v>-23.273402367600003</v>
      </c>
      <c r="Y50" s="126">
        <f>SUM(U50:X50)</f>
        <v>-88.301884517600001</v>
      </c>
      <c r="Z50" s="272">
        <f>Z72*Z154</f>
        <v>-23.462108279171105</v>
      </c>
      <c r="AA50" s="272">
        <f>AA72*AA154</f>
        <v>-24.869834775921372</v>
      </c>
      <c r="AB50" s="272">
        <f>AB72*AB154</f>
        <v>-24.863246608700262</v>
      </c>
      <c r="AC50" s="272">
        <f>AC72*AC154</f>
        <v>-26.011414542493387</v>
      </c>
      <c r="AD50" s="126">
        <f>SUM(Z50:AC50)</f>
        <v>-99.20660420628613</v>
      </c>
      <c r="AE50" s="126">
        <f>AE72*AE154</f>
        <v>-90.324538184826594</v>
      </c>
      <c r="AF50" s="126">
        <f>AF72*AF154</f>
        <v>-98.695687348741728</v>
      </c>
      <c r="AG50" s="126">
        <f>AG72*AG154</f>
        <v>-105.13995988123966</v>
      </c>
      <c r="AH50" s="9"/>
      <c r="AI50" s="9"/>
      <c r="AJ50" s="9"/>
      <c r="AK50" s="9"/>
    </row>
    <row r="51" spans="1:37" ht="13.5" customHeight="1">
      <c r="A51" s="180"/>
      <c r="B51" s="9"/>
      <c r="C51" s="103" t="s">
        <v>280</v>
      </c>
      <c r="D51" s="9"/>
      <c r="E51" s="9"/>
      <c r="F51" s="266">
        <f>SUM(F45:F50)</f>
        <v>33.461000000000013</v>
      </c>
      <c r="G51" s="266">
        <f>SUM(G45:G50)</f>
        <v>34.837000000000003</v>
      </c>
      <c r="H51" s="266">
        <f>SUM(H45:H50)</f>
        <v>9.6779999999999813</v>
      </c>
      <c r="I51" s="266">
        <f>SUM(I45:I50)</f>
        <v>31.016000000000002</v>
      </c>
      <c r="J51" s="197">
        <f>SUM(F51:I51)</f>
        <v>108.992</v>
      </c>
      <c r="K51" s="266">
        <f>SUM(K45:K50)</f>
        <v>30.998000000000001</v>
      </c>
      <c r="L51" s="266">
        <f>SUM(L45:L50)</f>
        <v>41.994000000000014</v>
      </c>
      <c r="M51" s="266">
        <f>SUM(M45:M50)</f>
        <v>19.506000000000007</v>
      </c>
      <c r="N51" s="266">
        <f>SUM(N45:N50)</f>
        <v>48.359999999999985</v>
      </c>
      <c r="O51" s="197">
        <f>SUM(K51:N51)</f>
        <v>140.858</v>
      </c>
      <c r="P51" s="266">
        <f>SUM(P45:P50)</f>
        <v>58.963999999999984</v>
      </c>
      <c r="Q51" s="266">
        <f>SUM(Q45:Q50)</f>
        <v>54.981999999999999</v>
      </c>
      <c r="R51" s="266">
        <f>SUM(R45:R50)</f>
        <v>52.971999999999994</v>
      </c>
      <c r="S51" s="266">
        <f>SUM(S45:S50)</f>
        <v>50.499000000000031</v>
      </c>
      <c r="T51" s="197">
        <f>SUM(P51:S51)</f>
        <v>217.417</v>
      </c>
      <c r="U51" s="266">
        <f>SUM(U45:U50)</f>
        <v>53.74499999999999</v>
      </c>
      <c r="V51" s="196">
        <f ca="1">SUM(V45:V50)</f>
        <v>47.607114060270305</v>
      </c>
      <c r="W51" s="196">
        <f ca="1">SUM(W45:W50)</f>
        <v>50.601055849203966</v>
      </c>
      <c r="X51" s="196">
        <f ca="1">SUM(X45:X50)</f>
        <v>54.856281509600507</v>
      </c>
      <c r="Y51" s="197">
        <f ca="1">SUM(U51:X51)</f>
        <v>206.80945141907478</v>
      </c>
      <c r="Z51" s="196">
        <f ca="1">SUM(Z45:Z50)</f>
        <v>60.749906867470031</v>
      </c>
      <c r="AA51" s="196">
        <f ca="1">SUM(AA45:AA50)</f>
        <v>64.228579208451094</v>
      </c>
      <c r="AB51" s="196">
        <f ca="1">SUM(AB45:AB50)</f>
        <v>65.537015136160178</v>
      </c>
      <c r="AC51" s="196">
        <f ca="1">SUM(AC45:AC50)</f>
        <v>68.375006744597385</v>
      </c>
      <c r="AD51" s="197">
        <f ca="1">SUM(Z51:AC51)</f>
        <v>258.89050795667868</v>
      </c>
      <c r="AE51" s="197">
        <f ca="1">SUM(AE45:AE50)</f>
        <v>284.19081771519245</v>
      </c>
      <c r="AF51" s="197">
        <f ca="1">SUM(AF45:AF50)</f>
        <v>297.15672951767175</v>
      </c>
      <c r="AG51" s="197">
        <f ca="1">SUM(AG45:AG50)</f>
        <v>317.00240076322405</v>
      </c>
      <c r="AH51" s="9"/>
      <c r="AI51" s="9"/>
      <c r="AJ51" s="9"/>
      <c r="AK51" s="9"/>
    </row>
    <row r="52" spans="1:37" ht="13.5" customHeight="1">
      <c r="A52" s="180"/>
      <c r="B52" s="9"/>
      <c r="C52" s="103"/>
      <c r="D52" s="9"/>
      <c r="E52" s="9"/>
      <c r="F52" s="228"/>
      <c r="G52" s="228"/>
      <c r="H52" s="228"/>
      <c r="I52" s="228"/>
      <c r="J52" s="9"/>
      <c r="K52" s="283"/>
      <c r="L52" s="228"/>
      <c r="M52" s="228"/>
      <c r="N52" s="228"/>
      <c r="O52" s="9"/>
      <c r="P52" s="228"/>
      <c r="Q52" s="228"/>
      <c r="R52" s="228"/>
      <c r="S52" s="228"/>
      <c r="T52" s="9"/>
      <c r="U52" s="228"/>
      <c r="V52" s="229"/>
      <c r="W52" s="229"/>
      <c r="X52" s="229"/>
      <c r="Y52" s="9"/>
      <c r="Z52" s="229"/>
      <c r="AA52" s="229"/>
      <c r="AB52" s="229"/>
      <c r="AC52" s="229"/>
      <c r="AD52" s="9"/>
      <c r="AE52" s="9"/>
      <c r="AF52" s="9"/>
      <c r="AG52" s="9"/>
      <c r="AH52" s="9"/>
      <c r="AI52" s="9"/>
      <c r="AJ52" s="9"/>
      <c r="AK52" s="9"/>
    </row>
    <row r="53" spans="1:37" ht="13.5" customHeight="1">
      <c r="A53" s="180"/>
      <c r="B53" s="9"/>
      <c r="C53" s="103" t="s">
        <v>281</v>
      </c>
      <c r="D53" s="9"/>
      <c r="E53" s="9"/>
      <c r="F53" s="283">
        <f>(F45)/F283</f>
        <v>1.5163382794129572</v>
      </c>
      <c r="G53" s="283">
        <f>(G45)/G283</f>
        <v>1.5593243243243244</v>
      </c>
      <c r="H53" s="283">
        <f>(H45)/H283</f>
        <v>0.59130317353139727</v>
      </c>
      <c r="I53" s="283">
        <f>(I45)/I283</f>
        <v>1.3860330823821476</v>
      </c>
      <c r="J53" s="91">
        <f>J45/J283</f>
        <v>5.0475188213389464</v>
      </c>
      <c r="K53" s="283">
        <f>(K45)/K283</f>
        <v>1.3616569867663828</v>
      </c>
      <c r="L53" s="283">
        <f>(L45)/L283</f>
        <v>1.7101383954610534</v>
      </c>
      <c r="M53" s="283">
        <f>(M45)/M283</f>
        <v>0.91509433962264186</v>
      </c>
      <c r="N53" s="283">
        <f>(N45)/N283</f>
        <v>2.0292936763695915</v>
      </c>
      <c r="O53" s="91">
        <f>O45/O283</f>
        <v>6.0014792117914322</v>
      </c>
      <c r="P53" s="283">
        <f>(P45)/P283</f>
        <v>2.1941798941798942</v>
      </c>
      <c r="Q53" s="283">
        <f>(Q45)/Q283</f>
        <v>1.9123929471032743</v>
      </c>
      <c r="R53" s="283">
        <f>(R45)/R283</f>
        <v>1.9510075566750629</v>
      </c>
      <c r="S53" s="283">
        <f>(S45)/S283</f>
        <v>1.8371929824561413</v>
      </c>
      <c r="T53" s="91">
        <f>T45/T283</f>
        <v>7.8638596491228077</v>
      </c>
      <c r="U53" s="283">
        <f>(U45)/U283</f>
        <v>1.8629441624365481</v>
      </c>
      <c r="V53" s="284">
        <f t="shared" ref="V53:AG53" ca="1" si="3">V45/V283</f>
        <v>1.6397700425494395</v>
      </c>
      <c r="W53" s="284">
        <f t="shared" ca="1" si="3"/>
        <v>1.7421891563742802</v>
      </c>
      <c r="X53" s="284">
        <f t="shared" ca="1" si="3"/>
        <v>1.8953385117302592</v>
      </c>
      <c r="Y53" s="91">
        <f t="shared" ca="1" si="3"/>
        <v>7.1398470593642225</v>
      </c>
      <c r="Z53" s="284">
        <f t="shared" ca="1" si="3"/>
        <v>2.0502490421228021</v>
      </c>
      <c r="AA53" s="284">
        <f t="shared" ca="1" si="3"/>
        <v>2.1692146614473531</v>
      </c>
      <c r="AB53" s="284">
        <f t="shared" ca="1" si="3"/>
        <v>2.2009098075530766</v>
      </c>
      <c r="AC53" s="284">
        <f t="shared" ca="1" si="3"/>
        <v>2.3062668278040341</v>
      </c>
      <c r="AD53" s="91">
        <f t="shared" ca="1" si="3"/>
        <v>8.726191008720928</v>
      </c>
      <c r="AE53" s="91">
        <f t="shared" ca="1" si="3"/>
        <v>9.2176812550313034</v>
      </c>
      <c r="AF53" s="91">
        <f t="shared" ca="1" si="3"/>
        <v>9.8143247922514973</v>
      </c>
      <c r="AG53" s="91">
        <f t="shared" ca="1" si="3"/>
        <v>10.543492949212967</v>
      </c>
      <c r="AH53" s="9"/>
      <c r="AI53" s="9"/>
      <c r="AJ53" s="9"/>
      <c r="AK53" s="9"/>
    </row>
    <row r="54" spans="1:37" ht="13.5" customHeight="1">
      <c r="A54" s="180"/>
      <c r="B54" s="9"/>
      <c r="C54" s="103" t="s">
        <v>282</v>
      </c>
      <c r="D54" s="9"/>
      <c r="E54" s="9"/>
      <c r="F54" s="283">
        <f>(F45)/F285</f>
        <v>1.0447486033519555</v>
      </c>
      <c r="G54" s="283">
        <f>(G45)/G285</f>
        <v>1.0734952088566381</v>
      </c>
      <c r="H54" s="283">
        <f>(H45)/H285</f>
        <v>0.40716769885993759</v>
      </c>
      <c r="I54" s="283">
        <f>(I45)/I285</f>
        <v>0.95655331669708377</v>
      </c>
      <c r="J54" s="91">
        <f>J45/J285</f>
        <v>3.4834816939178368</v>
      </c>
      <c r="K54" s="283">
        <f>(K45)/K285</f>
        <v>0.95187245087133854</v>
      </c>
      <c r="L54" s="283">
        <f>(L45)/L285</f>
        <v>1.1958286985539492</v>
      </c>
      <c r="M54" s="283">
        <f>(M45)/M285</f>
        <v>0.63963546779780334</v>
      </c>
      <c r="N54" s="283">
        <f>(N45)/N285</f>
        <v>1.4253246753246751</v>
      </c>
      <c r="O54" s="91">
        <f>O45/O285</f>
        <v>4.2152875695732845</v>
      </c>
      <c r="P54" s="283">
        <f>(P45)/P285</f>
        <v>1.6112303422756706</v>
      </c>
      <c r="Q54" s="283">
        <f>(Q45)/Q285</f>
        <v>1.4012919896640827</v>
      </c>
      <c r="R54" s="283">
        <f>(R45)/R285</f>
        <v>1.4238051470588236</v>
      </c>
      <c r="S54" s="283">
        <f>(S45)/S285</f>
        <v>1.818957816377172</v>
      </c>
      <c r="T54" s="91">
        <f>T45/T285</f>
        <v>7.7858064516129044</v>
      </c>
      <c r="U54" s="283">
        <f>(U45)/U285</f>
        <v>1.4149072884156415</v>
      </c>
      <c r="V54" s="284">
        <f t="shared" ref="V54:AG54" ca="1" si="4">V45/V285</f>
        <v>1.2454064009596164</v>
      </c>
      <c r="W54" s="284">
        <f t="shared" ca="1" si="4"/>
        <v>1.3231937837195515</v>
      </c>
      <c r="X54" s="284">
        <f t="shared" ca="1" si="4"/>
        <v>1.4382690938409812</v>
      </c>
      <c r="Y54" s="91">
        <f t="shared" ca="1" si="4"/>
        <v>5.4215514028840088</v>
      </c>
      <c r="Z54" s="284">
        <f t="shared" ca="1" si="4"/>
        <v>1.5544717013657805</v>
      </c>
      <c r="AA54" s="284">
        <f t="shared" ca="1" si="4"/>
        <v>1.6446698601631118</v>
      </c>
      <c r="AB54" s="284">
        <f t="shared" ca="1" si="4"/>
        <v>1.6687007006511474</v>
      </c>
      <c r="AC54" s="284">
        <f t="shared" ca="1" si="4"/>
        <v>1.7470534812139538</v>
      </c>
      <c r="AD54" s="91">
        <f t="shared" ca="1" si="4"/>
        <v>6.6146406349933233</v>
      </c>
      <c r="AE54" s="91">
        <f t="shared" ca="1" si="4"/>
        <v>6.9703075569960298</v>
      </c>
      <c r="AF54" s="91">
        <f t="shared" ca="1" si="4"/>
        <v>7.4082293927821263</v>
      </c>
      <c r="AG54" s="91">
        <f t="shared" ca="1" si="4"/>
        <v>7.9442369166236553</v>
      </c>
      <c r="AH54" s="9"/>
      <c r="AI54" s="9"/>
      <c r="AJ54" s="9"/>
      <c r="AK54" s="9"/>
    </row>
    <row r="55" spans="1:37" ht="13.5" customHeight="1">
      <c r="A55" s="180"/>
      <c r="B55" s="9"/>
      <c r="C55" s="103"/>
      <c r="D55" s="9"/>
      <c r="E55" s="9"/>
      <c r="F55" s="283"/>
      <c r="G55" s="283"/>
      <c r="H55" s="283"/>
      <c r="I55" s="283"/>
      <c r="J55" s="91"/>
      <c r="K55" s="283"/>
      <c r="L55" s="283"/>
      <c r="M55" s="283"/>
      <c r="N55" s="283"/>
      <c r="O55" s="91"/>
      <c r="P55" s="283"/>
      <c r="Q55" s="283"/>
      <c r="R55" s="283"/>
      <c r="S55" s="283"/>
      <c r="T55" s="91"/>
      <c r="U55" s="283"/>
      <c r="V55" s="284"/>
      <c r="W55" s="284"/>
      <c r="X55" s="284"/>
      <c r="Y55" s="91"/>
      <c r="Z55" s="284"/>
      <c r="AA55" s="284"/>
      <c r="AB55" s="284"/>
      <c r="AC55" s="284"/>
      <c r="AD55" s="91"/>
      <c r="AE55" s="91"/>
      <c r="AF55" s="91"/>
      <c r="AG55" s="91"/>
      <c r="AH55" s="9"/>
      <c r="AI55" s="9"/>
      <c r="AJ55" s="9"/>
      <c r="AK55" s="9"/>
    </row>
    <row r="56" spans="1:37" ht="13.5" customHeight="1">
      <c r="A56" s="180"/>
      <c r="B56" s="9"/>
      <c r="C56" s="103" t="s">
        <v>283</v>
      </c>
      <c r="D56" s="9"/>
      <c r="E56" s="9"/>
      <c r="F56" s="283">
        <f t="shared" ref="F56:AG56" si="5">F51/F283</f>
        <v>0.90437579394037704</v>
      </c>
      <c r="G56" s="283">
        <f t="shared" si="5"/>
        <v>0.94154054054054059</v>
      </c>
      <c r="H56" s="283">
        <f t="shared" si="5"/>
        <v>0.26139095205941881</v>
      </c>
      <c r="I56" s="283">
        <f t="shared" si="5"/>
        <v>0.8369356971316011</v>
      </c>
      <c r="J56" s="91">
        <f t="shared" si="5"/>
        <v>2.9410399633017623</v>
      </c>
      <c r="K56" s="283">
        <f t="shared" si="5"/>
        <v>0.82207547670193859</v>
      </c>
      <c r="L56" s="283">
        <f t="shared" si="5"/>
        <v>1.1133676228856251</v>
      </c>
      <c r="M56" s="283">
        <f t="shared" si="5"/>
        <v>0.5169069323722707</v>
      </c>
      <c r="N56" s="283">
        <f t="shared" si="5"/>
        <v>1.2774050398858892</v>
      </c>
      <c r="O56" s="91">
        <f t="shared" si="5"/>
        <v>3.7206931163822712</v>
      </c>
      <c r="P56" s="283">
        <f t="shared" si="5"/>
        <v>1.4856135046611234</v>
      </c>
      <c r="Q56" s="283">
        <f t="shared" si="5"/>
        <v>1.3849370277078084</v>
      </c>
      <c r="R56" s="283">
        <f t="shared" si="5"/>
        <v>1.334307304785894</v>
      </c>
      <c r="S56" s="283">
        <f t="shared" si="5"/>
        <v>1.2656390977443617</v>
      </c>
      <c r="T56" s="91">
        <f t="shared" si="5"/>
        <v>5.4490476190476196</v>
      </c>
      <c r="U56" s="283">
        <f t="shared" si="5"/>
        <v>1.2991298042059463</v>
      </c>
      <c r="V56" s="284">
        <f t="shared" ca="1" si="5"/>
        <v>1.1507641783966718</v>
      </c>
      <c r="W56" s="284">
        <f t="shared" ca="1" si="5"/>
        <v>1.2231340548514376</v>
      </c>
      <c r="X56" s="284">
        <f t="shared" ca="1" si="5"/>
        <v>1.3307518704270969</v>
      </c>
      <c r="Y56" s="91">
        <f t="shared" ca="1" si="5"/>
        <v>5.0034941859368507</v>
      </c>
      <c r="Z56" s="284">
        <f t="shared" ca="1" si="5"/>
        <v>1.4790340564489832</v>
      </c>
      <c r="AA56" s="284">
        <f t="shared" ca="1" si="5"/>
        <v>1.5637267766331051</v>
      </c>
      <c r="AB56" s="284">
        <f t="shared" ca="1" si="5"/>
        <v>1.5955823200824963</v>
      </c>
      <c r="AC56" s="284">
        <f t="shared" ca="1" si="5"/>
        <v>1.6706959301518665</v>
      </c>
      <c r="AD56" s="91">
        <f t="shared" ca="1" si="5"/>
        <v>6.3087021538075581</v>
      </c>
      <c r="AE56" s="91">
        <f t="shared" ca="1" si="5"/>
        <v>6.9945873567989914</v>
      </c>
      <c r="AF56" s="91">
        <f t="shared" ca="1" si="5"/>
        <v>7.3673736307484514</v>
      </c>
      <c r="AG56" s="91">
        <f t="shared" ca="1" si="5"/>
        <v>7.9175010350254693</v>
      </c>
      <c r="AH56" s="9"/>
      <c r="AI56" s="9"/>
      <c r="AJ56" s="9"/>
      <c r="AK56" s="9"/>
    </row>
    <row r="57" spans="1:37" ht="13.5" customHeight="1">
      <c r="A57" s="180"/>
      <c r="B57" s="9"/>
      <c r="C57" s="103" t="s">
        <v>284</v>
      </c>
      <c r="D57" s="9"/>
      <c r="E57" s="9"/>
      <c r="F57" s="283">
        <f t="shared" ref="F57:AG57" si="6">F51/F285</f>
        <v>0.62310986964618265</v>
      </c>
      <c r="G57" s="283">
        <f t="shared" si="6"/>
        <v>0.64819052935156773</v>
      </c>
      <c r="H57" s="283">
        <f t="shared" si="6"/>
        <v>0.17999218880767695</v>
      </c>
      <c r="I57" s="283">
        <f t="shared" si="6"/>
        <v>0.57760065551789641</v>
      </c>
      <c r="J57" s="91">
        <f t="shared" si="6"/>
        <v>2.0297217773473872</v>
      </c>
      <c r="K57" s="283">
        <f t="shared" si="6"/>
        <v>0.57467556544308496</v>
      </c>
      <c r="L57" s="283">
        <f t="shared" si="6"/>
        <v>0.7785317018909903</v>
      </c>
      <c r="M57" s="283">
        <f t="shared" si="6"/>
        <v>0.36130920406764605</v>
      </c>
      <c r="N57" s="283">
        <f t="shared" si="6"/>
        <v>0.89721706864563977</v>
      </c>
      <c r="O57" s="91">
        <f t="shared" si="6"/>
        <v>2.6133209647495361</v>
      </c>
      <c r="P57" s="283">
        <f t="shared" si="6"/>
        <v>1.0909158186864012</v>
      </c>
      <c r="Q57" s="283">
        <f t="shared" si="6"/>
        <v>1.0148025101513474</v>
      </c>
      <c r="R57" s="283">
        <f t="shared" si="6"/>
        <v>0.97374999999999989</v>
      </c>
      <c r="S57" s="283">
        <f t="shared" si="6"/>
        <v>1.2530769230769239</v>
      </c>
      <c r="T57" s="91">
        <f t="shared" si="6"/>
        <v>5.3949627791563284</v>
      </c>
      <c r="U57" s="283">
        <f t="shared" si="6"/>
        <v>0.98668992105746267</v>
      </c>
      <c r="V57" s="284">
        <f t="shared" ca="1" si="6"/>
        <v>0.87400613292216456</v>
      </c>
      <c r="W57" s="284">
        <f t="shared" ca="1" si="6"/>
        <v>0.9289711005912239</v>
      </c>
      <c r="X57" s="284">
        <f t="shared" ca="1" si="6"/>
        <v>1.0098350637423048</v>
      </c>
      <c r="Y57" s="91">
        <f ca="1">Y51/Y285</f>
        <v>3.7993392151880983</v>
      </c>
      <c r="Z57" s="284">
        <f t="shared" ca="1" si="6"/>
        <v>1.1213840557270578</v>
      </c>
      <c r="AA57" s="284">
        <f t="shared" ca="1" si="6"/>
        <v>1.1855969557860655</v>
      </c>
      <c r="AB57" s="284">
        <f t="shared" ca="1" si="6"/>
        <v>1.2097494074182027</v>
      </c>
      <c r="AC57" s="284">
        <f t="shared" ca="1" si="6"/>
        <v>1.2655929945456492</v>
      </c>
      <c r="AD57" s="91">
        <f t="shared" ca="1" si="6"/>
        <v>4.7821320412240276</v>
      </c>
      <c r="AE57" s="91">
        <f t="shared" ca="1" si="6"/>
        <v>5.2892287943405707</v>
      </c>
      <c r="AF57" s="91">
        <f t="shared" ca="1" si="6"/>
        <v>5.561176650889875</v>
      </c>
      <c r="AG57" s="91">
        <f t="shared" ca="1" si="6"/>
        <v>5.9656229973151804</v>
      </c>
      <c r="AH57" s="9"/>
      <c r="AI57" s="9"/>
      <c r="AJ57" s="9"/>
      <c r="AK57" s="9"/>
    </row>
    <row r="58" spans="1:37" ht="13.5" customHeight="1">
      <c r="A58" s="180"/>
      <c r="B58" s="9"/>
      <c r="C58" s="103"/>
      <c r="D58" s="9"/>
      <c r="E58" s="9"/>
      <c r="F58" s="228"/>
      <c r="G58" s="228"/>
      <c r="H58" s="228"/>
      <c r="I58" s="228"/>
      <c r="J58" s="9"/>
      <c r="K58" s="228"/>
      <c r="L58" s="228"/>
      <c r="M58" s="228"/>
      <c r="N58" s="228"/>
      <c r="O58" s="9"/>
      <c r="P58" s="228"/>
      <c r="Q58" s="228"/>
      <c r="R58" s="228"/>
      <c r="S58" s="228"/>
      <c r="T58" s="9"/>
      <c r="U58" s="228"/>
      <c r="V58" s="229"/>
      <c r="W58" s="229"/>
      <c r="X58" s="229"/>
      <c r="Y58" s="9"/>
      <c r="Z58" s="229"/>
      <c r="AA58" s="229"/>
      <c r="AB58" s="229"/>
      <c r="AC58" s="229"/>
      <c r="AD58" s="9"/>
      <c r="AE58" s="9"/>
      <c r="AF58" s="9"/>
      <c r="AG58" s="9"/>
      <c r="AH58" s="9"/>
      <c r="AI58" s="9"/>
      <c r="AJ58" s="9"/>
      <c r="AK58" s="9"/>
    </row>
    <row r="59" spans="1:37" ht="13.5" customHeight="1">
      <c r="A59" s="180"/>
      <c r="B59" s="9"/>
      <c r="C59" s="103" t="s">
        <v>268</v>
      </c>
      <c r="D59" s="9"/>
      <c r="E59" s="9"/>
      <c r="F59" s="266">
        <f>F51-F44-F41-F40-F39-F38</f>
        <v>39.860000000000014</v>
      </c>
      <c r="G59" s="266">
        <f>G51-G44-G41-G40-G39-G38</f>
        <v>46.924000000000007</v>
      </c>
      <c r="H59" s="266">
        <f>H51-H44-H41-H40-H39-H38</f>
        <v>46.165999999999983</v>
      </c>
      <c r="I59" s="266">
        <f>I51-I44-I41-I40-I39-I38</f>
        <v>28.897999999999996</v>
      </c>
      <c r="J59" s="197">
        <f>SUM(F59:I59)</f>
        <v>161.84799999999998</v>
      </c>
      <c r="K59" s="266">
        <f>K51-K44-K41-K40-K39-K38</f>
        <v>34.592999999999996</v>
      </c>
      <c r="L59" s="266">
        <f>L51-L44-L41-L40-L39-L38</f>
        <v>33.088000000000022</v>
      </c>
      <c r="M59" s="266">
        <f>M51-M44-M41-M40-M39-M38</f>
        <v>36.368000000000009</v>
      </c>
      <c r="N59" s="266">
        <f>N51-N44-N41-N40-N39-N38</f>
        <v>55.421999999999983</v>
      </c>
      <c r="O59" s="197">
        <f>SUM(K59:N59)</f>
        <v>159.471</v>
      </c>
      <c r="P59" s="266">
        <f>P51-P44-P41-P40-P39-P38</f>
        <v>61.487999999999985</v>
      </c>
      <c r="Q59" s="266">
        <f>Q51-Q44-Q41-Q40-Q39-Q38</f>
        <v>46.251999999999995</v>
      </c>
      <c r="R59" s="266">
        <f>R51-R44-R41-R40-R39-R38</f>
        <v>51.23899999999999</v>
      </c>
      <c r="S59" s="266">
        <f>S51-S44-S41-S40-S39-S38</f>
        <v>61.223000000000035</v>
      </c>
      <c r="T59" s="197">
        <f>SUM(P59:S59)</f>
        <v>220.20200000000003</v>
      </c>
      <c r="U59" s="266">
        <f>U51-U44-U41-U40-U39-U38</f>
        <v>53.65</v>
      </c>
      <c r="V59" s="196">
        <f ca="1">V51-V44-V41-V40-V39-V38</f>
        <v>59.403143179999994</v>
      </c>
      <c r="W59" s="196">
        <f ca="1">W51-W44-W41-W40-W39-W38</f>
        <v>63.053445314999991</v>
      </c>
      <c r="X59" s="196">
        <f ca="1">X51-X44-X41-X40-X39-X38</f>
        <v>68.339172406680007</v>
      </c>
      <c r="Y59" s="197">
        <f ca="1">SUM(U59:X59)</f>
        <v>244.44576090167999</v>
      </c>
      <c r="Z59" s="196">
        <f ca="1">Z51-Z44-Z41-Z40-Z39-Z38</f>
        <v>73.080538228422881</v>
      </c>
      <c r="AA59" s="196">
        <f ca="1">AA51-AA44-AA41-AA40-AA39-AA38</f>
        <v>77.465370522128282</v>
      </c>
      <c r="AB59" s="196">
        <f ca="1">AB51-AB44-AB41-AB40-AB39-AB38</f>
        <v>82.316663584193108</v>
      </c>
      <c r="AC59" s="196">
        <f ca="1">AC51-AC44-AC41-AC40-AC39-AC38</f>
        <v>86.117991505347774</v>
      </c>
      <c r="AD59" s="197">
        <f ca="1">SUM(Z59:AC59)</f>
        <v>318.98056384009209</v>
      </c>
      <c r="AE59" s="197">
        <f ca="1">AE51-AE44-AE41-AE40-AE39-AE38</f>
        <v>346.72967883852772</v>
      </c>
      <c r="AF59" s="197">
        <f ca="1">AF51-AF44-AF41-AF40-AF39-AF38</f>
        <v>362.39651161089711</v>
      </c>
      <c r="AG59" s="197">
        <f ca="1">AG51-AG44-AG41-AG40-AG39-AG38</f>
        <v>386.05896281198233</v>
      </c>
      <c r="AH59" s="9"/>
      <c r="AI59" s="9"/>
      <c r="AJ59" s="9"/>
      <c r="AK59" s="9"/>
    </row>
    <row r="60" spans="1:37" ht="13.5" customHeight="1">
      <c r="A60" s="180"/>
      <c r="B60" s="9"/>
      <c r="C60" s="103" t="s">
        <v>266</v>
      </c>
      <c r="D60" s="9"/>
      <c r="E60" s="9"/>
      <c r="F60" s="285">
        <f>-F34</f>
        <v>0</v>
      </c>
      <c r="G60" s="285">
        <f>-G34</f>
        <v>0</v>
      </c>
      <c r="H60" s="285">
        <f>-H34</f>
        <v>0</v>
      </c>
      <c r="I60" s="285">
        <f>-I34</f>
        <v>0</v>
      </c>
      <c r="J60" s="268">
        <f>SUM(F60:I60)</f>
        <v>0</v>
      </c>
      <c r="K60" s="285">
        <f>-K34</f>
        <v>0</v>
      </c>
      <c r="L60" s="285">
        <f>-L34</f>
        <v>0</v>
      </c>
      <c r="M60" s="285">
        <f>-M34</f>
        <v>0</v>
      </c>
      <c r="N60" s="285">
        <f>-N34</f>
        <v>0</v>
      </c>
      <c r="O60" s="268">
        <f>SUM(K60:N60)</f>
        <v>0</v>
      </c>
      <c r="P60" s="285">
        <f>-P34</f>
        <v>0</v>
      </c>
      <c r="Q60" s="285">
        <f>-Q34</f>
        <v>0</v>
      </c>
      <c r="R60" s="285">
        <f>-R34</f>
        <v>0</v>
      </c>
      <c r="S60" s="285">
        <f>-S34</f>
        <v>0</v>
      </c>
      <c r="T60" s="268">
        <f>SUM(P60:S60)</f>
        <v>0</v>
      </c>
      <c r="U60" s="285">
        <f>-U34</f>
        <v>0</v>
      </c>
      <c r="V60" s="269">
        <f>-V34</f>
        <v>0</v>
      </c>
      <c r="W60" s="269">
        <f>-W34</f>
        <v>0</v>
      </c>
      <c r="X60" s="269">
        <f>-X34</f>
        <v>0</v>
      </c>
      <c r="Y60" s="268">
        <f>SUM(U60:X60)</f>
        <v>0</v>
      </c>
      <c r="Z60" s="269">
        <f>-Z34</f>
        <v>0</v>
      </c>
      <c r="AA60" s="269">
        <f>-AA34</f>
        <v>0</v>
      </c>
      <c r="AB60" s="269">
        <f>-AB34</f>
        <v>0</v>
      </c>
      <c r="AC60" s="269">
        <f>-AC34</f>
        <v>0</v>
      </c>
      <c r="AD60" s="268">
        <f>SUM(Z60:AC60)</f>
        <v>0</v>
      </c>
      <c r="AE60" s="268">
        <f>-AE34</f>
        <v>0</v>
      </c>
      <c r="AF60" s="268">
        <f>-AF34</f>
        <v>0</v>
      </c>
      <c r="AG60" s="268">
        <f>-AG34</f>
        <v>0</v>
      </c>
      <c r="AH60" s="9"/>
      <c r="AI60" s="9"/>
      <c r="AJ60" s="9"/>
      <c r="AK60" s="9"/>
    </row>
    <row r="61" spans="1:37" ht="13.5" customHeight="1">
      <c r="A61" s="180"/>
      <c r="B61" s="9"/>
      <c r="C61" s="103" t="s">
        <v>285</v>
      </c>
      <c r="D61" s="9"/>
      <c r="E61" s="9"/>
      <c r="F61" s="266">
        <f>SUM(F59:F60)</f>
        <v>39.860000000000014</v>
      </c>
      <c r="G61" s="266">
        <f>SUM(G59:G60)</f>
        <v>46.924000000000007</v>
      </c>
      <c r="H61" s="266">
        <f>SUM(H59:H60)</f>
        <v>46.165999999999983</v>
      </c>
      <c r="I61" s="266">
        <f>SUM(I59:I60)</f>
        <v>28.897999999999996</v>
      </c>
      <c r="J61" s="197">
        <f>SUM(F61:I61)</f>
        <v>161.84799999999998</v>
      </c>
      <c r="K61" s="266">
        <f>SUM(K59:K60)</f>
        <v>34.592999999999996</v>
      </c>
      <c r="L61" s="266">
        <f>SUM(L59:L60)</f>
        <v>33.088000000000022</v>
      </c>
      <c r="M61" s="266">
        <f>SUM(M59:M60)</f>
        <v>36.368000000000009</v>
      </c>
      <c r="N61" s="266">
        <f>SUM(N59:N60)</f>
        <v>55.421999999999983</v>
      </c>
      <c r="O61" s="197">
        <f>SUM(K61:N61)</f>
        <v>159.471</v>
      </c>
      <c r="P61" s="266">
        <f>SUM(P59:P60)</f>
        <v>61.487999999999985</v>
      </c>
      <c r="Q61" s="266">
        <f>SUM(Q59:Q60)</f>
        <v>46.251999999999995</v>
      </c>
      <c r="R61" s="266">
        <f>SUM(R59:R60)</f>
        <v>51.23899999999999</v>
      </c>
      <c r="S61" s="266">
        <f>SUM(S59:S60)</f>
        <v>61.223000000000035</v>
      </c>
      <c r="T61" s="197">
        <f>SUM(P61:S61)</f>
        <v>220.20200000000003</v>
      </c>
      <c r="U61" s="266">
        <f>SUM(U59:U60)</f>
        <v>53.65</v>
      </c>
      <c r="V61" s="196">
        <f ca="1">SUM(V59:V60)</f>
        <v>59.403143179999994</v>
      </c>
      <c r="W61" s="196">
        <f ca="1">SUM(W59:W60)</f>
        <v>63.053445314999991</v>
      </c>
      <c r="X61" s="196">
        <f ca="1">SUM(X59:X60)</f>
        <v>68.339172406680007</v>
      </c>
      <c r="Y61" s="197">
        <f ca="1">SUM(U61:X61)</f>
        <v>244.44576090167999</v>
      </c>
      <c r="Z61" s="196">
        <f ca="1">SUM(Z59:Z60)</f>
        <v>73.080538228422881</v>
      </c>
      <c r="AA61" s="196">
        <f ca="1">SUM(AA59:AA60)</f>
        <v>77.465370522128282</v>
      </c>
      <c r="AB61" s="196">
        <f ca="1">SUM(AB59:AB60)</f>
        <v>82.316663584193108</v>
      </c>
      <c r="AC61" s="196">
        <f ca="1">SUM(AC59:AC60)</f>
        <v>86.117991505347774</v>
      </c>
      <c r="AD61" s="197">
        <f ca="1">SUM(Z61:AC61)</f>
        <v>318.98056384009209</v>
      </c>
      <c r="AE61" s="197">
        <f ca="1">SUM(AE59:AE60)</f>
        <v>346.72967883852772</v>
      </c>
      <c r="AF61" s="197">
        <f ca="1">SUM(AF59:AF60)</f>
        <v>362.39651161089711</v>
      </c>
      <c r="AG61" s="197">
        <f ca="1">SUM(AG59:AG60)</f>
        <v>386.05896281198233</v>
      </c>
      <c r="AH61" s="9"/>
      <c r="AI61" s="9"/>
      <c r="AJ61" s="9"/>
      <c r="AK61" s="9"/>
    </row>
    <row r="62" spans="1:37" ht="13.5" customHeight="1">
      <c r="A62" s="180"/>
      <c r="B62" s="9"/>
      <c r="C62" s="9"/>
      <c r="D62" s="9"/>
      <c r="E62" s="9"/>
      <c r="F62" s="228"/>
      <c r="G62" s="228"/>
      <c r="H62" s="228"/>
      <c r="I62" s="228"/>
      <c r="J62" s="9"/>
      <c r="K62" s="228"/>
      <c r="L62" s="228"/>
      <c r="M62" s="228"/>
      <c r="N62" s="228"/>
      <c r="O62" s="9"/>
      <c r="P62" s="228"/>
      <c r="Q62" s="228"/>
      <c r="R62" s="228"/>
      <c r="S62" s="228"/>
      <c r="T62" s="9"/>
      <c r="U62" s="228"/>
      <c r="V62" s="229"/>
      <c r="W62" s="229"/>
      <c r="X62" s="229"/>
      <c r="Y62" s="9"/>
      <c r="Z62" s="229"/>
      <c r="AA62" s="229"/>
      <c r="AB62" s="229"/>
      <c r="AC62" s="229"/>
      <c r="AD62" s="9"/>
      <c r="AE62" s="9"/>
      <c r="AF62" s="9"/>
      <c r="AG62" s="9"/>
      <c r="AH62" s="9"/>
      <c r="AI62" s="9"/>
      <c r="AJ62" s="9"/>
      <c r="AK62" s="9"/>
    </row>
    <row r="63" spans="1:37" ht="13.5" customHeight="1">
      <c r="A63" s="180"/>
      <c r="B63" s="37"/>
      <c r="C63" s="263" t="s">
        <v>286</v>
      </c>
      <c r="D63" s="286"/>
      <c r="E63" s="286"/>
      <c r="F63" s="264" t="str">
        <f t="shared" ref="F63:AG63" si="7">F$25</f>
        <v>1Q23</v>
      </c>
      <c r="G63" s="138" t="str">
        <f t="shared" si="7"/>
        <v>2Q23</v>
      </c>
      <c r="H63" s="138" t="str">
        <f t="shared" si="7"/>
        <v>3Q23</v>
      </c>
      <c r="I63" s="138" t="str">
        <f t="shared" si="7"/>
        <v>4Q23</v>
      </c>
      <c r="J63" s="138">
        <f t="shared" si="7"/>
        <v>2023</v>
      </c>
      <c r="K63" s="138" t="str">
        <f t="shared" si="7"/>
        <v>1Q24</v>
      </c>
      <c r="L63" s="138" t="str">
        <f t="shared" si="7"/>
        <v>2Q24</v>
      </c>
      <c r="M63" s="138" t="str">
        <f t="shared" si="7"/>
        <v>3Q24</v>
      </c>
      <c r="N63" s="138" t="str">
        <f t="shared" si="7"/>
        <v>4Q24</v>
      </c>
      <c r="O63" s="138">
        <f t="shared" si="7"/>
        <v>2024</v>
      </c>
      <c r="P63" s="138" t="str">
        <f t="shared" si="7"/>
        <v>1Q25</v>
      </c>
      <c r="Q63" s="138" t="str">
        <f t="shared" si="7"/>
        <v>2Q25</v>
      </c>
      <c r="R63" s="138" t="str">
        <f t="shared" si="7"/>
        <v>3Q25</v>
      </c>
      <c r="S63" s="138" t="str">
        <f t="shared" si="7"/>
        <v>4Q25</v>
      </c>
      <c r="T63" s="138">
        <f t="shared" si="7"/>
        <v>2025</v>
      </c>
      <c r="U63" s="138" t="str">
        <f t="shared" si="7"/>
        <v>1Q26</v>
      </c>
      <c r="V63" s="138" t="str">
        <f t="shared" si="7"/>
        <v>2Q26e</v>
      </c>
      <c r="W63" s="138" t="str">
        <f t="shared" si="7"/>
        <v>3Q26e</v>
      </c>
      <c r="X63" s="138" t="str">
        <f t="shared" si="7"/>
        <v>4Q26e</v>
      </c>
      <c r="Y63" s="138" t="str">
        <f t="shared" si="7"/>
        <v>2026e</v>
      </c>
      <c r="Z63" s="138" t="str">
        <f t="shared" si="7"/>
        <v>1Q27e</v>
      </c>
      <c r="AA63" s="138" t="str">
        <f t="shared" si="7"/>
        <v>2Q27e</v>
      </c>
      <c r="AB63" s="138" t="str">
        <f t="shared" si="7"/>
        <v>3Q27e</v>
      </c>
      <c r="AC63" s="138" t="str">
        <f t="shared" si="7"/>
        <v>4Q27e</v>
      </c>
      <c r="AD63" s="138" t="str">
        <f t="shared" si="7"/>
        <v>2027e</v>
      </c>
      <c r="AE63" s="138" t="str">
        <f t="shared" si="7"/>
        <v>2028e</v>
      </c>
      <c r="AF63" s="138" t="str">
        <f t="shared" si="7"/>
        <v>2029e</v>
      </c>
      <c r="AG63" s="265" t="str">
        <f t="shared" si="7"/>
        <v>2030e</v>
      </c>
      <c r="AH63" s="180" t="s">
        <v>0</v>
      </c>
      <c r="AI63" s="9"/>
      <c r="AJ63" s="9"/>
      <c r="AK63" s="9"/>
    </row>
    <row r="64" spans="1:37" ht="13.5" customHeight="1">
      <c r="A64" s="180" t="s">
        <v>0</v>
      </c>
      <c r="B64" s="9"/>
      <c r="C64" s="287" t="s">
        <v>41</v>
      </c>
      <c r="D64" s="288"/>
      <c r="E64" s="288"/>
      <c r="F64" s="288"/>
      <c r="G64" s="288"/>
      <c r="H64" s="288"/>
      <c r="I64" s="288"/>
      <c r="J64" s="288"/>
      <c r="K64" s="288"/>
      <c r="L64" s="288"/>
      <c r="M64" s="288"/>
      <c r="N64" s="288"/>
      <c r="O64" s="288"/>
      <c r="P64" s="288"/>
      <c r="Q64" s="288"/>
      <c r="R64" s="288"/>
      <c r="S64" s="288"/>
      <c r="T64" s="288"/>
      <c r="U64" s="288"/>
      <c r="V64" s="288"/>
      <c r="W64" s="288"/>
      <c r="X64" s="288"/>
      <c r="Y64" s="288"/>
      <c r="Z64" s="288"/>
      <c r="AA64" s="288"/>
      <c r="AB64" s="288"/>
      <c r="AC64" s="288"/>
      <c r="AD64" s="288"/>
      <c r="AE64" s="288"/>
      <c r="AF64" s="288"/>
      <c r="AG64" s="289"/>
      <c r="AH64" s="9"/>
      <c r="AI64" s="9"/>
      <c r="AJ64" s="9"/>
      <c r="AK64" s="9"/>
    </row>
    <row r="65" spans="1:37" ht="13.5" customHeight="1">
      <c r="A65" s="180"/>
      <c r="B65" s="37"/>
      <c r="C65" s="9"/>
      <c r="D65" s="37"/>
      <c r="E65" s="37"/>
      <c r="F65" s="228"/>
      <c r="G65" s="228"/>
      <c r="H65" s="228"/>
      <c r="I65" s="228"/>
      <c r="J65" s="9"/>
      <c r="K65" s="228"/>
      <c r="L65" s="228"/>
      <c r="M65" s="228"/>
      <c r="N65" s="228"/>
      <c r="O65" s="9"/>
      <c r="P65" s="228"/>
      <c r="Q65" s="228"/>
      <c r="R65" s="228"/>
      <c r="S65" s="228"/>
      <c r="T65" s="9"/>
      <c r="U65" s="228"/>
      <c r="V65" s="229"/>
      <c r="W65" s="229"/>
      <c r="X65" s="229"/>
      <c r="Y65" s="9"/>
      <c r="Z65" s="229"/>
      <c r="AA65" s="229"/>
      <c r="AB65" s="229"/>
      <c r="AC65" s="229"/>
      <c r="AD65" s="9"/>
      <c r="AE65" s="9"/>
      <c r="AF65" s="9"/>
      <c r="AG65" s="9"/>
      <c r="AH65" s="9"/>
      <c r="AI65" s="9"/>
      <c r="AJ65" s="9"/>
      <c r="AK65" s="9"/>
    </row>
    <row r="66" spans="1:37" ht="13.5" customHeight="1">
      <c r="A66" s="180"/>
      <c r="B66" s="37"/>
      <c r="C66" s="9" t="s">
        <v>106</v>
      </c>
      <c r="D66" s="37"/>
      <c r="E66" s="37"/>
      <c r="F66" s="290">
        <f t="shared" ref="F66:U66" si="8">F30/F28</f>
        <v>1</v>
      </c>
      <c r="G66" s="290">
        <f t="shared" si="8"/>
        <v>1</v>
      </c>
      <c r="H66" s="290">
        <f t="shared" si="8"/>
        <v>1</v>
      </c>
      <c r="I66" s="290">
        <f t="shared" si="8"/>
        <v>1</v>
      </c>
      <c r="J66" s="291">
        <f t="shared" si="8"/>
        <v>1</v>
      </c>
      <c r="K66" s="290">
        <f t="shared" si="8"/>
        <v>1</v>
      </c>
      <c r="L66" s="290">
        <f t="shared" si="8"/>
        <v>1</v>
      </c>
      <c r="M66" s="290">
        <f t="shared" si="8"/>
        <v>1</v>
      </c>
      <c r="N66" s="290">
        <f t="shared" si="8"/>
        <v>1</v>
      </c>
      <c r="O66" s="291">
        <f t="shared" si="8"/>
        <v>1</v>
      </c>
      <c r="P66" s="290">
        <f t="shared" si="8"/>
        <v>1</v>
      </c>
      <c r="Q66" s="290">
        <f t="shared" si="8"/>
        <v>1</v>
      </c>
      <c r="R66" s="290">
        <f t="shared" si="8"/>
        <v>1</v>
      </c>
      <c r="S66" s="290">
        <f t="shared" si="8"/>
        <v>1</v>
      </c>
      <c r="T66" s="291">
        <f t="shared" si="8"/>
        <v>1</v>
      </c>
      <c r="U66" s="290">
        <f t="shared" si="8"/>
        <v>1</v>
      </c>
      <c r="V66" s="292">
        <f>IF(Cover!$F$37="Bottom Up",(V30/V28),Drivers!V7)</f>
        <v>1</v>
      </c>
      <c r="W66" s="292">
        <f>IF(Cover!$F$37="Bottom Up",(W30/W28),Drivers!W7)</f>
        <v>1</v>
      </c>
      <c r="X66" s="292">
        <f>IF(Cover!$F$37="Bottom Up",(X30/X28),Drivers!X7)</f>
        <v>1</v>
      </c>
      <c r="Y66" s="291">
        <f>Y30/Y28</f>
        <v>1</v>
      </c>
      <c r="Z66" s="292">
        <f>IF(Cover!$F$37="Bottom Up",(Z30/Z28),Drivers!Z7)</f>
        <v>1</v>
      </c>
      <c r="AA66" s="292">
        <f>IF(Cover!$F$37="Bottom Up",(AA30/AA28),Drivers!AA7)</f>
        <v>1</v>
      </c>
      <c r="AB66" s="292">
        <f>IF(Cover!$F$37="Bottom Up",(AB30/AB28),Drivers!AB7)</f>
        <v>1</v>
      </c>
      <c r="AC66" s="292">
        <f>IF(Cover!$F$37="Bottom Up",(AC30/AC28),Drivers!AC7)</f>
        <v>1</v>
      </c>
      <c r="AD66" s="291">
        <f>AD30/AD28</f>
        <v>1</v>
      </c>
      <c r="AE66" s="291">
        <f>IF(Cover!$F$37="Bottom Up",(AE30/AE28),Drivers!AE7)</f>
        <v>1</v>
      </c>
      <c r="AF66" s="291">
        <f>IF(Cover!$F$37="Bottom Up",(AF30/AF28),Drivers!AF7)</f>
        <v>1</v>
      </c>
      <c r="AG66" s="291">
        <f>IF(Cover!$F$37="Bottom Up",(AG30/AG28),Drivers!AG7)</f>
        <v>1</v>
      </c>
      <c r="AH66" s="9"/>
      <c r="AI66" s="9"/>
      <c r="AJ66" s="9"/>
      <c r="AK66" s="9"/>
    </row>
    <row r="67" spans="1:37" ht="13.5" customHeight="1">
      <c r="A67" s="180"/>
      <c r="B67" s="37"/>
      <c r="C67" s="9" t="s">
        <v>287</v>
      </c>
      <c r="D67" s="37"/>
      <c r="E67" s="37"/>
      <c r="F67" s="290">
        <f t="shared" ref="F67:U67" si="9">F32/F28</f>
        <v>-0.15359127438029946</v>
      </c>
      <c r="G67" s="290">
        <f t="shared" si="9"/>
        <v>-0.15149104849330428</v>
      </c>
      <c r="H67" s="290">
        <f t="shared" si="9"/>
        <v>-0.18113067976139888</v>
      </c>
      <c r="I67" s="290">
        <f t="shared" si="9"/>
        <v>-0.20714969677625281</v>
      </c>
      <c r="J67" s="291">
        <f t="shared" si="9"/>
        <v>-0.17102503437332744</v>
      </c>
      <c r="K67" s="290">
        <f t="shared" si="9"/>
        <v>-0.20789846205523166</v>
      </c>
      <c r="L67" s="290">
        <f t="shared" si="9"/>
        <v>-0.19979349916453859</v>
      </c>
      <c r="M67" s="290">
        <f t="shared" si="9"/>
        <v>-0.1929045855153915</v>
      </c>
      <c r="N67" s="290">
        <f t="shared" si="9"/>
        <v>-0.16139020179435656</v>
      </c>
      <c r="O67" s="291">
        <f t="shared" si="9"/>
        <v>-0.18781529750362019</v>
      </c>
      <c r="P67" s="290">
        <f t="shared" si="9"/>
        <v>-0.14580823561106285</v>
      </c>
      <c r="Q67" s="290">
        <f t="shared" si="9"/>
        <v>-0.1849145660971073</v>
      </c>
      <c r="R67" s="290">
        <f t="shared" si="9"/>
        <v>-0.18206239116610504</v>
      </c>
      <c r="S67" s="290">
        <f t="shared" si="9"/>
        <v>-0.17606946401782059</v>
      </c>
      <c r="T67" s="291">
        <f t="shared" si="9"/>
        <v>-0.17099460842342673</v>
      </c>
      <c r="U67" s="290">
        <f t="shared" si="9"/>
        <v>-0.16723877288898487</v>
      </c>
      <c r="V67" s="293">
        <f>Drivers!V40</f>
        <v>-0.17199999999999999</v>
      </c>
      <c r="W67" s="293">
        <f>Drivers!W40</f>
        <v>-0.17199999999999999</v>
      </c>
      <c r="X67" s="293">
        <f>Drivers!X40</f>
        <v>-0.17199999999999999</v>
      </c>
      <c r="Y67" s="291">
        <f>Y32/Y28</f>
        <v>-0.17090723484626968</v>
      </c>
      <c r="Z67" s="293">
        <f>Drivers!Z40</f>
        <v>-0.17499999999999999</v>
      </c>
      <c r="AA67" s="293">
        <f>Drivers!AA40</f>
        <v>-0.17499999999999999</v>
      </c>
      <c r="AB67" s="293">
        <f>Drivers!AB40</f>
        <v>-0.17499999999999999</v>
      </c>
      <c r="AC67" s="293">
        <f>Drivers!AC40</f>
        <v>-0.17499999999999999</v>
      </c>
      <c r="AD67" s="291">
        <f>AD32/AD28</f>
        <v>-0.17500000000000002</v>
      </c>
      <c r="AE67" s="294">
        <f>Drivers!AE40</f>
        <v>-0.17499999999999999</v>
      </c>
      <c r="AF67" s="294">
        <f>Drivers!AF40</f>
        <v>-0.17499999999999999</v>
      </c>
      <c r="AG67" s="294">
        <f>Drivers!AG40</f>
        <v>-0.17499999999999999</v>
      </c>
      <c r="AH67" s="9"/>
      <c r="AI67" s="9"/>
      <c r="AJ67" s="9"/>
      <c r="AK67" s="9"/>
    </row>
    <row r="68" spans="1:37" ht="13.5" customHeight="1">
      <c r="A68" s="180"/>
      <c r="B68" s="37"/>
      <c r="C68" s="9" t="s">
        <v>849</v>
      </c>
      <c r="D68" s="37"/>
      <c r="E68" s="37"/>
      <c r="F68" s="290">
        <f t="shared" ref="F68:U68" si="10">F33/F28</f>
        <v>-0.38516998870923702</v>
      </c>
      <c r="G68" s="290">
        <f t="shared" si="10"/>
        <v>-0.39355335045833278</v>
      </c>
      <c r="H68" s="290">
        <f t="shared" si="10"/>
        <v>-0.35944410343579336</v>
      </c>
      <c r="I68" s="290">
        <f t="shared" si="10"/>
        <v>-0.35621697343689046</v>
      </c>
      <c r="J68" s="291">
        <f t="shared" si="10"/>
        <v>-0.37524326103114303</v>
      </c>
      <c r="K68" s="290">
        <f t="shared" si="10"/>
        <v>-0.35271959499988004</v>
      </c>
      <c r="L68" s="290">
        <f t="shared" si="10"/>
        <v>-0.36200699895961408</v>
      </c>
      <c r="M68" s="290">
        <f t="shared" si="10"/>
        <v>-0.39680993741218545</v>
      </c>
      <c r="N68" s="290">
        <f t="shared" si="10"/>
        <v>-0.36377324314380327</v>
      </c>
      <c r="O68" s="291">
        <f t="shared" si="10"/>
        <v>-0.36834512369953887</v>
      </c>
      <c r="P68" s="290">
        <f t="shared" si="10"/>
        <v>-0.39869161443798895</v>
      </c>
      <c r="Q68" s="290">
        <f t="shared" si="10"/>
        <v>-0.36713578090520604</v>
      </c>
      <c r="R68" s="290">
        <f t="shared" si="10"/>
        <v>-0.367910567511188</v>
      </c>
      <c r="S68" s="290">
        <f t="shared" si="10"/>
        <v>-0.39948881918241369</v>
      </c>
      <c r="T68" s="291">
        <f t="shared" si="10"/>
        <v>-0.38500962180418646</v>
      </c>
      <c r="U68" s="290">
        <f t="shared" si="10"/>
        <v>-0.39529887814137465</v>
      </c>
      <c r="V68" s="293">
        <f>Drivers!V45</f>
        <v>-0.39500000000000002</v>
      </c>
      <c r="W68" s="293">
        <f>Drivers!W45</f>
        <v>-0.39500000000000002</v>
      </c>
      <c r="X68" s="293">
        <f>Drivers!X45</f>
        <v>-0.39500000000000002</v>
      </c>
      <c r="Y68" s="291">
        <f>Y33/Y28</f>
        <v>-0.39506859652154602</v>
      </c>
      <c r="Z68" s="293">
        <f>Drivers!Z45</f>
        <v>-0.39500000000000002</v>
      </c>
      <c r="AA68" s="293">
        <f>Drivers!AA45</f>
        <v>-0.39500000000000002</v>
      </c>
      <c r="AB68" s="293">
        <f>Drivers!AB45</f>
        <v>-0.39500000000000002</v>
      </c>
      <c r="AC68" s="293">
        <f>Drivers!AC45</f>
        <v>-0.39500000000000002</v>
      </c>
      <c r="AD68" s="291">
        <f>AD33/AD28</f>
        <v>-0.39500000000000007</v>
      </c>
      <c r="AE68" s="294">
        <f>Drivers!AE45</f>
        <v>-0.40500000000000003</v>
      </c>
      <c r="AF68" s="294">
        <f>Drivers!AF45</f>
        <v>-0.40500000000000003</v>
      </c>
      <c r="AG68" s="294">
        <f>Drivers!AG45</f>
        <v>-0.40500000000000003</v>
      </c>
      <c r="AH68" s="9"/>
      <c r="AI68" s="9"/>
      <c r="AJ68" s="9"/>
      <c r="AK68" s="9"/>
    </row>
    <row r="69" spans="1:37" ht="13.5" customHeight="1">
      <c r="A69" s="180"/>
      <c r="B69" s="37"/>
      <c r="C69" s="9" t="s">
        <v>288</v>
      </c>
      <c r="D69" s="37"/>
      <c r="E69" s="37"/>
      <c r="F69" s="290">
        <f t="shared" ref="F69:U69" si="11">F35/F28</f>
        <v>0</v>
      </c>
      <c r="G69" s="290">
        <f t="shared" si="11"/>
        <v>0</v>
      </c>
      <c r="H69" s="290">
        <f t="shared" si="11"/>
        <v>0</v>
      </c>
      <c r="I69" s="290">
        <f t="shared" si="11"/>
        <v>0</v>
      </c>
      <c r="J69" s="291">
        <f t="shared" si="11"/>
        <v>0</v>
      </c>
      <c r="K69" s="290">
        <f t="shared" si="11"/>
        <v>0</v>
      </c>
      <c r="L69" s="290">
        <f t="shared" si="11"/>
        <v>0</v>
      </c>
      <c r="M69" s="290">
        <f t="shared" si="11"/>
        <v>0</v>
      </c>
      <c r="N69" s="290">
        <f t="shared" si="11"/>
        <v>0</v>
      </c>
      <c r="O69" s="291">
        <f t="shared" si="11"/>
        <v>0</v>
      </c>
      <c r="P69" s="290">
        <f t="shared" si="11"/>
        <v>0</v>
      </c>
      <c r="Q69" s="290">
        <f t="shared" si="11"/>
        <v>0</v>
      </c>
      <c r="R69" s="290">
        <f t="shared" si="11"/>
        <v>0</v>
      </c>
      <c r="S69" s="290">
        <f t="shared" si="11"/>
        <v>0</v>
      </c>
      <c r="T69" s="291">
        <f t="shared" si="11"/>
        <v>0</v>
      </c>
      <c r="U69" s="290">
        <f t="shared" si="11"/>
        <v>0</v>
      </c>
      <c r="V69" s="293">
        <f>Drivers!V50</f>
        <v>0</v>
      </c>
      <c r="W69" s="293">
        <f>Drivers!W50</f>
        <v>0</v>
      </c>
      <c r="X69" s="293">
        <f>Drivers!X50</f>
        <v>0</v>
      </c>
      <c r="Y69" s="291">
        <f>Y35/Y28</f>
        <v>0</v>
      </c>
      <c r="Z69" s="293">
        <f>Drivers!Z50</f>
        <v>0</v>
      </c>
      <c r="AA69" s="293">
        <f>Drivers!AA50</f>
        <v>0</v>
      </c>
      <c r="AB69" s="293">
        <f>Drivers!AB50</f>
        <v>0</v>
      </c>
      <c r="AC69" s="293">
        <f>Drivers!AC50</f>
        <v>0</v>
      </c>
      <c r="AD69" s="291">
        <f>AD35/AD28</f>
        <v>0</v>
      </c>
      <c r="AE69" s="294">
        <f>Drivers!AE50</f>
        <v>0</v>
      </c>
      <c r="AF69" s="294">
        <f>Drivers!AF50</f>
        <v>0</v>
      </c>
      <c r="AG69" s="294">
        <f>Drivers!AG50</f>
        <v>0</v>
      </c>
      <c r="AH69" s="9"/>
      <c r="AI69" s="9"/>
      <c r="AJ69" s="9"/>
      <c r="AK69" s="9"/>
    </row>
    <row r="70" spans="1:37" ht="13.5" customHeight="1">
      <c r="A70" s="180"/>
      <c r="B70" s="37"/>
      <c r="C70" s="9" t="s">
        <v>289</v>
      </c>
      <c r="D70" s="37"/>
      <c r="E70" s="37"/>
      <c r="F70" s="290">
        <f t="shared" ref="F70:U70" si="12">F41/F28</f>
        <v>4.7347408659203442E-2</v>
      </c>
      <c r="G70" s="290">
        <f t="shared" si="12"/>
        <v>2.8745224341839327E-2</v>
      </c>
      <c r="H70" s="290">
        <f t="shared" si="12"/>
        <v>-0.19542943481750794</v>
      </c>
      <c r="I70" s="290">
        <f t="shared" si="12"/>
        <v>0.17804199028265419</v>
      </c>
      <c r="J70" s="291">
        <f t="shared" si="12"/>
        <v>1.1483622787955811E-2</v>
      </c>
      <c r="K70" s="290">
        <f t="shared" si="12"/>
        <v>0.10416116829418491</v>
      </c>
      <c r="L70" s="290">
        <f t="shared" si="12"/>
        <v>7.538856836596361E-2</v>
      </c>
      <c r="M70" s="290">
        <f t="shared" si="12"/>
        <v>1.4848639673010601E-3</v>
      </c>
      <c r="N70" s="290">
        <f t="shared" si="12"/>
        <v>8.0570571420485099E-2</v>
      </c>
      <c r="O70" s="291">
        <f t="shared" si="12"/>
        <v>6.6822306722855981E-2</v>
      </c>
      <c r="P70" s="290">
        <f t="shared" si="12"/>
        <v>9.8245828059634735E-2</v>
      </c>
      <c r="Q70" s="290">
        <f t="shared" si="12"/>
        <v>7.4053827025513511E-2</v>
      </c>
      <c r="R70" s="290">
        <f t="shared" si="12"/>
        <v>9.2100962195636543E-2</v>
      </c>
      <c r="S70" s="290">
        <f t="shared" si="12"/>
        <v>2.5473170583867492E-2</v>
      </c>
      <c r="T70" s="291">
        <f t="shared" si="12"/>
        <v>7.1498701196694367E-2</v>
      </c>
      <c r="U70" s="290">
        <f t="shared" si="12"/>
        <v>0.10966253310449084</v>
      </c>
      <c r="V70" s="293">
        <f>Drivers!V57</f>
        <v>4.4999999999999998E-2</v>
      </c>
      <c r="W70" s="293">
        <f>Drivers!W57</f>
        <v>4.4999999999999998E-2</v>
      </c>
      <c r="X70" s="293">
        <f>Drivers!X57</f>
        <v>4.4999999999999998E-2</v>
      </c>
      <c r="Y70" s="291">
        <f>Y41/Y28</f>
        <v>5.9840914176315041E-2</v>
      </c>
      <c r="Z70" s="293">
        <f>Drivers!Z57</f>
        <v>0.06</v>
      </c>
      <c r="AA70" s="293">
        <f>Drivers!AA57</f>
        <v>0.06</v>
      </c>
      <c r="AB70" s="293">
        <f>Drivers!AB57</f>
        <v>4.4999999999999998E-2</v>
      </c>
      <c r="AC70" s="293">
        <f>Drivers!AC57</f>
        <v>4.4999999999999998E-2</v>
      </c>
      <c r="AD70" s="291">
        <f>AD41/AD28</f>
        <v>5.2133570814764482E-2</v>
      </c>
      <c r="AE70" s="294">
        <f>Drivers!AE57</f>
        <v>0.06</v>
      </c>
      <c r="AF70" s="294">
        <f>Drivers!AF57</f>
        <v>0.06</v>
      </c>
      <c r="AG70" s="294">
        <f>Drivers!AG57</f>
        <v>0.06</v>
      </c>
      <c r="AH70" s="9"/>
      <c r="AI70" s="9"/>
      <c r="AJ70" s="9"/>
      <c r="AK70" s="9"/>
    </row>
    <row r="71" spans="1:37" ht="13.5" customHeight="1">
      <c r="A71" s="180"/>
      <c r="B71" s="37"/>
      <c r="C71" s="9" t="s">
        <v>290</v>
      </c>
      <c r="D71" s="37"/>
      <c r="E71" s="37"/>
      <c r="F71" s="290">
        <f t="shared" ref="F71:U71" si="13">-F44/F42</f>
        <v>0.16996345667322571</v>
      </c>
      <c r="G71" s="290">
        <f t="shared" si="13"/>
        <v>0.2116446217752514</v>
      </c>
      <c r="H71" s="290">
        <f t="shared" si="13"/>
        <v>0.34998960838454934</v>
      </c>
      <c r="I71" s="290">
        <f t="shared" si="13"/>
        <v>0.24489885922615545</v>
      </c>
      <c r="J71" s="291">
        <f t="shared" si="13"/>
        <v>0.22857142857142856</v>
      </c>
      <c r="K71" s="290">
        <f t="shared" si="13"/>
        <v>0.24208786017949926</v>
      </c>
      <c r="L71" s="290">
        <f t="shared" si="13"/>
        <v>2.79690772917012E-2</v>
      </c>
      <c r="M71" s="290">
        <f t="shared" si="13"/>
        <v>0.31391560041325595</v>
      </c>
      <c r="N71" s="290">
        <f t="shared" si="13"/>
        <v>0.20981444910721636</v>
      </c>
      <c r="O71" s="291">
        <f t="shared" si="13"/>
        <v>0.19333662336371285</v>
      </c>
      <c r="P71" s="290">
        <f t="shared" si="13"/>
        <v>0.18438009253188983</v>
      </c>
      <c r="Q71" s="290">
        <f t="shared" si="13"/>
        <v>1.5202220665680857E-2</v>
      </c>
      <c r="R71" s="290">
        <f t="shared" si="13"/>
        <v>0.14083038457698749</v>
      </c>
      <c r="S71" s="290">
        <f t="shared" si="13"/>
        <v>0.16943506537650974</v>
      </c>
      <c r="T71" s="291">
        <f t="shared" si="13"/>
        <v>0.13390030280696813</v>
      </c>
      <c r="U71" s="290">
        <f t="shared" si="13"/>
        <v>0.19255309117958283</v>
      </c>
      <c r="V71" s="293">
        <f>Drivers!V62</f>
        <v>0.23499999999999999</v>
      </c>
      <c r="W71" s="293">
        <f>Drivers!W62</f>
        <v>0.23499999999999999</v>
      </c>
      <c r="X71" s="293">
        <f>Drivers!X62</f>
        <v>0.23499999999999999</v>
      </c>
      <c r="Y71" s="291">
        <f ca="1">-Y44/Y42</f>
        <v>0.22435129910742868</v>
      </c>
      <c r="Z71" s="293">
        <f>Drivers!Z62</f>
        <v>0.24</v>
      </c>
      <c r="AA71" s="293">
        <f>Drivers!AA62</f>
        <v>0.24</v>
      </c>
      <c r="AB71" s="293">
        <f>Drivers!AB62</f>
        <v>0.24</v>
      </c>
      <c r="AC71" s="293">
        <f>Drivers!AC62</f>
        <v>0.24</v>
      </c>
      <c r="AD71" s="291">
        <f ca="1">-AD44/AD42</f>
        <v>0.23999999999999996</v>
      </c>
      <c r="AE71" s="294">
        <f>Drivers!AE62</f>
        <v>0.24</v>
      </c>
      <c r="AF71" s="294">
        <f>Drivers!AF62</f>
        <v>0.24</v>
      </c>
      <c r="AG71" s="294">
        <f>Drivers!AG62</f>
        <v>0.24</v>
      </c>
      <c r="AH71" s="9"/>
      <c r="AI71" s="9"/>
      <c r="AJ71" s="9"/>
      <c r="AK71" s="9"/>
    </row>
    <row r="72" spans="1:37" ht="13.5" customHeight="1">
      <c r="A72" s="180"/>
      <c r="B72" s="37"/>
      <c r="C72" s="9" t="s">
        <v>865</v>
      </c>
      <c r="D72" s="37"/>
      <c r="E72" s="37"/>
      <c r="F72" s="816">
        <f t="shared" ref="F72:T72" si="14">F50/F154</f>
        <v>-5.68227732785902E-2</v>
      </c>
      <c r="G72" s="816">
        <f t="shared" si="14"/>
        <v>-5.5723493676317161E-2</v>
      </c>
      <c r="H72" s="816">
        <f t="shared" si="14"/>
        <v>-9.0282859191260723E-2</v>
      </c>
      <c r="I72" s="816">
        <f t="shared" si="14"/>
        <v>-0.12818429208556956</v>
      </c>
      <c r="J72" s="877">
        <f t="shared" si="14"/>
        <v>-0.49174792753294527</v>
      </c>
      <c r="K72" s="816">
        <f t="shared" si="14"/>
        <v>-9.83221541375911E-2</v>
      </c>
      <c r="L72" s="816">
        <f t="shared" si="14"/>
        <v>-7.055051277550714E-2</v>
      </c>
      <c r="M72" s="816">
        <f t="shared" si="14"/>
        <v>-9.6222439949026323E-2</v>
      </c>
      <c r="N72" s="816">
        <f t="shared" si="14"/>
        <v>-0.18875368853817842</v>
      </c>
      <c r="O72" s="877">
        <f t="shared" si="14"/>
        <v>-0.57256722257219583</v>
      </c>
      <c r="P72" s="816">
        <f t="shared" si="14"/>
        <v>-0.16497621240474694</v>
      </c>
      <c r="Q72" s="816">
        <f t="shared" si="14"/>
        <v>-0.107196609024173</v>
      </c>
      <c r="R72" s="816">
        <f t="shared" si="14"/>
        <v>-0.11506899533764477</v>
      </c>
      <c r="S72" s="816">
        <f t="shared" si="14"/>
        <v>-0.11037490199115257</v>
      </c>
      <c r="T72" s="877">
        <f t="shared" si="14"/>
        <v>-0.46633335591973435</v>
      </c>
      <c r="U72" s="816">
        <f>U50/U28</f>
        <v>-0.13256004273747143</v>
      </c>
      <c r="V72" s="293">
        <f>Drivers!V67</f>
        <v>-0.1</v>
      </c>
      <c r="W72" s="293">
        <f>Drivers!W67</f>
        <v>-0.1</v>
      </c>
      <c r="X72" s="293">
        <f>Drivers!X67</f>
        <v>-0.1</v>
      </c>
      <c r="Y72" s="877">
        <f>Y50/Y154</f>
        <v>-0.37941115408432591</v>
      </c>
      <c r="Z72" s="293">
        <f>Drivers!Z67</f>
        <v>-9.5000000000000001E-2</v>
      </c>
      <c r="AA72" s="293">
        <f>Drivers!AA67</f>
        <v>-9.5000000000000001E-2</v>
      </c>
      <c r="AB72" s="293">
        <f>Drivers!AB67</f>
        <v>-9.5000000000000001E-2</v>
      </c>
      <c r="AC72" s="293">
        <f>Drivers!AC67</f>
        <v>-9.5000000000000001E-2</v>
      </c>
      <c r="AD72" s="877">
        <f>AD50/AD154</f>
        <v>-0.36232660027776259</v>
      </c>
      <c r="AE72" s="294">
        <f>Drivers!AE67</f>
        <v>-0.31</v>
      </c>
      <c r="AF72" s="294">
        <f>Drivers!AF67</f>
        <v>-0.31</v>
      </c>
      <c r="AG72" s="294">
        <f>Drivers!AG67</f>
        <v>-0.31</v>
      </c>
      <c r="AH72" s="9"/>
      <c r="AI72" s="9"/>
      <c r="AJ72" s="9"/>
      <c r="AK72" s="9"/>
    </row>
    <row r="73" spans="1:37" ht="13.5" customHeight="1">
      <c r="A73" s="180"/>
      <c r="B73" s="37"/>
      <c r="C73" s="9"/>
      <c r="D73" s="37"/>
      <c r="E73" s="37"/>
      <c r="F73" s="232"/>
      <c r="G73" s="232"/>
      <c r="H73" s="232"/>
      <c r="I73" s="232"/>
      <c r="J73" s="132"/>
      <c r="K73" s="232"/>
      <c r="L73" s="232"/>
      <c r="M73" s="232"/>
      <c r="N73" s="232"/>
      <c r="O73" s="132"/>
      <c r="P73" s="232"/>
      <c r="Q73" s="232"/>
      <c r="R73" s="232"/>
      <c r="S73" s="232"/>
      <c r="T73" s="132"/>
      <c r="U73" s="232"/>
      <c r="V73" s="235"/>
      <c r="W73" s="235"/>
      <c r="X73" s="235"/>
      <c r="Y73" s="132"/>
      <c r="Z73" s="235"/>
      <c r="AA73" s="235"/>
      <c r="AB73" s="235"/>
      <c r="AC73" s="235"/>
      <c r="AD73" s="132"/>
      <c r="AE73" s="132"/>
      <c r="AF73" s="132"/>
      <c r="AG73" s="132"/>
      <c r="AH73" s="9"/>
      <c r="AI73" s="9"/>
      <c r="AJ73" s="9"/>
      <c r="AK73" s="9"/>
    </row>
    <row r="74" spans="1:37" ht="13.5" customHeight="1">
      <c r="A74" s="180" t="s">
        <v>0</v>
      </c>
      <c r="B74" s="37"/>
      <c r="C74" s="50" t="s">
        <v>291</v>
      </c>
      <c r="D74" s="12"/>
      <c r="E74" s="12"/>
      <c r="F74" s="226" t="str">
        <f>F$25</f>
        <v>1Q23</v>
      </c>
      <c r="G74" s="51" t="str">
        <f t="shared" ref="G74:AG74" si="15">G$63</f>
        <v>2Q23</v>
      </c>
      <c r="H74" s="51" t="str">
        <f t="shared" si="15"/>
        <v>3Q23</v>
      </c>
      <c r="I74" s="51" t="str">
        <f t="shared" si="15"/>
        <v>4Q23</v>
      </c>
      <c r="J74" s="51">
        <f t="shared" si="15"/>
        <v>2023</v>
      </c>
      <c r="K74" s="51" t="str">
        <f t="shared" si="15"/>
        <v>1Q24</v>
      </c>
      <c r="L74" s="51" t="str">
        <f t="shared" si="15"/>
        <v>2Q24</v>
      </c>
      <c r="M74" s="51" t="str">
        <f t="shared" si="15"/>
        <v>3Q24</v>
      </c>
      <c r="N74" s="51" t="str">
        <f t="shared" si="15"/>
        <v>4Q24</v>
      </c>
      <c r="O74" s="51">
        <f t="shared" si="15"/>
        <v>2024</v>
      </c>
      <c r="P74" s="51" t="str">
        <f t="shared" si="15"/>
        <v>1Q25</v>
      </c>
      <c r="Q74" s="51" t="str">
        <f t="shared" si="15"/>
        <v>2Q25</v>
      </c>
      <c r="R74" s="51" t="str">
        <f t="shared" si="15"/>
        <v>3Q25</v>
      </c>
      <c r="S74" s="51" t="str">
        <f t="shared" si="15"/>
        <v>4Q25</v>
      </c>
      <c r="T74" s="51">
        <f t="shared" si="15"/>
        <v>2025</v>
      </c>
      <c r="U74" s="51" t="str">
        <f t="shared" si="15"/>
        <v>1Q26</v>
      </c>
      <c r="V74" s="51" t="str">
        <f t="shared" si="15"/>
        <v>2Q26e</v>
      </c>
      <c r="W74" s="51" t="str">
        <f t="shared" si="15"/>
        <v>3Q26e</v>
      </c>
      <c r="X74" s="51" t="str">
        <f t="shared" si="15"/>
        <v>4Q26e</v>
      </c>
      <c r="Y74" s="51" t="str">
        <f t="shared" si="15"/>
        <v>2026e</v>
      </c>
      <c r="Z74" s="51" t="str">
        <f t="shared" si="15"/>
        <v>1Q27e</v>
      </c>
      <c r="AA74" s="51" t="str">
        <f t="shared" si="15"/>
        <v>2Q27e</v>
      </c>
      <c r="AB74" s="51" t="str">
        <f t="shared" si="15"/>
        <v>3Q27e</v>
      </c>
      <c r="AC74" s="51" t="str">
        <f t="shared" si="15"/>
        <v>4Q27e</v>
      </c>
      <c r="AD74" s="51" t="str">
        <f t="shared" si="15"/>
        <v>2027e</v>
      </c>
      <c r="AE74" s="51" t="str">
        <f t="shared" si="15"/>
        <v>2028e</v>
      </c>
      <c r="AF74" s="51" t="str">
        <f t="shared" si="15"/>
        <v>2029e</v>
      </c>
      <c r="AG74" s="52" t="str">
        <f t="shared" si="15"/>
        <v>2030e</v>
      </c>
      <c r="AH74" s="180" t="s">
        <v>0</v>
      </c>
      <c r="AI74" s="9"/>
      <c r="AJ74" s="9"/>
      <c r="AK74" s="9"/>
    </row>
    <row r="75" spans="1:37" ht="13.5" customHeight="1">
      <c r="A75" s="180"/>
      <c r="B75" s="9"/>
      <c r="C75" s="9"/>
      <c r="D75" s="9"/>
      <c r="E75" s="9"/>
      <c r="F75" s="228"/>
      <c r="G75" s="228"/>
      <c r="H75" s="295"/>
      <c r="I75" s="228"/>
      <c r="J75" s="9"/>
      <c r="K75" s="228"/>
      <c r="L75" s="228"/>
      <c r="M75" s="295"/>
      <c r="N75" s="228"/>
      <c r="O75" s="9"/>
      <c r="P75" s="228"/>
      <c r="Q75" s="228"/>
      <c r="R75" s="295"/>
      <c r="S75" s="228"/>
      <c r="T75" s="9"/>
      <c r="U75" s="228"/>
      <c r="V75" s="229"/>
      <c r="W75" s="296"/>
      <c r="X75" s="229"/>
      <c r="Y75" s="9"/>
      <c r="Z75" s="229"/>
      <c r="AA75" s="229"/>
      <c r="AB75" s="296"/>
      <c r="AC75" s="229"/>
      <c r="AD75" s="9"/>
      <c r="AE75" s="9"/>
      <c r="AF75" s="9"/>
      <c r="AG75" s="9"/>
      <c r="AH75" s="9"/>
      <c r="AI75" s="9"/>
      <c r="AJ75" s="9"/>
      <c r="AK75" s="9"/>
    </row>
    <row r="76" spans="1:37" ht="13.5" customHeight="1">
      <c r="A76" s="180"/>
      <c r="B76" s="9"/>
      <c r="C76" s="103" t="s">
        <v>292</v>
      </c>
      <c r="D76" s="9"/>
      <c r="E76" s="9"/>
      <c r="F76" s="297"/>
      <c r="G76" s="297"/>
      <c r="H76" s="297"/>
      <c r="I76" s="297"/>
      <c r="J76" s="126"/>
      <c r="K76" s="297"/>
      <c r="L76" s="297"/>
      <c r="M76" s="297"/>
      <c r="N76" s="297"/>
      <c r="O76" s="126"/>
      <c r="P76" s="297"/>
      <c r="Q76" s="297"/>
      <c r="R76" s="297"/>
      <c r="S76" s="297"/>
      <c r="T76" s="126"/>
      <c r="U76" s="297"/>
      <c r="V76" s="272">
        <f t="shared" ref="V76:AG76" ca="1" si="16">V45</f>
        <v>67.837286660270308</v>
      </c>
      <c r="W76" s="272">
        <f t="shared" ca="1" si="16"/>
        <v>72.07436539920397</v>
      </c>
      <c r="X76" s="272">
        <f t="shared" ca="1" si="16"/>
        <v>78.129683877200506</v>
      </c>
      <c r="Y76" s="126">
        <f t="shared" ca="1" si="16"/>
        <v>295.11133593667478</v>
      </c>
      <c r="Z76" s="272">
        <f t="shared" ca="1" si="16"/>
        <v>84.212015146641136</v>
      </c>
      <c r="AA76" s="272">
        <f t="shared" ca="1" si="16"/>
        <v>89.098413984372471</v>
      </c>
      <c r="AB76" s="272">
        <f t="shared" ca="1" si="16"/>
        <v>90.400261744860444</v>
      </c>
      <c r="AC76" s="272">
        <f t="shared" ca="1" si="16"/>
        <v>94.386421287090769</v>
      </c>
      <c r="AD76" s="126">
        <f t="shared" ca="1" si="16"/>
        <v>358.09711216296489</v>
      </c>
      <c r="AE76" s="126">
        <f t="shared" ca="1" si="16"/>
        <v>374.51535590001902</v>
      </c>
      <c r="AF76" s="126">
        <f t="shared" ca="1" si="16"/>
        <v>395.85241686641348</v>
      </c>
      <c r="AG76" s="126">
        <f t="shared" ca="1" si="16"/>
        <v>422.14236064446368</v>
      </c>
      <c r="AH76" s="9"/>
      <c r="AI76" s="9"/>
      <c r="AJ76" s="9"/>
      <c r="AK76" s="9"/>
    </row>
    <row r="77" spans="1:37" ht="13.5" customHeight="1">
      <c r="A77" s="180"/>
      <c r="B77" s="9"/>
      <c r="C77" s="103" t="s">
        <v>266</v>
      </c>
      <c r="D77" s="9"/>
      <c r="E77" s="9"/>
      <c r="F77" s="297"/>
      <c r="G77" s="297"/>
      <c r="H77" s="297"/>
      <c r="I77" s="297"/>
      <c r="J77" s="126"/>
      <c r="K77" s="297"/>
      <c r="L77" s="297"/>
      <c r="M77" s="297"/>
      <c r="N77" s="297"/>
      <c r="O77" s="126"/>
      <c r="P77" s="297"/>
      <c r="Q77" s="297"/>
      <c r="R77" s="297"/>
      <c r="S77" s="297"/>
      <c r="T77" s="126"/>
      <c r="U77" s="297"/>
      <c r="V77" s="272">
        <f>-(V195+V209)</f>
        <v>0</v>
      </c>
      <c r="W77" s="272">
        <f>-(W195+W209)</f>
        <v>0</v>
      </c>
      <c r="X77" s="272">
        <f>-(X195+X209)</f>
        <v>0</v>
      </c>
      <c r="Y77" s="126">
        <f t="shared" ref="Y77:Y82" si="17">SUM(U77:X77)</f>
        <v>0</v>
      </c>
      <c r="Z77" s="272">
        <f>-(Z195+Z209)</f>
        <v>0</v>
      </c>
      <c r="AA77" s="272">
        <f>-(AA195+AA209)</f>
        <v>0</v>
      </c>
      <c r="AB77" s="272">
        <f>-(AB195+AB209)</f>
        <v>0</v>
      </c>
      <c r="AC77" s="272">
        <f>-(AC195+AC209)</f>
        <v>0</v>
      </c>
      <c r="AD77" s="126">
        <f t="shared" ref="AD77:AD82" si="18">SUM(Z77:AC77)</f>
        <v>0</v>
      </c>
      <c r="AE77" s="126">
        <f>-(AE195+AE209)</f>
        <v>0</v>
      </c>
      <c r="AF77" s="126">
        <f>-(AF195+AF209)</f>
        <v>0</v>
      </c>
      <c r="AG77" s="126">
        <f>-(AG195+AG209)</f>
        <v>0</v>
      </c>
      <c r="AH77" s="9"/>
      <c r="AI77" s="9"/>
      <c r="AJ77" s="9"/>
      <c r="AK77" s="9"/>
    </row>
    <row r="78" spans="1:37" ht="13.5" hidden="1" customHeight="1">
      <c r="A78" s="180"/>
      <c r="B78" s="9"/>
      <c r="C78" s="103" t="s">
        <v>866</v>
      </c>
      <c r="D78" s="9"/>
      <c r="E78" s="9"/>
      <c r="F78" s="878"/>
      <c r="G78" s="878"/>
      <c r="H78" s="878"/>
      <c r="I78" s="878"/>
      <c r="J78" s="126"/>
      <c r="K78" s="878"/>
      <c r="L78" s="878"/>
      <c r="M78" s="878"/>
      <c r="N78" s="878"/>
      <c r="O78" s="126"/>
      <c r="P78" s="878"/>
      <c r="Q78" s="878"/>
      <c r="R78" s="878"/>
      <c r="S78" s="878"/>
      <c r="T78" s="126"/>
      <c r="U78" s="878"/>
      <c r="V78" s="879">
        <v>0</v>
      </c>
      <c r="W78" s="879">
        <v>0</v>
      </c>
      <c r="X78" s="879">
        <v>0</v>
      </c>
      <c r="Y78" s="126">
        <f t="shared" si="17"/>
        <v>0</v>
      </c>
      <c r="Z78" s="879">
        <v>0</v>
      </c>
      <c r="AA78" s="879">
        <v>0</v>
      </c>
      <c r="AB78" s="879">
        <v>0</v>
      </c>
      <c r="AC78" s="879">
        <v>0</v>
      </c>
      <c r="AD78" s="126">
        <f t="shared" si="18"/>
        <v>0</v>
      </c>
      <c r="AE78" s="126">
        <v>0</v>
      </c>
      <c r="AF78" s="126">
        <v>0</v>
      </c>
      <c r="AG78" s="126">
        <v>0</v>
      </c>
      <c r="AH78" s="9"/>
      <c r="AI78" s="9"/>
      <c r="AJ78" s="9"/>
      <c r="AK78" s="9"/>
    </row>
    <row r="79" spans="1:37" ht="13.5" customHeight="1">
      <c r="A79" s="180"/>
      <c r="B79" s="9"/>
      <c r="C79" s="103" t="s">
        <v>293</v>
      </c>
      <c r="D79" s="9"/>
      <c r="E79" s="9"/>
      <c r="F79" s="271"/>
      <c r="G79" s="271"/>
      <c r="H79" s="271"/>
      <c r="I79" s="271"/>
      <c r="J79" s="126"/>
      <c r="K79" s="271"/>
      <c r="L79" s="271"/>
      <c r="M79" s="271"/>
      <c r="N79" s="271"/>
      <c r="O79" s="126"/>
      <c r="P79" s="271"/>
      <c r="Q79" s="271"/>
      <c r="R79" s="271"/>
      <c r="S79" s="271"/>
      <c r="T79" s="126"/>
      <c r="U79" s="271"/>
      <c r="V79" s="272">
        <f>V247</f>
        <v>3.3686678478955203</v>
      </c>
      <c r="W79" s="272">
        <f>W247</f>
        <v>3.5756712955080188</v>
      </c>
      <c r="X79" s="272">
        <f>X247</f>
        <v>3.8754173687509517</v>
      </c>
      <c r="Y79" s="126">
        <f t="shared" si="17"/>
        <v>10.819756512154491</v>
      </c>
      <c r="Z79" s="272">
        <f>Z247</f>
        <v>4.112463276701277</v>
      </c>
      <c r="AA79" s="272">
        <f>AA247</f>
        <v>4.3592110733033538</v>
      </c>
      <c r="AB79" s="272">
        <f>AB247</f>
        <v>4.5655827824622959</v>
      </c>
      <c r="AC79" s="272">
        <f>AC247</f>
        <v>4.7764183114019021</v>
      </c>
      <c r="AD79" s="126">
        <f t="shared" si="18"/>
        <v>17.813675443868828</v>
      </c>
      <c r="AE79" s="126">
        <f>AE247</f>
        <v>19.060632724939651</v>
      </c>
      <c r="AF79" s="126">
        <f>AF247</f>
        <v>20.10896752481133</v>
      </c>
      <c r="AG79" s="126">
        <f>AG247</f>
        <v>21.421969851033914</v>
      </c>
      <c r="AH79" s="9"/>
      <c r="AI79" s="9"/>
      <c r="AJ79" s="9"/>
      <c r="AK79" s="9"/>
    </row>
    <row r="80" spans="1:37" ht="13.5" customHeight="1">
      <c r="A80" s="180"/>
      <c r="B80" s="9"/>
      <c r="C80" s="103" t="s">
        <v>294</v>
      </c>
      <c r="D80" s="9"/>
      <c r="E80" s="9"/>
      <c r="F80" s="271"/>
      <c r="G80" s="271"/>
      <c r="H80" s="271"/>
      <c r="I80" s="271"/>
      <c r="J80" s="126"/>
      <c r="K80" s="271"/>
      <c r="L80" s="271"/>
      <c r="M80" s="271"/>
      <c r="N80" s="271"/>
      <c r="O80" s="126"/>
      <c r="P80" s="271"/>
      <c r="Q80" s="271"/>
      <c r="R80" s="271"/>
      <c r="S80" s="271"/>
      <c r="T80" s="126"/>
      <c r="U80" s="271"/>
      <c r="V80" s="272">
        <f>V175</f>
        <v>2.6697186552966912</v>
      </c>
      <c r="W80" s="272">
        <f>W175</f>
        <v>-2.8660015639434278</v>
      </c>
      <c r="X80" s="272">
        <f>X175</f>
        <v>-6.5637752046975777</v>
      </c>
      <c r="Y80" s="126">
        <f t="shared" si="17"/>
        <v>-6.7600581133443143</v>
      </c>
      <c r="Z80" s="272">
        <f>Z175</f>
        <v>-20.452065622013578</v>
      </c>
      <c r="AA80" s="272">
        <f>AA175</f>
        <v>-7.0642571177055515</v>
      </c>
      <c r="AB80" s="272">
        <f>AB175</f>
        <v>-2.8531109645851984</v>
      </c>
      <c r="AC80" s="272">
        <f>AC175</f>
        <v>-5.3213586350305775</v>
      </c>
      <c r="AD80" s="126">
        <f t="shared" si="18"/>
        <v>-35.690792339334905</v>
      </c>
      <c r="AE80" s="126">
        <f>AE175</f>
        <v>31.104561091245813</v>
      </c>
      <c r="AF80" s="126">
        <f>AF175</f>
        <v>-10.935264717352908</v>
      </c>
      <c r="AG80" s="126">
        <f>AG175</f>
        <v>-6.5545460183192006</v>
      </c>
      <c r="AH80" s="9"/>
      <c r="AI80" s="9"/>
      <c r="AJ80" s="9"/>
      <c r="AK80" s="9"/>
    </row>
    <row r="81" spans="1:37" ht="13.5" customHeight="1">
      <c r="A81" s="180"/>
      <c r="B81" s="9"/>
      <c r="C81" s="103" t="s">
        <v>295</v>
      </c>
      <c r="D81" s="9"/>
      <c r="E81" s="9"/>
      <c r="F81" s="267"/>
      <c r="G81" s="267"/>
      <c r="H81" s="267"/>
      <c r="I81" s="267"/>
      <c r="J81" s="268"/>
      <c r="K81" s="267"/>
      <c r="L81" s="267"/>
      <c r="M81" s="267"/>
      <c r="N81" s="267"/>
      <c r="O81" s="268"/>
      <c r="P81" s="267"/>
      <c r="Q81" s="267"/>
      <c r="R81" s="267"/>
      <c r="S81" s="267"/>
      <c r="T81" s="268"/>
      <c r="U81" s="267"/>
      <c r="V81" s="269">
        <f>V227</f>
        <v>12.373537999999996</v>
      </c>
      <c r="W81" s="269">
        <f>W227</f>
        <v>-7.9108714999999847</v>
      </c>
      <c r="X81" s="269">
        <f>X227</f>
        <v>-11.455136112000019</v>
      </c>
      <c r="Y81" s="268">
        <f t="shared" si="17"/>
        <v>-6.9924696120000078</v>
      </c>
      <c r="Z81" s="269">
        <f>Z227</f>
        <v>-9.0589781910600209</v>
      </c>
      <c r="AA81" s="269">
        <f>AA227</f>
        <v>-9.429746868183571</v>
      </c>
      <c r="AB81" s="269">
        <f>AB227</f>
        <v>-7.8867288985828168</v>
      </c>
      <c r="AC81" s="269">
        <f>AC227</f>
        <v>-8.0573188336359465</v>
      </c>
      <c r="AD81" s="268">
        <f t="shared" si="18"/>
        <v>-34.432772791462355</v>
      </c>
      <c r="AE81" s="268">
        <f>AE227</f>
        <v>-33.389352911647222</v>
      </c>
      <c r="AF81" s="268">
        <f>AF227</f>
        <v>-11.87590774233098</v>
      </c>
      <c r="AG81" s="268">
        <f>AG227</f>
        <v>-14.87415517790123</v>
      </c>
      <c r="AH81" s="9"/>
      <c r="AI81" s="9"/>
      <c r="AJ81" s="9"/>
      <c r="AK81" s="9"/>
    </row>
    <row r="82" spans="1:37" ht="13.5" customHeight="1">
      <c r="A82" s="180"/>
      <c r="B82" s="9"/>
      <c r="C82" s="103" t="s">
        <v>296</v>
      </c>
      <c r="D82" s="9"/>
      <c r="E82" s="9"/>
      <c r="F82" s="266"/>
      <c r="G82" s="266"/>
      <c r="H82" s="266"/>
      <c r="I82" s="266"/>
      <c r="J82" s="197"/>
      <c r="K82" s="266"/>
      <c r="L82" s="266"/>
      <c r="M82" s="266"/>
      <c r="N82" s="266"/>
      <c r="O82" s="197"/>
      <c r="P82" s="266"/>
      <c r="Q82" s="266"/>
      <c r="R82" s="266"/>
      <c r="S82" s="266"/>
      <c r="T82" s="197"/>
      <c r="U82" s="266"/>
      <c r="V82" s="196">
        <f ca="1">SUM(V76:V81)</f>
        <v>86.249211163462519</v>
      </c>
      <c r="W82" s="196">
        <f ca="1">SUM(W76:W81)</f>
        <v>64.873163630768573</v>
      </c>
      <c r="X82" s="196">
        <f ca="1">SUM(X76:X81)</f>
        <v>63.986189929253854</v>
      </c>
      <c r="Y82" s="197">
        <f t="shared" ca="1" si="17"/>
        <v>215.10856472348496</v>
      </c>
      <c r="Z82" s="196">
        <f ca="1">SUM(Z76:Z81)</f>
        <v>58.813434610268814</v>
      </c>
      <c r="AA82" s="196">
        <f ca="1">SUM(AA76:AA81)</f>
        <v>76.963621071786704</v>
      </c>
      <c r="AB82" s="196">
        <f ca="1">SUM(AB76:AB81)</f>
        <v>84.226004664154729</v>
      </c>
      <c r="AC82" s="196">
        <f ca="1">SUM(AC76:AC81)</f>
        <v>85.784162129826143</v>
      </c>
      <c r="AD82" s="197">
        <f t="shared" ca="1" si="18"/>
        <v>305.78722247603639</v>
      </c>
      <c r="AE82" s="197">
        <f ca="1">SUM(AE76:AE81)</f>
        <v>391.29119680455727</v>
      </c>
      <c r="AF82" s="197">
        <f ca="1">SUM(AF76:AF81)</f>
        <v>393.15021193154092</v>
      </c>
      <c r="AG82" s="197">
        <f ca="1">SUM(AG76:AG81)</f>
        <v>422.13562929927718</v>
      </c>
      <c r="AH82" s="9"/>
      <c r="AI82" s="9"/>
      <c r="AJ82" s="9"/>
      <c r="AK82" s="9"/>
    </row>
    <row r="83" spans="1:37" ht="13.5" customHeight="1">
      <c r="A83" s="180"/>
      <c r="B83" s="9"/>
      <c r="C83" s="9"/>
      <c r="D83" s="9"/>
      <c r="E83" s="9"/>
      <c r="F83" s="228"/>
      <c r="G83" s="266"/>
      <c r="H83" s="266"/>
      <c r="I83" s="228"/>
      <c r="J83" s="9"/>
      <c r="K83" s="228"/>
      <c r="L83" s="266"/>
      <c r="M83" s="266"/>
      <c r="N83" s="228"/>
      <c r="O83" s="9"/>
      <c r="P83" s="228"/>
      <c r="Q83" s="266"/>
      <c r="R83" s="266"/>
      <c r="S83" s="228"/>
      <c r="T83" s="9"/>
      <c r="U83" s="228"/>
      <c r="V83" s="196"/>
      <c r="W83" s="196"/>
      <c r="X83" s="196"/>
      <c r="Y83" s="9"/>
      <c r="Z83" s="196"/>
      <c r="AA83" s="196"/>
      <c r="AB83" s="196"/>
      <c r="AC83" s="196"/>
      <c r="AD83" s="9"/>
      <c r="AE83" s="197"/>
      <c r="AF83" s="197"/>
      <c r="AG83" s="197"/>
      <c r="AH83" s="9"/>
      <c r="AI83" s="9"/>
      <c r="AJ83" s="9"/>
      <c r="AK83" s="9"/>
    </row>
    <row r="84" spans="1:37" ht="13.5" customHeight="1">
      <c r="A84" s="180"/>
      <c r="B84" s="9"/>
      <c r="C84" s="103" t="s">
        <v>115</v>
      </c>
      <c r="D84" s="9"/>
      <c r="E84" s="9"/>
      <c r="F84" s="271"/>
      <c r="G84" s="271"/>
      <c r="H84" s="271"/>
      <c r="I84" s="271"/>
      <c r="J84" s="126"/>
      <c r="K84" s="271"/>
      <c r="L84" s="271"/>
      <c r="M84" s="271"/>
      <c r="N84" s="271"/>
      <c r="O84" s="126"/>
      <c r="P84" s="271"/>
      <c r="Q84" s="271"/>
      <c r="R84" s="271"/>
      <c r="S84" s="271"/>
      <c r="T84" s="126"/>
      <c r="U84" s="271"/>
      <c r="V84" s="272">
        <f>-V194</f>
        <v>-2.20692792</v>
      </c>
      <c r="W84" s="272">
        <f>-W194</f>
        <v>-2.34254286</v>
      </c>
      <c r="X84" s="272">
        <f>-X194</f>
        <v>-2.1157638516000001</v>
      </c>
      <c r="Y84" s="126">
        <f>SUM(U84:X84)</f>
        <v>-6.6652346316000006</v>
      </c>
      <c r="Z84" s="272">
        <f>-Z194</f>
        <v>-1.7961422606063999</v>
      </c>
      <c r="AA84" s="272">
        <f>-AA194</f>
        <v>-1.9039107962427841</v>
      </c>
      <c r="AB84" s="272">
        <f>-AB194</f>
        <v>-1.9940448407980162</v>
      </c>
      <c r="AC84" s="272">
        <f>-AC194</f>
        <v>-2.0861284846109984</v>
      </c>
      <c r="AD84" s="126">
        <f>SUM(Z84:AC84)</f>
        <v>-7.7802263822581992</v>
      </c>
      <c r="AE84" s="126">
        <f>-AE194</f>
        <v>-8.3248422290162747</v>
      </c>
      <c r="AF84" s="126">
        <f>-AF194</f>
        <v>-8.7827085516121688</v>
      </c>
      <c r="AG84" s="126">
        <f>-AG194</f>
        <v>-9.3561699560613718</v>
      </c>
      <c r="AH84" s="9"/>
      <c r="AI84" s="9"/>
      <c r="AJ84" s="9"/>
      <c r="AK84" s="9"/>
    </row>
    <row r="85" spans="1:37" ht="13.5" customHeight="1">
      <c r="A85" s="180"/>
      <c r="B85" s="9"/>
      <c r="C85" s="103" t="s">
        <v>858</v>
      </c>
      <c r="D85" s="9"/>
      <c r="E85" s="9"/>
      <c r="F85" s="271"/>
      <c r="G85" s="271"/>
      <c r="H85" s="271"/>
      <c r="I85" s="271"/>
      <c r="J85" s="126"/>
      <c r="K85" s="271"/>
      <c r="L85" s="271"/>
      <c r="M85" s="271"/>
      <c r="N85" s="271"/>
      <c r="O85" s="126"/>
      <c r="P85" s="271"/>
      <c r="Q85" s="271"/>
      <c r="R85" s="271"/>
      <c r="S85" s="271"/>
      <c r="T85" s="126"/>
      <c r="U85" s="271"/>
      <c r="V85" s="272">
        <f>U211-V211</f>
        <v>-28.351139999999987</v>
      </c>
      <c r="W85" s="272">
        <f t="shared" ref="W85:X85" si="19">V211-W211</f>
        <v>-29.20167420000007</v>
      </c>
      <c r="X85" s="272">
        <f t="shared" si="19"/>
        <v>-30.077724426000032</v>
      </c>
      <c r="Y85" s="126">
        <f>SUM(U85:X85)</f>
        <v>-87.630538626000089</v>
      </c>
      <c r="Z85" s="272">
        <f>Y211-Z211</f>
        <v>-72.286797703820184</v>
      </c>
      <c r="AA85" s="272">
        <f>Z211-AA211</f>
        <v>-66.297320179789267</v>
      </c>
      <c r="AB85" s="272">
        <f>AA211-AB211</f>
        <v>-64.418896108028548</v>
      </c>
      <c r="AC85" s="272">
        <f t="shared" ref="AC85" si="20">AB211-AC211</f>
        <v>-61.783577630882064</v>
      </c>
      <c r="AD85" s="126">
        <f>SUM(Z85:AC85)</f>
        <v>-264.78659162252006</v>
      </c>
      <c r="AE85" s="126">
        <f>AD211-AE211</f>
        <v>-194.61826953727791</v>
      </c>
      <c r="AF85" s="126">
        <f t="shared" ref="AF85:AG85" si="21">AE211-AF211</f>
        <v>-223.8110099678695</v>
      </c>
      <c r="AG85" s="126">
        <f t="shared" si="21"/>
        <v>-257.38266146305</v>
      </c>
      <c r="AH85" s="9"/>
      <c r="AI85" s="9"/>
      <c r="AJ85" s="9"/>
      <c r="AK85" s="9"/>
    </row>
    <row r="86" spans="1:37" ht="13.5" customHeight="1">
      <c r="A86" s="180"/>
      <c r="B86" s="9"/>
      <c r="C86" s="103" t="s">
        <v>297</v>
      </c>
      <c r="D86" s="9"/>
      <c r="E86" s="9"/>
      <c r="F86" s="267"/>
      <c r="G86" s="267"/>
      <c r="H86" s="267"/>
      <c r="I86" s="267"/>
      <c r="J86" s="268"/>
      <c r="K86" s="267"/>
      <c r="L86" s="267"/>
      <c r="M86" s="267"/>
      <c r="N86" s="267"/>
      <c r="O86" s="268"/>
      <c r="P86" s="267"/>
      <c r="Q86" s="267"/>
      <c r="R86" s="267"/>
      <c r="S86" s="267"/>
      <c r="T86" s="268"/>
      <c r="U86" s="267"/>
      <c r="V86" s="298">
        <f>Drivers!V105</f>
        <v>0</v>
      </c>
      <c r="W86" s="298">
        <f>Drivers!W105</f>
        <v>0</v>
      </c>
      <c r="X86" s="298">
        <f>Drivers!X105</f>
        <v>0</v>
      </c>
      <c r="Y86" s="268">
        <f>SUM(U86:X86)</f>
        <v>0</v>
      </c>
      <c r="Z86" s="298">
        <f>Drivers!Z105</f>
        <v>0</v>
      </c>
      <c r="AA86" s="298">
        <f>Drivers!AA105</f>
        <v>0</v>
      </c>
      <c r="AB86" s="298">
        <f>Drivers!AB105</f>
        <v>0</v>
      </c>
      <c r="AC86" s="298">
        <f>Drivers!AC105</f>
        <v>0</v>
      </c>
      <c r="AD86" s="268">
        <f>SUM(Z86:AC86)</f>
        <v>0</v>
      </c>
      <c r="AE86" s="268">
        <f>Drivers!AE105</f>
        <v>0</v>
      </c>
      <c r="AF86" s="268">
        <f>Drivers!AF105</f>
        <v>0</v>
      </c>
      <c r="AG86" s="268">
        <f>Drivers!AG105</f>
        <v>0</v>
      </c>
      <c r="AH86" s="9"/>
      <c r="AI86" s="9"/>
      <c r="AJ86" s="9"/>
      <c r="AK86" s="9"/>
    </row>
    <row r="87" spans="1:37" ht="13.5" customHeight="1">
      <c r="A87" s="180"/>
      <c r="B87" s="9"/>
      <c r="C87" s="103" t="s">
        <v>298</v>
      </c>
      <c r="D87" s="9"/>
      <c r="E87" s="9"/>
      <c r="F87" s="266"/>
      <c r="G87" s="266"/>
      <c r="H87" s="266"/>
      <c r="I87" s="266"/>
      <c r="J87" s="197"/>
      <c r="K87" s="266"/>
      <c r="L87" s="266"/>
      <c r="M87" s="266"/>
      <c r="N87" s="266"/>
      <c r="O87" s="197"/>
      <c r="P87" s="266"/>
      <c r="Q87" s="266"/>
      <c r="R87" s="266"/>
      <c r="S87" s="266"/>
      <c r="T87" s="197"/>
      <c r="U87" s="266"/>
      <c r="V87" s="196">
        <f>SUM(V84:V86)</f>
        <v>-30.558067919999985</v>
      </c>
      <c r="W87" s="196">
        <f>SUM(W84:W86)</f>
        <v>-31.544217060000072</v>
      </c>
      <c r="X87" s="196">
        <f>SUM(X84:X86)</f>
        <v>-32.193488277600032</v>
      </c>
      <c r="Y87" s="197">
        <f>SUM(U87:X87)</f>
        <v>-94.295773257600089</v>
      </c>
      <c r="Z87" s="196">
        <f>SUM(Z84:Z86)</f>
        <v>-74.082939964426586</v>
      </c>
      <c r="AA87" s="196">
        <f>SUM(AA84:AA86)</f>
        <v>-68.201230976032051</v>
      </c>
      <c r="AB87" s="196">
        <f>SUM(AB84:AB86)</f>
        <v>-66.412940948826559</v>
      </c>
      <c r="AC87" s="196">
        <f>SUM(AC84:AC86)</f>
        <v>-63.869706115493059</v>
      </c>
      <c r="AD87" s="197">
        <f>SUM(Z87:AC87)</f>
        <v>-272.56681800477827</v>
      </c>
      <c r="AE87" s="197">
        <f>SUM(AE84:AE86)</f>
        <v>-202.94311176629418</v>
      </c>
      <c r="AF87" s="197">
        <f>SUM(AF84:AF86)</f>
        <v>-232.59371851948165</v>
      </c>
      <c r="AG87" s="197">
        <f>SUM(AG84:AG86)</f>
        <v>-266.73883141911136</v>
      </c>
      <c r="AH87" s="9"/>
      <c r="AI87" s="9"/>
      <c r="AJ87" s="9"/>
      <c r="AK87" s="9"/>
    </row>
    <row r="88" spans="1:37" ht="13.5" customHeight="1">
      <c r="A88" s="180"/>
      <c r="B88" s="9"/>
      <c r="C88" s="9"/>
      <c r="D88" s="9"/>
      <c r="E88" s="9"/>
      <c r="F88" s="228"/>
      <c r="G88" s="266"/>
      <c r="H88" s="228"/>
      <c r="I88" s="228"/>
      <c r="J88" s="9"/>
      <c r="K88" s="228"/>
      <c r="L88" s="266"/>
      <c r="M88" s="228"/>
      <c r="N88" s="228"/>
      <c r="O88" s="9"/>
      <c r="P88" s="228"/>
      <c r="Q88" s="266"/>
      <c r="R88" s="266"/>
      <c r="S88" s="228"/>
      <c r="T88" s="9"/>
      <c r="U88" s="228"/>
      <c r="V88" s="229"/>
      <c r="W88" s="229"/>
      <c r="X88" s="229"/>
      <c r="Y88" s="9"/>
      <c r="Z88" s="229"/>
      <c r="AA88" s="229"/>
      <c r="AB88" s="229"/>
      <c r="AC88" s="229"/>
      <c r="AD88" s="9"/>
      <c r="AE88" s="9"/>
      <c r="AF88" s="9"/>
      <c r="AG88" s="9"/>
      <c r="AH88" s="9"/>
      <c r="AI88" s="9"/>
      <c r="AJ88" s="9"/>
      <c r="AK88" s="9"/>
    </row>
    <row r="89" spans="1:37" ht="13.5" customHeight="1">
      <c r="A89" s="180"/>
      <c r="B89" s="299"/>
      <c r="C89" s="300" t="s">
        <v>299</v>
      </c>
      <c r="D89" s="70"/>
      <c r="E89" s="70"/>
      <c r="F89" s="301"/>
      <c r="G89" s="301"/>
      <c r="H89" s="301"/>
      <c r="I89" s="301"/>
      <c r="J89" s="302"/>
      <c r="K89" s="301"/>
      <c r="L89" s="301"/>
      <c r="M89" s="301"/>
      <c r="N89" s="301"/>
      <c r="O89" s="302"/>
      <c r="P89" s="301"/>
      <c r="Q89" s="301"/>
      <c r="R89" s="301"/>
      <c r="S89" s="301"/>
      <c r="T89" s="302"/>
      <c r="U89" s="301"/>
      <c r="V89" s="303">
        <f ca="1">SUM(V82,V87)</f>
        <v>55.691143243462534</v>
      </c>
      <c r="W89" s="303">
        <f ca="1">SUM(W82,W87)</f>
        <v>33.328946570768501</v>
      </c>
      <c r="X89" s="303">
        <f ca="1">SUM(X82,X87)</f>
        <v>31.792701651653822</v>
      </c>
      <c r="Y89" s="302">
        <f ca="1">SUM(U89:X89)</f>
        <v>120.81279146588486</v>
      </c>
      <c r="Z89" s="303">
        <f ca="1">SUM(Z82,Z87)</f>
        <v>-15.269505354157772</v>
      </c>
      <c r="AA89" s="303">
        <f ca="1">SUM(AA82,AA87)</f>
        <v>8.7623900957546539</v>
      </c>
      <c r="AB89" s="303">
        <f ca="1">SUM(AB82,AB87)</f>
        <v>17.81306371532817</v>
      </c>
      <c r="AC89" s="303">
        <f ca="1">SUM(AC82,AC87)</f>
        <v>21.914456014333084</v>
      </c>
      <c r="AD89" s="302">
        <f ca="1">SUM(Z89:AC89)</f>
        <v>33.220404471258135</v>
      </c>
      <c r="AE89" s="302">
        <f ca="1">SUM(AE82,AE87)</f>
        <v>188.34808503826309</v>
      </c>
      <c r="AF89" s="302">
        <f ca="1">SUM(AF82,AF87)</f>
        <v>160.55649341205927</v>
      </c>
      <c r="AG89" s="302">
        <f ca="1">SUM(AG82,AG87)</f>
        <v>155.39679788016582</v>
      </c>
      <c r="AH89" s="9"/>
      <c r="AI89" s="9"/>
      <c r="AJ89" s="9"/>
      <c r="AK89" s="9"/>
    </row>
    <row r="90" spans="1:37" ht="13.5" customHeight="1">
      <c r="A90" s="180"/>
      <c r="B90" s="9"/>
      <c r="C90" s="9"/>
      <c r="D90" s="9"/>
      <c r="E90" s="9"/>
      <c r="F90" s="228"/>
      <c r="G90" s="228"/>
      <c r="H90" s="228"/>
      <c r="I90" s="228"/>
      <c r="J90" s="9"/>
      <c r="K90" s="228"/>
      <c r="L90" s="228"/>
      <c r="M90" s="228"/>
      <c r="N90" s="228"/>
      <c r="O90" s="9"/>
      <c r="P90" s="228"/>
      <c r="Q90" s="228"/>
      <c r="R90" s="228"/>
      <c r="S90" s="228"/>
      <c r="T90" s="9"/>
      <c r="U90" s="228"/>
      <c r="V90" s="229"/>
      <c r="W90" s="229"/>
      <c r="X90" s="229"/>
      <c r="Y90" s="9"/>
      <c r="Z90" s="229"/>
      <c r="AA90" s="229"/>
      <c r="AB90" s="229"/>
      <c r="AC90" s="229"/>
      <c r="AD90" s="9"/>
      <c r="AE90" s="9"/>
      <c r="AF90" s="9"/>
      <c r="AG90" s="9"/>
      <c r="AH90" s="9"/>
      <c r="AI90" s="9"/>
      <c r="AJ90" s="9"/>
      <c r="AK90" s="9"/>
    </row>
    <row r="91" spans="1:37" ht="13.5" customHeight="1">
      <c r="A91" s="180"/>
      <c r="B91" s="9"/>
      <c r="C91" s="103" t="s">
        <v>300</v>
      </c>
      <c r="D91" s="9"/>
      <c r="E91" s="9"/>
      <c r="F91" s="271"/>
      <c r="G91" s="271"/>
      <c r="H91" s="271"/>
      <c r="I91" s="271"/>
      <c r="J91" s="126"/>
      <c r="K91" s="271"/>
      <c r="L91" s="271"/>
      <c r="M91" s="271"/>
      <c r="N91" s="271"/>
      <c r="O91" s="126"/>
      <c r="P91" s="271"/>
      <c r="Q91" s="271"/>
      <c r="R91" s="271"/>
      <c r="S91" s="271"/>
      <c r="T91" s="126"/>
      <c r="U91" s="271"/>
      <c r="V91" s="272">
        <f ca="1">V304</f>
        <v>0</v>
      </c>
      <c r="W91" s="272">
        <f t="shared" ref="W91:AG91" ca="1" si="22">W304</f>
        <v>0</v>
      </c>
      <c r="X91" s="272">
        <f t="shared" ca="1" si="22"/>
        <v>0</v>
      </c>
      <c r="Y91" s="126">
        <f t="shared" si="22"/>
        <v>0</v>
      </c>
      <c r="Z91" s="272">
        <f t="shared" ca="1" si="22"/>
        <v>0</v>
      </c>
      <c r="AA91" s="272">
        <f t="shared" ca="1" si="22"/>
        <v>0</v>
      </c>
      <c r="AB91" s="272">
        <f t="shared" ca="1" si="22"/>
        <v>0</v>
      </c>
      <c r="AC91" s="272">
        <f t="shared" ca="1" si="22"/>
        <v>0</v>
      </c>
      <c r="AD91" s="126">
        <f t="shared" si="22"/>
        <v>0</v>
      </c>
      <c r="AE91" s="126">
        <f t="shared" ca="1" si="22"/>
        <v>0</v>
      </c>
      <c r="AF91" s="126">
        <f t="shared" ca="1" si="22"/>
        <v>0</v>
      </c>
      <c r="AG91" s="126">
        <f t="shared" ca="1" si="22"/>
        <v>0</v>
      </c>
      <c r="AH91" s="9"/>
      <c r="AI91" s="9"/>
      <c r="AJ91" s="9"/>
      <c r="AK91" s="9"/>
    </row>
    <row r="92" spans="1:37" ht="13.5" customHeight="1">
      <c r="A92" s="180"/>
      <c r="B92" s="9"/>
      <c r="C92" s="103" t="s">
        <v>301</v>
      </c>
      <c r="D92" s="9"/>
      <c r="E92" s="9"/>
      <c r="F92" s="271"/>
      <c r="G92" s="271"/>
      <c r="H92" s="271"/>
      <c r="I92" s="271"/>
      <c r="J92" s="126"/>
      <c r="K92" s="271"/>
      <c r="L92" s="271"/>
      <c r="M92" s="271"/>
      <c r="N92" s="271"/>
      <c r="O92" s="126"/>
      <c r="P92" s="271"/>
      <c r="Q92" s="271"/>
      <c r="R92" s="271"/>
      <c r="S92" s="271"/>
      <c r="T92" s="126"/>
      <c r="U92" s="271"/>
      <c r="V92" s="272">
        <f t="shared" ref="V92:X93" si="23">V309</f>
        <v>0</v>
      </c>
      <c r="W92" s="272">
        <f t="shared" si="23"/>
        <v>0</v>
      </c>
      <c r="X92" s="272">
        <f t="shared" si="23"/>
        <v>0</v>
      </c>
      <c r="Y92" s="126">
        <f t="shared" ref="Y92:Y98" si="24">SUM(U92:X92)</f>
        <v>0</v>
      </c>
      <c r="Z92" s="272">
        <f t="shared" ref="Z92:AC93" si="25">Z309</f>
        <v>0</v>
      </c>
      <c r="AA92" s="272">
        <f t="shared" si="25"/>
        <v>0</v>
      </c>
      <c r="AB92" s="272">
        <f t="shared" si="25"/>
        <v>0</v>
      </c>
      <c r="AC92" s="272">
        <f t="shared" si="25"/>
        <v>0</v>
      </c>
      <c r="AD92" s="126">
        <f t="shared" ref="AD92:AD98" si="26">SUM(Z92:AC92)</f>
        <v>0</v>
      </c>
      <c r="AE92" s="126">
        <f t="shared" ref="AE92:AG93" si="27">AE309</f>
        <v>0</v>
      </c>
      <c r="AF92" s="126">
        <f t="shared" si="27"/>
        <v>0</v>
      </c>
      <c r="AG92" s="126">
        <f t="shared" si="27"/>
        <v>0</v>
      </c>
      <c r="AH92" s="9"/>
      <c r="AI92" s="9"/>
      <c r="AJ92" s="9"/>
      <c r="AK92" s="9"/>
    </row>
    <row r="93" spans="1:37" ht="13.5" customHeight="1">
      <c r="A93" s="180"/>
      <c r="B93" s="9"/>
      <c r="C93" s="103" t="s">
        <v>302</v>
      </c>
      <c r="D93" s="9"/>
      <c r="E93" s="9"/>
      <c r="F93" s="271"/>
      <c r="G93" s="271"/>
      <c r="H93" s="271"/>
      <c r="I93" s="271"/>
      <c r="J93" s="126"/>
      <c r="K93" s="271"/>
      <c r="L93" s="271"/>
      <c r="M93" s="271"/>
      <c r="N93" s="271"/>
      <c r="O93" s="126"/>
      <c r="P93" s="271"/>
      <c r="Q93" s="271"/>
      <c r="R93" s="271"/>
      <c r="S93" s="271"/>
      <c r="T93" s="126"/>
      <c r="U93" s="271"/>
      <c r="V93" s="272">
        <f t="shared" si="23"/>
        <v>-1.5</v>
      </c>
      <c r="W93" s="272">
        <f t="shared" si="23"/>
        <v>-1.5</v>
      </c>
      <c r="X93" s="272">
        <f t="shared" si="23"/>
        <v>-1.5</v>
      </c>
      <c r="Y93" s="126">
        <f t="shared" si="24"/>
        <v>-4.5</v>
      </c>
      <c r="Z93" s="272">
        <f t="shared" si="25"/>
        <v>-1.5</v>
      </c>
      <c r="AA93" s="272">
        <f t="shared" si="25"/>
        <v>-1.5</v>
      </c>
      <c r="AB93" s="272">
        <f t="shared" si="25"/>
        <v>-1.5</v>
      </c>
      <c r="AC93" s="272">
        <f t="shared" si="25"/>
        <v>-1.5</v>
      </c>
      <c r="AD93" s="126">
        <f t="shared" si="26"/>
        <v>-6</v>
      </c>
      <c r="AE93" s="126">
        <f t="shared" si="27"/>
        <v>-6</v>
      </c>
      <c r="AF93" s="126">
        <f t="shared" si="27"/>
        <v>-6</v>
      </c>
      <c r="AG93" s="126">
        <f t="shared" si="27"/>
        <v>-6</v>
      </c>
      <c r="AH93" s="9"/>
      <c r="AI93" s="9"/>
      <c r="AJ93" s="9"/>
      <c r="AK93" s="9"/>
    </row>
    <row r="94" spans="1:37" ht="13.5" customHeight="1">
      <c r="A94" s="180"/>
      <c r="B94" s="9"/>
      <c r="C94" s="103" t="s">
        <v>303</v>
      </c>
      <c r="D94" s="9"/>
      <c r="E94" s="9"/>
      <c r="F94" s="271"/>
      <c r="G94" s="271"/>
      <c r="H94" s="271"/>
      <c r="I94" s="271"/>
      <c r="J94" s="126"/>
      <c r="K94" s="271"/>
      <c r="L94" s="271"/>
      <c r="M94" s="271"/>
      <c r="N94" s="271"/>
      <c r="O94" s="126"/>
      <c r="P94" s="271"/>
      <c r="Q94" s="271"/>
      <c r="R94" s="271"/>
      <c r="S94" s="271"/>
      <c r="T94" s="126"/>
      <c r="U94" s="271"/>
      <c r="V94" s="272">
        <f>V246</f>
        <v>0</v>
      </c>
      <c r="W94" s="272">
        <f>W246</f>
        <v>0</v>
      </c>
      <c r="X94" s="272">
        <f>X246</f>
        <v>0</v>
      </c>
      <c r="Y94" s="126">
        <f t="shared" si="24"/>
        <v>0</v>
      </c>
      <c r="Z94" s="272">
        <f>Z246</f>
        <v>0</v>
      </c>
      <c r="AA94" s="272">
        <f>AA246</f>
        <v>0</v>
      </c>
      <c r="AB94" s="272">
        <f>AB246</f>
        <v>0</v>
      </c>
      <c r="AC94" s="272">
        <f>AC246</f>
        <v>0</v>
      </c>
      <c r="AD94" s="126">
        <f t="shared" si="26"/>
        <v>0</v>
      </c>
      <c r="AE94" s="126">
        <f>AE246</f>
        <v>0</v>
      </c>
      <c r="AF94" s="126">
        <f>AF246</f>
        <v>0</v>
      </c>
      <c r="AG94" s="126">
        <f>AG246</f>
        <v>0</v>
      </c>
      <c r="AH94" s="9"/>
      <c r="AI94" s="9"/>
      <c r="AJ94" s="9"/>
      <c r="AK94" s="9"/>
    </row>
    <row r="95" spans="1:37" ht="13.5" customHeight="1">
      <c r="A95" s="180"/>
      <c r="B95" s="9"/>
      <c r="C95" s="103" t="s">
        <v>304</v>
      </c>
      <c r="D95" s="9"/>
      <c r="E95" s="9"/>
      <c r="F95" s="271"/>
      <c r="G95" s="271"/>
      <c r="H95" s="271"/>
      <c r="I95" s="271"/>
      <c r="J95" s="126"/>
      <c r="K95" s="271"/>
      <c r="L95" s="271"/>
      <c r="M95" s="271"/>
      <c r="N95" s="271"/>
      <c r="O95" s="126"/>
      <c r="P95" s="271"/>
      <c r="Q95" s="271"/>
      <c r="R95" s="271"/>
      <c r="S95" s="271"/>
      <c r="T95" s="126"/>
      <c r="U95" s="271"/>
      <c r="V95" s="272">
        <f>-V242</f>
        <v>0</v>
      </c>
      <c r="W95" s="272">
        <f>-W242</f>
        <v>0</v>
      </c>
      <c r="X95" s="272">
        <f>-X242</f>
        <v>-35</v>
      </c>
      <c r="Y95" s="126">
        <f t="shared" si="24"/>
        <v>-35</v>
      </c>
      <c r="Z95" s="272">
        <f>-Z242</f>
        <v>0</v>
      </c>
      <c r="AA95" s="272">
        <f>-AA242</f>
        <v>0</v>
      </c>
      <c r="AB95" s="272">
        <f>-AB242</f>
        <v>0</v>
      </c>
      <c r="AC95" s="272">
        <f>-AC242</f>
        <v>-35</v>
      </c>
      <c r="AD95" s="126">
        <f t="shared" si="26"/>
        <v>-35</v>
      </c>
      <c r="AE95" s="126">
        <f>-AE242</f>
        <v>-35</v>
      </c>
      <c r="AF95" s="126">
        <f>-AF242</f>
        <v>-35</v>
      </c>
      <c r="AG95" s="126">
        <f>-AG242</f>
        <v>-35</v>
      </c>
      <c r="AH95" s="9"/>
      <c r="AI95" s="9"/>
      <c r="AJ95" s="9"/>
      <c r="AK95" s="9"/>
    </row>
    <row r="96" spans="1:37" ht="13.5" customHeight="1">
      <c r="A96" s="180"/>
      <c r="B96" s="9"/>
      <c r="C96" s="103" t="s">
        <v>305</v>
      </c>
      <c r="D96" s="9"/>
      <c r="E96" s="9"/>
      <c r="F96" s="271"/>
      <c r="G96" s="271"/>
      <c r="H96" s="271"/>
      <c r="I96" s="271"/>
      <c r="J96" s="126"/>
      <c r="K96" s="271"/>
      <c r="L96" s="271"/>
      <c r="M96" s="271"/>
      <c r="N96" s="271"/>
      <c r="O96" s="126"/>
      <c r="P96" s="271"/>
      <c r="Q96" s="271"/>
      <c r="R96" s="271"/>
      <c r="S96" s="271"/>
      <c r="T96" s="126"/>
      <c r="U96" s="271"/>
      <c r="V96" s="272">
        <f>-V268</f>
        <v>-22.424999999999997</v>
      </c>
      <c r="W96" s="272">
        <f>-W268</f>
        <v>-22.309999999999995</v>
      </c>
      <c r="X96" s="272">
        <f>-X268</f>
        <v>-22.42155</v>
      </c>
      <c r="Y96" s="126">
        <f t="shared" si="24"/>
        <v>-67.156549999999996</v>
      </c>
      <c r="Z96" s="272">
        <f>-Z268</f>
        <v>-23.267949999999999</v>
      </c>
      <c r="AA96" s="272">
        <f>-AA268</f>
        <v>-25.788749999999993</v>
      </c>
      <c r="AB96" s="272">
        <f>-AB268</f>
        <v>-25.656499999999994</v>
      </c>
      <c r="AC96" s="272">
        <f>-AC268</f>
        <v>-25.784782499999999</v>
      </c>
      <c r="AD96" s="126">
        <f t="shared" si="26"/>
        <v>-100.49798249999998</v>
      </c>
      <c r="AE96" s="126">
        <f>-AE268</f>
        <v>-115.57267987499996</v>
      </c>
      <c r="AF96" s="126">
        <f>-AF268</f>
        <v>-132.90858185624995</v>
      </c>
      <c r="AG96" s="126">
        <f>-AG268</f>
        <v>-152.84486913468743</v>
      </c>
      <c r="AH96" s="9"/>
      <c r="AI96" s="9"/>
      <c r="AJ96" s="9"/>
      <c r="AK96" s="9"/>
    </row>
    <row r="97" spans="1:37" ht="13.5" customHeight="1">
      <c r="A97" s="180"/>
      <c r="B97" s="9"/>
      <c r="C97" s="103" t="s">
        <v>306</v>
      </c>
      <c r="D97" s="9"/>
      <c r="E97" s="9"/>
      <c r="F97" s="267"/>
      <c r="G97" s="267"/>
      <c r="H97" s="267"/>
      <c r="I97" s="267"/>
      <c r="J97" s="268"/>
      <c r="K97" s="267"/>
      <c r="L97" s="267"/>
      <c r="M97" s="267"/>
      <c r="N97" s="267"/>
      <c r="O97" s="268"/>
      <c r="P97" s="267"/>
      <c r="Q97" s="267"/>
      <c r="R97" s="267"/>
      <c r="S97" s="267"/>
      <c r="T97" s="268"/>
      <c r="U97" s="267"/>
      <c r="V97" s="298">
        <f>V154-U154</f>
        <v>-33.943273999999974</v>
      </c>
      <c r="W97" s="298">
        <f>W154-V154</f>
        <v>12.431369499999988</v>
      </c>
      <c r="X97" s="298">
        <f>X154-W154</f>
        <v>18.000928176000002</v>
      </c>
      <c r="Y97" s="268">
        <f t="shared" si="24"/>
        <v>-3.5109763239999836</v>
      </c>
      <c r="Z97" s="298">
        <f>Z154-Y154</f>
        <v>14.235537157380008</v>
      </c>
      <c r="AA97" s="298">
        <f t="shared" ref="AA97:AG97" si="28">AA154-Z154</f>
        <v>14.818173650002819</v>
      </c>
      <c r="AB97" s="298">
        <f t="shared" si="28"/>
        <v>-6.9349128643239055E-2</v>
      </c>
      <c r="AC97" s="298">
        <f t="shared" si="28"/>
        <v>12.085978250453934</v>
      </c>
      <c r="AD97" s="268">
        <f t="shared" si="26"/>
        <v>41.070339929193523</v>
      </c>
      <c r="AE97" s="829">
        <f t="shared" si="28"/>
        <v>17.565114410376111</v>
      </c>
      <c r="AF97" s="829">
        <f t="shared" si="28"/>
        <v>27.003706980371419</v>
      </c>
      <c r="AG97" s="829">
        <f t="shared" si="28"/>
        <v>20.787975911283638</v>
      </c>
      <c r="AH97" s="9"/>
      <c r="AI97" s="9"/>
      <c r="AJ97" s="9"/>
      <c r="AK97" s="9"/>
    </row>
    <row r="98" spans="1:37" ht="13.5" customHeight="1">
      <c r="A98" s="180"/>
      <c r="B98" s="9"/>
      <c r="C98" s="103" t="s">
        <v>307</v>
      </c>
      <c r="D98" s="9"/>
      <c r="E98" s="9"/>
      <c r="F98" s="266"/>
      <c r="G98" s="266"/>
      <c r="H98" s="266"/>
      <c r="I98" s="266"/>
      <c r="J98" s="197"/>
      <c r="K98" s="266"/>
      <c r="L98" s="266"/>
      <c r="M98" s="266"/>
      <c r="N98" s="266"/>
      <c r="O98" s="197"/>
      <c r="P98" s="266"/>
      <c r="Q98" s="266"/>
      <c r="R98" s="266"/>
      <c r="S98" s="266"/>
      <c r="T98" s="197"/>
      <c r="U98" s="266"/>
      <c r="V98" s="196">
        <f ca="1">SUM(V91:V97)</f>
        <v>-57.868273999999971</v>
      </c>
      <c r="W98" s="196">
        <f ca="1">SUM(W91:W97)</f>
        <v>-11.378630500000007</v>
      </c>
      <c r="X98" s="196">
        <f ca="1">SUM(X91:X97)</f>
        <v>-40.920621823999994</v>
      </c>
      <c r="Y98" s="197">
        <f t="shared" ca="1" si="24"/>
        <v>-110.16752632399997</v>
      </c>
      <c r="Z98" s="196">
        <f ca="1">SUM(Z91:Z97)</f>
        <v>-10.532412842619991</v>
      </c>
      <c r="AA98" s="196">
        <f ca="1">SUM(AA91:AA97)</f>
        <v>-12.470576349997174</v>
      </c>
      <c r="AB98" s="196">
        <f ca="1">SUM(AB91:AB97)</f>
        <v>-27.225849128643233</v>
      </c>
      <c r="AC98" s="196">
        <f ca="1">SUM(AC91:AC97)</f>
        <v>-50.198804249546065</v>
      </c>
      <c r="AD98" s="197">
        <f t="shared" ca="1" si="26"/>
        <v>-100.42764257080646</v>
      </c>
      <c r="AE98" s="197">
        <f ca="1">SUM(AE91:AE97)</f>
        <v>-139.00756546462384</v>
      </c>
      <c r="AF98" s="197">
        <f ca="1">SUM(AF91:AF97)</f>
        <v>-146.90487487587853</v>
      </c>
      <c r="AG98" s="197">
        <f ca="1">SUM(AG91:AG97)</f>
        <v>-173.05689322340379</v>
      </c>
      <c r="AH98" s="9"/>
      <c r="AI98" s="9"/>
      <c r="AJ98" s="9"/>
      <c r="AK98" s="9"/>
    </row>
    <row r="99" spans="1:37" ht="13.5" customHeight="1">
      <c r="A99" s="180"/>
      <c r="B99" s="9"/>
      <c r="C99" s="103"/>
      <c r="D99" s="9"/>
      <c r="E99" s="9"/>
      <c r="F99" s="228"/>
      <c r="G99" s="228"/>
      <c r="H99" s="266"/>
      <c r="I99" s="228"/>
      <c r="J99" s="9"/>
      <c r="K99" s="228"/>
      <c r="L99" s="228"/>
      <c r="M99" s="266"/>
      <c r="N99" s="228"/>
      <c r="O99" s="9"/>
      <c r="P99" s="228"/>
      <c r="Q99" s="228"/>
      <c r="R99" s="266"/>
      <c r="S99" s="228"/>
      <c r="T99" s="9"/>
      <c r="U99" s="228"/>
      <c r="V99" s="196"/>
      <c r="W99" s="196"/>
      <c r="X99" s="196"/>
      <c r="Y99" s="9"/>
      <c r="Z99" s="196"/>
      <c r="AA99" s="196"/>
      <c r="AB99" s="196"/>
      <c r="AC99" s="196"/>
      <c r="AD99" s="9"/>
      <c r="AE99" s="9"/>
      <c r="AF99" s="9"/>
      <c r="AG99" s="9"/>
      <c r="AH99" s="9"/>
      <c r="AI99" s="9"/>
      <c r="AJ99" s="9"/>
      <c r="AK99" s="9"/>
    </row>
    <row r="100" spans="1:37" ht="13.5" customHeight="1">
      <c r="A100" s="180"/>
      <c r="B100" s="9"/>
      <c r="C100" s="103" t="s">
        <v>308</v>
      </c>
      <c r="D100" s="9"/>
      <c r="E100" s="9"/>
      <c r="F100" s="271"/>
      <c r="G100" s="271"/>
      <c r="H100" s="271"/>
      <c r="I100" s="271"/>
      <c r="J100" s="126"/>
      <c r="K100" s="271"/>
      <c r="L100" s="271"/>
      <c r="M100" s="271"/>
      <c r="N100" s="271"/>
      <c r="O100" s="126"/>
      <c r="P100" s="271"/>
      <c r="Q100" s="271"/>
      <c r="R100" s="271"/>
      <c r="S100" s="271"/>
      <c r="T100" s="126"/>
      <c r="U100" s="271"/>
      <c r="V100" s="274">
        <f>Drivers!V119</f>
        <v>0</v>
      </c>
      <c r="W100" s="274">
        <f>Drivers!W119</f>
        <v>0</v>
      </c>
      <c r="X100" s="274">
        <f>Drivers!X119</f>
        <v>0</v>
      </c>
      <c r="Y100" s="126">
        <f>SUM(U100:X100)</f>
        <v>0</v>
      </c>
      <c r="Z100" s="274">
        <f>Drivers!Z119</f>
        <v>0</v>
      </c>
      <c r="AA100" s="274">
        <f>Drivers!AA119</f>
        <v>0</v>
      </c>
      <c r="AB100" s="274">
        <f>Drivers!AB119</f>
        <v>0</v>
      </c>
      <c r="AC100" s="274">
        <f>Drivers!AC119</f>
        <v>0</v>
      </c>
      <c r="AD100" s="126">
        <f>SUM(Z100:AC100)</f>
        <v>0</v>
      </c>
      <c r="AE100" s="275">
        <f>Drivers!AE119</f>
        <v>0</v>
      </c>
      <c r="AF100" s="275">
        <f>Drivers!AF119</f>
        <v>0</v>
      </c>
      <c r="AG100" s="275">
        <f>Drivers!AG119</f>
        <v>0</v>
      </c>
      <c r="AH100" s="9"/>
      <c r="AI100" s="9"/>
      <c r="AJ100" s="9"/>
      <c r="AK100" s="9"/>
    </row>
    <row r="101" spans="1:37" ht="13.5" customHeight="1">
      <c r="A101" s="180"/>
      <c r="B101" s="9"/>
      <c r="C101" s="103" t="s">
        <v>309</v>
      </c>
      <c r="D101" s="9"/>
      <c r="E101" s="9"/>
      <c r="F101" s="271"/>
      <c r="G101" s="271"/>
      <c r="H101" s="271"/>
      <c r="I101" s="271"/>
      <c r="J101" s="126"/>
      <c r="K101" s="271"/>
      <c r="L101" s="271"/>
      <c r="M101" s="271"/>
      <c r="N101" s="271"/>
      <c r="O101" s="126"/>
      <c r="P101" s="271"/>
      <c r="Q101" s="271"/>
      <c r="R101" s="271"/>
      <c r="S101" s="271"/>
      <c r="T101" s="126"/>
      <c r="U101" s="271"/>
      <c r="V101" s="278">
        <v>0</v>
      </c>
      <c r="W101" s="278">
        <v>0</v>
      </c>
      <c r="X101" s="278">
        <v>0</v>
      </c>
      <c r="Y101" s="126">
        <f>SUM(U101:X101)</f>
        <v>0</v>
      </c>
      <c r="Z101" s="278">
        <v>0</v>
      </c>
      <c r="AA101" s="278">
        <v>0</v>
      </c>
      <c r="AB101" s="278">
        <v>0</v>
      </c>
      <c r="AC101" s="278">
        <v>0</v>
      </c>
      <c r="AD101" s="126">
        <f>SUM(Z101:AC101)</f>
        <v>0</v>
      </c>
      <c r="AE101" s="279">
        <v>0</v>
      </c>
      <c r="AF101" s="279">
        <v>0</v>
      </c>
      <c r="AG101" s="279">
        <v>0</v>
      </c>
      <c r="AH101" s="9"/>
      <c r="AI101" s="9"/>
      <c r="AJ101" s="9"/>
      <c r="AK101" s="9"/>
    </row>
    <row r="102" spans="1:37" ht="13.5" customHeight="1">
      <c r="A102" s="180"/>
      <c r="B102" s="9"/>
      <c r="C102" s="103" t="s">
        <v>310</v>
      </c>
      <c r="D102" s="9"/>
      <c r="E102" s="9"/>
      <c r="F102" s="271"/>
      <c r="G102" s="271"/>
      <c r="H102" s="271"/>
      <c r="I102" s="271"/>
      <c r="J102" s="126"/>
      <c r="K102" s="271"/>
      <c r="L102" s="271"/>
      <c r="M102" s="271"/>
      <c r="N102" s="271"/>
      <c r="O102" s="126"/>
      <c r="P102" s="271"/>
      <c r="Q102" s="271"/>
      <c r="R102" s="271"/>
      <c r="S102" s="271"/>
      <c r="T102" s="126"/>
      <c r="U102" s="271"/>
      <c r="V102" s="278">
        <v>0</v>
      </c>
      <c r="W102" s="278">
        <v>0</v>
      </c>
      <c r="X102" s="278">
        <v>0</v>
      </c>
      <c r="Y102" s="126">
        <f>SUM(U102:X102)</f>
        <v>0</v>
      </c>
      <c r="Z102" s="278">
        <v>0</v>
      </c>
      <c r="AA102" s="278">
        <v>0</v>
      </c>
      <c r="AB102" s="278">
        <v>0</v>
      </c>
      <c r="AC102" s="278">
        <v>0</v>
      </c>
      <c r="AD102" s="126">
        <f>SUM(Z102:AC102)</f>
        <v>0</v>
      </c>
      <c r="AE102" s="279">
        <v>0</v>
      </c>
      <c r="AF102" s="279">
        <v>0</v>
      </c>
      <c r="AG102" s="279">
        <v>0</v>
      </c>
      <c r="AH102" s="9"/>
      <c r="AI102" s="9"/>
      <c r="AJ102" s="9"/>
      <c r="AK102" s="9"/>
    </row>
    <row r="103" spans="1:37" ht="13.5" customHeight="1">
      <c r="A103" s="180"/>
      <c r="B103" s="9"/>
      <c r="C103" s="103"/>
      <c r="D103" s="9"/>
      <c r="E103" s="9"/>
      <c r="F103" s="228"/>
      <c r="G103" s="228"/>
      <c r="H103" s="228"/>
      <c r="I103" s="228"/>
      <c r="J103" s="9"/>
      <c r="K103" s="228"/>
      <c r="L103" s="228"/>
      <c r="M103" s="228"/>
      <c r="N103" s="228"/>
      <c r="O103" s="9"/>
      <c r="P103" s="228"/>
      <c r="Q103" s="228"/>
      <c r="R103" s="228"/>
      <c r="S103" s="228"/>
      <c r="T103" s="9"/>
      <c r="U103" s="228"/>
      <c r="V103" s="229"/>
      <c r="W103" s="229"/>
      <c r="X103" s="229"/>
      <c r="Y103" s="9"/>
      <c r="Z103" s="229"/>
      <c r="AA103" s="229"/>
      <c r="AB103" s="229"/>
      <c r="AC103" s="229"/>
      <c r="AD103" s="9"/>
      <c r="AE103" s="9"/>
      <c r="AF103" s="9"/>
      <c r="AG103" s="9"/>
      <c r="AH103" s="9"/>
      <c r="AI103" s="9"/>
      <c r="AJ103" s="9"/>
      <c r="AK103" s="9"/>
    </row>
    <row r="104" spans="1:37" ht="13.5" customHeight="1">
      <c r="A104" s="180"/>
      <c r="B104" s="9"/>
      <c r="C104" s="103" t="s">
        <v>311</v>
      </c>
      <c r="D104" s="9"/>
      <c r="E104" s="9"/>
      <c r="F104" s="305"/>
      <c r="G104" s="306"/>
      <c r="H104" s="306"/>
      <c r="I104" s="306"/>
      <c r="J104" s="197"/>
      <c r="K104" s="306"/>
      <c r="L104" s="306"/>
      <c r="M104" s="306"/>
      <c r="N104" s="306"/>
      <c r="O104" s="197"/>
      <c r="P104" s="306"/>
      <c r="Q104" s="306"/>
      <c r="R104" s="306"/>
      <c r="S104" s="306"/>
      <c r="T104" s="197"/>
      <c r="U104" s="306"/>
      <c r="V104" s="196">
        <f>U106+V101</f>
        <v>263.34699999999998</v>
      </c>
      <c r="W104" s="196">
        <f ca="1">V106+W101</f>
        <v>261.16986924346253</v>
      </c>
      <c r="X104" s="196">
        <f ca="1">W106+X101</f>
        <v>283.12018531423104</v>
      </c>
      <c r="Y104" s="197">
        <f>V104</f>
        <v>263.34699999999998</v>
      </c>
      <c r="Z104" s="196">
        <f ca="1">Y106+Z101</f>
        <v>273.99226514188484</v>
      </c>
      <c r="AA104" s="196">
        <f ca="1">Z106+AA101</f>
        <v>248.19034694510708</v>
      </c>
      <c r="AB104" s="196">
        <f ca="1">AA106+AB101</f>
        <v>244.48216069086456</v>
      </c>
      <c r="AC104" s="196">
        <f ca="1">AB106+AC101</f>
        <v>235.06937527754951</v>
      </c>
      <c r="AD104" s="197">
        <f ca="1">Z104</f>
        <v>273.99226514188484</v>
      </c>
      <c r="AE104" s="197">
        <f ca="1">AD106+AE101</f>
        <v>206.78502704233651</v>
      </c>
      <c r="AF104" s="197">
        <f ca="1">AE106+AF101</f>
        <v>256.12554661597574</v>
      </c>
      <c r="AG104" s="197">
        <f ca="1">AF106+AG101</f>
        <v>269.7771651521565</v>
      </c>
      <c r="AH104" s="9"/>
      <c r="AI104" s="9"/>
      <c r="AJ104" s="9"/>
      <c r="AK104" s="9"/>
    </row>
    <row r="105" spans="1:37" ht="13.5" customHeight="1">
      <c r="A105" s="180"/>
      <c r="B105" s="9"/>
      <c r="C105" s="103" t="s">
        <v>312</v>
      </c>
      <c r="D105" s="9"/>
      <c r="E105" s="9"/>
      <c r="F105" s="307"/>
      <c r="G105" s="307"/>
      <c r="H105" s="307"/>
      <c r="I105" s="307"/>
      <c r="J105" s="268"/>
      <c r="K105" s="307"/>
      <c r="L105" s="307"/>
      <c r="M105" s="307"/>
      <c r="N105" s="307"/>
      <c r="O105" s="268"/>
      <c r="P105" s="307"/>
      <c r="Q105" s="307"/>
      <c r="R105" s="307"/>
      <c r="S105" s="307"/>
      <c r="T105" s="268"/>
      <c r="U105" s="307"/>
      <c r="V105" s="269">
        <f ca="1">SUM(V89,V98,V100,V102)</f>
        <v>-2.1771307565374372</v>
      </c>
      <c r="W105" s="269">
        <f ca="1">SUM(W89,W98,W100,W102)</f>
        <v>21.950316070768494</v>
      </c>
      <c r="X105" s="269">
        <f ca="1">SUM(X89,X98,X100,X102)</f>
        <v>-9.1279201723461725</v>
      </c>
      <c r="Y105" s="268">
        <f ca="1">SUM(U105:X105)</f>
        <v>10.645265141884884</v>
      </c>
      <c r="Z105" s="269">
        <f ca="1">SUM(Z89,Z98,Z100,Z102)</f>
        <v>-25.801918196777763</v>
      </c>
      <c r="AA105" s="269">
        <f ca="1">SUM(AA89,AA98,AA100,AA102)</f>
        <v>-3.7081862542425199</v>
      </c>
      <c r="AB105" s="269">
        <f ca="1">SUM(AB89,AB98,AB100,AB102)</f>
        <v>-9.4127854133150635</v>
      </c>
      <c r="AC105" s="269">
        <f ca="1">SUM(AC89,AC98,AC100,AC102)</f>
        <v>-28.284348235212981</v>
      </c>
      <c r="AD105" s="268">
        <f ca="1">SUM(Z105:AC105)</f>
        <v>-67.207238099548334</v>
      </c>
      <c r="AE105" s="268">
        <f ca="1">SUM(AE89,AE98,AE100,AE102)</f>
        <v>49.340519573639256</v>
      </c>
      <c r="AF105" s="268">
        <f ca="1">SUM(AF89,AF98,AF100,AF102)</f>
        <v>13.651618536180735</v>
      </c>
      <c r="AG105" s="268">
        <f ca="1">SUM(AG89,AG98,AG100,AG102)</f>
        <v>-17.66009534323797</v>
      </c>
      <c r="AH105" s="9"/>
      <c r="AI105" s="9"/>
      <c r="AJ105" s="9"/>
      <c r="AK105" s="9"/>
    </row>
    <row r="106" spans="1:37" ht="13.5" customHeight="1">
      <c r="A106" s="180"/>
      <c r="B106" s="9"/>
      <c r="C106" s="103" t="s">
        <v>313</v>
      </c>
      <c r="D106" s="9"/>
      <c r="E106" s="9"/>
      <c r="F106" s="306"/>
      <c r="G106" s="306"/>
      <c r="H106" s="306"/>
      <c r="I106" s="306"/>
      <c r="J106" s="197"/>
      <c r="K106" s="306"/>
      <c r="L106" s="306"/>
      <c r="M106" s="306"/>
      <c r="N106" s="306"/>
      <c r="O106" s="197"/>
      <c r="P106" s="306"/>
      <c r="Q106" s="306"/>
      <c r="R106" s="306"/>
      <c r="S106" s="306"/>
      <c r="T106" s="308"/>
      <c r="U106" s="306">
        <f>U122</f>
        <v>263.34699999999998</v>
      </c>
      <c r="V106" s="196">
        <f ca="1">SUM(V104:V105)</f>
        <v>261.16986924346253</v>
      </c>
      <c r="W106" s="196">
        <f ca="1">SUM(W104:W105)</f>
        <v>283.12018531423104</v>
      </c>
      <c r="X106" s="196">
        <f ca="1">SUM(X104:X105)</f>
        <v>273.99226514188484</v>
      </c>
      <c r="Y106" s="197">
        <f t="shared" ref="Y106:AG106" ca="1" si="29">SUM(Y104:Y105)</f>
        <v>273.99226514188484</v>
      </c>
      <c r="Z106" s="196">
        <f ca="1">SUM(Z104:Z105)</f>
        <v>248.19034694510708</v>
      </c>
      <c r="AA106" s="196">
        <f t="shared" ca="1" si="29"/>
        <v>244.48216069086456</v>
      </c>
      <c r="AB106" s="196">
        <f t="shared" ca="1" si="29"/>
        <v>235.06937527754951</v>
      </c>
      <c r="AC106" s="196">
        <f t="shared" ca="1" si="29"/>
        <v>206.78502704233654</v>
      </c>
      <c r="AD106" s="197">
        <f ca="1">SUM(AD104:AD105)</f>
        <v>206.78502704233651</v>
      </c>
      <c r="AE106" s="197">
        <f t="shared" ca="1" si="29"/>
        <v>256.12554661597574</v>
      </c>
      <c r="AF106" s="197">
        <f ca="1">SUM(AF104:AF105)</f>
        <v>269.7771651521565</v>
      </c>
      <c r="AG106" s="197">
        <f t="shared" ca="1" si="29"/>
        <v>252.11706980891853</v>
      </c>
      <c r="AH106" s="9"/>
      <c r="AI106" s="9"/>
      <c r="AJ106" s="9"/>
      <c r="AK106" s="9"/>
    </row>
    <row r="107" spans="1:37" ht="13.5" customHeight="1">
      <c r="A107" s="180"/>
      <c r="B107" s="9"/>
      <c r="C107" s="103"/>
      <c r="D107" s="9"/>
      <c r="E107" s="9"/>
      <c r="F107" s="228"/>
      <c r="G107" s="228"/>
      <c r="H107" s="228"/>
      <c r="I107" s="228"/>
      <c r="J107" s="9"/>
      <c r="K107" s="228"/>
      <c r="L107" s="228"/>
      <c r="M107" s="228"/>
      <c r="N107" s="228"/>
      <c r="O107" s="9"/>
      <c r="P107" s="228"/>
      <c r="Q107" s="228"/>
      <c r="R107" s="228"/>
      <c r="S107" s="228"/>
      <c r="T107" s="9"/>
      <c r="U107" s="228"/>
      <c r="V107" s="229"/>
      <c r="W107" s="229"/>
      <c r="X107" s="229"/>
      <c r="Y107" s="9"/>
      <c r="Z107" s="229"/>
      <c r="AA107" s="229"/>
      <c r="AB107" s="229"/>
      <c r="AC107" s="229"/>
      <c r="AD107" s="9"/>
      <c r="AE107" s="9"/>
      <c r="AF107" s="9"/>
      <c r="AG107" s="9"/>
      <c r="AH107" s="9"/>
      <c r="AI107" s="9"/>
      <c r="AJ107" s="9"/>
      <c r="AK107" s="9"/>
    </row>
    <row r="108" spans="1:37" ht="13.5" customHeight="1">
      <c r="A108" s="180" t="s">
        <v>0</v>
      </c>
      <c r="B108" s="9"/>
      <c r="C108" s="33" t="s">
        <v>314</v>
      </c>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09"/>
      <c r="AH108" s="180" t="s">
        <v>0</v>
      </c>
      <c r="AI108" s="9"/>
      <c r="AJ108" s="9"/>
      <c r="AK108" s="9"/>
    </row>
    <row r="109" spans="1:37" ht="13.5" customHeight="1">
      <c r="A109" s="180"/>
      <c r="B109" s="9"/>
      <c r="C109" s="9"/>
      <c r="D109" s="9"/>
      <c r="E109" s="9"/>
      <c r="F109" s="228"/>
      <c r="G109" s="228"/>
      <c r="H109" s="228"/>
      <c r="I109" s="228"/>
      <c r="J109" s="9"/>
      <c r="K109" s="228"/>
      <c r="L109" s="228"/>
      <c r="M109" s="228"/>
      <c r="N109" s="228"/>
      <c r="O109" s="9"/>
      <c r="P109" s="228"/>
      <c r="Q109" s="228"/>
      <c r="R109" s="228"/>
      <c r="S109" s="228"/>
      <c r="T109" s="9"/>
      <c r="U109" s="228"/>
      <c r="V109" s="229"/>
      <c r="W109" s="229"/>
      <c r="X109" s="229"/>
      <c r="Y109" s="9"/>
      <c r="Z109" s="229"/>
      <c r="AA109" s="229"/>
      <c r="AB109" s="229"/>
      <c r="AC109" s="229"/>
      <c r="AD109" s="9"/>
      <c r="AE109" s="9"/>
      <c r="AF109" s="9"/>
      <c r="AG109" s="9"/>
      <c r="AH109" s="9"/>
      <c r="AI109" s="9"/>
      <c r="AJ109" s="9"/>
      <c r="AK109" s="9"/>
    </row>
    <row r="110" spans="1:37" ht="13.5" customHeight="1">
      <c r="A110" s="180"/>
      <c r="B110" s="9"/>
      <c r="C110" s="9" t="s">
        <v>292</v>
      </c>
      <c r="D110" s="9"/>
      <c r="E110" s="9"/>
      <c r="F110" s="297">
        <f t="shared" ref="F110:AG110" si="30">F45</f>
        <v>56.103000000000009</v>
      </c>
      <c r="G110" s="297">
        <f t="shared" si="30"/>
        <v>57.695000000000007</v>
      </c>
      <c r="H110" s="297">
        <f t="shared" si="30"/>
        <v>21.892999999999983</v>
      </c>
      <c r="I110" s="297">
        <f t="shared" si="30"/>
        <v>51.365000000000002</v>
      </c>
      <c r="J110" s="126">
        <f t="shared" si="30"/>
        <v>187.05600000000001</v>
      </c>
      <c r="K110" s="297">
        <f t="shared" si="30"/>
        <v>51.344000000000001</v>
      </c>
      <c r="L110" s="297">
        <f t="shared" si="30"/>
        <v>64.503000000000014</v>
      </c>
      <c r="M110" s="297">
        <f t="shared" si="30"/>
        <v>34.532000000000011</v>
      </c>
      <c r="N110" s="297">
        <f t="shared" si="30"/>
        <v>76.824999999999989</v>
      </c>
      <c r="O110" s="126">
        <f t="shared" si="30"/>
        <v>227.20400000000001</v>
      </c>
      <c r="P110" s="297">
        <f t="shared" si="30"/>
        <v>87.086999999999989</v>
      </c>
      <c r="Q110" s="297">
        <f t="shared" si="30"/>
        <v>75.921999999999997</v>
      </c>
      <c r="R110" s="297">
        <f t="shared" si="30"/>
        <v>77.454999999999998</v>
      </c>
      <c r="S110" s="297">
        <f t="shared" si="30"/>
        <v>73.30400000000003</v>
      </c>
      <c r="T110" s="126">
        <f t="shared" si="30"/>
        <v>313.76800000000003</v>
      </c>
      <c r="U110" s="297">
        <f t="shared" si="30"/>
        <v>77.069999999999993</v>
      </c>
      <c r="V110" s="272">
        <f t="shared" ca="1" si="30"/>
        <v>67.837286660270308</v>
      </c>
      <c r="W110" s="272">
        <f t="shared" ca="1" si="30"/>
        <v>72.07436539920397</v>
      </c>
      <c r="X110" s="272">
        <f t="shared" ca="1" si="30"/>
        <v>78.129683877200506</v>
      </c>
      <c r="Y110" s="126">
        <f t="shared" ca="1" si="30"/>
        <v>295.11133593667478</v>
      </c>
      <c r="Z110" s="272">
        <f t="shared" ca="1" si="30"/>
        <v>84.212015146641136</v>
      </c>
      <c r="AA110" s="272">
        <f t="shared" ca="1" si="30"/>
        <v>89.098413984372471</v>
      </c>
      <c r="AB110" s="272">
        <f t="shared" ca="1" si="30"/>
        <v>90.400261744860444</v>
      </c>
      <c r="AC110" s="272">
        <f t="shared" ca="1" si="30"/>
        <v>94.386421287090769</v>
      </c>
      <c r="AD110" s="126">
        <f t="shared" ca="1" si="30"/>
        <v>358.09711216296489</v>
      </c>
      <c r="AE110" s="126">
        <f t="shared" ca="1" si="30"/>
        <v>374.51535590001902</v>
      </c>
      <c r="AF110" s="126">
        <f t="shared" ca="1" si="30"/>
        <v>395.85241686641348</v>
      </c>
      <c r="AG110" s="126">
        <f t="shared" ca="1" si="30"/>
        <v>422.14236064446368</v>
      </c>
      <c r="AH110" s="9"/>
      <c r="AI110" s="9"/>
      <c r="AJ110" s="9"/>
      <c r="AK110" s="9"/>
    </row>
    <row r="111" spans="1:37" ht="13.5" customHeight="1">
      <c r="A111" s="180"/>
      <c r="B111" s="9"/>
      <c r="C111" s="9" t="s">
        <v>266</v>
      </c>
      <c r="D111" s="9"/>
      <c r="E111" s="9"/>
      <c r="F111" s="297">
        <f>-F195+-F209</f>
        <v>0</v>
      </c>
      <c r="G111" s="297">
        <f>-G195+-G209</f>
        <v>0</v>
      </c>
      <c r="H111" s="297">
        <f>-H195+-H209</f>
        <v>0</v>
      </c>
      <c r="I111" s="297">
        <f>-I195+-I209</f>
        <v>0</v>
      </c>
      <c r="J111" s="126">
        <f>SUM(F111:I111)</f>
        <v>0</v>
      </c>
      <c r="K111" s="297">
        <f>-K195+-K209</f>
        <v>0</v>
      </c>
      <c r="L111" s="297">
        <f>-L195+-L209</f>
        <v>0</v>
      </c>
      <c r="M111" s="297">
        <f>-M195+-M209</f>
        <v>0</v>
      </c>
      <c r="N111" s="297">
        <f>-N195+-N209</f>
        <v>0</v>
      </c>
      <c r="O111" s="126">
        <f>SUM(K111:N111)</f>
        <v>0</v>
      </c>
      <c r="P111" s="297">
        <f>-P195+-P209</f>
        <v>0</v>
      </c>
      <c r="Q111" s="297">
        <f>-Q195+-Q209</f>
        <v>0</v>
      </c>
      <c r="R111" s="297">
        <f>-R195+-R209</f>
        <v>0</v>
      </c>
      <c r="S111" s="297">
        <f>-S195+-S209</f>
        <v>0</v>
      </c>
      <c r="T111" s="126">
        <f>SUM(P111:S111)</f>
        <v>0</v>
      </c>
      <c r="U111" s="297">
        <f>-U195+-U209</f>
        <v>0</v>
      </c>
      <c r="V111" s="272">
        <f>-V195+-V209</f>
        <v>0</v>
      </c>
      <c r="W111" s="272">
        <f>-W195+-W209</f>
        <v>0</v>
      </c>
      <c r="X111" s="272">
        <f>-X195+-X209</f>
        <v>0</v>
      </c>
      <c r="Y111" s="126">
        <f>SUM(U111:X111)</f>
        <v>0</v>
      </c>
      <c r="Z111" s="272">
        <f>-Z195+-Z209</f>
        <v>0</v>
      </c>
      <c r="AA111" s="272">
        <f>-AA195+-AA209</f>
        <v>0</v>
      </c>
      <c r="AB111" s="272">
        <f>-AB195+-AB209</f>
        <v>0</v>
      </c>
      <c r="AC111" s="272">
        <f>-AC195+-AC209</f>
        <v>0</v>
      </c>
      <c r="AD111" s="126">
        <f>SUM(Z111:AC111)</f>
        <v>0</v>
      </c>
      <c r="AE111" s="126">
        <f>-AE195+-AE209</f>
        <v>0</v>
      </c>
      <c r="AF111" s="126">
        <f>-AF195+-AF209</f>
        <v>0</v>
      </c>
      <c r="AG111" s="126">
        <f>-AG195+-AG209</f>
        <v>0</v>
      </c>
      <c r="AH111" s="9"/>
      <c r="AI111" s="9"/>
      <c r="AJ111" s="9"/>
      <c r="AK111" s="9"/>
    </row>
    <row r="112" spans="1:37" ht="13.5" customHeight="1">
      <c r="A112" s="180"/>
      <c r="B112" s="9"/>
      <c r="C112" s="9" t="s">
        <v>315</v>
      </c>
      <c r="D112" s="9"/>
      <c r="E112" s="9"/>
      <c r="F112" s="297">
        <f>F179</f>
        <v>0</v>
      </c>
      <c r="G112" s="297">
        <f>G179</f>
        <v>4.142000000000003</v>
      </c>
      <c r="H112" s="297">
        <f>H179</f>
        <v>4.4749999999999943</v>
      </c>
      <c r="I112" s="297">
        <f>I179</f>
        <v>-7.4479999999999933</v>
      </c>
      <c r="J112" s="126">
        <f>SUM(F112:I112)</f>
        <v>1.169000000000004</v>
      </c>
      <c r="K112" s="297">
        <f>K179</f>
        <v>-17.709000000000003</v>
      </c>
      <c r="L112" s="297">
        <f>L179</f>
        <v>2.0320000000000107</v>
      </c>
      <c r="M112" s="297">
        <f>M179</f>
        <v>-6.1800000000000068</v>
      </c>
      <c r="N112" s="297">
        <f>N179</f>
        <v>-39.347999999999999</v>
      </c>
      <c r="O112" s="126">
        <f>SUM(K112:N112)</f>
        <v>-61.204999999999998</v>
      </c>
      <c r="P112" s="297">
        <f>P179</f>
        <v>-32.629999999999995</v>
      </c>
      <c r="Q112" s="297">
        <f>Q179</f>
        <v>47.336999999999989</v>
      </c>
      <c r="R112" s="297">
        <f>R179</f>
        <v>-41.293000000000006</v>
      </c>
      <c r="S112" s="297">
        <f>S179</f>
        <v>-45.569999999999993</v>
      </c>
      <c r="T112" s="126">
        <f>SUM(P112:S112)</f>
        <v>-72.156000000000006</v>
      </c>
      <c r="U112" s="297">
        <f>U179</f>
        <v>24.38900000000001</v>
      </c>
      <c r="V112" s="272">
        <f>V179</f>
        <v>-1.8032279867033196</v>
      </c>
      <c r="W112" s="272">
        <f>W179</f>
        <v>-7.6543390704434273</v>
      </c>
      <c r="X112" s="272">
        <f>X179</f>
        <v>-13.497405448489559</v>
      </c>
      <c r="Y112" s="126">
        <f>SUM(U112:X112)</f>
        <v>1.4340274943637041</v>
      </c>
      <c r="Z112" s="272">
        <f>Z179</f>
        <v>-29.235747110952332</v>
      </c>
      <c r="AA112" s="272">
        <f>AA179</f>
        <v>-12.969972870579369</v>
      </c>
      <c r="AB112" s="272">
        <f>AB179</f>
        <v>-7.792456606211914</v>
      </c>
      <c r="AC112" s="272">
        <f>AC179</f>
        <v>-10.367542315982035</v>
      </c>
      <c r="AD112" s="126">
        <f>SUM(Z112:AC112)</f>
        <v>-60.36571890372565</v>
      </c>
      <c r="AE112" s="126">
        <f>AE179</f>
        <v>21.592373891311439</v>
      </c>
      <c r="AF112" s="126">
        <f>AF179</f>
        <v>-17.746026265966805</v>
      </c>
      <c r="AG112" s="126">
        <f>AG179</f>
        <v>-15.08478440950114</v>
      </c>
      <c r="AH112" s="9"/>
      <c r="AI112" s="9"/>
      <c r="AJ112" s="9"/>
      <c r="AK112" s="9"/>
    </row>
    <row r="113" spans="1:37" ht="13.5" customHeight="1">
      <c r="A113" s="180"/>
      <c r="B113" s="9"/>
      <c r="C113" s="9" t="s">
        <v>115</v>
      </c>
      <c r="D113" s="9"/>
      <c r="E113" s="9"/>
      <c r="F113" s="285">
        <f>-F194</f>
        <v>0</v>
      </c>
      <c r="G113" s="285">
        <f>-G194</f>
        <v>0.60999999999998522</v>
      </c>
      <c r="H113" s="285">
        <f>-H194</f>
        <v>1.5700000000000074</v>
      </c>
      <c r="I113" s="285">
        <f>-I194</f>
        <v>0.74800000000000466</v>
      </c>
      <c r="J113" s="268">
        <f>SUM(F113:I113)</f>
        <v>2.9279999999999973</v>
      </c>
      <c r="K113" s="285">
        <f>-K194</f>
        <v>-4.0040000000000049</v>
      </c>
      <c r="L113" s="285">
        <f>-L194</f>
        <v>-1.6009999999999991</v>
      </c>
      <c r="M113" s="285">
        <f>-M194</f>
        <v>-0.46399999999999864</v>
      </c>
      <c r="N113" s="285">
        <f>-N194</f>
        <v>1.3830000000000098</v>
      </c>
      <c r="O113" s="268">
        <f>SUM(K113:N113)</f>
        <v>-4.6859999999999928</v>
      </c>
      <c r="P113" s="285">
        <f>-P194</f>
        <v>0.35299999999998022</v>
      </c>
      <c r="Q113" s="285">
        <f>-Q194</f>
        <v>-0.16999999999998749</v>
      </c>
      <c r="R113" s="285">
        <f>-R194</f>
        <v>-2.117999999999995</v>
      </c>
      <c r="S113" s="285">
        <f>-S194</f>
        <v>-1.6260000000000048</v>
      </c>
      <c r="T113" s="268">
        <f>SUM(P113:S113)</f>
        <v>-3.561000000000007</v>
      </c>
      <c r="U113" s="285">
        <f>-U194</f>
        <v>2.3220000000000027</v>
      </c>
      <c r="V113" s="269">
        <f>-V194</f>
        <v>-2.20692792</v>
      </c>
      <c r="W113" s="269">
        <f>-W194</f>
        <v>-2.34254286</v>
      </c>
      <c r="X113" s="269">
        <f>-X194</f>
        <v>-2.1157638516000001</v>
      </c>
      <c r="Y113" s="268">
        <f>SUM(U113:X113)</f>
        <v>-4.3432346315999979</v>
      </c>
      <c r="Z113" s="269">
        <f>-Z194</f>
        <v>-1.7961422606063999</v>
      </c>
      <c r="AA113" s="269">
        <f>-AA194</f>
        <v>-1.9039107962427841</v>
      </c>
      <c r="AB113" s="269">
        <f>-AB194</f>
        <v>-1.9940448407980162</v>
      </c>
      <c r="AC113" s="269">
        <f>-AC194</f>
        <v>-2.0861284846109984</v>
      </c>
      <c r="AD113" s="268">
        <f>SUM(Z113:AC113)</f>
        <v>-7.7802263822581992</v>
      </c>
      <c r="AE113" s="268">
        <f>-AE194</f>
        <v>-8.3248422290162747</v>
      </c>
      <c r="AF113" s="268">
        <f>-AF194</f>
        <v>-8.7827085516121688</v>
      </c>
      <c r="AG113" s="268">
        <f>-AG194</f>
        <v>-9.3561699560613718</v>
      </c>
      <c r="AH113" s="9"/>
      <c r="AI113" s="9"/>
      <c r="AJ113" s="9"/>
      <c r="AK113" s="9"/>
    </row>
    <row r="114" spans="1:37" ht="13.5" customHeight="1">
      <c r="A114" s="180"/>
      <c r="B114" s="9"/>
      <c r="C114" s="9" t="s">
        <v>316</v>
      </c>
      <c r="D114" s="9"/>
      <c r="E114" s="9"/>
      <c r="F114" s="266">
        <f t="shared" ref="F114:AG114" si="31">SUM(F110:F113)</f>
        <v>56.103000000000009</v>
      </c>
      <c r="G114" s="266">
        <f t="shared" si="31"/>
        <v>62.446999999999996</v>
      </c>
      <c r="H114" s="266">
        <f t="shared" si="31"/>
        <v>27.937999999999985</v>
      </c>
      <c r="I114" s="266">
        <f t="shared" si="31"/>
        <v>44.665000000000013</v>
      </c>
      <c r="J114" s="197">
        <f t="shared" si="31"/>
        <v>191.15300000000002</v>
      </c>
      <c r="K114" s="266">
        <f t="shared" si="31"/>
        <v>29.630999999999993</v>
      </c>
      <c r="L114" s="266">
        <f t="shared" si="31"/>
        <v>64.934000000000026</v>
      </c>
      <c r="M114" s="266">
        <f t="shared" si="31"/>
        <v>27.888000000000005</v>
      </c>
      <c r="N114" s="266">
        <f t="shared" si="31"/>
        <v>38.86</v>
      </c>
      <c r="O114" s="197">
        <f t="shared" si="31"/>
        <v>161.31300000000005</v>
      </c>
      <c r="P114" s="266">
        <f t="shared" si="31"/>
        <v>54.809999999999974</v>
      </c>
      <c r="Q114" s="266">
        <f t="shared" si="31"/>
        <v>123.089</v>
      </c>
      <c r="R114" s="266">
        <f t="shared" si="31"/>
        <v>34.043999999999997</v>
      </c>
      <c r="S114" s="266">
        <f t="shared" si="31"/>
        <v>26.108000000000033</v>
      </c>
      <c r="T114" s="197">
        <f t="shared" si="31"/>
        <v>238.05100000000002</v>
      </c>
      <c r="U114" s="266">
        <f t="shared" si="31"/>
        <v>103.78100000000001</v>
      </c>
      <c r="V114" s="196">
        <f ca="1">SUM(V110:V113)</f>
        <v>63.827130753566991</v>
      </c>
      <c r="W114" s="196">
        <f ca="1">SUM(W110:W113)</f>
        <v>62.077483468760541</v>
      </c>
      <c r="X114" s="196">
        <f t="shared" ca="1" si="31"/>
        <v>62.516514577110947</v>
      </c>
      <c r="Y114" s="197">
        <f t="shared" ca="1" si="31"/>
        <v>292.20212879943847</v>
      </c>
      <c r="Z114" s="196">
        <f t="shared" ca="1" si="31"/>
        <v>53.180125775082402</v>
      </c>
      <c r="AA114" s="196">
        <f t="shared" ca="1" si="31"/>
        <v>74.224530317550318</v>
      </c>
      <c r="AB114" s="196">
        <f t="shared" ca="1" si="31"/>
        <v>80.613760297850519</v>
      </c>
      <c r="AC114" s="196">
        <f t="shared" ca="1" si="31"/>
        <v>81.932750486497739</v>
      </c>
      <c r="AD114" s="197">
        <f t="shared" ca="1" si="31"/>
        <v>289.95116687698101</v>
      </c>
      <c r="AE114" s="197">
        <f t="shared" ca="1" si="31"/>
        <v>387.78288756231422</v>
      </c>
      <c r="AF114" s="197">
        <f t="shared" ca="1" si="31"/>
        <v>369.32368204883448</v>
      </c>
      <c r="AG114" s="197">
        <f t="shared" ca="1" si="31"/>
        <v>397.70140627890117</v>
      </c>
      <c r="AH114" s="9"/>
      <c r="AI114" s="9"/>
      <c r="AJ114" s="9"/>
      <c r="AK114" s="9"/>
    </row>
    <row r="115" spans="1:37" ht="13.5" customHeight="1">
      <c r="A115" s="180"/>
      <c r="B115" s="9"/>
      <c r="C115" s="9"/>
      <c r="D115" s="9"/>
      <c r="E115" s="9"/>
      <c r="F115" s="228"/>
      <c r="G115" s="228"/>
      <c r="H115" s="228"/>
      <c r="I115" s="228"/>
      <c r="J115" s="9"/>
      <c r="K115" s="228"/>
      <c r="L115" s="228"/>
      <c r="M115" s="228"/>
      <c r="N115" s="228"/>
      <c r="O115" s="9"/>
      <c r="P115" s="228"/>
      <c r="Q115" s="228"/>
      <c r="R115" s="228"/>
      <c r="S115" s="228"/>
      <c r="T115" s="9"/>
      <c r="U115" s="228"/>
      <c r="V115" s="229"/>
      <c r="W115" s="229"/>
      <c r="X115" s="229"/>
      <c r="Y115" s="9"/>
      <c r="Z115" s="229"/>
      <c r="AA115" s="229"/>
      <c r="AB115" s="229"/>
      <c r="AC115" s="229"/>
      <c r="AD115" s="9"/>
      <c r="AE115" s="9"/>
      <c r="AF115" s="9"/>
      <c r="AG115" s="9"/>
      <c r="AH115" s="9"/>
      <c r="AI115" s="9"/>
      <c r="AJ115" s="9"/>
      <c r="AK115" s="9"/>
    </row>
    <row r="116" spans="1:37" ht="13.5" customHeight="1">
      <c r="A116" s="180"/>
      <c r="B116" s="9"/>
      <c r="C116" s="9" t="s">
        <v>317</v>
      </c>
      <c r="D116" s="9"/>
      <c r="E116" s="9"/>
      <c r="F116" s="310">
        <f t="shared" ref="F116:AG116" si="32">F114/F28</f>
        <v>0.41401678117320623</v>
      </c>
      <c r="G116" s="310">
        <f t="shared" si="32"/>
        <v>0.40713382274321624</v>
      </c>
      <c r="H116" s="310">
        <f t="shared" si="32"/>
        <v>0.21985614681209364</v>
      </c>
      <c r="I116" s="310">
        <f t="shared" si="32"/>
        <v>0.39600844061424989</v>
      </c>
      <c r="J116" s="311">
        <f t="shared" si="32"/>
        <v>0.3615166249647756</v>
      </c>
      <c r="K116" s="310">
        <f t="shared" si="32"/>
        <v>0.23697785455505163</v>
      </c>
      <c r="L116" s="310">
        <f t="shared" si="32"/>
        <v>0.51179104007062037</v>
      </c>
      <c r="M116" s="310">
        <f t="shared" si="32"/>
        <v>0.22263379741984929</v>
      </c>
      <c r="N116" s="310">
        <f t="shared" si="32"/>
        <v>0.2199643392862197</v>
      </c>
      <c r="O116" s="311">
        <f t="shared" si="32"/>
        <v>0.29126176779659191</v>
      </c>
      <c r="P116" s="310">
        <f t="shared" si="32"/>
        <v>0.27860377876389575</v>
      </c>
      <c r="Q116" s="310">
        <f t="shared" si="32"/>
        <v>0.82059880399202667</v>
      </c>
      <c r="R116" s="310">
        <f t="shared" si="32"/>
        <v>0.20232852532672455</v>
      </c>
      <c r="S116" s="310">
        <f t="shared" si="32"/>
        <v>0.13187656902708972</v>
      </c>
      <c r="T116" s="311">
        <f t="shared" si="32"/>
        <v>0.3338892286286545</v>
      </c>
      <c r="U116" s="310">
        <f t="shared" si="32"/>
        <v>0.5898055217722411</v>
      </c>
      <c r="V116" s="312">
        <f t="shared" ca="1" si="32"/>
        <v>0.34705509051822764</v>
      </c>
      <c r="W116" s="312">
        <f t="shared" ca="1" si="32"/>
        <v>0.31800050037296929</v>
      </c>
      <c r="X116" s="312">
        <f t="shared" ca="1" si="32"/>
        <v>0.29547964216249467</v>
      </c>
      <c r="Y116" s="311">
        <f t="shared" ca="1" si="32"/>
        <v>0.38113804190838729</v>
      </c>
      <c r="Z116" s="312">
        <f t="shared" ca="1" si="32"/>
        <v>0.23686375825098901</v>
      </c>
      <c r="AA116" s="312">
        <f t="shared" ca="1" si="32"/>
        <v>0.31188238635560661</v>
      </c>
      <c r="AB116" s="312">
        <f t="shared" ca="1" si="32"/>
        <v>0.32341804416229242</v>
      </c>
      <c r="AC116" s="312">
        <f t="shared" ca="1" si="32"/>
        <v>0.31420020805391874</v>
      </c>
      <c r="AD116" s="311">
        <f t="shared" ca="1" si="32"/>
        <v>0.29814162481253986</v>
      </c>
      <c r="AE116" s="311">
        <f t="shared" ca="1" si="32"/>
        <v>0.37265127856544378</v>
      </c>
      <c r="AF116" s="311">
        <f t="shared" ca="1" si="32"/>
        <v>0.33640982608358633</v>
      </c>
      <c r="AG116" s="311">
        <f t="shared" ca="1" si="32"/>
        <v>0.34005487984642796</v>
      </c>
      <c r="AH116" s="9"/>
      <c r="AI116" s="9"/>
      <c r="AJ116" s="9"/>
      <c r="AK116" s="9"/>
    </row>
    <row r="117" spans="1:37" ht="13.5" customHeight="1">
      <c r="A117" s="180"/>
      <c r="B117" s="9"/>
      <c r="C117" s="9" t="s">
        <v>318</v>
      </c>
      <c r="D117" s="9"/>
      <c r="E117" s="9"/>
      <c r="F117" s="283">
        <f t="shared" ref="F117:AG117" si="33">F114/F283</f>
        <v>1.5163382794129572</v>
      </c>
      <c r="G117" s="283">
        <f t="shared" si="33"/>
        <v>1.6877567567567566</v>
      </c>
      <c r="H117" s="283">
        <f t="shared" si="33"/>
        <v>0.75457123565158635</v>
      </c>
      <c r="I117" s="283">
        <f t="shared" si="33"/>
        <v>1.205240292506544</v>
      </c>
      <c r="J117" s="91">
        <f t="shared" si="33"/>
        <v>5.1580722631479539</v>
      </c>
      <c r="K117" s="283">
        <f t="shared" si="33"/>
        <v>0.78582226111862497</v>
      </c>
      <c r="L117" s="283">
        <f t="shared" si="33"/>
        <v>1.7215653003870837</v>
      </c>
      <c r="M117" s="283">
        <f t="shared" si="33"/>
        <v>0.73902904388382462</v>
      </c>
      <c r="N117" s="283">
        <f t="shared" si="33"/>
        <v>1.0264673252681071</v>
      </c>
      <c r="O117" s="91">
        <f t="shared" si="33"/>
        <v>4.2610016376987705</v>
      </c>
      <c r="P117" s="283">
        <f t="shared" si="33"/>
        <v>1.3809523809523803</v>
      </c>
      <c r="Q117" s="283">
        <f t="shared" si="33"/>
        <v>3.1004785894206548</v>
      </c>
      <c r="R117" s="283">
        <f t="shared" si="33"/>
        <v>0.85753148614609553</v>
      </c>
      <c r="S117" s="283">
        <f t="shared" si="33"/>
        <v>0.65433583959899833</v>
      </c>
      <c r="T117" s="91">
        <f t="shared" si="33"/>
        <v>5.9661904761904765</v>
      </c>
      <c r="U117" s="283">
        <f t="shared" si="33"/>
        <v>2.5086052695189753</v>
      </c>
      <c r="V117" s="284">
        <f t="shared" ca="1" si="33"/>
        <v>1.5428361313407541</v>
      </c>
      <c r="W117" s="284">
        <f t="shared" ca="1" si="33"/>
        <v>1.5005434727764211</v>
      </c>
      <c r="X117" s="284">
        <f t="shared" ca="1" si="33"/>
        <v>1.5165805340180289</v>
      </c>
      <c r="Y117" s="91">
        <f t="shared" ca="1" si="33"/>
        <v>7.0694624570311717</v>
      </c>
      <c r="Z117" s="284">
        <f t="shared" ca="1" si="33"/>
        <v>1.2947380696266555</v>
      </c>
      <c r="AA117" s="284">
        <f t="shared" ca="1" si="33"/>
        <v>1.8070909705768059</v>
      </c>
      <c r="AB117" s="284">
        <f t="shared" ca="1" si="33"/>
        <v>1.9626449330868132</v>
      </c>
      <c r="AC117" s="284">
        <f t="shared" ca="1" si="33"/>
        <v>2.0019700077727012</v>
      </c>
      <c r="AD117" s="91">
        <f t="shared" ca="1" si="33"/>
        <v>7.0655952796922001</v>
      </c>
      <c r="AE117" s="91">
        <f t="shared" ca="1" si="33"/>
        <v>9.5442256169044679</v>
      </c>
      <c r="AF117" s="91">
        <f t="shared" ca="1" si="33"/>
        <v>9.156600830659281</v>
      </c>
      <c r="AG117" s="91">
        <f t="shared" ca="1" si="33"/>
        <v>9.9330518893962338</v>
      </c>
      <c r="AH117" s="9"/>
      <c r="AI117" s="9"/>
      <c r="AJ117" s="9"/>
      <c r="AK117" s="9"/>
    </row>
    <row r="118" spans="1:37" ht="13.5" customHeight="1">
      <c r="A118" s="180"/>
      <c r="B118" s="9"/>
      <c r="C118" s="9" t="s">
        <v>319</v>
      </c>
      <c r="D118" s="9"/>
      <c r="E118" s="9"/>
      <c r="F118" s="310">
        <f>F117*4/F240</f>
        <v>8.8172017991740487E-2</v>
      </c>
      <c r="G118" s="310">
        <f>G117*4/G240</f>
        <v>9.6900057801450071E-2</v>
      </c>
      <c r="H118" s="310">
        <f>H117*4/H240</f>
        <v>4.1764009168484093E-2</v>
      </c>
      <c r="I118" s="310">
        <f>I117*4/I240</f>
        <v>7.4180045699741126E-2</v>
      </c>
      <c r="J118" s="311">
        <f>J117/J240</f>
        <v>7.8967541825438067E-2</v>
      </c>
      <c r="K118" s="310">
        <f>K117*4/K240</f>
        <v>4.3802801623111759E-2</v>
      </c>
      <c r="L118" s="310">
        <f>L117*4/L240</f>
        <v>7.4899512742531371E-2</v>
      </c>
      <c r="M118" s="310">
        <f>M117*4/M240</f>
        <v>3.2736613239593558E-2</v>
      </c>
      <c r="N118" s="310">
        <f>N117*4/N240</f>
        <v>3.7884012742871641E-2</v>
      </c>
      <c r="O118" s="311">
        <f>O117/O240</f>
        <v>3.9993070794883456E-2</v>
      </c>
      <c r="P118" s="310">
        <f>P117*4/P240</f>
        <v>4.4752568450210813E-2</v>
      </c>
      <c r="Q118" s="310">
        <f>Q117*4/Q240</f>
        <v>8.0662857610943869E-2</v>
      </c>
      <c r="R118" s="310">
        <f>R117*4/R240</f>
        <v>2.0580344060625082E-2</v>
      </c>
      <c r="S118" s="310">
        <f>S117*4/S240</f>
        <v>1.882845376876479E-2</v>
      </c>
      <c r="T118" s="311">
        <f>T117/T240</f>
        <v>4.257311286207778E-2</v>
      </c>
      <c r="U118" s="310">
        <f>U117*4/U240</f>
        <v>6.7115384108594092E-2</v>
      </c>
      <c r="V118" s="312">
        <f ca="1">V117*4/V240</f>
        <v>4.1277135478315942E-2</v>
      </c>
      <c r="W118" s="312">
        <f ca="1">W117*4/W240</f>
        <v>4.014563501508718E-2</v>
      </c>
      <c r="X118" s="312">
        <f ca="1">X117*4/X240</f>
        <v>5.1296483477694194E-2</v>
      </c>
      <c r="Y118" s="311">
        <f ca="1">Y117/Y240</f>
        <v>5.9772559807386716E-2</v>
      </c>
      <c r="Z118" s="312">
        <f ca="1">Z117*4/Z240</f>
        <v>4.3792933185410297E-2</v>
      </c>
      <c r="AA118" s="312">
        <f ca="1">AA117*4/AA240</f>
        <v>6.1122644024245082E-2</v>
      </c>
      <c r="AB118" s="312">
        <f ca="1">AB117*4/AB240</f>
        <v>6.6384066737250572E-2</v>
      </c>
      <c r="AC118" s="312">
        <f ca="1">AC117*4/AC240</f>
        <v>6.7714189337821792E-2</v>
      </c>
      <c r="AD118" s="311">
        <f ca="1">AD117/AD240</f>
        <v>5.9746281749468964E-2</v>
      </c>
      <c r="AE118" s="311">
        <f ca="1">AE117/AE240</f>
        <v>8.07054423888421E-2</v>
      </c>
      <c r="AF118" s="311">
        <f ca="1">AF117/AF240</f>
        <v>7.7427708698285816E-2</v>
      </c>
      <c r="AG118" s="311">
        <f ca="1">AG117/AG240</f>
        <v>8.399333578045183E-2</v>
      </c>
      <c r="AH118" s="9"/>
      <c r="AI118" s="9"/>
      <c r="AJ118" s="9"/>
      <c r="AK118" s="9"/>
    </row>
    <row r="119" spans="1:37" ht="13.5" customHeight="1">
      <c r="A119" s="180"/>
      <c r="B119" s="9"/>
      <c r="C119" s="9"/>
      <c r="D119" s="9"/>
      <c r="E119" s="9"/>
      <c r="F119" s="228"/>
      <c r="G119" s="228"/>
      <c r="H119" s="228"/>
      <c r="I119" s="228"/>
      <c r="J119" s="9"/>
      <c r="K119" s="228"/>
      <c r="L119" s="228"/>
      <c r="M119" s="228"/>
      <c r="N119" s="228"/>
      <c r="O119" s="9"/>
      <c r="P119" s="228"/>
      <c r="Q119" s="228"/>
      <c r="R119" s="228"/>
      <c r="S119" s="228"/>
      <c r="T119" s="9"/>
      <c r="U119" s="228"/>
      <c r="V119" s="229"/>
      <c r="W119" s="229"/>
      <c r="X119" s="229"/>
      <c r="Y119" s="9"/>
      <c r="Z119" s="229"/>
      <c r="AA119" s="229"/>
      <c r="AB119" s="229"/>
      <c r="AC119" s="229"/>
      <c r="AD119" s="9"/>
      <c r="AE119" s="9"/>
      <c r="AF119" s="9"/>
      <c r="AG119" s="9"/>
      <c r="AH119" s="9"/>
      <c r="AI119" s="9"/>
      <c r="AJ119" s="9"/>
      <c r="AK119" s="9"/>
    </row>
    <row r="120" spans="1:37" ht="13.5" customHeight="1">
      <c r="A120" s="180" t="s">
        <v>0</v>
      </c>
      <c r="B120" s="37"/>
      <c r="C120" s="50" t="s">
        <v>320</v>
      </c>
      <c r="D120" s="12"/>
      <c r="E120" s="12"/>
      <c r="F120" s="226" t="str">
        <f>F$25</f>
        <v>1Q23</v>
      </c>
      <c r="G120" s="51" t="str">
        <f t="shared" ref="G120:AG120" si="34">G$63</f>
        <v>2Q23</v>
      </c>
      <c r="H120" s="51" t="str">
        <f t="shared" si="34"/>
        <v>3Q23</v>
      </c>
      <c r="I120" s="51" t="str">
        <f t="shared" si="34"/>
        <v>4Q23</v>
      </c>
      <c r="J120" s="51">
        <f t="shared" si="34"/>
        <v>2023</v>
      </c>
      <c r="K120" s="51" t="str">
        <f t="shared" si="34"/>
        <v>1Q24</v>
      </c>
      <c r="L120" s="51" t="str">
        <f t="shared" si="34"/>
        <v>2Q24</v>
      </c>
      <c r="M120" s="51" t="str">
        <f t="shared" si="34"/>
        <v>3Q24</v>
      </c>
      <c r="N120" s="51" t="str">
        <f t="shared" si="34"/>
        <v>4Q24</v>
      </c>
      <c r="O120" s="51">
        <f t="shared" si="34"/>
        <v>2024</v>
      </c>
      <c r="P120" s="51" t="str">
        <f t="shared" si="34"/>
        <v>1Q25</v>
      </c>
      <c r="Q120" s="51" t="str">
        <f t="shared" si="34"/>
        <v>2Q25</v>
      </c>
      <c r="R120" s="51" t="str">
        <f t="shared" si="34"/>
        <v>3Q25</v>
      </c>
      <c r="S120" s="51" t="str">
        <f t="shared" si="34"/>
        <v>4Q25</v>
      </c>
      <c r="T120" s="51">
        <f t="shared" si="34"/>
        <v>2025</v>
      </c>
      <c r="U120" s="51" t="str">
        <f t="shared" si="34"/>
        <v>1Q26</v>
      </c>
      <c r="V120" s="51" t="str">
        <f t="shared" si="34"/>
        <v>2Q26e</v>
      </c>
      <c r="W120" s="51" t="str">
        <f t="shared" si="34"/>
        <v>3Q26e</v>
      </c>
      <c r="X120" s="51" t="str">
        <f t="shared" si="34"/>
        <v>4Q26e</v>
      </c>
      <c r="Y120" s="51" t="str">
        <f t="shared" si="34"/>
        <v>2026e</v>
      </c>
      <c r="Z120" s="51" t="str">
        <f t="shared" si="34"/>
        <v>1Q27e</v>
      </c>
      <c r="AA120" s="51" t="str">
        <f t="shared" si="34"/>
        <v>2Q27e</v>
      </c>
      <c r="AB120" s="51" t="str">
        <f t="shared" si="34"/>
        <v>3Q27e</v>
      </c>
      <c r="AC120" s="51" t="str">
        <f t="shared" si="34"/>
        <v>4Q27e</v>
      </c>
      <c r="AD120" s="51" t="str">
        <f t="shared" si="34"/>
        <v>2027e</v>
      </c>
      <c r="AE120" s="51" t="str">
        <f t="shared" si="34"/>
        <v>2028e</v>
      </c>
      <c r="AF120" s="51" t="str">
        <f t="shared" si="34"/>
        <v>2029e</v>
      </c>
      <c r="AG120" s="52" t="str">
        <f t="shared" si="34"/>
        <v>2030e</v>
      </c>
      <c r="AH120" s="180" t="s">
        <v>0</v>
      </c>
      <c r="AI120" s="9"/>
      <c r="AJ120" s="9"/>
      <c r="AK120" s="9"/>
    </row>
    <row r="121" spans="1:37" ht="13.5" customHeight="1">
      <c r="A121" s="180"/>
      <c r="B121" s="9"/>
      <c r="C121" s="9"/>
      <c r="D121" s="9"/>
      <c r="E121" s="9"/>
      <c r="F121" s="228"/>
      <c r="G121" s="228"/>
      <c r="H121" s="228"/>
      <c r="I121" s="228"/>
      <c r="J121" s="9"/>
      <c r="K121" s="228"/>
      <c r="L121" s="228"/>
      <c r="M121" s="228"/>
      <c r="N121" s="228"/>
      <c r="O121" s="9"/>
      <c r="P121" s="228"/>
      <c r="Q121" s="228"/>
      <c r="R121" s="228"/>
      <c r="S121" s="228"/>
      <c r="T121" s="9"/>
      <c r="U121" s="228"/>
      <c r="V121" s="196"/>
      <c r="W121" s="196"/>
      <c r="X121" s="229"/>
      <c r="Y121" s="9"/>
      <c r="Z121" s="229"/>
      <c r="AA121" s="229"/>
      <c r="AB121" s="229"/>
      <c r="AC121" s="229"/>
      <c r="AD121" s="9"/>
      <c r="AE121" s="9"/>
      <c r="AF121" s="9"/>
      <c r="AG121" s="9"/>
      <c r="AH121" s="9"/>
      <c r="AI121" s="9"/>
      <c r="AJ121" s="9"/>
      <c r="AK121" s="9"/>
    </row>
    <row r="122" spans="1:37" ht="13.5" customHeight="1">
      <c r="A122" s="180"/>
      <c r="B122" s="9"/>
      <c r="C122" s="9" t="s">
        <v>321</v>
      </c>
      <c r="D122" s="9"/>
      <c r="E122" s="9"/>
      <c r="F122" s="305">
        <v>83.052000000000007</v>
      </c>
      <c r="G122" s="305">
        <v>121.764</v>
      </c>
      <c r="H122" s="305">
        <v>146.07</v>
      </c>
      <c r="I122" s="305">
        <v>99.686000000000007</v>
      </c>
      <c r="J122" s="197">
        <f>I122</f>
        <v>99.686000000000007</v>
      </c>
      <c r="K122" s="305">
        <v>100.255</v>
      </c>
      <c r="L122" s="305">
        <v>128.09800000000001</v>
      </c>
      <c r="M122" s="305">
        <v>164.45</v>
      </c>
      <c r="N122" s="305">
        <v>114.634</v>
      </c>
      <c r="O122" s="197">
        <f>N122</f>
        <v>114.634</v>
      </c>
      <c r="P122" s="305">
        <v>151.66300000000001</v>
      </c>
      <c r="Q122" s="305">
        <v>193.77099999999999</v>
      </c>
      <c r="R122" s="305">
        <v>285.553</v>
      </c>
      <c r="S122" s="305">
        <v>229.161</v>
      </c>
      <c r="T122" s="197">
        <f>S122</f>
        <v>229.161</v>
      </c>
      <c r="U122" s="305">
        <v>263.34699999999998</v>
      </c>
      <c r="V122" s="196">
        <f ca="1">V106</f>
        <v>261.16986924346253</v>
      </c>
      <c r="W122" s="196">
        <f ca="1">W106</f>
        <v>283.12018531423104</v>
      </c>
      <c r="X122" s="196">
        <f ca="1">X106</f>
        <v>273.99226514188484</v>
      </c>
      <c r="Y122" s="197">
        <f ca="1">X122</f>
        <v>273.99226514188484</v>
      </c>
      <c r="Z122" s="196">
        <f ca="1">Z106</f>
        <v>248.19034694510708</v>
      </c>
      <c r="AA122" s="196">
        <f ca="1">AA106</f>
        <v>244.48216069086456</v>
      </c>
      <c r="AB122" s="196">
        <f ca="1">AB106</f>
        <v>235.06937527754951</v>
      </c>
      <c r="AC122" s="196">
        <f ca="1">AC106</f>
        <v>206.78502704233654</v>
      </c>
      <c r="AD122" s="197">
        <f ca="1">AC122</f>
        <v>206.78502704233654</v>
      </c>
      <c r="AE122" s="197">
        <f ca="1">AE106</f>
        <v>256.12554661597574</v>
      </c>
      <c r="AF122" s="197">
        <f ca="1">AF106</f>
        <v>269.7771651521565</v>
      </c>
      <c r="AG122" s="197">
        <f ca="1">AG106</f>
        <v>252.11706980891853</v>
      </c>
      <c r="AH122" s="9"/>
      <c r="AI122" s="9"/>
      <c r="AJ122" s="197"/>
      <c r="AK122" s="9"/>
    </row>
    <row r="123" spans="1:37" ht="13.5" customHeight="1">
      <c r="A123" s="180"/>
      <c r="B123" s="9"/>
      <c r="C123" s="9" t="s">
        <v>847</v>
      </c>
      <c r="D123" s="9"/>
      <c r="E123" s="9"/>
      <c r="F123" s="305">
        <v>44.981999999999999</v>
      </c>
      <c r="G123" s="305">
        <v>47.496000000000002</v>
      </c>
      <c r="H123" s="305">
        <v>52.073999999999998</v>
      </c>
      <c r="I123" s="305">
        <v>47.14</v>
      </c>
      <c r="J123" s="126">
        <f>I123</f>
        <v>47.14</v>
      </c>
      <c r="K123" s="305">
        <v>65.864000000000004</v>
      </c>
      <c r="L123" s="305">
        <v>61.8</v>
      </c>
      <c r="M123" s="305">
        <v>67.751000000000005</v>
      </c>
      <c r="N123" s="305">
        <v>108.291</v>
      </c>
      <c r="O123" s="126">
        <f>N123</f>
        <v>108.291</v>
      </c>
      <c r="P123" s="305">
        <v>141.09899999999999</v>
      </c>
      <c r="Q123" s="305">
        <v>95.509</v>
      </c>
      <c r="R123" s="305">
        <v>135.62200000000001</v>
      </c>
      <c r="S123" s="305">
        <v>181.411</v>
      </c>
      <c r="T123" s="126">
        <f>S123</f>
        <v>181.411</v>
      </c>
      <c r="U123" s="305">
        <v>158.06100000000001</v>
      </c>
      <c r="V123" s="272">
        <f t="shared" ref="V123:X125" si="35">V163</f>
        <v>159.65870483516485</v>
      </c>
      <c r="W123" s="272">
        <f t="shared" si="35"/>
        <v>167.62761407608696</v>
      </c>
      <c r="X123" s="272">
        <f t="shared" si="35"/>
        <v>181.67972203956521</v>
      </c>
      <c r="Y123" s="126">
        <f>X123</f>
        <v>181.67972203956521</v>
      </c>
      <c r="Z123" s="272">
        <f t="shared" ref="Z123:AC125" si="36">Z163</f>
        <v>212.18164067603078</v>
      </c>
      <c r="AA123" s="272">
        <f t="shared" si="36"/>
        <v>224.91253911659263</v>
      </c>
      <c r="AB123" s="272">
        <f t="shared" si="36"/>
        <v>232.9998047671595</v>
      </c>
      <c r="AC123" s="272">
        <f t="shared" si="36"/>
        <v>243.75957836487211</v>
      </c>
      <c r="AD123" s="126">
        <f>AC123</f>
        <v>243.75957836487211</v>
      </c>
      <c r="AE123" s="126">
        <f t="shared" ref="AE123:AG125" si="37">AE163</f>
        <v>222.37592255591417</v>
      </c>
      <c r="AF123" s="126">
        <f t="shared" si="37"/>
        <v>240.62215209896348</v>
      </c>
      <c r="AG123" s="126">
        <f t="shared" si="37"/>
        <v>256.3334234537362</v>
      </c>
      <c r="AH123" s="9"/>
      <c r="AI123" s="9"/>
      <c r="AJ123" s="197"/>
      <c r="AK123" s="197"/>
    </row>
    <row r="124" spans="1:37" ht="13.5" customHeight="1">
      <c r="A124" s="180"/>
      <c r="B124" s="9"/>
      <c r="C124" s="9" t="s">
        <v>322</v>
      </c>
      <c r="D124" s="9"/>
      <c r="E124" s="9"/>
      <c r="F124" s="305">
        <v>0</v>
      </c>
      <c r="G124" s="305">
        <v>0</v>
      </c>
      <c r="H124" s="305">
        <v>0</v>
      </c>
      <c r="I124" s="305">
        <v>0</v>
      </c>
      <c r="J124" s="126">
        <f>I124</f>
        <v>0</v>
      </c>
      <c r="K124" s="305">
        <v>0</v>
      </c>
      <c r="L124" s="305">
        <v>0</v>
      </c>
      <c r="M124" s="305">
        <v>0</v>
      </c>
      <c r="N124" s="305">
        <v>0</v>
      </c>
      <c r="O124" s="126">
        <f>N124</f>
        <v>0</v>
      </c>
      <c r="P124" s="305">
        <v>0</v>
      </c>
      <c r="Q124" s="305">
        <v>0</v>
      </c>
      <c r="R124" s="305">
        <v>0</v>
      </c>
      <c r="S124" s="305">
        <v>0</v>
      </c>
      <c r="T124" s="126">
        <f>S124</f>
        <v>0</v>
      </c>
      <c r="U124" s="305">
        <v>0</v>
      </c>
      <c r="V124" s="272">
        <f t="shared" si="35"/>
        <v>0</v>
      </c>
      <c r="W124" s="272">
        <f t="shared" si="35"/>
        <v>0</v>
      </c>
      <c r="X124" s="272">
        <f t="shared" si="35"/>
        <v>0</v>
      </c>
      <c r="Y124" s="126">
        <f>X124</f>
        <v>0</v>
      </c>
      <c r="Z124" s="272">
        <f t="shared" si="36"/>
        <v>0</v>
      </c>
      <c r="AA124" s="272">
        <f t="shared" si="36"/>
        <v>0</v>
      </c>
      <c r="AB124" s="272">
        <f t="shared" si="36"/>
        <v>0</v>
      </c>
      <c r="AC124" s="272">
        <f t="shared" si="36"/>
        <v>0</v>
      </c>
      <c r="AD124" s="126">
        <f>AC124</f>
        <v>0</v>
      </c>
      <c r="AE124" s="126">
        <f t="shared" si="37"/>
        <v>0</v>
      </c>
      <c r="AF124" s="126">
        <f t="shared" si="37"/>
        <v>0</v>
      </c>
      <c r="AG124" s="126">
        <f t="shared" si="37"/>
        <v>0</v>
      </c>
      <c r="AH124" s="9"/>
      <c r="AI124" s="9"/>
      <c r="AJ124" s="197"/>
      <c r="AK124" s="197"/>
    </row>
    <row r="125" spans="1:37" ht="13.5" customHeight="1">
      <c r="A125" s="180"/>
      <c r="B125" s="9"/>
      <c r="C125" s="9" t="s">
        <v>323</v>
      </c>
      <c r="D125" s="9"/>
      <c r="E125" s="9"/>
      <c r="F125" s="267">
        <v>14.351000000000001</v>
      </c>
      <c r="G125" s="267">
        <v>16.079000000000001</v>
      </c>
      <c r="H125" s="267">
        <v>17.978000000000002</v>
      </c>
      <c r="I125" s="267">
        <v>21.807000000000002</v>
      </c>
      <c r="J125" s="268">
        <f>I125</f>
        <v>21.807000000000002</v>
      </c>
      <c r="K125" s="267">
        <v>20.774999999999999</v>
      </c>
      <c r="L125" s="267">
        <v>19.320999999999998</v>
      </c>
      <c r="M125" s="267">
        <v>24.372</v>
      </c>
      <c r="N125" s="267">
        <v>24.207999999999998</v>
      </c>
      <c r="O125" s="268">
        <f>N125</f>
        <v>24.207999999999998</v>
      </c>
      <c r="P125" s="267">
        <v>26.491999999999997</v>
      </c>
      <c r="Q125" s="267">
        <v>39.074999999999996</v>
      </c>
      <c r="R125" s="267">
        <v>36.642999999999994</v>
      </c>
      <c r="S125" s="267">
        <v>33.805999999999997</v>
      </c>
      <c r="T125" s="268">
        <f>S125</f>
        <v>33.805999999999997</v>
      </c>
      <c r="U125" s="267">
        <v>36.945</v>
      </c>
      <c r="V125" s="269">
        <f t="shared" si="35"/>
        <v>36.782132000000004</v>
      </c>
      <c r="W125" s="269">
        <f t="shared" si="35"/>
        <v>39.042381000000006</v>
      </c>
      <c r="X125" s="269">
        <f t="shared" si="35"/>
        <v>42.315277032000004</v>
      </c>
      <c r="Y125" s="268">
        <f>X125</f>
        <v>42.315277032000004</v>
      </c>
      <c r="Z125" s="269">
        <f t="shared" si="36"/>
        <v>44.903556515160005</v>
      </c>
      <c r="AA125" s="269">
        <f t="shared" si="36"/>
        <v>47.597769906069601</v>
      </c>
      <c r="AB125" s="269">
        <f t="shared" si="36"/>
        <v>49.851121019950405</v>
      </c>
      <c r="AC125" s="269">
        <f t="shared" si="36"/>
        <v>52.153212115274961</v>
      </c>
      <c r="AD125" s="268">
        <f>AC125</f>
        <v>52.153212115274961</v>
      </c>
      <c r="AE125" s="268">
        <f t="shared" si="37"/>
        <v>57.233290324486887</v>
      </c>
      <c r="AF125" s="268">
        <f t="shared" si="37"/>
        <v>60.381121292333653</v>
      </c>
      <c r="AG125" s="268">
        <f t="shared" si="37"/>
        <v>64.323668447921932</v>
      </c>
      <c r="AH125" s="9"/>
      <c r="AI125" s="9"/>
      <c r="AJ125" s="197"/>
      <c r="AK125" s="197"/>
    </row>
    <row r="126" spans="1:37" ht="13.5" customHeight="1">
      <c r="A126" s="180"/>
      <c r="B126" s="9"/>
      <c r="C126" s="103" t="s">
        <v>324</v>
      </c>
      <c r="D126" s="9"/>
      <c r="E126" s="9"/>
      <c r="F126" s="266">
        <f>SUM(F122:F125)</f>
        <v>142.38499999999999</v>
      </c>
      <c r="G126" s="266">
        <f>SUM(G122:G125)</f>
        <v>185.339</v>
      </c>
      <c r="H126" s="266">
        <f>SUM(H122:H125)</f>
        <v>216.12200000000001</v>
      </c>
      <c r="I126" s="266">
        <f>SUM(I122:I125)</f>
        <v>168.63300000000004</v>
      </c>
      <c r="J126" s="197">
        <f>I126</f>
        <v>168.63300000000004</v>
      </c>
      <c r="K126" s="266">
        <f>SUM(K122:K125)</f>
        <v>186.89400000000001</v>
      </c>
      <c r="L126" s="266">
        <f>SUM(L122:L125)</f>
        <v>209.21900000000002</v>
      </c>
      <c r="M126" s="266">
        <f>SUM(M122:M125)</f>
        <v>256.57299999999998</v>
      </c>
      <c r="N126" s="266">
        <f>SUM(N122:N125)</f>
        <v>247.13300000000001</v>
      </c>
      <c r="O126" s="197">
        <f>N126</f>
        <v>247.13300000000001</v>
      </c>
      <c r="P126" s="266">
        <f>SUM(P122:P125)</f>
        <v>319.25400000000002</v>
      </c>
      <c r="Q126" s="266">
        <f>SUM(Q122:Q125)</f>
        <v>328.35499999999996</v>
      </c>
      <c r="R126" s="266">
        <f>SUM(R122:R125)</f>
        <v>457.81799999999998</v>
      </c>
      <c r="S126" s="266">
        <f>SUM(S122:S125)</f>
        <v>444.37799999999999</v>
      </c>
      <c r="T126" s="197">
        <f>S126</f>
        <v>444.37799999999999</v>
      </c>
      <c r="U126" s="266">
        <f>SUM(U122:U125)</f>
        <v>458.35300000000001</v>
      </c>
      <c r="V126" s="196">
        <f ca="1">SUM(V122:V125)</f>
        <v>457.6107060786274</v>
      </c>
      <c r="W126" s="196">
        <f ca="1">SUM(W122:W125)</f>
        <v>489.79018039031803</v>
      </c>
      <c r="X126" s="196">
        <f ca="1">SUM(X122:X125)</f>
        <v>497.98726421345003</v>
      </c>
      <c r="Y126" s="197">
        <f ca="1">X126</f>
        <v>497.98726421345003</v>
      </c>
      <c r="Z126" s="196">
        <f ca="1">SUM(Z122:Z125)</f>
        <v>505.27554413629787</v>
      </c>
      <c r="AA126" s="196">
        <f ca="1">SUM(AA122:AA125)</f>
        <v>516.99246971352682</v>
      </c>
      <c r="AB126" s="196">
        <f ca="1">SUM(AB122:AB125)</f>
        <v>517.92030106465938</v>
      </c>
      <c r="AC126" s="196">
        <f ca="1">SUM(AC122:AC125)</f>
        <v>502.69781752248366</v>
      </c>
      <c r="AD126" s="197">
        <f ca="1">AC126</f>
        <v>502.69781752248366</v>
      </c>
      <c r="AE126" s="197">
        <f ca="1">SUM(AE122:AE125)</f>
        <v>535.7347594963768</v>
      </c>
      <c r="AF126" s="197">
        <f ca="1">SUM(AF122:AF125)</f>
        <v>570.78043854345367</v>
      </c>
      <c r="AG126" s="197">
        <f ca="1">SUM(AG122:AG125)</f>
        <v>572.77416171057666</v>
      </c>
      <c r="AH126" s="9"/>
      <c r="AI126" s="9"/>
      <c r="AJ126" s="197"/>
      <c r="AK126" s="9"/>
    </row>
    <row r="127" spans="1:37" ht="13.5" customHeight="1">
      <c r="A127" s="180"/>
      <c r="B127" s="9"/>
      <c r="C127" s="9"/>
      <c r="D127" s="9"/>
      <c r="E127" s="9"/>
      <c r="F127" s="228"/>
      <c r="G127" s="228"/>
      <c r="H127" s="228"/>
      <c r="I127" s="228"/>
      <c r="J127" s="9"/>
      <c r="K127" s="228"/>
      <c r="L127" s="228"/>
      <c r="M127" s="228"/>
      <c r="N127" s="228"/>
      <c r="O127" s="9"/>
      <c r="P127" s="228"/>
      <c r="Q127" s="228"/>
      <c r="R127" s="228"/>
      <c r="S127" s="228"/>
      <c r="T127" s="9"/>
      <c r="U127" s="228"/>
      <c r="V127" s="196"/>
      <c r="W127" s="196"/>
      <c r="X127" s="196"/>
      <c r="Y127" s="9"/>
      <c r="Z127" s="196"/>
      <c r="AA127" s="196"/>
      <c r="AB127" s="196"/>
      <c r="AC127" s="196"/>
      <c r="AD127" s="9"/>
      <c r="AE127" s="197"/>
      <c r="AF127" s="197"/>
      <c r="AG127" s="197"/>
      <c r="AH127" s="9"/>
      <c r="AI127" s="9"/>
      <c r="AJ127" s="197"/>
      <c r="AK127" s="9"/>
    </row>
    <row r="128" spans="1:37" ht="13.5" customHeight="1">
      <c r="A128" s="180"/>
      <c r="B128" s="9"/>
      <c r="C128" s="9" t="s">
        <v>325</v>
      </c>
      <c r="D128" s="9"/>
      <c r="E128" s="9"/>
      <c r="F128" s="305">
        <v>93.679999999999993</v>
      </c>
      <c r="G128" s="305">
        <v>93.070000000000007</v>
      </c>
      <c r="H128" s="305">
        <v>91.5</v>
      </c>
      <c r="I128" s="305">
        <v>90.751999999999995</v>
      </c>
      <c r="J128" s="197">
        <f>I128</f>
        <v>90.751999999999995</v>
      </c>
      <c r="K128" s="305">
        <v>94.756</v>
      </c>
      <c r="L128" s="305">
        <v>96.356999999999999</v>
      </c>
      <c r="M128" s="305">
        <v>96.820999999999998</v>
      </c>
      <c r="N128" s="305">
        <v>95.437999999999988</v>
      </c>
      <c r="O128" s="197">
        <f>N128</f>
        <v>95.437999999999988</v>
      </c>
      <c r="P128" s="305">
        <v>95.085000000000008</v>
      </c>
      <c r="Q128" s="305">
        <v>95.254999999999995</v>
      </c>
      <c r="R128" s="305">
        <v>97.37299999999999</v>
      </c>
      <c r="S128" s="305">
        <v>98.998999999999995</v>
      </c>
      <c r="T128" s="197">
        <f>S128</f>
        <v>98.998999999999995</v>
      </c>
      <c r="U128" s="271">
        <v>96.676999999999992</v>
      </c>
      <c r="V128" s="196">
        <f>V197</f>
        <v>98.883927919999991</v>
      </c>
      <c r="W128" s="196">
        <f>W197</f>
        <v>101.22647077999999</v>
      </c>
      <c r="X128" s="196">
        <f>X197</f>
        <v>103.34223463159998</v>
      </c>
      <c r="Y128" s="197">
        <f>X128</f>
        <v>103.34223463159998</v>
      </c>
      <c r="Z128" s="196">
        <f>Z197</f>
        <v>105.13837689220638</v>
      </c>
      <c r="AA128" s="196">
        <f>AA197</f>
        <v>107.04228768844916</v>
      </c>
      <c r="AB128" s="196">
        <f>AB197</f>
        <v>109.03633252924718</v>
      </c>
      <c r="AC128" s="196">
        <f>AC197</f>
        <v>111.12246101385817</v>
      </c>
      <c r="AD128" s="197">
        <f>AC128</f>
        <v>111.12246101385817</v>
      </c>
      <c r="AE128" s="197">
        <f>AE197</f>
        <v>119.44730324287444</v>
      </c>
      <c r="AF128" s="197">
        <f>AF197</f>
        <v>128.23001179448661</v>
      </c>
      <c r="AG128" s="197">
        <f>AG197</f>
        <v>137.58618175054798</v>
      </c>
      <c r="AH128" s="9"/>
      <c r="AI128" s="9"/>
      <c r="AJ128" s="197"/>
      <c r="AK128" s="9"/>
    </row>
    <row r="129" spans="1:37" ht="13.5" customHeight="1">
      <c r="A129" s="180"/>
      <c r="B129" s="9"/>
      <c r="C129" s="9" t="s">
        <v>861</v>
      </c>
      <c r="D129" s="9"/>
      <c r="E129" s="9"/>
      <c r="F129" s="830">
        <v>870.15000000000009</v>
      </c>
      <c r="G129" s="830">
        <v>872.12599999999998</v>
      </c>
      <c r="H129" s="830">
        <v>586.58500000000004</v>
      </c>
      <c r="I129" s="830">
        <v>647.24600000000009</v>
      </c>
      <c r="J129" s="197">
        <f>I129</f>
        <v>647.24600000000009</v>
      </c>
      <c r="K129" s="830">
        <v>689.18500000000006</v>
      </c>
      <c r="L129" s="830">
        <v>823.28899999999999</v>
      </c>
      <c r="M129" s="830">
        <v>629.50799999999992</v>
      </c>
      <c r="N129" s="830">
        <v>666.74199999999996</v>
      </c>
      <c r="O129" s="197">
        <f>N129</f>
        <v>666.74199999999996</v>
      </c>
      <c r="P129" s="830">
        <v>698.27300000000002</v>
      </c>
      <c r="Q129" s="830">
        <v>743.53300000000002</v>
      </c>
      <c r="R129" s="830">
        <v>780.83600000000001</v>
      </c>
      <c r="S129" s="830">
        <v>838.45299999999997</v>
      </c>
      <c r="T129" s="197">
        <f>S129</f>
        <v>838.45299999999997</v>
      </c>
      <c r="U129" s="831">
        <v>945.03800000000001</v>
      </c>
      <c r="V129" s="196">
        <f>V211</f>
        <v>973.38914</v>
      </c>
      <c r="W129" s="196">
        <f>W211</f>
        <v>1002.5908142000001</v>
      </c>
      <c r="X129" s="196">
        <f>X211</f>
        <v>1032.6685386260001</v>
      </c>
      <c r="Y129" s="197">
        <f>X129</f>
        <v>1032.6685386260001</v>
      </c>
      <c r="Z129" s="196">
        <f>Z211</f>
        <v>1104.9553363298203</v>
      </c>
      <c r="AA129" s="196">
        <f>AA211</f>
        <v>1171.2526565096096</v>
      </c>
      <c r="AB129" s="196">
        <f>AB211</f>
        <v>1235.6715526176381</v>
      </c>
      <c r="AC129" s="196">
        <f>AC211</f>
        <v>1297.4551302485202</v>
      </c>
      <c r="AD129" s="197">
        <f>AC129</f>
        <v>1297.4551302485202</v>
      </c>
      <c r="AE129" s="197">
        <f>AE211</f>
        <v>1492.0733997857981</v>
      </c>
      <c r="AF129" s="197">
        <f>AF211</f>
        <v>1715.8844097536676</v>
      </c>
      <c r="AG129" s="197">
        <f>AG211</f>
        <v>1973.2670712167176</v>
      </c>
      <c r="AH129" s="9"/>
      <c r="AI129" s="9"/>
      <c r="AJ129" s="197"/>
      <c r="AK129" s="9"/>
    </row>
    <row r="130" spans="1:37" ht="13.5" customHeight="1">
      <c r="A130" s="180"/>
      <c r="B130" s="9"/>
      <c r="C130" s="9" t="s">
        <v>333</v>
      </c>
      <c r="D130" s="9"/>
      <c r="E130" s="9"/>
      <c r="F130" s="819">
        <v>246.089</v>
      </c>
      <c r="G130" s="819">
        <v>237.20699999999999</v>
      </c>
      <c r="H130" s="819">
        <v>230.154</v>
      </c>
      <c r="I130" s="819">
        <v>233.91200000000001</v>
      </c>
      <c r="J130" s="820">
        <f>I130</f>
        <v>233.91200000000001</v>
      </c>
      <c r="K130" s="819">
        <v>229.25899999999999</v>
      </c>
      <c r="L130" s="819">
        <v>229.791</v>
      </c>
      <c r="M130" s="819">
        <v>225.922</v>
      </c>
      <c r="N130" s="819">
        <v>261.887</v>
      </c>
      <c r="O130" s="820">
        <f>N130</f>
        <v>261.887</v>
      </c>
      <c r="P130" s="819">
        <v>259.30099999999999</v>
      </c>
      <c r="Q130" s="819">
        <v>257.18700000000001</v>
      </c>
      <c r="R130" s="819">
        <v>255.001</v>
      </c>
      <c r="S130" s="819">
        <v>308.52499999999998</v>
      </c>
      <c r="T130" s="820">
        <f>S130</f>
        <v>308.52499999999998</v>
      </c>
      <c r="U130" s="821">
        <v>301.97000000000003</v>
      </c>
      <c r="V130" s="822">
        <f>V219</f>
        <v>285.06152300000002</v>
      </c>
      <c r="W130" s="822">
        <f>W219</f>
        <v>302.57845275</v>
      </c>
      <c r="X130" s="822">
        <f>X219</f>
        <v>327.94339699800003</v>
      </c>
      <c r="Y130" s="820">
        <f>X130</f>
        <v>327.94339699800003</v>
      </c>
      <c r="Z130" s="822">
        <f>Z219</f>
        <v>348.00256299249003</v>
      </c>
      <c r="AA130" s="822">
        <f>AA219</f>
        <v>368.88271677203943</v>
      </c>
      <c r="AB130" s="822">
        <f>AB219</f>
        <v>386.34618790461565</v>
      </c>
      <c r="AC130" s="822">
        <f>AC219</f>
        <v>404.18739389338094</v>
      </c>
      <c r="AD130" s="820">
        <f>AC130</f>
        <v>404.18739389338094</v>
      </c>
      <c r="AE130" s="820">
        <f>AE219</f>
        <v>437.0542170233544</v>
      </c>
      <c r="AF130" s="820">
        <f>AF219</f>
        <v>461.09219895963878</v>
      </c>
      <c r="AG130" s="820">
        <f>AG219</f>
        <v>491.19892269322202</v>
      </c>
      <c r="AH130" s="9"/>
      <c r="AI130" s="9"/>
      <c r="AJ130" s="197"/>
      <c r="AK130" s="9"/>
    </row>
    <row r="131" spans="1:37" ht="13.5" customHeight="1">
      <c r="A131" s="180"/>
      <c r="B131" s="9"/>
      <c r="C131" s="103" t="s">
        <v>326</v>
      </c>
      <c r="D131" s="9"/>
      <c r="E131" s="9"/>
      <c r="F131" s="266">
        <f>SUM(F128:F130)</f>
        <v>1209.9190000000001</v>
      </c>
      <c r="G131" s="266">
        <f>SUM(G128:G130)</f>
        <v>1202.403</v>
      </c>
      <c r="H131" s="266">
        <f>SUM(H128:H130)</f>
        <v>908.23900000000003</v>
      </c>
      <c r="I131" s="266">
        <f>SUM(I128:I130)</f>
        <v>971.91000000000008</v>
      </c>
      <c r="J131" s="197">
        <f>I131</f>
        <v>971.91000000000008</v>
      </c>
      <c r="K131" s="266">
        <f>SUM(K128:K130)</f>
        <v>1013.2</v>
      </c>
      <c r="L131" s="266">
        <f>SUM(L128:L130)</f>
        <v>1149.4369999999999</v>
      </c>
      <c r="M131" s="266">
        <f>SUM(M128:M130)</f>
        <v>952.25099999999998</v>
      </c>
      <c r="N131" s="266">
        <f>SUM(N128:N130)</f>
        <v>1024.067</v>
      </c>
      <c r="O131" s="197">
        <f>N131</f>
        <v>1024.067</v>
      </c>
      <c r="P131" s="266">
        <f>SUM(P128:P130)</f>
        <v>1052.6590000000001</v>
      </c>
      <c r="Q131" s="266">
        <f>SUM(Q128:Q130)</f>
        <v>1095.9749999999999</v>
      </c>
      <c r="R131" s="266">
        <f>SUM(R128:R130)</f>
        <v>1133.21</v>
      </c>
      <c r="S131" s="266">
        <f>SUM(S128:S130)</f>
        <v>1245.9769999999999</v>
      </c>
      <c r="T131" s="197">
        <f>S131</f>
        <v>1245.9769999999999</v>
      </c>
      <c r="U131" s="266">
        <f>SUM(U128:U130)</f>
        <v>1343.6849999999999</v>
      </c>
      <c r="V131" s="196">
        <f>SUM(V128:V130)</f>
        <v>1357.33459092</v>
      </c>
      <c r="W131" s="196">
        <f>SUM(W128:W130)</f>
        <v>1406.3957377300001</v>
      </c>
      <c r="X131" s="196">
        <f>SUM(X128:X130)</f>
        <v>1463.9541702556</v>
      </c>
      <c r="Y131" s="197">
        <f>X131</f>
        <v>1463.9541702556</v>
      </c>
      <c r="Z131" s="196">
        <f>SUM(Z128:Z130)</f>
        <v>1558.0962762145168</v>
      </c>
      <c r="AA131" s="196">
        <f>SUM(AA128:AA130)</f>
        <v>1647.177660970098</v>
      </c>
      <c r="AB131" s="196">
        <f>SUM(AB128:AB130)</f>
        <v>1731.0540730515008</v>
      </c>
      <c r="AC131" s="196">
        <f>SUM(AC128:AC130)</f>
        <v>1812.7649851557592</v>
      </c>
      <c r="AD131" s="197">
        <f>AC131</f>
        <v>1812.7649851557592</v>
      </c>
      <c r="AE131" s="197">
        <f>SUM(AE128:AE130)</f>
        <v>2048.5749200520268</v>
      </c>
      <c r="AF131" s="197">
        <f>SUM(AF128:AF130)</f>
        <v>2305.2066205077931</v>
      </c>
      <c r="AG131" s="197">
        <f>SUM(AG128:AG130)</f>
        <v>2602.0521756604876</v>
      </c>
      <c r="AH131" s="9"/>
      <c r="AI131" s="9"/>
      <c r="AJ131" s="197"/>
      <c r="AK131" s="9"/>
    </row>
    <row r="132" spans="1:37" ht="13.5" customHeight="1">
      <c r="A132" s="180"/>
      <c r="B132" s="9"/>
      <c r="C132" s="9"/>
      <c r="D132" s="9"/>
      <c r="E132" s="9"/>
      <c r="F132" s="228"/>
      <c r="G132" s="228"/>
      <c r="H132" s="228"/>
      <c r="I132" s="228"/>
      <c r="J132" s="9"/>
      <c r="K132" s="228"/>
      <c r="L132" s="228"/>
      <c r="M132" s="228"/>
      <c r="N132" s="228"/>
      <c r="O132" s="9"/>
      <c r="P132" s="228"/>
      <c r="Q132" s="228"/>
      <c r="R132" s="228"/>
      <c r="S132" s="228"/>
      <c r="T132" s="9"/>
      <c r="U132" s="228"/>
      <c r="V132" s="196"/>
      <c r="W132" s="196"/>
      <c r="X132" s="196"/>
      <c r="Y132" s="9"/>
      <c r="Z132" s="196"/>
      <c r="AA132" s="196"/>
      <c r="AB132" s="196"/>
      <c r="AC132" s="196"/>
      <c r="AD132" s="9"/>
      <c r="AE132" s="197"/>
      <c r="AF132" s="197"/>
      <c r="AG132" s="197"/>
      <c r="AH132" s="9"/>
      <c r="AI132" s="9"/>
      <c r="AJ132" s="197"/>
      <c r="AK132" s="9"/>
    </row>
    <row r="133" spans="1:37" ht="13.5" customHeight="1">
      <c r="A133" s="180"/>
      <c r="B133" s="9"/>
      <c r="C133" s="103" t="s">
        <v>327</v>
      </c>
      <c r="D133" s="9"/>
      <c r="E133" s="9"/>
      <c r="F133" s="266">
        <f t="shared" ref="F133:AG133" si="38">SUM(F126,F131)</f>
        <v>1352.3040000000001</v>
      </c>
      <c r="G133" s="266">
        <f t="shared" si="38"/>
        <v>1387.742</v>
      </c>
      <c r="H133" s="266">
        <f t="shared" si="38"/>
        <v>1124.3610000000001</v>
      </c>
      <c r="I133" s="266">
        <f t="shared" si="38"/>
        <v>1140.5430000000001</v>
      </c>
      <c r="J133" s="197">
        <f t="shared" si="38"/>
        <v>1140.5430000000001</v>
      </c>
      <c r="K133" s="266">
        <f t="shared" si="38"/>
        <v>1200.0940000000001</v>
      </c>
      <c r="L133" s="266">
        <f t="shared" si="38"/>
        <v>1358.6559999999999</v>
      </c>
      <c r="M133" s="266">
        <f t="shared" si="38"/>
        <v>1208.8240000000001</v>
      </c>
      <c r="N133" s="266">
        <f t="shared" si="38"/>
        <v>1271.2</v>
      </c>
      <c r="O133" s="197">
        <f t="shared" si="38"/>
        <v>1271.2</v>
      </c>
      <c r="P133" s="266">
        <f t="shared" si="38"/>
        <v>1371.913</v>
      </c>
      <c r="Q133" s="266">
        <f t="shared" si="38"/>
        <v>1424.33</v>
      </c>
      <c r="R133" s="266">
        <f t="shared" si="38"/>
        <v>1591.028</v>
      </c>
      <c r="S133" s="266">
        <f t="shared" si="38"/>
        <v>1690.3549999999998</v>
      </c>
      <c r="T133" s="197">
        <f t="shared" si="38"/>
        <v>1690.3549999999998</v>
      </c>
      <c r="U133" s="266">
        <f t="shared" si="38"/>
        <v>1802.038</v>
      </c>
      <c r="V133" s="196">
        <f t="shared" ca="1" si="38"/>
        <v>1814.9452969986273</v>
      </c>
      <c r="W133" s="196">
        <f t="shared" ca="1" si="38"/>
        <v>1896.1859181203181</v>
      </c>
      <c r="X133" s="196">
        <f t="shared" ca="1" si="38"/>
        <v>1961.9414344690501</v>
      </c>
      <c r="Y133" s="197">
        <f t="shared" ca="1" si="38"/>
        <v>1961.9414344690501</v>
      </c>
      <c r="Z133" s="196">
        <f t="shared" ca="1" si="38"/>
        <v>2063.3718203508147</v>
      </c>
      <c r="AA133" s="196">
        <f t="shared" ca="1" si="38"/>
        <v>2164.1701306836248</v>
      </c>
      <c r="AB133" s="196">
        <f t="shared" ca="1" si="38"/>
        <v>2248.9743741161601</v>
      </c>
      <c r="AC133" s="196">
        <f t="shared" ca="1" si="38"/>
        <v>2315.462802678243</v>
      </c>
      <c r="AD133" s="197">
        <f t="shared" ca="1" si="38"/>
        <v>2315.462802678243</v>
      </c>
      <c r="AE133" s="197">
        <f t="shared" ca="1" si="38"/>
        <v>2584.3096795484034</v>
      </c>
      <c r="AF133" s="197">
        <f t="shared" ca="1" si="38"/>
        <v>2875.9870590512469</v>
      </c>
      <c r="AG133" s="197">
        <f t="shared" ca="1" si="38"/>
        <v>3174.8263373710643</v>
      </c>
      <c r="AH133" s="9"/>
      <c r="AI133" s="9"/>
      <c r="AJ133" s="197"/>
      <c r="AK133" s="9"/>
    </row>
    <row r="134" spans="1:37" ht="13.5" customHeight="1">
      <c r="A134" s="180"/>
      <c r="B134" s="9"/>
      <c r="C134" s="9"/>
      <c r="D134" s="9"/>
      <c r="E134" s="9"/>
      <c r="F134" s="228"/>
      <c r="G134" s="228"/>
      <c r="H134" s="228"/>
      <c r="I134" s="228"/>
      <c r="J134" s="9"/>
      <c r="K134" s="228"/>
      <c r="L134" s="228"/>
      <c r="M134" s="228"/>
      <c r="N134" s="228"/>
      <c r="O134" s="9"/>
      <c r="P134" s="228"/>
      <c r="Q134" s="228"/>
      <c r="R134" s="228"/>
      <c r="S134" s="228"/>
      <c r="T134" s="9"/>
      <c r="U134" s="228"/>
      <c r="V134" s="229"/>
      <c r="W134" s="229"/>
      <c r="X134" s="229"/>
      <c r="Y134" s="9"/>
      <c r="Z134" s="229"/>
      <c r="AA134" s="229"/>
      <c r="AB134" s="229"/>
      <c r="AC134" s="229"/>
      <c r="AD134" s="9"/>
      <c r="AE134" s="9"/>
      <c r="AF134" s="9"/>
      <c r="AG134" s="9"/>
      <c r="AH134" s="9"/>
      <c r="AI134" s="9"/>
      <c r="AJ134" s="197"/>
      <c r="AK134" s="9"/>
    </row>
    <row r="135" spans="1:37" ht="13.5" customHeight="1">
      <c r="A135" s="180"/>
      <c r="B135" s="9"/>
      <c r="C135" s="9" t="s">
        <v>328</v>
      </c>
      <c r="D135" s="9"/>
      <c r="E135" s="9"/>
      <c r="F135" s="305">
        <v>3.57</v>
      </c>
      <c r="G135" s="305">
        <v>1.9419999999999999</v>
      </c>
      <c r="H135" s="305">
        <v>2.0449999999999999</v>
      </c>
      <c r="I135" s="305">
        <v>4.5590000000000002</v>
      </c>
      <c r="J135" s="197">
        <f>I135</f>
        <v>4.5590000000000002</v>
      </c>
      <c r="K135" s="305">
        <v>5.5739999999999998</v>
      </c>
      <c r="L135" s="305">
        <v>3.5419999999999998</v>
      </c>
      <c r="M135" s="305">
        <v>3.3130000000000002</v>
      </c>
      <c r="N135" s="305">
        <v>4.5049999999999999</v>
      </c>
      <c r="O135" s="197">
        <f>N135</f>
        <v>4.5049999999999999</v>
      </c>
      <c r="P135" s="305">
        <v>4.6829999999999998</v>
      </c>
      <c r="Q135" s="305">
        <v>6.43</v>
      </c>
      <c r="R135" s="305">
        <v>5.25</v>
      </c>
      <c r="S135" s="305">
        <v>5.4690000000000003</v>
      </c>
      <c r="T135" s="197">
        <f>S135</f>
        <v>5.4690000000000003</v>
      </c>
      <c r="U135" s="305">
        <v>6.508</v>
      </c>
      <c r="V135" s="196">
        <f t="shared" ref="V135:X137" si="39">V168</f>
        <v>6.3024768484615388</v>
      </c>
      <c r="W135" s="196">
        <f t="shared" si="39"/>
        <v>6.6170470189402177</v>
      </c>
      <c r="X135" s="196">
        <f t="shared" si="39"/>
        <v>7.1717495339289128</v>
      </c>
      <c r="Y135" s="197">
        <f>X135</f>
        <v>7.1717495339289128</v>
      </c>
      <c r="Z135" s="196">
        <f t="shared" ref="Z135:AC137" si="40">Z168</f>
        <v>8.4379210594421536</v>
      </c>
      <c r="AA135" s="196">
        <f t="shared" si="40"/>
        <v>8.1988466294246258</v>
      </c>
      <c r="AB135" s="196">
        <f t="shared" si="40"/>
        <v>8.4936556737795925</v>
      </c>
      <c r="AC135" s="196">
        <f t="shared" si="40"/>
        <v>8.8858869555101627</v>
      </c>
      <c r="AD135" s="197">
        <f>AC135</f>
        <v>8.8858869555101627</v>
      </c>
      <c r="AE135" s="197">
        <f t="shared" ref="AE135:AG137" si="41">AE168</f>
        <v>9.0946050378636709</v>
      </c>
      <c r="AF135" s="197">
        <f t="shared" si="41"/>
        <v>9.5948083149461691</v>
      </c>
      <c r="AG135" s="197">
        <f t="shared" si="41"/>
        <v>10.221295260217733</v>
      </c>
      <c r="AH135" s="9"/>
      <c r="AI135" s="9"/>
      <c r="AJ135" s="197"/>
      <c r="AK135" s="9"/>
    </row>
    <row r="136" spans="1:37" ht="13.5" customHeight="1">
      <c r="A136" s="180"/>
      <c r="B136" s="9"/>
      <c r="C136" s="9" t="s">
        <v>329</v>
      </c>
      <c r="D136" s="9"/>
      <c r="E136" s="9"/>
      <c r="F136" s="305">
        <v>62.478000000000002</v>
      </c>
      <c r="G136" s="305">
        <v>89.766999999999996</v>
      </c>
      <c r="H136" s="305">
        <v>99.731999999999999</v>
      </c>
      <c r="I136" s="305">
        <v>54.962000000000003</v>
      </c>
      <c r="J136" s="126">
        <f>I136</f>
        <v>54.962000000000003</v>
      </c>
      <c r="K136" s="305">
        <v>60.768999999999998</v>
      </c>
      <c r="L136" s="305">
        <v>76.272999999999996</v>
      </c>
      <c r="M136" s="305">
        <v>96.057000000000016</v>
      </c>
      <c r="N136" s="305">
        <v>77.421999999999997</v>
      </c>
      <c r="O136" s="126">
        <f>N136</f>
        <v>77.421999999999997</v>
      </c>
      <c r="P136" s="305">
        <v>109.32500000000002</v>
      </c>
      <c r="Q136" s="305">
        <v>100.16399999999999</v>
      </c>
      <c r="R136" s="305">
        <v>111.61199999999999</v>
      </c>
      <c r="S136" s="305">
        <v>95.599000000000004</v>
      </c>
      <c r="T136" s="126">
        <f>S136</f>
        <v>95.599000000000004</v>
      </c>
      <c r="U136" s="271">
        <v>110.395</v>
      </c>
      <c r="V136" s="196">
        <f t="shared" si="39"/>
        <v>114.70507864200002</v>
      </c>
      <c r="W136" s="196">
        <f t="shared" si="39"/>
        <v>121.7536651485</v>
      </c>
      <c r="X136" s="196">
        <f t="shared" si="39"/>
        <v>131.96019142429199</v>
      </c>
      <c r="Y136" s="126">
        <f>X136</f>
        <v>131.96019142429199</v>
      </c>
      <c r="Z136" s="196">
        <f t="shared" si="40"/>
        <v>143.33215239639074</v>
      </c>
      <c r="AA136" s="196">
        <f t="shared" si="40"/>
        <v>151.93208154017415</v>
      </c>
      <c r="AB136" s="196">
        <f t="shared" si="40"/>
        <v>159.12477829568169</v>
      </c>
      <c r="AC136" s="196">
        <f t="shared" si="40"/>
        <v>166.47305307195768</v>
      </c>
      <c r="AD136" s="126">
        <f>AC136</f>
        <v>166.47305307195768</v>
      </c>
      <c r="AE136" s="197">
        <f t="shared" si="41"/>
        <v>181.06531848110399</v>
      </c>
      <c r="AF136" s="197">
        <f t="shared" si="41"/>
        <v>191.02391099756463</v>
      </c>
      <c r="AG136" s="197">
        <f t="shared" si="41"/>
        <v>203.49669654433487</v>
      </c>
      <c r="AH136" s="9"/>
      <c r="AI136" s="9"/>
      <c r="AJ136" s="197"/>
      <c r="AK136" s="9"/>
    </row>
    <row r="137" spans="1:37" ht="13.5" customHeight="1">
      <c r="A137" s="180"/>
      <c r="B137" s="9"/>
      <c r="C137" s="9" t="s">
        <v>330</v>
      </c>
      <c r="D137" s="9"/>
      <c r="E137" s="9"/>
      <c r="F137" s="267">
        <v>0</v>
      </c>
      <c r="G137" s="267">
        <v>0</v>
      </c>
      <c r="H137" s="267">
        <v>0</v>
      </c>
      <c r="I137" s="267">
        <v>0</v>
      </c>
      <c r="J137" s="268">
        <f>I137</f>
        <v>0</v>
      </c>
      <c r="K137" s="267">
        <v>0</v>
      </c>
      <c r="L137" s="267">
        <v>0</v>
      </c>
      <c r="M137" s="267">
        <v>0</v>
      </c>
      <c r="N137" s="267">
        <v>0</v>
      </c>
      <c r="O137" s="268">
        <f>N137</f>
        <v>0</v>
      </c>
      <c r="P137" s="267">
        <v>0</v>
      </c>
      <c r="Q137" s="267">
        <v>0</v>
      </c>
      <c r="R137" s="267">
        <v>0</v>
      </c>
      <c r="S137" s="267">
        <v>0</v>
      </c>
      <c r="T137" s="268">
        <f>S137</f>
        <v>0</v>
      </c>
      <c r="U137" s="267">
        <v>0</v>
      </c>
      <c r="V137" s="269">
        <f t="shared" si="39"/>
        <v>0</v>
      </c>
      <c r="W137" s="269">
        <f t="shared" si="39"/>
        <v>0</v>
      </c>
      <c r="X137" s="269">
        <f t="shared" si="39"/>
        <v>0</v>
      </c>
      <c r="Y137" s="268">
        <f>X137</f>
        <v>0</v>
      </c>
      <c r="Z137" s="269">
        <f t="shared" si="40"/>
        <v>0</v>
      </c>
      <c r="AA137" s="269">
        <f t="shared" si="40"/>
        <v>0</v>
      </c>
      <c r="AB137" s="269">
        <f t="shared" si="40"/>
        <v>0</v>
      </c>
      <c r="AC137" s="269">
        <f t="shared" si="40"/>
        <v>0</v>
      </c>
      <c r="AD137" s="268">
        <f>AC137</f>
        <v>0</v>
      </c>
      <c r="AE137" s="268">
        <f t="shared" si="41"/>
        <v>0</v>
      </c>
      <c r="AF137" s="268">
        <f t="shared" si="41"/>
        <v>0</v>
      </c>
      <c r="AG137" s="268">
        <f t="shared" si="41"/>
        <v>0</v>
      </c>
      <c r="AH137" s="9"/>
      <c r="AI137" s="9"/>
      <c r="AJ137" s="197"/>
      <c r="AK137" s="9"/>
    </row>
    <row r="138" spans="1:37" ht="13.5" customHeight="1">
      <c r="A138" s="180"/>
      <c r="B138" s="9"/>
      <c r="C138" s="103" t="s">
        <v>331</v>
      </c>
      <c r="D138" s="9"/>
      <c r="E138" s="9"/>
      <c r="F138" s="266">
        <f>SUM(F135:F137)</f>
        <v>66.048000000000002</v>
      </c>
      <c r="G138" s="266">
        <f>SUM(G135:G137)</f>
        <v>91.708999999999989</v>
      </c>
      <c r="H138" s="266">
        <f>SUM(H135:H137)</f>
        <v>101.777</v>
      </c>
      <c r="I138" s="266">
        <f>SUM(I135:I137)</f>
        <v>59.521000000000001</v>
      </c>
      <c r="J138" s="197">
        <f>I138</f>
        <v>59.521000000000001</v>
      </c>
      <c r="K138" s="266">
        <f>SUM(K135:K137)</f>
        <v>66.343000000000004</v>
      </c>
      <c r="L138" s="266">
        <f>SUM(L135:L137)</f>
        <v>79.814999999999998</v>
      </c>
      <c r="M138" s="266">
        <f>SUM(M135:M137)</f>
        <v>99.370000000000019</v>
      </c>
      <c r="N138" s="266">
        <f>SUM(N135:N137)</f>
        <v>81.926999999999992</v>
      </c>
      <c r="O138" s="197">
        <f>N138</f>
        <v>81.926999999999992</v>
      </c>
      <c r="P138" s="266">
        <f>SUM(P135:P137)</f>
        <v>114.00800000000001</v>
      </c>
      <c r="Q138" s="266">
        <f>SUM(Q135:Q137)</f>
        <v>106.59399999999999</v>
      </c>
      <c r="R138" s="266">
        <f>SUM(R135:R137)</f>
        <v>116.86199999999999</v>
      </c>
      <c r="S138" s="266">
        <f>SUM(S135:S137)</f>
        <v>101.068</v>
      </c>
      <c r="T138" s="197">
        <f>S138</f>
        <v>101.068</v>
      </c>
      <c r="U138" s="266">
        <f>SUM(U135:U137)</f>
        <v>116.90299999999999</v>
      </c>
      <c r="V138" s="196">
        <f>SUM(V135:V137)</f>
        <v>121.00755549046156</v>
      </c>
      <c r="W138" s="196">
        <f>SUM(W135:W137)</f>
        <v>128.37071216744022</v>
      </c>
      <c r="X138" s="196">
        <f>SUM(X135:X137)</f>
        <v>139.13194095822089</v>
      </c>
      <c r="Y138" s="197">
        <f>X138</f>
        <v>139.13194095822089</v>
      </c>
      <c r="Z138" s="196">
        <f>SUM(Z135:Z137)</f>
        <v>151.77007345583289</v>
      </c>
      <c r="AA138" s="196">
        <f>SUM(AA135:AA137)</f>
        <v>160.13092816959877</v>
      </c>
      <c r="AB138" s="196">
        <f>SUM(AB135:AB137)</f>
        <v>167.61843396946128</v>
      </c>
      <c r="AC138" s="196">
        <f>SUM(AC135:AC137)</f>
        <v>175.35894002746784</v>
      </c>
      <c r="AD138" s="197">
        <f>AC138</f>
        <v>175.35894002746784</v>
      </c>
      <c r="AE138" s="197">
        <f>SUM(AE135:AE137)</f>
        <v>190.15992351896764</v>
      </c>
      <c r="AF138" s="197">
        <f>SUM(AF135:AF137)</f>
        <v>200.61871931251079</v>
      </c>
      <c r="AG138" s="197">
        <f>SUM(AG135:AG137)</f>
        <v>213.71799180455261</v>
      </c>
      <c r="AH138" s="9"/>
      <c r="AI138" s="9"/>
      <c r="AJ138" s="197"/>
      <c r="AK138" s="9"/>
    </row>
    <row r="139" spans="1:37" ht="13.5" customHeight="1">
      <c r="A139" s="180"/>
      <c r="B139" s="9"/>
      <c r="C139" s="9"/>
      <c r="D139" s="9"/>
      <c r="E139" s="9"/>
      <c r="F139" s="297"/>
      <c r="G139" s="297"/>
      <c r="H139" s="297"/>
      <c r="I139" s="297"/>
      <c r="J139" s="9"/>
      <c r="K139" s="297"/>
      <c r="L139" s="297"/>
      <c r="M139" s="297"/>
      <c r="N139" s="297"/>
      <c r="O139" s="9"/>
      <c r="P139" s="297"/>
      <c r="Q139" s="297"/>
      <c r="R139" s="297"/>
      <c r="S139" s="297"/>
      <c r="T139" s="197"/>
      <c r="U139" s="297"/>
      <c r="V139" s="196"/>
      <c r="W139" s="229"/>
      <c r="X139" s="229"/>
      <c r="Y139" s="9"/>
      <c r="Z139" s="229"/>
      <c r="AA139" s="229"/>
      <c r="AB139" s="229"/>
      <c r="AC139" s="229"/>
      <c r="AD139" s="9"/>
      <c r="AE139" s="9"/>
      <c r="AF139" s="9"/>
      <c r="AG139" s="9"/>
      <c r="AH139" s="9"/>
      <c r="AI139" s="9"/>
      <c r="AJ139" s="197"/>
      <c r="AK139" s="9"/>
    </row>
    <row r="140" spans="1:37" ht="13.5" customHeight="1">
      <c r="A140" s="180"/>
      <c r="B140" s="9"/>
      <c r="C140" s="103" t="s">
        <v>848</v>
      </c>
      <c r="D140" s="9"/>
      <c r="E140" s="9"/>
      <c r="F140" s="305">
        <v>180.536</v>
      </c>
      <c r="G140" s="305">
        <v>179.602</v>
      </c>
      <c r="H140" s="305">
        <v>179.43100000000001</v>
      </c>
      <c r="I140" s="305">
        <v>174.702</v>
      </c>
      <c r="J140" s="197">
        <f t="shared" ref="J140:J144" si="42">I140</f>
        <v>174.702</v>
      </c>
      <c r="K140" s="305">
        <v>173.81800000000001</v>
      </c>
      <c r="L140" s="305">
        <v>173.81800000000001</v>
      </c>
      <c r="M140" s="305">
        <v>173.81800000000001</v>
      </c>
      <c r="N140" s="305">
        <v>201.422</v>
      </c>
      <c r="O140" s="197">
        <f t="shared" ref="O140:O144" si="43">N140</f>
        <v>201.422</v>
      </c>
      <c r="P140" s="305">
        <v>200.346</v>
      </c>
      <c r="Q140" s="305">
        <v>200.346</v>
      </c>
      <c r="R140" s="305">
        <v>200.02500000000001</v>
      </c>
      <c r="S140" s="305">
        <v>240.648</v>
      </c>
      <c r="T140" s="197">
        <f t="shared" ref="T140:T144" si="44">S140</f>
        <v>240.648</v>
      </c>
      <c r="U140" s="305">
        <v>240.648</v>
      </c>
      <c r="V140" s="196">
        <f>V28*Drivers!V141</f>
        <v>240.648</v>
      </c>
      <c r="W140" s="196">
        <f>W28*Drivers!W141</f>
        <v>240.648</v>
      </c>
      <c r="X140" s="196">
        <f>X28*Drivers!X141</f>
        <v>240.64799999999997</v>
      </c>
      <c r="Y140" s="197">
        <f t="shared" ref="Y140:Y144" si="45">X140</f>
        <v>240.64799999999997</v>
      </c>
      <c r="Z140" s="196">
        <f>Z28*Drivers!Z141</f>
        <v>240.648</v>
      </c>
      <c r="AA140" s="196">
        <f>AA28*Drivers!AA141</f>
        <v>240.64799999999997</v>
      </c>
      <c r="AB140" s="196">
        <f>AB28*Drivers!AB141</f>
        <v>240.64799999999997</v>
      </c>
      <c r="AC140" s="196">
        <f>AC28*Drivers!AC141</f>
        <v>240.64799999999997</v>
      </c>
      <c r="AD140" s="197">
        <f t="shared" ref="AD140:AD144" si="46">AC140</f>
        <v>240.64799999999997</v>
      </c>
      <c r="AE140" s="197">
        <f>AE28*Drivers!AE141</f>
        <v>240.64799999999997</v>
      </c>
      <c r="AF140" s="197">
        <f>AF28*Drivers!AF141</f>
        <v>240.64799999999997</v>
      </c>
      <c r="AG140" s="197">
        <f>AG28*Drivers!AG141</f>
        <v>240.648</v>
      </c>
      <c r="AH140" s="9"/>
      <c r="AI140" s="9"/>
      <c r="AJ140" s="197"/>
      <c r="AK140" s="9"/>
    </row>
    <row r="141" spans="1:37" ht="13.5" customHeight="1">
      <c r="A141" s="180"/>
      <c r="B141" s="9"/>
      <c r="C141" s="9" t="s">
        <v>853</v>
      </c>
      <c r="D141" s="9"/>
      <c r="E141" s="9"/>
      <c r="F141" s="305">
        <v>0</v>
      </c>
      <c r="G141" s="305">
        <v>0</v>
      </c>
      <c r="H141" s="305">
        <v>0</v>
      </c>
      <c r="I141" s="305">
        <v>0</v>
      </c>
      <c r="J141" s="197">
        <f t="shared" si="42"/>
        <v>0</v>
      </c>
      <c r="K141" s="305">
        <v>0</v>
      </c>
      <c r="L141" s="305">
        <v>0</v>
      </c>
      <c r="M141" s="305">
        <v>0</v>
      </c>
      <c r="N141" s="305">
        <v>0</v>
      </c>
      <c r="O141" s="197">
        <f t="shared" si="43"/>
        <v>0</v>
      </c>
      <c r="P141" s="305">
        <v>0</v>
      </c>
      <c r="Q141" s="305">
        <v>0</v>
      </c>
      <c r="R141" s="305">
        <v>0</v>
      </c>
      <c r="S141" s="305">
        <v>0</v>
      </c>
      <c r="T141" s="197">
        <f t="shared" si="44"/>
        <v>0</v>
      </c>
      <c r="U141" s="305">
        <v>0</v>
      </c>
      <c r="V141" s="196">
        <f t="shared" ref="V141:X141" ca="1" si="47">V305</f>
        <v>0</v>
      </c>
      <c r="W141" s="196">
        <f t="shared" ca="1" si="47"/>
        <v>0</v>
      </c>
      <c r="X141" s="196">
        <f t="shared" ca="1" si="47"/>
        <v>0</v>
      </c>
      <c r="Y141" s="197">
        <f t="shared" ca="1" si="45"/>
        <v>0</v>
      </c>
      <c r="Z141" s="196">
        <f t="shared" ref="Z141:AC141" ca="1" si="48">Z305</f>
        <v>0</v>
      </c>
      <c r="AA141" s="196">
        <f t="shared" ca="1" si="48"/>
        <v>0</v>
      </c>
      <c r="AB141" s="196">
        <f t="shared" ca="1" si="48"/>
        <v>0</v>
      </c>
      <c r="AC141" s="196">
        <f t="shared" ca="1" si="48"/>
        <v>0</v>
      </c>
      <c r="AD141" s="197">
        <f t="shared" ca="1" si="46"/>
        <v>0</v>
      </c>
      <c r="AE141" s="197">
        <f t="shared" ref="AE141:AG141" ca="1" si="49">AE305</f>
        <v>0</v>
      </c>
      <c r="AF141" s="197">
        <f t="shared" ca="1" si="49"/>
        <v>0</v>
      </c>
      <c r="AG141" s="197">
        <f t="shared" ca="1" si="49"/>
        <v>0</v>
      </c>
      <c r="AH141" s="9"/>
      <c r="AI141" s="9"/>
      <c r="AJ141" s="197"/>
      <c r="AK141" s="9"/>
    </row>
    <row r="142" spans="1:37" ht="13.5" customHeight="1">
      <c r="A142" s="180"/>
      <c r="B142" s="9"/>
      <c r="C142" s="9" t="s">
        <v>332</v>
      </c>
      <c r="D142" s="9"/>
      <c r="E142" s="9"/>
      <c r="F142" s="271">
        <v>220.88499999999999</v>
      </c>
      <c r="G142" s="271">
        <v>194.11500000000001</v>
      </c>
      <c r="H142" s="271">
        <v>199.126</v>
      </c>
      <c r="I142" s="271">
        <v>213.53299999999999</v>
      </c>
      <c r="J142" s="126">
        <f t="shared" si="42"/>
        <v>213.53299999999999</v>
      </c>
      <c r="K142" s="271">
        <v>197.93899999999999</v>
      </c>
      <c r="L142" s="271">
        <v>197.346</v>
      </c>
      <c r="M142" s="271">
        <v>196.75200000000001</v>
      </c>
      <c r="N142" s="271">
        <v>196.15899999999999</v>
      </c>
      <c r="O142" s="126">
        <f t="shared" si="43"/>
        <v>196.15899999999999</v>
      </c>
      <c r="P142" s="271">
        <v>195.565</v>
      </c>
      <c r="Q142" s="271">
        <v>194.971</v>
      </c>
      <c r="R142" s="271">
        <v>292.024</v>
      </c>
      <c r="S142" s="271">
        <v>290.303</v>
      </c>
      <c r="T142" s="126">
        <f t="shared" si="44"/>
        <v>290.303</v>
      </c>
      <c r="U142" s="271">
        <v>288.58199999999999</v>
      </c>
      <c r="V142" s="272">
        <f>V311</f>
        <v>287.08199999999999</v>
      </c>
      <c r="W142" s="272">
        <f>W311</f>
        <v>285.58199999999999</v>
      </c>
      <c r="X142" s="272">
        <f>X311</f>
        <v>284.08199999999999</v>
      </c>
      <c r="Y142" s="126">
        <f t="shared" si="45"/>
        <v>284.08199999999999</v>
      </c>
      <c r="Z142" s="272">
        <f>Z311</f>
        <v>282.58199999999999</v>
      </c>
      <c r="AA142" s="272">
        <f>AA311</f>
        <v>281.08199999999999</v>
      </c>
      <c r="AB142" s="272">
        <f>AB311</f>
        <v>279.58199999999999</v>
      </c>
      <c r="AC142" s="272">
        <f>AC311</f>
        <v>278.08199999999999</v>
      </c>
      <c r="AD142" s="126">
        <f t="shared" si="46"/>
        <v>278.08199999999999</v>
      </c>
      <c r="AE142" s="126">
        <f>AE311</f>
        <v>272.08199999999999</v>
      </c>
      <c r="AF142" s="126">
        <f>AF311</f>
        <v>266.08199999999999</v>
      </c>
      <c r="AG142" s="126">
        <f>AG311</f>
        <v>260.08199999999999</v>
      </c>
      <c r="AH142" s="9"/>
      <c r="AI142" s="9"/>
      <c r="AJ142" s="197"/>
      <c r="AK142" s="9"/>
    </row>
    <row r="143" spans="1:37" ht="13.5" customHeight="1">
      <c r="A143" s="180"/>
      <c r="B143" s="9"/>
      <c r="C143" s="9" t="s">
        <v>334</v>
      </c>
      <c r="D143" s="9"/>
      <c r="E143" s="9"/>
      <c r="F143" s="821">
        <v>117.861</v>
      </c>
      <c r="G143" s="821">
        <v>121.33800000000001</v>
      </c>
      <c r="H143" s="821">
        <v>114.069</v>
      </c>
      <c r="I143" s="821">
        <v>118.595</v>
      </c>
      <c r="J143" s="268">
        <f t="shared" si="42"/>
        <v>118.595</v>
      </c>
      <c r="K143" s="821">
        <v>120.29400000000001</v>
      </c>
      <c r="L143" s="821">
        <v>126.10900000000001</v>
      </c>
      <c r="M143" s="821">
        <v>114.77800000000001</v>
      </c>
      <c r="N143" s="821">
        <v>115.73400000000001</v>
      </c>
      <c r="O143" s="268">
        <f t="shared" si="43"/>
        <v>115.73400000000001</v>
      </c>
      <c r="P143" s="821">
        <v>125.164</v>
      </c>
      <c r="Q143" s="821">
        <v>120.49700000000001</v>
      </c>
      <c r="R143" s="821">
        <v>120.092</v>
      </c>
      <c r="S143" s="821">
        <v>134.441</v>
      </c>
      <c r="T143" s="268">
        <f t="shared" si="44"/>
        <v>134.441</v>
      </c>
      <c r="U143" s="267">
        <f>134.541+26.318</f>
        <v>160.85900000000001</v>
      </c>
      <c r="V143" s="269">
        <f>V223</f>
        <v>156.324061</v>
      </c>
      <c r="W143" s="269">
        <f>W223</f>
        <v>165.93011924999999</v>
      </c>
      <c r="X143" s="269">
        <f>X223</f>
        <v>179.839927386</v>
      </c>
      <c r="Y143" s="268">
        <f t="shared" si="45"/>
        <v>179.839927386</v>
      </c>
      <c r="Z143" s="269">
        <f>Z223</f>
        <v>190.84011518942998</v>
      </c>
      <c r="AA143" s="269">
        <f>AA223</f>
        <v>202.29052210079581</v>
      </c>
      <c r="AB143" s="269">
        <f>AB223</f>
        <v>211.86726433478921</v>
      </c>
      <c r="AC143" s="269">
        <f>AC223</f>
        <v>221.65115148991856</v>
      </c>
      <c r="AD143" s="268">
        <f t="shared" si="46"/>
        <v>221.65115148991856</v>
      </c>
      <c r="AE143" s="268">
        <f>AE223</f>
        <v>221.12862170824479</v>
      </c>
      <c r="AF143" s="268">
        <f>AF223</f>
        <v>233.29069590219819</v>
      </c>
      <c r="AG143" s="268">
        <f>AG223</f>
        <v>248.5232644578802</v>
      </c>
      <c r="AH143" s="9"/>
      <c r="AI143" s="9"/>
      <c r="AJ143" s="197"/>
      <c r="AK143" s="9"/>
    </row>
    <row r="144" spans="1:37" ht="13.5" customHeight="1">
      <c r="A144" s="180"/>
      <c r="B144" s="9"/>
      <c r="C144" s="103" t="s">
        <v>335</v>
      </c>
      <c r="D144" s="9"/>
      <c r="E144" s="9"/>
      <c r="F144" s="266">
        <f>SUM(F140:F143)</f>
        <v>519.28200000000004</v>
      </c>
      <c r="G144" s="266">
        <f>SUM(G140:G143)</f>
        <v>495.05500000000001</v>
      </c>
      <c r="H144" s="266">
        <f>SUM(H140:H143)</f>
        <v>492.62600000000003</v>
      </c>
      <c r="I144" s="266">
        <f>SUM(I140:I143)</f>
        <v>506.83000000000004</v>
      </c>
      <c r="J144" s="197">
        <f t="shared" si="42"/>
        <v>506.83000000000004</v>
      </c>
      <c r="K144" s="266">
        <f>SUM(K140:K143)</f>
        <v>492.05100000000004</v>
      </c>
      <c r="L144" s="266">
        <f>SUM(L140:L143)</f>
        <v>497.27300000000002</v>
      </c>
      <c r="M144" s="266">
        <f>SUM(M140:M143)</f>
        <v>485.34800000000007</v>
      </c>
      <c r="N144" s="266">
        <f>SUM(N140:N143)</f>
        <v>513.31500000000005</v>
      </c>
      <c r="O144" s="197">
        <f t="shared" si="43"/>
        <v>513.31500000000005</v>
      </c>
      <c r="P144" s="266">
        <f>SUM(P140:P143)</f>
        <v>521.07500000000005</v>
      </c>
      <c r="Q144" s="266">
        <f>SUM(Q140:Q143)</f>
        <v>515.81400000000008</v>
      </c>
      <c r="R144" s="266">
        <f>SUM(R140:R143)</f>
        <v>612.14099999999996</v>
      </c>
      <c r="S144" s="266">
        <f>SUM(S140:S143)</f>
        <v>665.39200000000005</v>
      </c>
      <c r="T144" s="197">
        <f t="shared" si="44"/>
        <v>665.39200000000005</v>
      </c>
      <c r="U144" s="266">
        <f>SUM(U140:U143)</f>
        <v>690.08900000000006</v>
      </c>
      <c r="V144" s="196">
        <f ca="1">SUM(V140:V143)</f>
        <v>684.05406100000005</v>
      </c>
      <c r="W144" s="196">
        <f ca="1">SUM(W140:W143)</f>
        <v>692.16011924999998</v>
      </c>
      <c r="X144" s="196">
        <f ca="1">SUM(X140:X143)</f>
        <v>704.56992738600002</v>
      </c>
      <c r="Y144" s="197">
        <f t="shared" ca="1" si="45"/>
        <v>704.56992738600002</v>
      </c>
      <c r="Z144" s="196">
        <f ca="1">SUM(Z140:Z143)</f>
        <v>714.07011518943</v>
      </c>
      <c r="AA144" s="196">
        <f ca="1">SUM(AA140:AA143)</f>
        <v>724.0205221007958</v>
      </c>
      <c r="AB144" s="196">
        <f ca="1">SUM(AB140:AB143)</f>
        <v>732.0972643347892</v>
      </c>
      <c r="AC144" s="196">
        <f ca="1">SUM(AC140:AC143)</f>
        <v>740.38115148991858</v>
      </c>
      <c r="AD144" s="197">
        <f t="shared" ca="1" si="46"/>
        <v>740.38115148991858</v>
      </c>
      <c r="AE144" s="197">
        <f ca="1">SUM(AE140:AE143)</f>
        <v>733.85862170824475</v>
      </c>
      <c r="AF144" s="197">
        <f ca="1">SUM(AF140:AF143)</f>
        <v>740.02069590219821</v>
      </c>
      <c r="AG144" s="197">
        <f ca="1">SUM(AG140:AG143)</f>
        <v>749.25326445788028</v>
      </c>
      <c r="AH144" s="9"/>
      <c r="AI144" s="9"/>
      <c r="AJ144" s="197"/>
      <c r="AK144" s="9"/>
    </row>
    <row r="145" spans="1:37" ht="13.5" customHeight="1">
      <c r="A145" s="180"/>
      <c r="B145" s="9"/>
      <c r="C145" s="9"/>
      <c r="D145" s="9"/>
      <c r="E145" s="9"/>
      <c r="F145" s="228"/>
      <c r="G145" s="228"/>
      <c r="H145" s="228"/>
      <c r="I145" s="228"/>
      <c r="J145" s="9"/>
      <c r="K145" s="228"/>
      <c r="L145" s="228"/>
      <c r="M145" s="228"/>
      <c r="N145" s="228"/>
      <c r="O145" s="9"/>
      <c r="P145" s="228"/>
      <c r="Q145" s="228"/>
      <c r="R145" s="228"/>
      <c r="S145" s="228"/>
      <c r="T145" s="9"/>
      <c r="U145" s="228"/>
      <c r="V145" s="229"/>
      <c r="W145" s="229"/>
      <c r="X145" s="229"/>
      <c r="Y145" s="9"/>
      <c r="Z145" s="229"/>
      <c r="AA145" s="229"/>
      <c r="AB145" s="229"/>
      <c r="AC145" s="229"/>
      <c r="AD145" s="9"/>
      <c r="AE145" s="9"/>
      <c r="AF145" s="9"/>
      <c r="AG145" s="9"/>
      <c r="AH145" s="9"/>
      <c r="AI145" s="9"/>
      <c r="AJ145" s="197"/>
      <c r="AK145" s="9"/>
    </row>
    <row r="146" spans="1:37" ht="13.5" customHeight="1">
      <c r="A146" s="180"/>
      <c r="B146" s="9"/>
      <c r="C146" s="103" t="s">
        <v>336</v>
      </c>
      <c r="D146" s="9"/>
      <c r="E146" s="9"/>
      <c r="F146" s="266">
        <f t="shared" ref="F146:AG146" si="50">SUM(F138,F144)</f>
        <v>585.33000000000004</v>
      </c>
      <c r="G146" s="266">
        <f t="shared" si="50"/>
        <v>586.76400000000001</v>
      </c>
      <c r="H146" s="266">
        <f t="shared" si="50"/>
        <v>594.40300000000002</v>
      </c>
      <c r="I146" s="266">
        <f t="shared" si="50"/>
        <v>566.351</v>
      </c>
      <c r="J146" s="197">
        <f t="shared" si="50"/>
        <v>566.351</v>
      </c>
      <c r="K146" s="266">
        <f t="shared" si="50"/>
        <v>558.39400000000001</v>
      </c>
      <c r="L146" s="266">
        <f t="shared" si="50"/>
        <v>577.08799999999997</v>
      </c>
      <c r="M146" s="266">
        <f t="shared" si="50"/>
        <v>584.71800000000007</v>
      </c>
      <c r="N146" s="266">
        <f t="shared" si="50"/>
        <v>595.24200000000008</v>
      </c>
      <c r="O146" s="197">
        <f t="shared" si="50"/>
        <v>595.24200000000008</v>
      </c>
      <c r="P146" s="266">
        <f t="shared" si="50"/>
        <v>635.08300000000008</v>
      </c>
      <c r="Q146" s="266">
        <f t="shared" si="50"/>
        <v>622.40800000000013</v>
      </c>
      <c r="R146" s="266">
        <f t="shared" si="50"/>
        <v>729.00299999999993</v>
      </c>
      <c r="S146" s="266">
        <f t="shared" si="50"/>
        <v>766.46</v>
      </c>
      <c r="T146" s="197">
        <f t="shared" si="50"/>
        <v>766.46</v>
      </c>
      <c r="U146" s="266">
        <f t="shared" si="50"/>
        <v>806.99200000000008</v>
      </c>
      <c r="V146" s="196">
        <f t="shared" ca="1" si="50"/>
        <v>805.06161649046157</v>
      </c>
      <c r="W146" s="196">
        <f t="shared" ca="1" si="50"/>
        <v>820.53083141744014</v>
      </c>
      <c r="X146" s="196">
        <f t="shared" ca="1" si="50"/>
        <v>843.70186834422088</v>
      </c>
      <c r="Y146" s="197">
        <f t="shared" ca="1" si="50"/>
        <v>843.70186834422088</v>
      </c>
      <c r="Z146" s="196">
        <f t="shared" ca="1" si="50"/>
        <v>865.84018864526286</v>
      </c>
      <c r="AA146" s="196">
        <f t="shared" ca="1" si="50"/>
        <v>884.15145027039455</v>
      </c>
      <c r="AB146" s="196">
        <f t="shared" ca="1" si="50"/>
        <v>899.71569830425051</v>
      </c>
      <c r="AC146" s="196">
        <f t="shared" ca="1" si="50"/>
        <v>915.74009151738642</v>
      </c>
      <c r="AD146" s="197">
        <f t="shared" ca="1" si="50"/>
        <v>915.74009151738642</v>
      </c>
      <c r="AE146" s="197">
        <f t="shared" ca="1" si="50"/>
        <v>924.01854522721237</v>
      </c>
      <c r="AF146" s="197">
        <f t="shared" ca="1" si="50"/>
        <v>940.63941521470906</v>
      </c>
      <c r="AG146" s="197">
        <f t="shared" ca="1" si="50"/>
        <v>962.97125626243292</v>
      </c>
      <c r="AH146" s="9"/>
      <c r="AI146" s="9"/>
      <c r="AJ146" s="197"/>
      <c r="AK146" s="9"/>
    </row>
    <row r="147" spans="1:37" ht="13.5" customHeight="1">
      <c r="A147" s="180"/>
      <c r="B147" s="9"/>
      <c r="C147" s="9"/>
      <c r="D147" s="9"/>
      <c r="E147" s="9"/>
      <c r="F147" s="228"/>
      <c r="G147" s="228"/>
      <c r="H147" s="228"/>
      <c r="I147" s="228"/>
      <c r="J147" s="9"/>
      <c r="K147" s="228"/>
      <c r="L147" s="228"/>
      <c r="M147" s="228"/>
      <c r="N147" s="228"/>
      <c r="O147" s="9"/>
      <c r="P147" s="228"/>
      <c r="Q147" s="228"/>
      <c r="R147" s="228"/>
      <c r="S147" s="228"/>
      <c r="T147" s="9"/>
      <c r="U147" s="228"/>
      <c r="V147" s="229"/>
      <c r="W147" s="229"/>
      <c r="X147" s="229"/>
      <c r="Y147" s="9"/>
      <c r="Z147" s="229"/>
      <c r="AA147" s="229"/>
      <c r="AB147" s="229"/>
      <c r="AC147" s="229"/>
      <c r="AD147" s="9"/>
      <c r="AE147" s="9"/>
      <c r="AF147" s="9"/>
      <c r="AG147" s="9"/>
      <c r="AH147" s="9"/>
      <c r="AI147" s="9"/>
      <c r="AJ147" s="197"/>
      <c r="AK147" s="9"/>
    </row>
    <row r="148" spans="1:37" ht="13.5" customHeight="1">
      <c r="A148" s="180"/>
      <c r="B148" s="9"/>
      <c r="C148" s="9" t="s">
        <v>337</v>
      </c>
      <c r="D148" s="9"/>
      <c r="E148" s="9"/>
      <c r="F148" s="305">
        <v>163.18199999999999</v>
      </c>
      <c r="G148" s="305">
        <v>164.81700000000001</v>
      </c>
      <c r="H148" s="305">
        <v>166.875</v>
      </c>
      <c r="I148" s="305">
        <v>171.62100000000001</v>
      </c>
      <c r="J148" s="197">
        <f>I148</f>
        <v>171.62100000000001</v>
      </c>
      <c r="K148" s="305">
        <v>176.727</v>
      </c>
      <c r="L148" s="305">
        <v>179.26900000000001</v>
      </c>
      <c r="M148" s="305">
        <v>181.983</v>
      </c>
      <c r="N148" s="305">
        <v>208.45699999999999</v>
      </c>
      <c r="O148" s="197">
        <f>N148</f>
        <v>208.45699999999999</v>
      </c>
      <c r="P148" s="305">
        <v>210.154</v>
      </c>
      <c r="Q148" s="305">
        <v>214.84300000000002</v>
      </c>
      <c r="R148" s="305">
        <v>224.012</v>
      </c>
      <c r="S148" s="305">
        <v>261.911</v>
      </c>
      <c r="T148" s="197">
        <f>S148</f>
        <v>261.911</v>
      </c>
      <c r="U148" s="305">
        <v>271.74699999999996</v>
      </c>
      <c r="V148" s="196">
        <f>V248</f>
        <v>275.11566784789545</v>
      </c>
      <c r="W148" s="196">
        <f>W248</f>
        <v>278.69133914340347</v>
      </c>
      <c r="X148" s="196">
        <f>X248</f>
        <v>282.56675651215443</v>
      </c>
      <c r="Y148" s="197">
        <f>X148</f>
        <v>282.56675651215443</v>
      </c>
      <c r="Z148" s="196">
        <f>Z248</f>
        <v>286.67921978885568</v>
      </c>
      <c r="AA148" s="196">
        <f>AA248</f>
        <v>291.03843086215903</v>
      </c>
      <c r="AB148" s="196">
        <f>AB248</f>
        <v>295.60401364462132</v>
      </c>
      <c r="AC148" s="196">
        <f>AC248</f>
        <v>300.38043195602324</v>
      </c>
      <c r="AD148" s="197">
        <f>AC148</f>
        <v>300.38043195602324</v>
      </c>
      <c r="AE148" s="197">
        <f>AE248</f>
        <v>319.44106468096288</v>
      </c>
      <c r="AF148" s="197">
        <f>AF248</f>
        <v>339.55003220577419</v>
      </c>
      <c r="AG148" s="197">
        <f>AG248</f>
        <v>360.97200205680809</v>
      </c>
      <c r="AH148" s="9"/>
      <c r="AI148" s="9"/>
      <c r="AJ148" s="197"/>
      <c r="AK148" s="9"/>
    </row>
    <row r="149" spans="1:37" ht="13.5" customHeight="1">
      <c r="A149" s="180"/>
      <c r="B149" s="9"/>
      <c r="C149" s="9" t="s">
        <v>338</v>
      </c>
      <c r="D149" s="9"/>
      <c r="E149" s="9"/>
      <c r="F149" s="271">
        <v>205.32499999999999</v>
      </c>
      <c r="G149" s="271">
        <v>225.95699999999999</v>
      </c>
      <c r="H149" s="271">
        <v>227.786</v>
      </c>
      <c r="I149" s="271">
        <v>243.82300000000001</v>
      </c>
      <c r="J149" s="126">
        <f>I149</f>
        <v>243.82300000000001</v>
      </c>
      <c r="K149" s="305">
        <v>258.041</v>
      </c>
      <c r="L149" s="305">
        <v>283.25099999999998</v>
      </c>
      <c r="M149" s="305">
        <v>285.964</v>
      </c>
      <c r="N149" s="305">
        <v>316.69600000000003</v>
      </c>
      <c r="O149" s="126">
        <f>N149</f>
        <v>316.69600000000003</v>
      </c>
      <c r="P149" s="305">
        <v>356.209</v>
      </c>
      <c r="Q149" s="305">
        <v>391.73700000000002</v>
      </c>
      <c r="R149" s="305">
        <v>425.245</v>
      </c>
      <c r="S149" s="305">
        <v>455.51100000000002</v>
      </c>
      <c r="T149" s="126">
        <f>S149</f>
        <v>455.51100000000002</v>
      </c>
      <c r="U149" s="305">
        <v>486.91399999999999</v>
      </c>
      <c r="V149" s="272">
        <f ca="1">V257</f>
        <v>532.3262866602704</v>
      </c>
      <c r="W149" s="272">
        <f ca="1">W257</f>
        <v>582.09065205947445</v>
      </c>
      <c r="X149" s="272">
        <f ca="1">X257</f>
        <v>637.7987859366749</v>
      </c>
      <c r="Y149" s="126">
        <f ca="1">X149</f>
        <v>637.7987859366749</v>
      </c>
      <c r="Z149" s="272">
        <f ca="1">Z257</f>
        <v>698.74285108331571</v>
      </c>
      <c r="AA149" s="272">
        <f ca="1">AA257</f>
        <v>762.05251506768809</v>
      </c>
      <c r="AB149" s="272">
        <f ca="1">AB257</f>
        <v>826.79627681254851</v>
      </c>
      <c r="AC149" s="272">
        <f ca="1">AC257</f>
        <v>895.3979155996393</v>
      </c>
      <c r="AD149" s="126">
        <f ca="1">AC149</f>
        <v>895.3979155996393</v>
      </c>
      <c r="AE149" s="126">
        <f ca="1">AE257</f>
        <v>1154.3405916246586</v>
      </c>
      <c r="AF149" s="126">
        <f ca="1">AF257</f>
        <v>1417.284426634822</v>
      </c>
      <c r="AG149" s="126">
        <f ca="1">AG257</f>
        <v>1686.5819181445981</v>
      </c>
      <c r="AH149" s="9"/>
      <c r="AI149" s="9"/>
      <c r="AJ149" s="197"/>
      <c r="AK149" s="9"/>
    </row>
    <row r="150" spans="1:37" ht="13.5" customHeight="1">
      <c r="A150" s="180"/>
      <c r="B150" s="9"/>
      <c r="C150" s="9" t="s">
        <v>339</v>
      </c>
      <c r="D150" s="9"/>
      <c r="E150" s="9"/>
      <c r="F150" s="271">
        <v>0</v>
      </c>
      <c r="G150" s="271">
        <v>0</v>
      </c>
      <c r="H150" s="271">
        <v>0</v>
      </c>
      <c r="I150" s="271">
        <v>0</v>
      </c>
      <c r="J150" s="126">
        <f>I150</f>
        <v>0</v>
      </c>
      <c r="K150" s="305">
        <v>0</v>
      </c>
      <c r="L150" s="305">
        <v>0</v>
      </c>
      <c r="M150" s="305">
        <v>0</v>
      </c>
      <c r="N150" s="305">
        <v>0</v>
      </c>
      <c r="O150" s="126">
        <f>N150</f>
        <v>0</v>
      </c>
      <c r="P150" s="305">
        <v>0</v>
      </c>
      <c r="Q150" s="305">
        <v>0</v>
      </c>
      <c r="R150" s="305">
        <v>0</v>
      </c>
      <c r="S150" s="305">
        <v>0</v>
      </c>
      <c r="T150" s="126">
        <f>S150</f>
        <v>0</v>
      </c>
      <c r="U150" s="305">
        <v>0</v>
      </c>
      <c r="V150" s="272">
        <f>-V242+U150</f>
        <v>0</v>
      </c>
      <c r="W150" s="272">
        <f>-W242+V150</f>
        <v>0</v>
      </c>
      <c r="X150" s="272">
        <f>-X242+W150</f>
        <v>-35</v>
      </c>
      <c r="Y150" s="126">
        <f>X150</f>
        <v>-35</v>
      </c>
      <c r="Z150" s="272">
        <f>-Z242+Y150</f>
        <v>-35</v>
      </c>
      <c r="AA150" s="272">
        <f>-AA242+Z150</f>
        <v>-35</v>
      </c>
      <c r="AB150" s="272">
        <f>-AB242+AA150</f>
        <v>-35</v>
      </c>
      <c r="AC150" s="272">
        <f>-AC242+AB150</f>
        <v>-70</v>
      </c>
      <c r="AD150" s="126">
        <f>AC150</f>
        <v>-70</v>
      </c>
      <c r="AE150" s="126">
        <f>-AE242+AD150</f>
        <v>-105</v>
      </c>
      <c r="AF150" s="126">
        <f>-AF242+AE150</f>
        <v>-140</v>
      </c>
      <c r="AG150" s="126">
        <f>-AG242+AF150</f>
        <v>-175</v>
      </c>
      <c r="AH150" s="9"/>
      <c r="AI150" s="9"/>
      <c r="AJ150" s="197"/>
      <c r="AK150" s="9"/>
    </row>
    <row r="151" spans="1:37" ht="13.5" customHeight="1">
      <c r="A151" s="180"/>
      <c r="B151" s="9"/>
      <c r="C151" s="9" t="s">
        <v>340</v>
      </c>
      <c r="D151" s="9"/>
      <c r="E151" s="9"/>
      <c r="F151" s="267">
        <v>0</v>
      </c>
      <c r="G151" s="267">
        <v>0</v>
      </c>
      <c r="H151" s="267">
        <v>0</v>
      </c>
      <c r="I151" s="267">
        <v>0</v>
      </c>
      <c r="J151" s="268">
        <f>I151</f>
        <v>0</v>
      </c>
      <c r="K151" s="267">
        <v>0</v>
      </c>
      <c r="L151" s="267">
        <v>0</v>
      </c>
      <c r="M151" s="267">
        <v>0</v>
      </c>
      <c r="N151" s="267">
        <v>0</v>
      </c>
      <c r="O151" s="268">
        <f>N151</f>
        <v>0</v>
      </c>
      <c r="P151" s="267">
        <v>0</v>
      </c>
      <c r="Q151" s="267">
        <v>0</v>
      </c>
      <c r="R151" s="267">
        <v>0</v>
      </c>
      <c r="S151" s="267">
        <v>-0.14099999999999999</v>
      </c>
      <c r="T151" s="268">
        <f>S151</f>
        <v>-0.14099999999999999</v>
      </c>
      <c r="U151" s="267">
        <v>0.14000000000000001</v>
      </c>
      <c r="V151" s="269">
        <f>V262</f>
        <v>0.14000000000000001</v>
      </c>
      <c r="W151" s="269">
        <f>W262</f>
        <v>0.14000000000000001</v>
      </c>
      <c r="X151" s="269">
        <f>X262</f>
        <v>0.14000000000000001</v>
      </c>
      <c r="Y151" s="268">
        <f>X151</f>
        <v>0.14000000000000001</v>
      </c>
      <c r="Z151" s="269">
        <f>Z262</f>
        <v>0.14000000000000004</v>
      </c>
      <c r="AA151" s="269">
        <f>AA262</f>
        <v>0.14000000000000004</v>
      </c>
      <c r="AB151" s="269">
        <f>AB262</f>
        <v>0.14000000000000004</v>
      </c>
      <c r="AC151" s="269">
        <f>AC262</f>
        <v>0.14000000000000004</v>
      </c>
      <c r="AD151" s="268">
        <f>AC151</f>
        <v>0.14000000000000004</v>
      </c>
      <c r="AE151" s="268">
        <f>AE262</f>
        <v>0.14000000000000004</v>
      </c>
      <c r="AF151" s="268">
        <f>AF262</f>
        <v>0.14000000000000004</v>
      </c>
      <c r="AG151" s="268">
        <f>AG262</f>
        <v>0.14000000000000004</v>
      </c>
      <c r="AH151" s="9"/>
      <c r="AI151" s="9"/>
      <c r="AJ151" s="197"/>
      <c r="AK151" s="9"/>
    </row>
    <row r="152" spans="1:37" ht="13.5" customHeight="1">
      <c r="A152" s="180"/>
      <c r="B152" s="9"/>
      <c r="C152" s="103" t="s">
        <v>341</v>
      </c>
      <c r="D152" s="9"/>
      <c r="E152" s="9"/>
      <c r="F152" s="266">
        <f>SUM(F148:F151)</f>
        <v>368.50699999999995</v>
      </c>
      <c r="G152" s="266">
        <f>SUM(G148:G151)</f>
        <v>390.774</v>
      </c>
      <c r="H152" s="266">
        <f>SUM(H148:H151)</f>
        <v>394.661</v>
      </c>
      <c r="I152" s="266">
        <f>SUM(I148:I151)</f>
        <v>415.44400000000002</v>
      </c>
      <c r="J152" s="197">
        <f>I152</f>
        <v>415.44400000000002</v>
      </c>
      <c r="K152" s="266">
        <f>SUM(K148:K151)</f>
        <v>434.76800000000003</v>
      </c>
      <c r="L152" s="266">
        <f>SUM(L148:L151)</f>
        <v>462.52</v>
      </c>
      <c r="M152" s="266">
        <f>SUM(M148:M151)</f>
        <v>467.947</v>
      </c>
      <c r="N152" s="266">
        <f>SUM(N148:N151)</f>
        <v>525.15300000000002</v>
      </c>
      <c r="O152" s="197">
        <f>N152</f>
        <v>525.15300000000002</v>
      </c>
      <c r="P152" s="266">
        <f>SUM(P148:P151)</f>
        <v>566.36300000000006</v>
      </c>
      <c r="Q152" s="266">
        <f>SUM(Q148:Q151)</f>
        <v>606.58000000000004</v>
      </c>
      <c r="R152" s="266">
        <f>SUM(R148:R151)</f>
        <v>649.25700000000006</v>
      </c>
      <c r="S152" s="266">
        <f>SUM(S148:S151)</f>
        <v>717.28100000000006</v>
      </c>
      <c r="T152" s="197">
        <f>S152</f>
        <v>717.28100000000006</v>
      </c>
      <c r="U152" s="266">
        <f>SUM(U148:U151)</f>
        <v>758.80099999999993</v>
      </c>
      <c r="V152" s="196">
        <f ca="1">SUM(V148:V151)</f>
        <v>807.58195450816584</v>
      </c>
      <c r="W152" s="196">
        <f ca="1">SUM(W148:W151)</f>
        <v>860.92199120287785</v>
      </c>
      <c r="X152" s="196">
        <f ca="1">SUM(X148:X151)</f>
        <v>885.50554244882926</v>
      </c>
      <c r="Y152" s="197">
        <f ca="1">X152</f>
        <v>885.50554244882926</v>
      </c>
      <c r="Z152" s="196">
        <f ca="1">SUM(Z148:Z151)</f>
        <v>950.56207087217138</v>
      </c>
      <c r="AA152" s="196">
        <f ca="1">SUM(AA148:AA151)</f>
        <v>1018.2309459298471</v>
      </c>
      <c r="AB152" s="196">
        <f ca="1">SUM(AB148:AB151)</f>
        <v>1087.5402904571699</v>
      </c>
      <c r="AC152" s="196">
        <f ca="1">SUM(AC148:AC151)</f>
        <v>1125.9183475556626</v>
      </c>
      <c r="AD152" s="197">
        <f ca="1">AC152</f>
        <v>1125.9183475556626</v>
      </c>
      <c r="AE152" s="197">
        <f ca="1">SUM(AE148:AE151)</f>
        <v>1368.9216563056216</v>
      </c>
      <c r="AF152" s="197">
        <f ca="1">SUM(AF148:AF151)</f>
        <v>1616.9744588405963</v>
      </c>
      <c r="AG152" s="197">
        <f ca="1">SUM(AG148:AG151)</f>
        <v>1872.6939202014064</v>
      </c>
      <c r="AH152" s="9"/>
      <c r="AI152" s="9"/>
      <c r="AJ152" s="197"/>
      <c r="AK152" s="9"/>
    </row>
    <row r="153" spans="1:37" ht="13.5" customHeight="1">
      <c r="A153" s="180"/>
      <c r="B153" s="9"/>
      <c r="C153" s="9"/>
      <c r="D153" s="9"/>
      <c r="E153" s="9"/>
      <c r="F153" s="228"/>
      <c r="G153" s="228"/>
      <c r="H153" s="228"/>
      <c r="I153" s="228"/>
      <c r="J153" s="9"/>
      <c r="K153" s="228"/>
      <c r="L153" s="228"/>
      <c r="M153" s="228"/>
      <c r="N153" s="228"/>
      <c r="O153" s="9"/>
      <c r="P153" s="228"/>
      <c r="Q153" s="228"/>
      <c r="R153" s="228"/>
      <c r="S153" s="228"/>
      <c r="T153" s="824"/>
      <c r="U153" s="228"/>
      <c r="V153" s="284"/>
      <c r="W153" s="229"/>
      <c r="X153" s="229"/>
      <c r="Y153" s="9"/>
      <c r="Z153" s="229"/>
      <c r="AA153" s="229"/>
      <c r="AB153" s="229"/>
      <c r="AC153" s="229"/>
      <c r="AD153" s="9"/>
      <c r="AE153" s="9"/>
      <c r="AF153" s="9"/>
      <c r="AG153" s="9"/>
      <c r="AH153" s="9"/>
      <c r="AI153" s="9"/>
      <c r="AJ153" s="197"/>
      <c r="AK153" s="9"/>
    </row>
    <row r="154" spans="1:37" ht="13.5" customHeight="1">
      <c r="A154" s="180"/>
      <c r="B154" s="9"/>
      <c r="C154" s="9" t="s">
        <v>342</v>
      </c>
      <c r="D154" s="9"/>
      <c r="E154" s="9"/>
      <c r="F154" s="267">
        <f>118.835+3.632+276</f>
        <v>398.46699999999998</v>
      </c>
      <c r="G154" s="267">
        <f>130.384+3.82+276</f>
        <v>410.20399999999995</v>
      </c>
      <c r="H154" s="267">
        <f>131.644+3.653</f>
        <v>135.297</v>
      </c>
      <c r="I154" s="267">
        <f>3.877+135.702+19.169</f>
        <v>158.74800000000002</v>
      </c>
      <c r="J154" s="268">
        <f>I154</f>
        <v>158.74800000000002</v>
      </c>
      <c r="K154" s="267">
        <f>64.075+138.853+4.004</f>
        <v>206.93199999999999</v>
      </c>
      <c r="L154" s="267">
        <f>167.073+147.567+4.408</f>
        <v>319.048</v>
      </c>
      <c r="M154" s="267">
        <f>151.387+4.772</f>
        <v>156.15899999999999</v>
      </c>
      <c r="N154" s="267">
        <f>145.762+5.043</f>
        <v>150.80500000000001</v>
      </c>
      <c r="O154" s="268">
        <f>N154</f>
        <v>150.80500000000001</v>
      </c>
      <c r="P154" s="267">
        <f>160.446+4.632+5.389</f>
        <v>170.46700000000001</v>
      </c>
      <c r="Q154" s="267">
        <f>178.633+10.834+5.875</f>
        <v>195.34200000000001</v>
      </c>
      <c r="R154" s="267">
        <f>194.711+5.993+12.064</f>
        <v>212.768</v>
      </c>
      <c r="S154" s="267">
        <f>176.731+23.859+6.024</f>
        <v>206.614</v>
      </c>
      <c r="T154" s="268">
        <f>S154</f>
        <v>206.614</v>
      </c>
      <c r="U154" s="267">
        <f>189.252+6.185+40.808</f>
        <v>236.245</v>
      </c>
      <c r="V154" s="269">
        <f>Drivers!V114*Model!V28</f>
        <v>202.30172600000003</v>
      </c>
      <c r="W154" s="269">
        <f>Drivers!W114*Model!W28</f>
        <v>214.73309550000002</v>
      </c>
      <c r="X154" s="269">
        <f>Drivers!X114*Model!X28</f>
        <v>232.73402367600002</v>
      </c>
      <c r="Y154" s="268">
        <f>X154</f>
        <v>232.73402367600002</v>
      </c>
      <c r="Z154" s="269">
        <f>Drivers!Z114*Model!Z28</f>
        <v>246.96956083338003</v>
      </c>
      <c r="AA154" s="269">
        <f>Drivers!AA114*Model!AA28</f>
        <v>261.78773448338285</v>
      </c>
      <c r="AB154" s="269">
        <f>Drivers!AB114*Model!AB28</f>
        <v>261.71838535473961</v>
      </c>
      <c r="AC154" s="269">
        <f>Drivers!AC114*Model!AC28</f>
        <v>273.80436360519354</v>
      </c>
      <c r="AD154" s="268">
        <f>AC154</f>
        <v>273.80436360519354</v>
      </c>
      <c r="AE154" s="268">
        <f>Drivers!AE114*Model!AE28</f>
        <v>291.36947801556965</v>
      </c>
      <c r="AF154" s="268">
        <f>Drivers!AF114*Model!AF28</f>
        <v>318.37318499594107</v>
      </c>
      <c r="AG154" s="268">
        <f>Drivers!AG114*Model!AG28</f>
        <v>339.16116090722471</v>
      </c>
      <c r="AH154" s="9"/>
      <c r="AI154" s="9"/>
      <c r="AJ154" s="197"/>
      <c r="AK154" s="9"/>
    </row>
    <row r="155" spans="1:37" ht="13.5" customHeight="1">
      <c r="A155" s="180"/>
      <c r="B155" s="9"/>
      <c r="C155" s="103" t="s">
        <v>343</v>
      </c>
      <c r="D155" s="9"/>
      <c r="E155" s="9"/>
      <c r="F155" s="266">
        <f>SUM(F152:F154)</f>
        <v>766.97399999999993</v>
      </c>
      <c r="G155" s="266">
        <f>SUM(G152:G154)</f>
        <v>800.97799999999995</v>
      </c>
      <c r="H155" s="266">
        <f>SUM(H152:H154)</f>
        <v>529.95799999999997</v>
      </c>
      <c r="I155" s="266">
        <f>SUM(I152:I154)</f>
        <v>574.19200000000001</v>
      </c>
      <c r="J155" s="197">
        <f>I155</f>
        <v>574.19200000000001</v>
      </c>
      <c r="K155" s="266">
        <f>SUM(K152:K154)</f>
        <v>641.70000000000005</v>
      </c>
      <c r="L155" s="266">
        <f>SUM(L152:L154)</f>
        <v>781.56799999999998</v>
      </c>
      <c r="M155" s="266">
        <f>SUM(M152:M154)</f>
        <v>624.10599999999999</v>
      </c>
      <c r="N155" s="266">
        <f>SUM(N152:N154)</f>
        <v>675.95800000000008</v>
      </c>
      <c r="O155" s="197">
        <f>N155</f>
        <v>675.95800000000008</v>
      </c>
      <c r="P155" s="266">
        <f>SUM(P152:P154)</f>
        <v>736.83</v>
      </c>
      <c r="Q155" s="266">
        <f>SUM(Q152:Q154)</f>
        <v>801.92200000000003</v>
      </c>
      <c r="R155" s="266">
        <f>SUM(R152:R154)</f>
        <v>862.02500000000009</v>
      </c>
      <c r="S155" s="266">
        <f>SUM(S152:S154)</f>
        <v>923.8950000000001</v>
      </c>
      <c r="T155" s="197">
        <f>S155</f>
        <v>923.8950000000001</v>
      </c>
      <c r="U155" s="266">
        <f>SUM(U152:U154)</f>
        <v>995.04599999999994</v>
      </c>
      <c r="V155" s="196">
        <f ca="1">SUM(V152:V154)</f>
        <v>1009.8836805081659</v>
      </c>
      <c r="W155" s="196">
        <f ca="1">SUM(W152:W154)</f>
        <v>1075.655086702878</v>
      </c>
      <c r="X155" s="196">
        <f ca="1">SUM(X152:X154)</f>
        <v>1118.2395661248293</v>
      </c>
      <c r="Y155" s="197">
        <f ca="1">X155</f>
        <v>1118.2395661248293</v>
      </c>
      <c r="Z155" s="196">
        <f ca="1">SUM(Z152:Z154)</f>
        <v>1197.5316317055515</v>
      </c>
      <c r="AA155" s="196">
        <f ca="1">SUM(AA152:AA154)</f>
        <v>1280.01868041323</v>
      </c>
      <c r="AB155" s="196">
        <f ca="1">SUM(AB152:AB154)</f>
        <v>1349.2586758119096</v>
      </c>
      <c r="AC155" s="196">
        <f ca="1">SUM(AC152:AC154)</f>
        <v>1399.7227111608563</v>
      </c>
      <c r="AD155" s="197">
        <f ca="1">AC155</f>
        <v>1399.7227111608563</v>
      </c>
      <c r="AE155" s="197">
        <f ca="1">SUM(AE152:AE154)</f>
        <v>1660.2911343211913</v>
      </c>
      <c r="AF155" s="197">
        <f ca="1">SUM(AF152:AF154)</f>
        <v>1935.3476438365374</v>
      </c>
      <c r="AG155" s="197">
        <f ca="1">SUM(AG152:AG154)</f>
        <v>2211.8550811086311</v>
      </c>
      <c r="AH155" s="9"/>
      <c r="AI155" s="9"/>
      <c r="AJ155" s="197"/>
      <c r="AK155" s="9"/>
    </row>
    <row r="156" spans="1:37" ht="13.5" customHeight="1">
      <c r="A156" s="180"/>
      <c r="B156" s="9"/>
      <c r="C156" s="103"/>
      <c r="D156" s="9"/>
      <c r="E156" s="9"/>
      <c r="F156" s="228"/>
      <c r="G156" s="228"/>
      <c r="H156" s="228"/>
      <c r="I156" s="228"/>
      <c r="J156" s="9"/>
      <c r="K156" s="228"/>
      <c r="L156" s="228"/>
      <c r="M156" s="228"/>
      <c r="N156" s="228"/>
      <c r="O156" s="9"/>
      <c r="P156" s="228"/>
      <c r="Q156" s="228"/>
      <c r="R156" s="228"/>
      <c r="S156" s="228"/>
      <c r="T156" s="9"/>
      <c r="U156" s="228"/>
      <c r="V156" s="229"/>
      <c r="W156" s="229"/>
      <c r="X156" s="229"/>
      <c r="Y156" s="9"/>
      <c r="Z156" s="229"/>
      <c r="AA156" s="229"/>
      <c r="AB156" s="229"/>
      <c r="AC156" s="229"/>
      <c r="AD156" s="9"/>
      <c r="AE156" s="9"/>
      <c r="AF156" s="9"/>
      <c r="AG156" s="9"/>
      <c r="AH156" s="9"/>
      <c r="AI156" s="9"/>
      <c r="AJ156" s="9"/>
      <c r="AK156" s="9"/>
    </row>
    <row r="157" spans="1:37" ht="13.5" customHeight="1">
      <c r="A157" s="180"/>
      <c r="B157" s="9"/>
      <c r="C157" s="103" t="s">
        <v>344</v>
      </c>
      <c r="D157" s="9"/>
      <c r="E157" s="9"/>
      <c r="F157" s="266">
        <f t="shared" ref="F157:AG157" si="51">SUM(F146,F155)</f>
        <v>1352.3040000000001</v>
      </c>
      <c r="G157" s="266">
        <f t="shared" si="51"/>
        <v>1387.742</v>
      </c>
      <c r="H157" s="266">
        <f t="shared" si="51"/>
        <v>1124.3609999999999</v>
      </c>
      <c r="I157" s="266">
        <f t="shared" si="51"/>
        <v>1140.5430000000001</v>
      </c>
      <c r="J157" s="197">
        <f t="shared" si="51"/>
        <v>1140.5430000000001</v>
      </c>
      <c r="K157" s="266">
        <f t="shared" si="51"/>
        <v>1200.0940000000001</v>
      </c>
      <c r="L157" s="266">
        <f t="shared" si="51"/>
        <v>1358.6559999999999</v>
      </c>
      <c r="M157" s="266">
        <f t="shared" si="51"/>
        <v>1208.8240000000001</v>
      </c>
      <c r="N157" s="266">
        <f t="shared" si="51"/>
        <v>1271.2000000000003</v>
      </c>
      <c r="O157" s="197">
        <f t="shared" si="51"/>
        <v>1271.2000000000003</v>
      </c>
      <c r="P157" s="266">
        <f t="shared" si="51"/>
        <v>1371.913</v>
      </c>
      <c r="Q157" s="266">
        <f t="shared" si="51"/>
        <v>1424.3300000000002</v>
      </c>
      <c r="R157" s="266">
        <f t="shared" si="51"/>
        <v>1591.028</v>
      </c>
      <c r="S157" s="266">
        <f t="shared" si="51"/>
        <v>1690.355</v>
      </c>
      <c r="T157" s="197">
        <f t="shared" si="51"/>
        <v>1690.355</v>
      </c>
      <c r="U157" s="266">
        <f t="shared" si="51"/>
        <v>1802.038</v>
      </c>
      <c r="V157" s="196">
        <f ca="1">SUM(V146,V155)</f>
        <v>1814.9452969986273</v>
      </c>
      <c r="W157" s="196">
        <f ca="1">SUM(W146,W155)</f>
        <v>1896.1859181203181</v>
      </c>
      <c r="X157" s="196">
        <f t="shared" ca="1" si="51"/>
        <v>1961.9414344690501</v>
      </c>
      <c r="Y157" s="197">
        <f t="shared" ca="1" si="51"/>
        <v>1961.9414344690501</v>
      </c>
      <c r="Z157" s="196">
        <f t="shared" ca="1" si="51"/>
        <v>2063.3718203508142</v>
      </c>
      <c r="AA157" s="196">
        <f t="shared" ca="1" si="51"/>
        <v>2164.1701306836244</v>
      </c>
      <c r="AB157" s="196">
        <f t="shared" ca="1" si="51"/>
        <v>2248.9743741161601</v>
      </c>
      <c r="AC157" s="196">
        <f t="shared" ca="1" si="51"/>
        <v>2315.462802678243</v>
      </c>
      <c r="AD157" s="197">
        <f t="shared" ca="1" si="51"/>
        <v>2315.462802678243</v>
      </c>
      <c r="AE157" s="197">
        <f t="shared" ca="1" si="51"/>
        <v>2584.3096795484034</v>
      </c>
      <c r="AF157" s="197">
        <f t="shared" ca="1" si="51"/>
        <v>2875.9870590512464</v>
      </c>
      <c r="AG157" s="197">
        <f t="shared" ca="1" si="51"/>
        <v>3174.8263373710643</v>
      </c>
      <c r="AH157" s="9"/>
      <c r="AI157" s="9"/>
      <c r="AJ157" s="9"/>
      <c r="AK157" s="9"/>
    </row>
    <row r="158" spans="1:37" ht="13.5" customHeight="1">
      <c r="A158" s="180"/>
      <c r="B158" s="9"/>
      <c r="C158" s="103"/>
      <c r="D158" s="9"/>
      <c r="E158" s="9"/>
      <c r="F158" s="228"/>
      <c r="G158" s="228"/>
      <c r="H158" s="228"/>
      <c r="I158" s="228"/>
      <c r="J158" s="9"/>
      <c r="K158" s="228"/>
      <c r="L158" s="228"/>
      <c r="M158" s="228"/>
      <c r="N158" s="228"/>
      <c r="O158" s="9"/>
      <c r="P158" s="228"/>
      <c r="Q158" s="228"/>
      <c r="R158" s="228"/>
      <c r="S158" s="228"/>
      <c r="T158" s="9"/>
      <c r="U158" s="228"/>
      <c r="V158" s="818"/>
      <c r="W158" s="818"/>
      <c r="X158" s="818"/>
      <c r="Y158" s="197"/>
      <c r="Z158" s="818"/>
      <c r="AA158" s="818"/>
      <c r="AB158" s="818"/>
      <c r="AC158" s="818"/>
      <c r="AD158" s="197"/>
      <c r="AE158" s="197"/>
      <c r="AF158" s="197"/>
      <c r="AG158" s="197"/>
      <c r="AH158" s="9"/>
      <c r="AI158" s="9"/>
      <c r="AJ158" s="9"/>
      <c r="AK158" s="9"/>
    </row>
    <row r="159" spans="1:37" ht="13.5" customHeight="1">
      <c r="A159" s="180"/>
      <c r="B159" s="299"/>
      <c r="C159" s="313" t="s">
        <v>345</v>
      </c>
      <c r="D159" s="314"/>
      <c r="E159" s="314"/>
      <c r="F159" s="315">
        <f t="shared" ref="F159:AG159" si="52">F133-F157</f>
        <v>0</v>
      </c>
      <c r="G159" s="315">
        <f t="shared" si="52"/>
        <v>0</v>
      </c>
      <c r="H159" s="315">
        <f t="shared" si="52"/>
        <v>0</v>
      </c>
      <c r="I159" s="315">
        <f t="shared" si="52"/>
        <v>0</v>
      </c>
      <c r="J159" s="316">
        <f t="shared" si="52"/>
        <v>0</v>
      </c>
      <c r="K159" s="315">
        <f t="shared" si="52"/>
        <v>0</v>
      </c>
      <c r="L159" s="315">
        <f t="shared" si="52"/>
        <v>0</v>
      </c>
      <c r="M159" s="315">
        <f t="shared" si="52"/>
        <v>0</v>
      </c>
      <c r="N159" s="315">
        <f t="shared" si="52"/>
        <v>0</v>
      </c>
      <c r="O159" s="316">
        <f t="shared" si="52"/>
        <v>0</v>
      </c>
      <c r="P159" s="315">
        <f t="shared" si="52"/>
        <v>0</v>
      </c>
      <c r="Q159" s="315">
        <f t="shared" si="52"/>
        <v>0</v>
      </c>
      <c r="R159" s="315">
        <f t="shared" si="52"/>
        <v>0</v>
      </c>
      <c r="S159" s="315">
        <f t="shared" si="52"/>
        <v>0</v>
      </c>
      <c r="T159" s="316">
        <f t="shared" si="52"/>
        <v>0</v>
      </c>
      <c r="U159" s="315">
        <f t="shared" si="52"/>
        <v>0</v>
      </c>
      <c r="V159" s="317">
        <f t="shared" ca="1" si="52"/>
        <v>0</v>
      </c>
      <c r="W159" s="317">
        <f t="shared" ca="1" si="52"/>
        <v>0</v>
      </c>
      <c r="X159" s="317">
        <f t="shared" ca="1" si="52"/>
        <v>0</v>
      </c>
      <c r="Y159" s="316">
        <f t="shared" ca="1" si="52"/>
        <v>0</v>
      </c>
      <c r="Z159" s="317">
        <f t="shared" ca="1" si="52"/>
        <v>0</v>
      </c>
      <c r="AA159" s="317">
        <f t="shared" ca="1" si="52"/>
        <v>0</v>
      </c>
      <c r="AB159" s="317">
        <f t="shared" ca="1" si="52"/>
        <v>0</v>
      </c>
      <c r="AC159" s="317">
        <f t="shared" ca="1" si="52"/>
        <v>0</v>
      </c>
      <c r="AD159" s="316">
        <f t="shared" ca="1" si="52"/>
        <v>0</v>
      </c>
      <c r="AE159" s="316">
        <f t="shared" ca="1" si="52"/>
        <v>0</v>
      </c>
      <c r="AF159" s="316">
        <f t="shared" ca="1" si="52"/>
        <v>0</v>
      </c>
      <c r="AG159" s="318">
        <f t="shared" ca="1" si="52"/>
        <v>0</v>
      </c>
      <c r="AH159" s="216"/>
      <c r="AI159" s="216"/>
      <c r="AJ159" s="216"/>
      <c r="AK159" s="216"/>
    </row>
    <row r="160" spans="1:37" ht="13.5" customHeight="1">
      <c r="A160" s="180"/>
      <c r="B160" s="9"/>
      <c r="C160" s="9"/>
      <c r="D160" s="9"/>
      <c r="E160" s="9"/>
      <c r="F160" s="228"/>
      <c r="G160" s="228"/>
      <c r="H160" s="228"/>
      <c r="I160" s="228"/>
      <c r="J160" s="9"/>
      <c r="K160" s="228"/>
      <c r="L160" s="228"/>
      <c r="M160" s="228"/>
      <c r="N160" s="228"/>
      <c r="O160" s="9"/>
      <c r="P160" s="228"/>
      <c r="Q160" s="228"/>
      <c r="R160" s="228"/>
      <c r="S160" s="228"/>
      <c r="T160" s="9"/>
      <c r="U160" s="228"/>
      <c r="V160" s="284"/>
      <c r="W160" s="284"/>
      <c r="X160" s="284"/>
      <c r="Y160" s="9"/>
      <c r="Z160" s="284"/>
      <c r="AA160" s="284"/>
      <c r="AB160" s="284"/>
      <c r="AC160" s="284"/>
      <c r="AD160" s="9"/>
      <c r="AE160" s="9"/>
      <c r="AF160" s="9"/>
      <c r="AG160" s="9"/>
      <c r="AH160" s="9"/>
      <c r="AI160" s="9"/>
      <c r="AJ160" s="9"/>
      <c r="AK160" s="9"/>
    </row>
    <row r="161" spans="1:37" ht="13.5" customHeight="1">
      <c r="A161" s="180" t="s">
        <v>0</v>
      </c>
      <c r="B161" s="37"/>
      <c r="C161" s="50" t="s">
        <v>346</v>
      </c>
      <c r="D161" s="12"/>
      <c r="E161" s="12"/>
      <c r="F161" s="226" t="str">
        <f>F$25</f>
        <v>1Q23</v>
      </c>
      <c r="G161" s="51" t="str">
        <f t="shared" ref="G161:AG161" si="53">G$63</f>
        <v>2Q23</v>
      </c>
      <c r="H161" s="51" t="str">
        <f t="shared" si="53"/>
        <v>3Q23</v>
      </c>
      <c r="I161" s="51" t="str">
        <f t="shared" si="53"/>
        <v>4Q23</v>
      </c>
      <c r="J161" s="51">
        <f t="shared" si="53"/>
        <v>2023</v>
      </c>
      <c r="K161" s="51" t="str">
        <f t="shared" si="53"/>
        <v>1Q24</v>
      </c>
      <c r="L161" s="51" t="str">
        <f t="shared" si="53"/>
        <v>2Q24</v>
      </c>
      <c r="M161" s="51" t="str">
        <f t="shared" si="53"/>
        <v>3Q24</v>
      </c>
      <c r="N161" s="51" t="str">
        <f t="shared" si="53"/>
        <v>4Q24</v>
      </c>
      <c r="O161" s="51">
        <f t="shared" si="53"/>
        <v>2024</v>
      </c>
      <c r="P161" s="51" t="str">
        <f t="shared" si="53"/>
        <v>1Q25</v>
      </c>
      <c r="Q161" s="51" t="str">
        <f t="shared" si="53"/>
        <v>2Q25</v>
      </c>
      <c r="R161" s="51" t="str">
        <f t="shared" si="53"/>
        <v>3Q25</v>
      </c>
      <c r="S161" s="51" t="str">
        <f t="shared" si="53"/>
        <v>4Q25</v>
      </c>
      <c r="T161" s="51">
        <f t="shared" si="53"/>
        <v>2025</v>
      </c>
      <c r="U161" s="51" t="str">
        <f t="shared" si="53"/>
        <v>1Q26</v>
      </c>
      <c r="V161" s="51" t="str">
        <f t="shared" si="53"/>
        <v>2Q26e</v>
      </c>
      <c r="W161" s="51" t="str">
        <f t="shared" si="53"/>
        <v>3Q26e</v>
      </c>
      <c r="X161" s="51" t="str">
        <f t="shared" si="53"/>
        <v>4Q26e</v>
      </c>
      <c r="Y161" s="51" t="str">
        <f t="shared" si="53"/>
        <v>2026e</v>
      </c>
      <c r="Z161" s="51" t="str">
        <f t="shared" si="53"/>
        <v>1Q27e</v>
      </c>
      <c r="AA161" s="51" t="str">
        <f t="shared" si="53"/>
        <v>2Q27e</v>
      </c>
      <c r="AB161" s="51" t="str">
        <f t="shared" si="53"/>
        <v>3Q27e</v>
      </c>
      <c r="AC161" s="51" t="str">
        <f t="shared" si="53"/>
        <v>4Q27e</v>
      </c>
      <c r="AD161" s="51" t="str">
        <f t="shared" si="53"/>
        <v>2027e</v>
      </c>
      <c r="AE161" s="51" t="str">
        <f t="shared" si="53"/>
        <v>2028e</v>
      </c>
      <c r="AF161" s="51" t="str">
        <f t="shared" si="53"/>
        <v>2029e</v>
      </c>
      <c r="AG161" s="52" t="str">
        <f t="shared" si="53"/>
        <v>2030e</v>
      </c>
      <c r="AH161" s="180" t="s">
        <v>0</v>
      </c>
      <c r="AI161" s="9"/>
      <c r="AJ161" s="9"/>
      <c r="AK161" s="9"/>
    </row>
    <row r="162" spans="1:37" ht="13.5" customHeight="1">
      <c r="A162" s="180"/>
      <c r="B162" s="9"/>
      <c r="C162" s="9"/>
      <c r="D162" s="9"/>
      <c r="E162" s="9"/>
      <c r="F162" s="228"/>
      <c r="G162" s="228"/>
      <c r="H162" s="228"/>
      <c r="I162" s="228"/>
      <c r="J162" s="9"/>
      <c r="K162" s="228"/>
      <c r="L162" s="228"/>
      <c r="M162" s="228"/>
      <c r="N162" s="228"/>
      <c r="O162" s="9"/>
      <c r="P162" s="228"/>
      <c r="Q162" s="228"/>
      <c r="R162" s="228"/>
      <c r="S162" s="228"/>
      <c r="T162" s="9"/>
      <c r="U162" s="228"/>
      <c r="V162" s="229"/>
      <c r="W162" s="229"/>
      <c r="X162" s="229"/>
      <c r="Y162" s="9"/>
      <c r="Z162" s="229"/>
      <c r="AA162" s="229"/>
      <c r="AB162" s="229"/>
      <c r="AC162" s="229"/>
      <c r="AD162" s="9"/>
      <c r="AE162" s="9"/>
      <c r="AF162" s="9"/>
      <c r="AG162" s="9"/>
      <c r="AH162" s="9"/>
      <c r="AI162" s="9"/>
      <c r="AJ162" s="9"/>
      <c r="AK162" s="9"/>
    </row>
    <row r="163" spans="1:37" ht="13.5" customHeight="1">
      <c r="A163" s="180"/>
      <c r="B163" s="9"/>
      <c r="C163" s="103" t="str">
        <f>C123</f>
        <v>Fees Receivable</v>
      </c>
      <c r="D163" s="9"/>
      <c r="E163" s="9"/>
      <c r="F163" s="266">
        <f t="shared" ref="F163:U163" si="54">F123</f>
        <v>44.981999999999999</v>
      </c>
      <c r="G163" s="266">
        <f t="shared" si="54"/>
        <v>47.496000000000002</v>
      </c>
      <c r="H163" s="266">
        <f t="shared" si="54"/>
        <v>52.073999999999998</v>
      </c>
      <c r="I163" s="266">
        <f t="shared" si="54"/>
        <v>47.14</v>
      </c>
      <c r="J163" s="197">
        <f t="shared" si="54"/>
        <v>47.14</v>
      </c>
      <c r="K163" s="266">
        <f t="shared" si="54"/>
        <v>65.864000000000004</v>
      </c>
      <c r="L163" s="266">
        <f t="shared" si="54"/>
        <v>61.8</v>
      </c>
      <c r="M163" s="266">
        <f t="shared" si="54"/>
        <v>67.751000000000005</v>
      </c>
      <c r="N163" s="266">
        <f t="shared" si="54"/>
        <v>108.291</v>
      </c>
      <c r="O163" s="197">
        <f t="shared" si="54"/>
        <v>108.291</v>
      </c>
      <c r="P163" s="266">
        <f t="shared" si="54"/>
        <v>141.09899999999999</v>
      </c>
      <c r="Q163" s="266">
        <f t="shared" si="54"/>
        <v>95.509</v>
      </c>
      <c r="R163" s="266">
        <f t="shared" si="54"/>
        <v>135.62200000000001</v>
      </c>
      <c r="S163" s="266">
        <f t="shared" si="54"/>
        <v>181.411</v>
      </c>
      <c r="T163" s="197">
        <f t="shared" si="54"/>
        <v>181.411</v>
      </c>
      <c r="U163" s="266">
        <f t="shared" si="54"/>
        <v>158.06100000000001</v>
      </c>
      <c r="V163" s="196">
        <f>V183*V28/V$26</f>
        <v>159.65870483516485</v>
      </c>
      <c r="W163" s="196">
        <f>W183*W28/W$26</f>
        <v>167.62761407608696</v>
      </c>
      <c r="X163" s="196">
        <f>X183*X28/X$26</f>
        <v>181.67972203956521</v>
      </c>
      <c r="Y163" s="197">
        <f>X163</f>
        <v>181.67972203956521</v>
      </c>
      <c r="Z163" s="196">
        <f>Z183*Z28/Z$26</f>
        <v>212.18164067603078</v>
      </c>
      <c r="AA163" s="196">
        <f>AA183*AA28/AA$26</f>
        <v>224.91253911659263</v>
      </c>
      <c r="AB163" s="196">
        <f>AB183*AB28/AB$26</f>
        <v>232.9998047671595</v>
      </c>
      <c r="AC163" s="196">
        <f>AC183*AC28/AC$26</f>
        <v>243.75957836487211</v>
      </c>
      <c r="AD163" s="197">
        <f>AC163</f>
        <v>243.75957836487211</v>
      </c>
      <c r="AE163" s="197">
        <f>AE183*AE28/AE$26</f>
        <v>222.37592255591417</v>
      </c>
      <c r="AF163" s="197">
        <f>AF183*AF28/AF$26</f>
        <v>240.62215209896348</v>
      </c>
      <c r="AG163" s="197">
        <f>AG183*AG28/AG$26</f>
        <v>256.3334234537362</v>
      </c>
      <c r="AH163" s="9"/>
      <c r="AI163" s="9"/>
      <c r="AJ163" s="9"/>
      <c r="AK163" s="9"/>
    </row>
    <row r="164" spans="1:37" ht="13.5" customHeight="1">
      <c r="A164" s="180"/>
      <c r="B164" s="9"/>
      <c r="C164" s="103" t="str">
        <f>C124</f>
        <v>Inventory</v>
      </c>
      <c r="D164" s="9"/>
      <c r="E164" s="9"/>
      <c r="F164" s="297">
        <f t="shared" ref="F164:U164" si="55">F124</f>
        <v>0</v>
      </c>
      <c r="G164" s="297">
        <f t="shared" si="55"/>
        <v>0</v>
      </c>
      <c r="H164" s="297">
        <f t="shared" si="55"/>
        <v>0</v>
      </c>
      <c r="I164" s="297">
        <f t="shared" si="55"/>
        <v>0</v>
      </c>
      <c r="J164" s="126">
        <f t="shared" si="55"/>
        <v>0</v>
      </c>
      <c r="K164" s="297">
        <f t="shared" si="55"/>
        <v>0</v>
      </c>
      <c r="L164" s="297">
        <f t="shared" si="55"/>
        <v>0</v>
      </c>
      <c r="M164" s="297">
        <f t="shared" si="55"/>
        <v>0</v>
      </c>
      <c r="N164" s="297">
        <f t="shared" si="55"/>
        <v>0</v>
      </c>
      <c r="O164" s="126">
        <f t="shared" si="55"/>
        <v>0</v>
      </c>
      <c r="P164" s="297">
        <f t="shared" si="55"/>
        <v>0</v>
      </c>
      <c r="Q164" s="297">
        <f t="shared" si="55"/>
        <v>0</v>
      </c>
      <c r="R164" s="297">
        <f t="shared" si="55"/>
        <v>0</v>
      </c>
      <c r="S164" s="297">
        <f t="shared" si="55"/>
        <v>0</v>
      </c>
      <c r="T164" s="126">
        <f t="shared" si="55"/>
        <v>0</v>
      </c>
      <c r="U164" s="297">
        <f t="shared" si="55"/>
        <v>0</v>
      </c>
      <c r="V164" s="272">
        <f>V184*-V29/V$26</f>
        <v>0</v>
      </c>
      <c r="W164" s="272">
        <f>W184*-W29/W$26</f>
        <v>0</v>
      </c>
      <c r="X164" s="272">
        <f>X184*-X29/X$26</f>
        <v>0</v>
      </c>
      <c r="Y164" s="126">
        <f>X164</f>
        <v>0</v>
      </c>
      <c r="Z164" s="272">
        <f>Z184*-Z29/Z$26</f>
        <v>0</v>
      </c>
      <c r="AA164" s="272">
        <f>AA184*-AA29/AA$26</f>
        <v>0</v>
      </c>
      <c r="AB164" s="272">
        <f>AB184*-AB29/AB$26</f>
        <v>0</v>
      </c>
      <c r="AC164" s="272">
        <f>AC184*-AC29/AC$26</f>
        <v>0</v>
      </c>
      <c r="AD164" s="126">
        <f>AC164</f>
        <v>0</v>
      </c>
      <c r="AE164" s="126">
        <f>AE184*-AE29/AE$26</f>
        <v>0</v>
      </c>
      <c r="AF164" s="126">
        <f>AF184*-AF29/AF$26</f>
        <v>0</v>
      </c>
      <c r="AG164" s="126">
        <f>AG184*-AG29/AG$26</f>
        <v>0</v>
      </c>
      <c r="AH164" s="9"/>
      <c r="AI164" s="9"/>
      <c r="AJ164" s="9"/>
      <c r="AK164" s="9"/>
    </row>
    <row r="165" spans="1:37" ht="13.5" customHeight="1">
      <c r="A165" s="180"/>
      <c r="B165" s="9"/>
      <c r="C165" s="103" t="str">
        <f>C125</f>
        <v>Prepaid &amp; Other Current Assets</v>
      </c>
      <c r="D165" s="9"/>
      <c r="E165" s="9"/>
      <c r="F165" s="285">
        <f t="shared" ref="F165:U165" si="56">F125</f>
        <v>14.351000000000001</v>
      </c>
      <c r="G165" s="285">
        <f t="shared" si="56"/>
        <v>16.079000000000001</v>
      </c>
      <c r="H165" s="285">
        <f t="shared" si="56"/>
        <v>17.978000000000002</v>
      </c>
      <c r="I165" s="285">
        <f t="shared" si="56"/>
        <v>21.807000000000002</v>
      </c>
      <c r="J165" s="268">
        <f t="shared" si="56"/>
        <v>21.807000000000002</v>
      </c>
      <c r="K165" s="285">
        <f t="shared" si="56"/>
        <v>20.774999999999999</v>
      </c>
      <c r="L165" s="285">
        <f t="shared" si="56"/>
        <v>19.320999999999998</v>
      </c>
      <c r="M165" s="285">
        <f t="shared" si="56"/>
        <v>24.372</v>
      </c>
      <c r="N165" s="285">
        <f t="shared" si="56"/>
        <v>24.207999999999998</v>
      </c>
      <c r="O165" s="268">
        <f t="shared" si="56"/>
        <v>24.207999999999998</v>
      </c>
      <c r="P165" s="285">
        <f t="shared" si="56"/>
        <v>26.491999999999997</v>
      </c>
      <c r="Q165" s="285">
        <f t="shared" si="56"/>
        <v>39.074999999999996</v>
      </c>
      <c r="R165" s="285">
        <f t="shared" si="56"/>
        <v>36.642999999999994</v>
      </c>
      <c r="S165" s="285">
        <f t="shared" si="56"/>
        <v>33.805999999999997</v>
      </c>
      <c r="T165" s="268">
        <f t="shared" si="56"/>
        <v>33.805999999999997</v>
      </c>
      <c r="U165" s="285">
        <f t="shared" si="56"/>
        <v>36.945</v>
      </c>
      <c r="V165" s="269">
        <f>V187*V28*4</f>
        <v>36.782132000000004</v>
      </c>
      <c r="W165" s="269">
        <f>W187*W28*4</f>
        <v>39.042381000000006</v>
      </c>
      <c r="X165" s="269">
        <f>X187*X28*4</f>
        <v>42.315277032000004</v>
      </c>
      <c r="Y165" s="268">
        <f>X165</f>
        <v>42.315277032000004</v>
      </c>
      <c r="Z165" s="269">
        <f>Z187*Z28*4</f>
        <v>44.903556515160005</v>
      </c>
      <c r="AA165" s="269">
        <f>AA187*AA28*4</f>
        <v>47.597769906069601</v>
      </c>
      <c r="AB165" s="269">
        <f>AB187*AB28*4</f>
        <v>49.851121019950405</v>
      </c>
      <c r="AC165" s="269">
        <f>AC187*AC28*4</f>
        <v>52.153212115274961</v>
      </c>
      <c r="AD165" s="268">
        <f>AC165</f>
        <v>52.153212115274961</v>
      </c>
      <c r="AE165" s="268">
        <f>AE187*AE28</f>
        <v>57.233290324486887</v>
      </c>
      <c r="AF165" s="268">
        <f>AF187*AF28</f>
        <v>60.381121292333653</v>
      </c>
      <c r="AG165" s="268">
        <f>AG187*AG28</f>
        <v>64.323668447921932</v>
      </c>
      <c r="AH165" s="9"/>
      <c r="AI165" s="9"/>
      <c r="AJ165" s="9"/>
      <c r="AK165" s="9"/>
    </row>
    <row r="166" spans="1:37" ht="13.5" customHeight="1">
      <c r="A166" s="180"/>
      <c r="B166" s="9"/>
      <c r="C166" s="9" t="s">
        <v>347</v>
      </c>
      <c r="D166" s="9"/>
      <c r="E166" s="9"/>
      <c r="F166" s="266">
        <f t="shared" ref="F166:AG166" si="57">SUM(F163:F165)</f>
        <v>59.332999999999998</v>
      </c>
      <c r="G166" s="266">
        <f t="shared" si="57"/>
        <v>63.575000000000003</v>
      </c>
      <c r="H166" s="266">
        <f t="shared" si="57"/>
        <v>70.051999999999992</v>
      </c>
      <c r="I166" s="266">
        <f t="shared" si="57"/>
        <v>68.947000000000003</v>
      </c>
      <c r="J166" s="197">
        <f t="shared" si="57"/>
        <v>68.947000000000003</v>
      </c>
      <c r="K166" s="266">
        <f t="shared" si="57"/>
        <v>86.63900000000001</v>
      </c>
      <c r="L166" s="266">
        <f t="shared" si="57"/>
        <v>81.120999999999995</v>
      </c>
      <c r="M166" s="266">
        <f t="shared" si="57"/>
        <v>92.123000000000005</v>
      </c>
      <c r="N166" s="266">
        <f t="shared" si="57"/>
        <v>132.499</v>
      </c>
      <c r="O166" s="197">
        <f t="shared" si="57"/>
        <v>132.499</v>
      </c>
      <c r="P166" s="266">
        <f t="shared" si="57"/>
        <v>167.59099999999998</v>
      </c>
      <c r="Q166" s="266">
        <f t="shared" si="57"/>
        <v>134.584</v>
      </c>
      <c r="R166" s="266">
        <f t="shared" si="57"/>
        <v>172.26500000000001</v>
      </c>
      <c r="S166" s="266">
        <f t="shared" si="57"/>
        <v>215.21699999999998</v>
      </c>
      <c r="T166" s="197">
        <f t="shared" si="57"/>
        <v>215.21699999999998</v>
      </c>
      <c r="U166" s="266">
        <f t="shared" si="57"/>
        <v>195.006</v>
      </c>
      <c r="V166" s="196">
        <f>SUM(V163:V165)</f>
        <v>196.44083683516487</v>
      </c>
      <c r="W166" s="196">
        <f>SUM(W163:W165)</f>
        <v>206.66999507608696</v>
      </c>
      <c r="X166" s="196">
        <f t="shared" si="57"/>
        <v>223.99499907156522</v>
      </c>
      <c r="Y166" s="197">
        <f t="shared" si="57"/>
        <v>223.99499907156522</v>
      </c>
      <c r="Z166" s="196">
        <f t="shared" si="57"/>
        <v>257.08519719119079</v>
      </c>
      <c r="AA166" s="196">
        <f t="shared" si="57"/>
        <v>272.51030902266223</v>
      </c>
      <c r="AB166" s="196">
        <f t="shared" si="57"/>
        <v>282.85092578710993</v>
      </c>
      <c r="AC166" s="196">
        <f t="shared" si="57"/>
        <v>295.91279048014707</v>
      </c>
      <c r="AD166" s="197">
        <f t="shared" si="57"/>
        <v>295.91279048014707</v>
      </c>
      <c r="AE166" s="197">
        <f t="shared" si="57"/>
        <v>279.60921288040106</v>
      </c>
      <c r="AF166" s="197">
        <f t="shared" si="57"/>
        <v>301.00327339129711</v>
      </c>
      <c r="AG166" s="197">
        <f t="shared" si="57"/>
        <v>320.65709190165813</v>
      </c>
      <c r="AH166" s="9"/>
      <c r="AI166" s="9"/>
      <c r="AJ166" s="9"/>
      <c r="AK166" s="9"/>
    </row>
    <row r="167" spans="1:37" ht="13.5" customHeight="1">
      <c r="A167" s="180"/>
      <c r="B167" s="9"/>
      <c r="C167" s="9"/>
      <c r="D167" s="9"/>
      <c r="E167" s="9"/>
      <c r="F167" s="228"/>
      <c r="G167" s="228"/>
      <c r="H167" s="228"/>
      <c r="I167" s="228"/>
      <c r="J167" s="9"/>
      <c r="K167" s="228"/>
      <c r="L167" s="228"/>
      <c r="M167" s="228"/>
      <c r="N167" s="228"/>
      <c r="O167" s="9"/>
      <c r="P167" s="228"/>
      <c r="Q167" s="228"/>
      <c r="R167" s="228"/>
      <c r="S167" s="228"/>
      <c r="T167" s="9"/>
      <c r="U167" s="228"/>
      <c r="V167" s="229"/>
      <c r="W167" s="229"/>
      <c r="X167" s="229"/>
      <c r="Y167" s="9"/>
      <c r="Z167" s="229"/>
      <c r="AA167" s="229"/>
      <c r="AB167" s="229"/>
      <c r="AC167" s="229"/>
      <c r="AD167" s="9"/>
      <c r="AE167" s="9"/>
      <c r="AF167" s="9"/>
      <c r="AG167" s="9"/>
      <c r="AH167" s="9"/>
      <c r="AI167" s="9"/>
      <c r="AJ167" s="9"/>
      <c r="AK167" s="9"/>
    </row>
    <row r="168" spans="1:37" ht="13.5" customHeight="1">
      <c r="A168" s="180"/>
      <c r="B168" s="9"/>
      <c r="C168" s="103" t="str">
        <f>C135</f>
        <v>Accounts Payable</v>
      </c>
      <c r="D168" s="9"/>
      <c r="E168" s="9"/>
      <c r="F168" s="266">
        <f t="shared" ref="F168:U168" si="58">F135</f>
        <v>3.57</v>
      </c>
      <c r="G168" s="266">
        <f t="shared" si="58"/>
        <v>1.9419999999999999</v>
      </c>
      <c r="H168" s="266">
        <f t="shared" si="58"/>
        <v>2.0449999999999999</v>
      </c>
      <c r="I168" s="266">
        <f t="shared" si="58"/>
        <v>4.5590000000000002</v>
      </c>
      <c r="J168" s="197">
        <f t="shared" si="58"/>
        <v>4.5590000000000002</v>
      </c>
      <c r="K168" s="266">
        <f t="shared" si="58"/>
        <v>5.5739999999999998</v>
      </c>
      <c r="L168" s="266">
        <f t="shared" si="58"/>
        <v>3.5419999999999998</v>
      </c>
      <c r="M168" s="266">
        <f t="shared" si="58"/>
        <v>3.3130000000000002</v>
      </c>
      <c r="N168" s="266">
        <f t="shared" si="58"/>
        <v>4.5049999999999999</v>
      </c>
      <c r="O168" s="197">
        <f t="shared" si="58"/>
        <v>4.5049999999999999</v>
      </c>
      <c r="P168" s="266">
        <f t="shared" si="58"/>
        <v>4.6829999999999998</v>
      </c>
      <c r="Q168" s="266">
        <f t="shared" si="58"/>
        <v>6.43</v>
      </c>
      <c r="R168" s="266">
        <f t="shared" si="58"/>
        <v>5.25</v>
      </c>
      <c r="S168" s="266">
        <f t="shared" si="58"/>
        <v>5.4690000000000003</v>
      </c>
      <c r="T168" s="197">
        <f t="shared" si="58"/>
        <v>5.4690000000000003</v>
      </c>
      <c r="U168" s="266">
        <f t="shared" si="58"/>
        <v>6.508</v>
      </c>
      <c r="V168" s="196">
        <f>V185*-SUM(V32:V33)/V26</f>
        <v>6.3024768484615388</v>
      </c>
      <c r="W168" s="196">
        <f>W185*-SUM(W32:W33)/W26</f>
        <v>6.6170470189402177</v>
      </c>
      <c r="X168" s="196">
        <f>X185*-SUM(X32:X33)/X26</f>
        <v>7.1717495339289128</v>
      </c>
      <c r="Y168" s="197">
        <f>X168</f>
        <v>7.1717495339289128</v>
      </c>
      <c r="Z168" s="196">
        <f>Z185*-SUM(Z32:Z33)/Z26</f>
        <v>8.4379210594421536</v>
      </c>
      <c r="AA168" s="196">
        <f>AA185*-SUM(AA32:AA33)/AA26</f>
        <v>8.1988466294246258</v>
      </c>
      <c r="AB168" s="196">
        <f>AB185*-SUM(AB32:AB33)/AB26</f>
        <v>8.4936556737795925</v>
      </c>
      <c r="AC168" s="196">
        <f>AC185*-SUM(AC32:AC33)/AC26</f>
        <v>8.8858869555101627</v>
      </c>
      <c r="AD168" s="197">
        <f>AC168</f>
        <v>8.8858869555101627</v>
      </c>
      <c r="AE168" s="197">
        <f>AE185*-SUM(AE32:AE33)/AE26</f>
        <v>9.0946050378636709</v>
      </c>
      <c r="AF168" s="197">
        <f>AF185*-SUM(AF32:AF33)/AF26</f>
        <v>9.5948083149461691</v>
      </c>
      <c r="AG168" s="197">
        <f>AG185*-SUM(AG32:AG33)/AG26</f>
        <v>10.221295260217733</v>
      </c>
      <c r="AH168" s="9"/>
      <c r="AI168" s="9"/>
      <c r="AJ168" s="9"/>
      <c r="AK168" s="9"/>
    </row>
    <row r="169" spans="1:37" ht="13.5" customHeight="1">
      <c r="A169" s="180"/>
      <c r="B169" s="9"/>
      <c r="C169" s="103" t="str">
        <f>C136</f>
        <v>Accrued Liabilities</v>
      </c>
      <c r="D169" s="9"/>
      <c r="E169" s="9"/>
      <c r="F169" s="297">
        <f t="shared" ref="F169:U169" si="59">F136</f>
        <v>62.478000000000002</v>
      </c>
      <c r="G169" s="297">
        <f t="shared" si="59"/>
        <v>89.766999999999996</v>
      </c>
      <c r="H169" s="297">
        <f t="shared" si="59"/>
        <v>99.731999999999999</v>
      </c>
      <c r="I169" s="297">
        <f t="shared" si="59"/>
        <v>54.962000000000003</v>
      </c>
      <c r="J169" s="126">
        <f t="shared" si="59"/>
        <v>54.962000000000003</v>
      </c>
      <c r="K169" s="297">
        <f t="shared" si="59"/>
        <v>60.768999999999998</v>
      </c>
      <c r="L169" s="297">
        <f t="shared" si="59"/>
        <v>76.272999999999996</v>
      </c>
      <c r="M169" s="297">
        <f t="shared" si="59"/>
        <v>96.057000000000016</v>
      </c>
      <c r="N169" s="297">
        <f t="shared" si="59"/>
        <v>77.421999999999997</v>
      </c>
      <c r="O169" s="126">
        <f t="shared" si="59"/>
        <v>77.421999999999997</v>
      </c>
      <c r="P169" s="297">
        <f t="shared" si="59"/>
        <v>109.32500000000002</v>
      </c>
      <c r="Q169" s="297">
        <f t="shared" si="59"/>
        <v>100.16399999999999</v>
      </c>
      <c r="R169" s="297">
        <f t="shared" si="59"/>
        <v>111.61199999999999</v>
      </c>
      <c r="S169" s="297">
        <f t="shared" si="59"/>
        <v>95.599000000000004</v>
      </c>
      <c r="T169" s="126">
        <f t="shared" si="59"/>
        <v>95.599000000000004</v>
      </c>
      <c r="U169" s="297">
        <f t="shared" si="59"/>
        <v>110.395</v>
      </c>
      <c r="V169" s="272">
        <f>V188*-SUM(V32,V33)*4</f>
        <v>114.70507864200002</v>
      </c>
      <c r="W169" s="272">
        <f>W188*-SUM(W32,W33)*4</f>
        <v>121.7536651485</v>
      </c>
      <c r="X169" s="272">
        <f>X188*-SUM(X32,X33)*4</f>
        <v>131.96019142429199</v>
      </c>
      <c r="Y169" s="126">
        <f>X169</f>
        <v>131.96019142429199</v>
      </c>
      <c r="Z169" s="272">
        <f>Z188*-SUM(Z32,Z33)*4</f>
        <v>143.33215239639074</v>
      </c>
      <c r="AA169" s="272">
        <f>AA188*-SUM(AA32,AA33)*4</f>
        <v>151.93208154017415</v>
      </c>
      <c r="AB169" s="272">
        <f>AB188*-SUM(AB32,AB33)*4</f>
        <v>159.12477829568169</v>
      </c>
      <c r="AC169" s="272">
        <f>AC188*-SUM(AC32,AC33)*4</f>
        <v>166.47305307195768</v>
      </c>
      <c r="AD169" s="126">
        <f>AC169</f>
        <v>166.47305307195768</v>
      </c>
      <c r="AE169" s="126">
        <f>AE188*-SUM(AE32,AE33)</f>
        <v>181.06531848110399</v>
      </c>
      <c r="AF169" s="126">
        <f>AF188*-SUM(AF32,AF33)</f>
        <v>191.02391099756463</v>
      </c>
      <c r="AG169" s="126">
        <f>AG188*-SUM(AG32,AG33)</f>
        <v>203.49669654433487</v>
      </c>
      <c r="AH169" s="9"/>
      <c r="AI169" s="9"/>
      <c r="AJ169" s="9"/>
      <c r="AK169" s="9"/>
    </row>
    <row r="170" spans="1:37" ht="13.5" customHeight="1">
      <c r="A170" s="180"/>
      <c r="B170" s="9"/>
      <c r="C170" s="103" t="str">
        <f>C137</f>
        <v>Other Current Liabilities</v>
      </c>
      <c r="D170" s="9"/>
      <c r="E170" s="9"/>
      <c r="F170" s="285">
        <f t="shared" ref="F170:U170" si="60">F137</f>
        <v>0</v>
      </c>
      <c r="G170" s="285">
        <f t="shared" si="60"/>
        <v>0</v>
      </c>
      <c r="H170" s="285">
        <f t="shared" si="60"/>
        <v>0</v>
      </c>
      <c r="I170" s="285">
        <f t="shared" si="60"/>
        <v>0</v>
      </c>
      <c r="J170" s="268">
        <f t="shared" si="60"/>
        <v>0</v>
      </c>
      <c r="K170" s="285">
        <f t="shared" si="60"/>
        <v>0</v>
      </c>
      <c r="L170" s="285">
        <f t="shared" si="60"/>
        <v>0</v>
      </c>
      <c r="M170" s="285">
        <f t="shared" si="60"/>
        <v>0</v>
      </c>
      <c r="N170" s="285">
        <f t="shared" si="60"/>
        <v>0</v>
      </c>
      <c r="O170" s="268">
        <f t="shared" si="60"/>
        <v>0</v>
      </c>
      <c r="P170" s="285">
        <f t="shared" si="60"/>
        <v>0</v>
      </c>
      <c r="Q170" s="285">
        <f t="shared" si="60"/>
        <v>0</v>
      </c>
      <c r="R170" s="285">
        <f t="shared" si="60"/>
        <v>0</v>
      </c>
      <c r="S170" s="285">
        <f t="shared" si="60"/>
        <v>0</v>
      </c>
      <c r="T170" s="268">
        <f t="shared" si="60"/>
        <v>0</v>
      </c>
      <c r="U170" s="285">
        <f t="shared" si="60"/>
        <v>0</v>
      </c>
      <c r="V170" s="269">
        <f>V189*-V29*4</f>
        <v>0</v>
      </c>
      <c r="W170" s="269">
        <f>W189*-W29*4</f>
        <v>0</v>
      </c>
      <c r="X170" s="269">
        <f>X189*-X29*4</f>
        <v>0</v>
      </c>
      <c r="Y170" s="268">
        <f>X170</f>
        <v>0</v>
      </c>
      <c r="Z170" s="269">
        <f>Z189*-Z29*4</f>
        <v>0</v>
      </c>
      <c r="AA170" s="269">
        <f>AA189*-AA29*4</f>
        <v>0</v>
      </c>
      <c r="AB170" s="269">
        <f>AB189*-AB29*4</f>
        <v>0</v>
      </c>
      <c r="AC170" s="269">
        <f>AC189*-AC29*4</f>
        <v>0</v>
      </c>
      <c r="AD170" s="268">
        <f>AC170</f>
        <v>0</v>
      </c>
      <c r="AE170" s="268">
        <f>AE189*-AE29</f>
        <v>0</v>
      </c>
      <c r="AF170" s="268">
        <f>AF189*-AF29</f>
        <v>0</v>
      </c>
      <c r="AG170" s="268">
        <f>AG189*-AG29</f>
        <v>0</v>
      </c>
      <c r="AH170" s="9"/>
      <c r="AI170" s="9"/>
      <c r="AJ170" s="9"/>
      <c r="AK170" s="9"/>
    </row>
    <row r="171" spans="1:37" ht="13.5" customHeight="1">
      <c r="A171" s="180"/>
      <c r="B171" s="9"/>
      <c r="C171" s="9" t="s">
        <v>348</v>
      </c>
      <c r="D171" s="9"/>
      <c r="E171" s="9"/>
      <c r="F171" s="266">
        <f t="shared" ref="F171:AG171" si="61">SUM(F168:F170)</f>
        <v>66.048000000000002</v>
      </c>
      <c r="G171" s="266">
        <f t="shared" si="61"/>
        <v>91.708999999999989</v>
      </c>
      <c r="H171" s="266">
        <f t="shared" si="61"/>
        <v>101.777</v>
      </c>
      <c r="I171" s="266">
        <f t="shared" si="61"/>
        <v>59.521000000000001</v>
      </c>
      <c r="J171" s="197">
        <f t="shared" si="61"/>
        <v>59.521000000000001</v>
      </c>
      <c r="K171" s="266">
        <f t="shared" si="61"/>
        <v>66.343000000000004</v>
      </c>
      <c r="L171" s="266">
        <f t="shared" si="61"/>
        <v>79.814999999999998</v>
      </c>
      <c r="M171" s="266">
        <f t="shared" si="61"/>
        <v>99.370000000000019</v>
      </c>
      <c r="N171" s="266">
        <f t="shared" si="61"/>
        <v>81.926999999999992</v>
      </c>
      <c r="O171" s="197">
        <f t="shared" si="61"/>
        <v>81.926999999999992</v>
      </c>
      <c r="P171" s="266">
        <f t="shared" si="61"/>
        <v>114.00800000000001</v>
      </c>
      <c r="Q171" s="266">
        <f t="shared" si="61"/>
        <v>106.59399999999999</v>
      </c>
      <c r="R171" s="266">
        <f t="shared" si="61"/>
        <v>116.86199999999999</v>
      </c>
      <c r="S171" s="266">
        <f t="shared" si="61"/>
        <v>101.068</v>
      </c>
      <c r="T171" s="197">
        <f t="shared" si="61"/>
        <v>101.068</v>
      </c>
      <c r="U171" s="266">
        <f t="shared" si="61"/>
        <v>116.90299999999999</v>
      </c>
      <c r="V171" s="196">
        <f>SUM(V168:V170)</f>
        <v>121.00755549046156</v>
      </c>
      <c r="W171" s="196">
        <f>SUM(W168:W170)</f>
        <v>128.37071216744022</v>
      </c>
      <c r="X171" s="196">
        <f t="shared" si="61"/>
        <v>139.13194095822089</v>
      </c>
      <c r="Y171" s="197">
        <f t="shared" si="61"/>
        <v>139.13194095822089</v>
      </c>
      <c r="Z171" s="196">
        <f>SUM(Z168:Z170)</f>
        <v>151.77007345583289</v>
      </c>
      <c r="AA171" s="196">
        <f t="shared" si="61"/>
        <v>160.13092816959877</v>
      </c>
      <c r="AB171" s="196">
        <f t="shared" si="61"/>
        <v>167.61843396946128</v>
      </c>
      <c r="AC171" s="196">
        <f t="shared" si="61"/>
        <v>175.35894002746784</v>
      </c>
      <c r="AD171" s="197">
        <f t="shared" si="61"/>
        <v>175.35894002746784</v>
      </c>
      <c r="AE171" s="197">
        <f t="shared" si="61"/>
        <v>190.15992351896764</v>
      </c>
      <c r="AF171" s="197">
        <f t="shared" si="61"/>
        <v>200.61871931251079</v>
      </c>
      <c r="AG171" s="197">
        <f t="shared" si="61"/>
        <v>213.71799180455261</v>
      </c>
      <c r="AH171" s="9"/>
      <c r="AI171" s="9"/>
      <c r="AJ171" s="9"/>
      <c r="AK171" s="9"/>
    </row>
    <row r="172" spans="1:37" ht="13.5" customHeight="1">
      <c r="A172" s="180"/>
      <c r="B172" s="9"/>
      <c r="C172" s="9"/>
      <c r="D172" s="9"/>
      <c r="E172" s="9"/>
      <c r="F172" s="228"/>
      <c r="G172" s="228"/>
      <c r="H172" s="228"/>
      <c r="I172" s="228"/>
      <c r="J172" s="9"/>
      <c r="K172" s="228"/>
      <c r="L172" s="228"/>
      <c r="M172" s="228"/>
      <c r="N172" s="228"/>
      <c r="O172" s="9"/>
      <c r="P172" s="228"/>
      <c r="Q172" s="228"/>
      <c r="R172" s="228"/>
      <c r="S172" s="228"/>
      <c r="T172" s="9"/>
      <c r="U172" s="228"/>
      <c r="V172" s="229"/>
      <c r="W172" s="229"/>
      <c r="X172" s="229"/>
      <c r="Y172" s="9"/>
      <c r="Z172" s="229"/>
      <c r="AA172" s="229"/>
      <c r="AB172" s="229"/>
      <c r="AC172" s="229"/>
      <c r="AD172" s="9"/>
      <c r="AE172" s="9"/>
      <c r="AF172" s="9"/>
      <c r="AG172" s="9"/>
      <c r="AH172" s="9"/>
      <c r="AI172" s="9"/>
      <c r="AJ172" s="9"/>
      <c r="AK172" s="9"/>
    </row>
    <row r="173" spans="1:37" ht="13.5" customHeight="1">
      <c r="A173" s="180"/>
      <c r="B173" s="9"/>
      <c r="C173" s="9" t="s">
        <v>349</v>
      </c>
      <c r="D173" s="9"/>
      <c r="E173" s="9"/>
      <c r="F173" s="266">
        <f t="shared" ref="F173:AG173" si="62">F166-F171</f>
        <v>-6.7150000000000034</v>
      </c>
      <c r="G173" s="266">
        <f t="shared" si="62"/>
        <v>-28.133999999999986</v>
      </c>
      <c r="H173" s="266">
        <f t="shared" si="62"/>
        <v>-31.725000000000009</v>
      </c>
      <c r="I173" s="266">
        <f t="shared" si="62"/>
        <v>9.4260000000000019</v>
      </c>
      <c r="J173" s="197">
        <f t="shared" si="62"/>
        <v>9.4260000000000019</v>
      </c>
      <c r="K173" s="266">
        <f t="shared" si="62"/>
        <v>20.296000000000006</v>
      </c>
      <c r="L173" s="266">
        <f t="shared" si="62"/>
        <v>1.3059999999999974</v>
      </c>
      <c r="M173" s="266">
        <f t="shared" si="62"/>
        <v>-7.2470000000000141</v>
      </c>
      <c r="N173" s="266">
        <f t="shared" si="62"/>
        <v>50.572000000000003</v>
      </c>
      <c r="O173" s="197">
        <f t="shared" si="62"/>
        <v>50.572000000000003</v>
      </c>
      <c r="P173" s="266">
        <f t="shared" si="62"/>
        <v>53.58299999999997</v>
      </c>
      <c r="Q173" s="266">
        <f t="shared" si="62"/>
        <v>27.990000000000009</v>
      </c>
      <c r="R173" s="266">
        <f t="shared" si="62"/>
        <v>55.40300000000002</v>
      </c>
      <c r="S173" s="266">
        <f t="shared" si="62"/>
        <v>114.14899999999999</v>
      </c>
      <c r="T173" s="197">
        <f t="shared" si="62"/>
        <v>114.14899999999999</v>
      </c>
      <c r="U173" s="266">
        <f t="shared" si="62"/>
        <v>78.103000000000009</v>
      </c>
      <c r="V173" s="196">
        <f>V166-V171</f>
        <v>75.433281344703317</v>
      </c>
      <c r="W173" s="196">
        <f>W166-W171</f>
        <v>78.299282908646745</v>
      </c>
      <c r="X173" s="196">
        <f t="shared" si="62"/>
        <v>84.863058113344323</v>
      </c>
      <c r="Y173" s="197">
        <f t="shared" si="62"/>
        <v>84.863058113344323</v>
      </c>
      <c r="Z173" s="196">
        <f>Z166-Z171</f>
        <v>105.3151237353579</v>
      </c>
      <c r="AA173" s="196">
        <f t="shared" si="62"/>
        <v>112.37938085306345</v>
      </c>
      <c r="AB173" s="196">
        <f t="shared" si="62"/>
        <v>115.23249181764865</v>
      </c>
      <c r="AC173" s="196">
        <f t="shared" si="62"/>
        <v>120.55385045267923</v>
      </c>
      <c r="AD173" s="197">
        <f t="shared" si="62"/>
        <v>120.55385045267923</v>
      </c>
      <c r="AE173" s="197">
        <f>AE166-AE171</f>
        <v>89.449289361433415</v>
      </c>
      <c r="AF173" s="197">
        <f t="shared" si="62"/>
        <v>100.38455407878632</v>
      </c>
      <c r="AG173" s="197">
        <f t="shared" si="62"/>
        <v>106.93910009710552</v>
      </c>
      <c r="AH173" s="9"/>
      <c r="AI173" s="9"/>
      <c r="AJ173" s="9"/>
      <c r="AK173" s="9"/>
    </row>
    <row r="174" spans="1:37" ht="13.5" customHeight="1">
      <c r="A174" s="180"/>
      <c r="B174" s="9"/>
      <c r="C174" s="9"/>
      <c r="D174" s="9"/>
      <c r="E174" s="9"/>
      <c r="F174" s="228"/>
      <c r="G174" s="228"/>
      <c r="H174" s="228"/>
      <c r="I174" s="228"/>
      <c r="J174" s="9"/>
      <c r="K174" s="228"/>
      <c r="L174" s="228"/>
      <c r="M174" s="228"/>
      <c r="N174" s="228"/>
      <c r="O174" s="9"/>
      <c r="P174" s="228"/>
      <c r="Q174" s="228"/>
      <c r="R174" s="228"/>
      <c r="S174" s="228"/>
      <c r="T174" s="9"/>
      <c r="U174" s="228"/>
      <c r="V174" s="229"/>
      <c r="W174" s="229"/>
      <c r="X174" s="229"/>
      <c r="Y174" s="9"/>
      <c r="Z174" s="229"/>
      <c r="AA174" s="229"/>
      <c r="AB174" s="229"/>
      <c r="AC174" s="229"/>
      <c r="AD174" s="9"/>
      <c r="AE174" s="9"/>
      <c r="AF174" s="9"/>
      <c r="AG174" s="9"/>
      <c r="AH174" s="9"/>
      <c r="AI174" s="9"/>
      <c r="AJ174" s="9"/>
      <c r="AK174" s="9"/>
    </row>
    <row r="175" spans="1:37" ht="13.5" customHeight="1">
      <c r="A175" s="180"/>
      <c r="B175" s="9"/>
      <c r="C175" s="319" t="s">
        <v>350</v>
      </c>
      <c r="D175" s="70"/>
      <c r="E175" s="70"/>
      <c r="F175" s="301"/>
      <c r="G175" s="301">
        <f>G173-F173</f>
        <v>-21.418999999999983</v>
      </c>
      <c r="H175" s="301">
        <f>H173-G173</f>
        <v>-3.5910000000000224</v>
      </c>
      <c r="I175" s="301">
        <f>I173-H173</f>
        <v>41.15100000000001</v>
      </c>
      <c r="J175" s="70"/>
      <c r="K175" s="301">
        <f>-(K173-J173)</f>
        <v>-10.870000000000005</v>
      </c>
      <c r="L175" s="301">
        <f>-(L173-K173)</f>
        <v>18.990000000000009</v>
      </c>
      <c r="M175" s="301">
        <f>-(M173-L173)</f>
        <v>8.5530000000000115</v>
      </c>
      <c r="N175" s="301">
        <f>-(N173-M173)</f>
        <v>-57.819000000000017</v>
      </c>
      <c r="O175" s="302">
        <f>-(O173-J173)</f>
        <v>-41.146000000000001</v>
      </c>
      <c r="P175" s="301">
        <f>-(P173-O173)</f>
        <v>-3.0109999999999673</v>
      </c>
      <c r="Q175" s="301">
        <f>-(Q173-P173)</f>
        <v>25.592999999999961</v>
      </c>
      <c r="R175" s="301">
        <f>-(R173-Q173)</f>
        <v>-27.413000000000011</v>
      </c>
      <c r="S175" s="301">
        <f>-(S173-R173)</f>
        <v>-58.745999999999967</v>
      </c>
      <c r="T175" s="302">
        <f>-(T173-O173)</f>
        <v>-63.576999999999984</v>
      </c>
      <c r="U175" s="301">
        <f>-(U173-T173)</f>
        <v>36.045999999999978</v>
      </c>
      <c r="V175" s="303">
        <f>-(V173-U173)</f>
        <v>2.6697186552966912</v>
      </c>
      <c r="W175" s="303">
        <f>-(W173-V173)</f>
        <v>-2.8660015639434278</v>
      </c>
      <c r="X175" s="303">
        <f>-(X173-W173)</f>
        <v>-6.5637752046975777</v>
      </c>
      <c r="Y175" s="302">
        <f>-(Y173-T173)</f>
        <v>29.285941886655664</v>
      </c>
      <c r="Z175" s="303">
        <f>-(Z173-Y173)</f>
        <v>-20.452065622013578</v>
      </c>
      <c r="AA175" s="303">
        <f>-(AA173-Z173)</f>
        <v>-7.0642571177055515</v>
      </c>
      <c r="AB175" s="303">
        <f>-(AB173-AA173)</f>
        <v>-2.8531109645851984</v>
      </c>
      <c r="AC175" s="303">
        <f>-(AC173-AB173)</f>
        <v>-5.3213586350305775</v>
      </c>
      <c r="AD175" s="302">
        <f>-(AD173-Y173)</f>
        <v>-35.690792339334905</v>
      </c>
      <c r="AE175" s="302">
        <f>-(AE173-AD173)</f>
        <v>31.104561091245813</v>
      </c>
      <c r="AF175" s="302">
        <f>-(AF173-AE173)</f>
        <v>-10.935264717352908</v>
      </c>
      <c r="AG175" s="320">
        <f>-(AG173-AF173)</f>
        <v>-6.5545460183192006</v>
      </c>
      <c r="AH175" s="9"/>
      <c r="AI175" s="9"/>
      <c r="AJ175" s="9"/>
      <c r="AK175" s="9"/>
    </row>
    <row r="176" spans="1:37" ht="13.5" customHeight="1">
      <c r="A176" s="180"/>
      <c r="B176" s="9"/>
      <c r="C176" s="9"/>
      <c r="D176" s="9"/>
      <c r="E176" s="9"/>
      <c r="F176" s="228"/>
      <c r="G176" s="228"/>
      <c r="H176" s="228"/>
      <c r="I176" s="228"/>
      <c r="J176" s="9"/>
      <c r="K176" s="228"/>
      <c r="L176" s="228"/>
      <c r="M176" s="228"/>
      <c r="N176" s="228"/>
      <c r="O176" s="9"/>
      <c r="P176" s="228"/>
      <c r="Q176" s="228"/>
      <c r="R176" s="228"/>
      <c r="S176" s="228"/>
      <c r="T176" s="9"/>
      <c r="U176" s="228"/>
      <c r="V176" s="229"/>
      <c r="W176" s="229"/>
      <c r="X176" s="229"/>
      <c r="Y176" s="9"/>
      <c r="Z176" s="229"/>
      <c r="AA176" s="229"/>
      <c r="AB176" s="229"/>
      <c r="AC176" s="229"/>
      <c r="AD176" s="9"/>
      <c r="AE176" s="9"/>
      <c r="AF176" s="9"/>
      <c r="AG176" s="9"/>
      <c r="AH176" s="9"/>
      <c r="AI176" s="9"/>
      <c r="AJ176" s="9"/>
      <c r="AK176" s="9"/>
    </row>
    <row r="177" spans="1:37" ht="13.5" customHeight="1">
      <c r="A177" s="180"/>
      <c r="B177" s="9"/>
      <c r="C177" s="9" t="s">
        <v>351</v>
      </c>
      <c r="D177" s="9"/>
      <c r="E177" s="9"/>
      <c r="F177" s="266">
        <f t="shared" ref="F177:AG177" si="63">F163+F164-F168</f>
        <v>41.411999999999999</v>
      </c>
      <c r="G177" s="266">
        <f t="shared" si="63"/>
        <v>45.554000000000002</v>
      </c>
      <c r="H177" s="266">
        <f t="shared" si="63"/>
        <v>50.028999999999996</v>
      </c>
      <c r="I177" s="266">
        <f t="shared" si="63"/>
        <v>42.581000000000003</v>
      </c>
      <c r="J177" s="197">
        <f t="shared" si="63"/>
        <v>42.581000000000003</v>
      </c>
      <c r="K177" s="266">
        <f t="shared" si="63"/>
        <v>60.290000000000006</v>
      </c>
      <c r="L177" s="266">
        <f t="shared" si="63"/>
        <v>58.257999999999996</v>
      </c>
      <c r="M177" s="266">
        <f t="shared" si="63"/>
        <v>64.438000000000002</v>
      </c>
      <c r="N177" s="266">
        <f t="shared" si="63"/>
        <v>103.786</v>
      </c>
      <c r="O177" s="197">
        <f t="shared" si="63"/>
        <v>103.786</v>
      </c>
      <c r="P177" s="266">
        <f t="shared" si="63"/>
        <v>136.416</v>
      </c>
      <c r="Q177" s="266">
        <f t="shared" si="63"/>
        <v>89.079000000000008</v>
      </c>
      <c r="R177" s="266">
        <f t="shared" si="63"/>
        <v>130.37200000000001</v>
      </c>
      <c r="S177" s="266">
        <f t="shared" si="63"/>
        <v>175.94200000000001</v>
      </c>
      <c r="T177" s="197">
        <f t="shared" si="63"/>
        <v>175.94200000000001</v>
      </c>
      <c r="U177" s="266">
        <f t="shared" si="63"/>
        <v>151.553</v>
      </c>
      <c r="V177" s="196">
        <f>V163+V164-V168</f>
        <v>153.35622798670332</v>
      </c>
      <c r="W177" s="196">
        <f>W163+W164-W168</f>
        <v>161.01056705714674</v>
      </c>
      <c r="X177" s="196">
        <f t="shared" si="63"/>
        <v>174.5079725056363</v>
      </c>
      <c r="Y177" s="197">
        <f t="shared" si="63"/>
        <v>174.5079725056363</v>
      </c>
      <c r="Z177" s="196">
        <f t="shared" si="63"/>
        <v>203.74371961658863</v>
      </c>
      <c r="AA177" s="196">
        <f t="shared" si="63"/>
        <v>216.713692487168</v>
      </c>
      <c r="AB177" s="196">
        <f t="shared" si="63"/>
        <v>224.50614909337992</v>
      </c>
      <c r="AC177" s="196">
        <f t="shared" si="63"/>
        <v>234.87369140936195</v>
      </c>
      <c r="AD177" s="197">
        <f t="shared" si="63"/>
        <v>234.87369140936195</v>
      </c>
      <c r="AE177" s="197">
        <f t="shared" si="63"/>
        <v>213.28131751805051</v>
      </c>
      <c r="AF177" s="197">
        <f t="shared" si="63"/>
        <v>231.02734378401732</v>
      </c>
      <c r="AG177" s="197">
        <f t="shared" si="63"/>
        <v>246.11212819351846</v>
      </c>
      <c r="AH177" s="9"/>
      <c r="AI177" s="9"/>
      <c r="AJ177" s="9"/>
      <c r="AK177" s="9"/>
    </row>
    <row r="178" spans="1:37" ht="13.5" customHeight="1">
      <c r="A178" s="180"/>
      <c r="B178" s="9"/>
      <c r="C178" s="9"/>
      <c r="D178" s="9"/>
      <c r="E178" s="9"/>
      <c r="F178" s="321"/>
      <c r="G178" s="321"/>
      <c r="H178" s="321"/>
      <c r="I178" s="321"/>
      <c r="J178" s="9"/>
      <c r="K178" s="321"/>
      <c r="L178" s="321"/>
      <c r="M178" s="321"/>
      <c r="N178" s="321"/>
      <c r="O178" s="9"/>
      <c r="P178" s="321"/>
      <c r="Q178" s="321"/>
      <c r="R178" s="321"/>
      <c r="S178" s="321"/>
      <c r="T178" s="9"/>
      <c r="U178" s="321"/>
      <c r="V178" s="322"/>
      <c r="W178" s="322"/>
      <c r="X178" s="322"/>
      <c r="Y178" s="9"/>
      <c r="Z178" s="322"/>
      <c r="AA178" s="322"/>
      <c r="AB178" s="322"/>
      <c r="AC178" s="322"/>
      <c r="AD178" s="9"/>
      <c r="AE178" s="66"/>
      <c r="AF178" s="66"/>
      <c r="AG178" s="66"/>
      <c r="AH178" s="9"/>
      <c r="AI178" s="9"/>
      <c r="AJ178" s="9"/>
      <c r="AK178" s="9"/>
    </row>
    <row r="179" spans="1:37" ht="13.5" customHeight="1">
      <c r="A179" s="180"/>
      <c r="B179" s="9"/>
      <c r="C179" s="319" t="s">
        <v>352</v>
      </c>
      <c r="D179" s="70"/>
      <c r="E179" s="70"/>
      <c r="F179" s="301"/>
      <c r="G179" s="301">
        <f>G177-F177</f>
        <v>4.142000000000003</v>
      </c>
      <c r="H179" s="301">
        <f>H177-G177</f>
        <v>4.4749999999999943</v>
      </c>
      <c r="I179" s="301">
        <f>I177-H177</f>
        <v>-7.4479999999999933</v>
      </c>
      <c r="J179" s="70"/>
      <c r="K179" s="301">
        <f>-(K177-J177)</f>
        <v>-17.709000000000003</v>
      </c>
      <c r="L179" s="301">
        <f>-(L177-K177)</f>
        <v>2.0320000000000107</v>
      </c>
      <c r="M179" s="301">
        <f>-(M177-L177)</f>
        <v>-6.1800000000000068</v>
      </c>
      <c r="N179" s="301">
        <f>-(N177-M177)</f>
        <v>-39.347999999999999</v>
      </c>
      <c r="O179" s="302">
        <f>-(O177-J177)</f>
        <v>-61.204999999999998</v>
      </c>
      <c r="P179" s="301">
        <f>-(P177-O177)</f>
        <v>-32.629999999999995</v>
      </c>
      <c r="Q179" s="301">
        <f>-(Q177-P177)</f>
        <v>47.336999999999989</v>
      </c>
      <c r="R179" s="301">
        <f>-(R177-Q177)</f>
        <v>-41.293000000000006</v>
      </c>
      <c r="S179" s="301">
        <f>-(S177-R177)</f>
        <v>-45.569999999999993</v>
      </c>
      <c r="T179" s="302">
        <f>-(T177-O177)</f>
        <v>-72.156000000000006</v>
      </c>
      <c r="U179" s="301">
        <f>-(U177-T177)</f>
        <v>24.38900000000001</v>
      </c>
      <c r="V179" s="303">
        <f>-(V177-U177)</f>
        <v>-1.8032279867033196</v>
      </c>
      <c r="W179" s="303">
        <f>-(W177-V177)</f>
        <v>-7.6543390704434273</v>
      </c>
      <c r="X179" s="303">
        <f>-(X177-W177)</f>
        <v>-13.497405448489559</v>
      </c>
      <c r="Y179" s="302">
        <f>-(Y177-T177)</f>
        <v>1.4340274943637041</v>
      </c>
      <c r="Z179" s="303">
        <f>-(Z177-Y177)</f>
        <v>-29.235747110952332</v>
      </c>
      <c r="AA179" s="303">
        <f>-(AA177-Z177)</f>
        <v>-12.969972870579369</v>
      </c>
      <c r="AB179" s="303">
        <f>-(AB177-AA177)</f>
        <v>-7.792456606211914</v>
      </c>
      <c r="AC179" s="303">
        <f>-(AC177-AB177)</f>
        <v>-10.367542315982035</v>
      </c>
      <c r="AD179" s="302">
        <f>-(AD177-Y177)</f>
        <v>-60.36571890372565</v>
      </c>
      <c r="AE179" s="302">
        <f>-(AE177-AD177)</f>
        <v>21.592373891311439</v>
      </c>
      <c r="AF179" s="302">
        <f>-(AF177-AE177)</f>
        <v>-17.746026265966805</v>
      </c>
      <c r="AG179" s="320">
        <f>-(AG177-AF177)</f>
        <v>-15.08478440950114</v>
      </c>
      <c r="AH179" s="9"/>
      <c r="AI179" s="9"/>
      <c r="AJ179" s="9"/>
      <c r="AK179" s="9"/>
    </row>
    <row r="180" spans="1:37" ht="13.5" customHeight="1">
      <c r="A180" s="180"/>
      <c r="B180" s="9"/>
      <c r="C180" s="9"/>
      <c r="D180" s="9"/>
      <c r="E180" s="9"/>
      <c r="F180" s="228"/>
      <c r="G180" s="228"/>
      <c r="H180" s="228"/>
      <c r="I180" s="228"/>
      <c r="J180" s="9"/>
      <c r="K180" s="228"/>
      <c r="L180" s="228"/>
      <c r="M180" s="228"/>
      <c r="N180" s="228"/>
      <c r="O180" s="9"/>
      <c r="P180" s="228"/>
      <c r="Q180" s="228"/>
      <c r="R180" s="228"/>
      <c r="S180" s="228"/>
      <c r="T180" s="9"/>
      <c r="U180" s="228"/>
      <c r="V180" s="229"/>
      <c r="W180" s="229"/>
      <c r="X180" s="229"/>
      <c r="Y180" s="9"/>
      <c r="Z180" s="229"/>
      <c r="AA180" s="229"/>
      <c r="AB180" s="229"/>
      <c r="AC180" s="229"/>
      <c r="AD180" s="9"/>
      <c r="AE180" s="9"/>
      <c r="AF180" s="9"/>
      <c r="AG180" s="9"/>
      <c r="AH180" s="9"/>
      <c r="AI180" s="9"/>
      <c r="AJ180" s="9"/>
      <c r="AK180" s="9"/>
    </row>
    <row r="181" spans="1:37" ht="13.5" customHeight="1">
      <c r="A181" s="180" t="s">
        <v>0</v>
      </c>
      <c r="B181" s="9"/>
      <c r="C181" s="33" t="s">
        <v>41</v>
      </c>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09"/>
      <c r="AH181" s="180" t="s">
        <v>0</v>
      </c>
      <c r="AI181" s="9"/>
      <c r="AJ181" s="9"/>
      <c r="AK181" s="9"/>
    </row>
    <row r="182" spans="1:37" ht="13.5" customHeight="1">
      <c r="A182" s="180"/>
      <c r="B182" s="9"/>
      <c r="C182" s="9"/>
      <c r="D182" s="9"/>
      <c r="E182" s="9"/>
      <c r="F182" s="228"/>
      <c r="G182" s="228"/>
      <c r="H182" s="228"/>
      <c r="I182" s="228"/>
      <c r="J182" s="9"/>
      <c r="K182" s="228"/>
      <c r="L182" s="228"/>
      <c r="M182" s="228"/>
      <c r="N182" s="228"/>
      <c r="O182" s="9"/>
      <c r="P182" s="228"/>
      <c r="Q182" s="228"/>
      <c r="R182" s="228"/>
      <c r="S182" s="228"/>
      <c r="T182" s="9"/>
      <c r="U182" s="228"/>
      <c r="V182" s="229"/>
      <c r="W182" s="229"/>
      <c r="X182" s="229"/>
      <c r="Y182" s="9"/>
      <c r="Z182" s="229"/>
      <c r="AA182" s="229"/>
      <c r="AB182" s="229"/>
      <c r="AC182" s="229"/>
      <c r="AD182" s="9"/>
      <c r="AE182" s="9"/>
      <c r="AF182" s="9"/>
      <c r="AG182" s="9"/>
      <c r="AH182" s="9"/>
      <c r="AI182" s="9"/>
      <c r="AJ182" s="9"/>
      <c r="AK182" s="9"/>
    </row>
    <row r="183" spans="1:37" ht="13.5" customHeight="1">
      <c r="A183" s="180"/>
      <c r="B183" s="9"/>
      <c r="C183" s="9" t="s">
        <v>353</v>
      </c>
      <c r="D183" s="9"/>
      <c r="E183" s="9"/>
      <c r="F183" s="295"/>
      <c r="G183" s="297">
        <f>AVERAGE(F163:G163)/G$28*G$26</f>
        <v>27.433134266080767</v>
      </c>
      <c r="H183" s="297">
        <f>AVERAGE(G163:H163)/H$28*H$26</f>
        <v>36.043722555361448</v>
      </c>
      <c r="I183" s="297">
        <f>AVERAGE(H163:I163)/I$28*I$26</f>
        <v>40.463914600844063</v>
      </c>
      <c r="J183" s="126">
        <f>AVERAGE(F163:I163)/J$28*J$26</f>
        <v>33.172044413932397</v>
      </c>
      <c r="K183" s="295">
        <f>AVERAGE(I163,K163)/K$28*K$26</f>
        <v>40.669401857050318</v>
      </c>
      <c r="L183" s="297">
        <f>AVERAGE(K163:L163)/L$28*L$26</f>
        <v>45.782590876131032</v>
      </c>
      <c r="M183" s="297">
        <f>AVERAGE(L163:M163)/M$28*M$26</f>
        <v>47.574291097202703</v>
      </c>
      <c r="N183" s="297">
        <f>AVERAGE(M163:N163)/N$28*N$26</f>
        <v>45.837783375314864</v>
      </c>
      <c r="O183" s="126">
        <f>AVERAGE(J163,O163)/O$28*O$26</f>
        <v>51.217057391819324</v>
      </c>
      <c r="P183" s="295">
        <f>AVERAGE(N163,P163)/P$28*P$26</f>
        <v>57.045153026213455</v>
      </c>
      <c r="Q183" s="297">
        <f>AVERAGE(P163:Q163)/Q$28*Q$26</f>
        <v>71.771571810478733</v>
      </c>
      <c r="R183" s="297">
        <f>AVERAGE(Q163:R163)/R$28*R$26</f>
        <v>63.187702438473572</v>
      </c>
      <c r="S183" s="297">
        <f>AVERAGE(R163:S163)/S$28*S$26</f>
        <v>73.664176428098784</v>
      </c>
      <c r="T183" s="126">
        <f>AVERAGE(O163,T163)/T$28*T$26</f>
        <v>74.156079409339043</v>
      </c>
      <c r="U183" s="295">
        <f>AVERAGE(S163,U163)/U$28*U$26</f>
        <v>86.817536002909776</v>
      </c>
      <c r="V183" s="274">
        <f>Drivers!V124</f>
        <v>79</v>
      </c>
      <c r="W183" s="274">
        <f>Drivers!W124</f>
        <v>79</v>
      </c>
      <c r="X183" s="274">
        <f>Drivers!X124</f>
        <v>79</v>
      </c>
      <c r="Y183" s="126">
        <f>AVERAGE(T163,Y163)/Y$28*Y$26</f>
        <v>86.432473818167892</v>
      </c>
      <c r="Z183" s="274">
        <f>Drivers!Z124</f>
        <v>86</v>
      </c>
      <c r="AA183" s="274">
        <f>Drivers!AA124</f>
        <v>86</v>
      </c>
      <c r="AB183" s="274">
        <f>Drivers!AB124</f>
        <v>86</v>
      </c>
      <c r="AC183" s="274">
        <f>Drivers!AC124</f>
        <v>86</v>
      </c>
      <c r="AD183" s="126">
        <f>AVERAGE(Y163,AD163)/AD$28*AD$26</f>
        <v>80.054628900311897</v>
      </c>
      <c r="AE183" s="275">
        <f>Drivers!AE124</f>
        <v>78</v>
      </c>
      <c r="AF183" s="275">
        <f>Drivers!AF124</f>
        <v>80</v>
      </c>
      <c r="AG183" s="275">
        <f>Drivers!AG124</f>
        <v>80</v>
      </c>
      <c r="AH183" s="9"/>
      <c r="AI183" s="9"/>
      <c r="AJ183" s="9"/>
      <c r="AK183" s="9"/>
    </row>
    <row r="184" spans="1:37" ht="13.5" customHeight="1">
      <c r="A184" s="180"/>
      <c r="B184" s="9"/>
      <c r="C184" s="9" t="s">
        <v>354</v>
      </c>
      <c r="D184" s="9"/>
      <c r="E184" s="9"/>
      <c r="F184" s="295"/>
      <c r="G184" s="297">
        <f>AVERAGE(F164:G164)/-SUM(G$32,G33)*G$26</f>
        <v>0</v>
      </c>
      <c r="H184" s="297">
        <f>AVERAGE(G164:H164)/-SUM(H$32,H33)*H$26</f>
        <v>0</v>
      </c>
      <c r="I184" s="297">
        <f>AVERAGE(H164:I164)/-SUM(I$32,I33)*I$26</f>
        <v>0</v>
      </c>
      <c r="J184" s="126">
        <f>AVERAGE(F164:I164)/-SUM(J$32,J33)*J$26</f>
        <v>0</v>
      </c>
      <c r="K184" s="297">
        <f>AVERAGE(J164:K164)/-SUM(K$32,K33)*K$26</f>
        <v>0</v>
      </c>
      <c r="L184" s="297">
        <f>AVERAGE(K164:L164)/-SUM(L$32,L33)*L$26</f>
        <v>0</v>
      </c>
      <c r="M184" s="297">
        <f>AVERAGE(L164:M164)/-SUM(M$32,M33)*M$26</f>
        <v>0</v>
      </c>
      <c r="N184" s="297">
        <f>AVERAGE(M164:N164)/-SUM(N$32,N33)*N$26</f>
        <v>0</v>
      </c>
      <c r="O184" s="126">
        <f>AVERAGE(K164:N164)/-SUM(O$32,O33)*O$26</f>
        <v>0</v>
      </c>
      <c r="P184" s="297">
        <f>AVERAGE(O164:P164)/-SUM(P$32,P33)*P$26</f>
        <v>0</v>
      </c>
      <c r="Q184" s="297">
        <f>AVERAGE(P164:Q164)/-SUM(Q$32,Q33)*Q$26</f>
        <v>0</v>
      </c>
      <c r="R184" s="297">
        <f>AVERAGE(Q164:R164)/-SUM(R$32,R33)*R$26</f>
        <v>0</v>
      </c>
      <c r="S184" s="297">
        <f>AVERAGE(R164:S164)/-SUM(S$32,S33)*S$26</f>
        <v>0</v>
      </c>
      <c r="T184" s="126">
        <f>AVERAGE(P164:S164)/-SUM(T$32,T33)*T$26</f>
        <v>0</v>
      </c>
      <c r="U184" s="297">
        <f>AVERAGE(T164:U164)/-SUM(U$32,U33)*U$26</f>
        <v>0</v>
      </c>
      <c r="V184" s="274">
        <f>Drivers!V129</f>
        <v>0</v>
      </c>
      <c r="W184" s="274">
        <f>Drivers!W129</f>
        <v>0</v>
      </c>
      <c r="X184" s="274">
        <f>Drivers!X129</f>
        <v>0</v>
      </c>
      <c r="Y184" s="126">
        <f>AVERAGE(T164,Y164)/-SUM(Y$32:Y$33)*Y$26</f>
        <v>0</v>
      </c>
      <c r="Z184" s="274">
        <f>Drivers!Z129</f>
        <v>0</v>
      </c>
      <c r="AA184" s="274">
        <f>Drivers!AA129</f>
        <v>0</v>
      </c>
      <c r="AB184" s="274">
        <f>Drivers!AB129</f>
        <v>0</v>
      </c>
      <c r="AC184" s="274">
        <f>Drivers!AC129</f>
        <v>0</v>
      </c>
      <c r="AD184" s="126">
        <f>AVERAGE(Y164,AD164)/-SUM(AD$32:AD$33)*AD$26</f>
        <v>0</v>
      </c>
      <c r="AE184" s="275">
        <f>Drivers!AE129</f>
        <v>0</v>
      </c>
      <c r="AF184" s="275">
        <f>Drivers!AF129</f>
        <v>0</v>
      </c>
      <c r="AG184" s="275">
        <f>Drivers!AG129</f>
        <v>0</v>
      </c>
      <c r="AH184" s="9"/>
      <c r="AI184" s="9"/>
      <c r="AJ184" s="9"/>
      <c r="AK184" s="9"/>
    </row>
    <row r="185" spans="1:37" ht="13.5" customHeight="1">
      <c r="A185" s="180"/>
      <c r="B185" s="9"/>
      <c r="C185" s="9" t="s">
        <v>355</v>
      </c>
      <c r="D185" s="9"/>
      <c r="E185" s="9"/>
      <c r="F185" s="295"/>
      <c r="G185" s="297">
        <f>AVERAGE(F168:G168)/-SUM(G$32:G$33)*G$26</f>
        <v>2.9999521531100477</v>
      </c>
      <c r="H185" s="297">
        <f>AVERAGE(G168:H168)/-SUM(H$32:H$33)*H$26</f>
        <v>2.6698790269750923</v>
      </c>
      <c r="I185" s="297">
        <f>AVERAGE(H168:I168)/-SUM(I$32:I$33)*I$26</f>
        <v>4.7809131112195278</v>
      </c>
      <c r="J185" s="126">
        <f>AVERAGE(F168:I168)/-SUM(J$32:J$33)*J$26</f>
        <v>3.8381462465508704</v>
      </c>
      <c r="K185" s="297">
        <f>AVERAGE(J168:K168)/-SUM(K$32:K$33)*K$26</f>
        <v>6.5049644783018055</v>
      </c>
      <c r="L185" s="297">
        <f>AVERAGE(K168:L168)/-SUM(L$32:L$33)*L$26</f>
        <v>5.819077147546964</v>
      </c>
      <c r="M185" s="297">
        <f>AVERAGE(L168:M168)/-SUM(M$32:M$33)*M$26</f>
        <v>4.2687153106809266</v>
      </c>
      <c r="N185" s="297">
        <f>AVERAGE(M168:N168)/-SUM(N$32:N$33)*N$26</f>
        <v>3.8762206557589076</v>
      </c>
      <c r="O185" s="126">
        <f>AVERAGE(K168:N168)/-SUM(O$32:O$33)*O$26</f>
        <v>5.0165652138625116</v>
      </c>
      <c r="P185" s="297">
        <f>AVERAGE(O168:P168)/-SUM(P$32:P$33)*P$26</f>
        <v>3.8597834204630312</v>
      </c>
      <c r="Q185" s="297">
        <f>AVERAGE(P168:Q168)/-SUM(Q$32:Q$33)*Q$26</f>
        <v>6.1062651708188911</v>
      </c>
      <c r="R185" s="297">
        <f>AVERAGE(Q168:R168)/-SUM(R$32:R$33)*R$26</f>
        <v>5.8059845038308175</v>
      </c>
      <c r="S185" s="297">
        <f>AVERAGE(R168:S168)/-SUM(S$32:S$33)*S$26</f>
        <v>4.3272982579314592</v>
      </c>
      <c r="T185" s="126">
        <f>AVERAGE(P168:S168)/-SUM(T$32:T$33)*T$26</f>
        <v>5.0255164463145574</v>
      </c>
      <c r="U185" s="297">
        <f>AVERAGE(T168:U168)/-SUM(U$32:U$33)*U$26</f>
        <v>5.4450259135407091</v>
      </c>
      <c r="V185" s="274">
        <f>Drivers!V157</f>
        <v>5.5</v>
      </c>
      <c r="W185" s="274">
        <f>Drivers!W157</f>
        <v>5.5</v>
      </c>
      <c r="X185" s="274">
        <f>Drivers!X157</f>
        <v>5.5</v>
      </c>
      <c r="Y185" s="126">
        <f>AVERAGE(U168:X168)/-SUM(Y$32:Y$33)*Y$26</f>
        <v>5.593758122614525</v>
      </c>
      <c r="Z185" s="274">
        <f>Drivers!Z157</f>
        <v>6</v>
      </c>
      <c r="AA185" s="274">
        <f>Drivers!AA157</f>
        <v>5.5</v>
      </c>
      <c r="AB185" s="274">
        <f>Drivers!AB157</f>
        <v>5.5</v>
      </c>
      <c r="AC185" s="274">
        <f>Drivers!AC157</f>
        <v>5.5</v>
      </c>
      <c r="AD185" s="126">
        <f>AVERAGE(Z168:AC168)/-SUM(AD$32:AD$33)*AD$26</f>
        <v>5.6147599864982052</v>
      </c>
      <c r="AE185" s="275">
        <f>Drivers!AE157</f>
        <v>5.5</v>
      </c>
      <c r="AF185" s="275">
        <f>Drivers!AF157</f>
        <v>5.5</v>
      </c>
      <c r="AG185" s="275">
        <f>Drivers!AG157</f>
        <v>5.5</v>
      </c>
      <c r="AH185" s="9"/>
      <c r="AI185" s="9"/>
      <c r="AJ185" s="9"/>
      <c r="AK185" s="9"/>
    </row>
    <row r="186" spans="1:37" ht="13.5" customHeight="1">
      <c r="A186" s="180"/>
      <c r="B186" s="9"/>
      <c r="C186" s="9" t="s">
        <v>125</v>
      </c>
      <c r="D186" s="9"/>
      <c r="E186" s="9"/>
      <c r="F186" s="295"/>
      <c r="G186" s="297">
        <f t="shared" ref="G186:AG186" si="64">SUM(G183:G184)-G185</f>
        <v>24.433182112970719</v>
      </c>
      <c r="H186" s="297">
        <f t="shared" si="64"/>
        <v>33.373843528386359</v>
      </c>
      <c r="I186" s="297">
        <f t="shared" si="64"/>
        <v>35.683001489624537</v>
      </c>
      <c r="J186" s="126">
        <f t="shared" si="64"/>
        <v>29.333898167381527</v>
      </c>
      <c r="K186" s="295">
        <f t="shared" si="64"/>
        <v>34.164437378748509</v>
      </c>
      <c r="L186" s="297">
        <f t="shared" si="64"/>
        <v>39.963513728584068</v>
      </c>
      <c r="M186" s="297">
        <f t="shared" si="64"/>
        <v>43.305575786521779</v>
      </c>
      <c r="N186" s="297">
        <f t="shared" si="64"/>
        <v>41.961562719555957</v>
      </c>
      <c r="O186" s="126">
        <f t="shared" si="64"/>
        <v>46.200492177956811</v>
      </c>
      <c r="P186" s="295">
        <f t="shared" si="64"/>
        <v>53.185369605750424</v>
      </c>
      <c r="Q186" s="297">
        <f t="shared" si="64"/>
        <v>65.665306639659846</v>
      </c>
      <c r="R186" s="297">
        <f t="shared" si="64"/>
        <v>57.381717934642751</v>
      </c>
      <c r="S186" s="297">
        <f t="shared" si="64"/>
        <v>69.336878170167324</v>
      </c>
      <c r="T186" s="126">
        <f t="shared" si="64"/>
        <v>69.130562963024488</v>
      </c>
      <c r="U186" s="295">
        <f t="shared" si="64"/>
        <v>81.372510089369072</v>
      </c>
      <c r="V186" s="272">
        <f>SUM(V183:V184)-V185</f>
        <v>73.5</v>
      </c>
      <c r="W186" s="272">
        <f>SUM(W183:W184)-W185</f>
        <v>73.5</v>
      </c>
      <c r="X186" s="272">
        <f t="shared" si="64"/>
        <v>73.5</v>
      </c>
      <c r="Y186" s="126">
        <f t="shared" si="64"/>
        <v>80.838715695553361</v>
      </c>
      <c r="Z186" s="272">
        <f t="shared" si="64"/>
        <v>80</v>
      </c>
      <c r="AA186" s="272">
        <f t="shared" si="64"/>
        <v>80.5</v>
      </c>
      <c r="AB186" s="272">
        <f t="shared" si="64"/>
        <v>80.5</v>
      </c>
      <c r="AC186" s="272">
        <f t="shared" si="64"/>
        <v>80.5</v>
      </c>
      <c r="AD186" s="126">
        <f>SUM(AD183:AD184)-AD185</f>
        <v>74.439868913813697</v>
      </c>
      <c r="AE186" s="126">
        <f t="shared" si="64"/>
        <v>72.5</v>
      </c>
      <c r="AF186" s="126">
        <f t="shared" si="64"/>
        <v>74.5</v>
      </c>
      <c r="AG186" s="126">
        <f t="shared" si="64"/>
        <v>74.5</v>
      </c>
      <c r="AH186" s="9"/>
      <c r="AI186" s="9"/>
      <c r="AJ186" s="9"/>
      <c r="AK186" s="9"/>
    </row>
    <row r="187" spans="1:37" ht="13.5" customHeight="1">
      <c r="A187" s="180"/>
      <c r="B187" s="9"/>
      <c r="C187" s="103" t="s">
        <v>356</v>
      </c>
      <c r="D187" s="9"/>
      <c r="E187" s="9"/>
      <c r="F187" s="323">
        <f>F165/(4*F28)</f>
        <v>2.6476101218369259E-2</v>
      </c>
      <c r="G187" s="323">
        <f>G165/(4*G28)</f>
        <v>2.620744285509382E-2</v>
      </c>
      <c r="H187" s="323">
        <f>H165/(4*H28)</f>
        <v>3.5369154980562513E-2</v>
      </c>
      <c r="I187" s="323">
        <f>I165/(4*I28)</f>
        <v>4.8336259176508148E-2</v>
      </c>
      <c r="J187" s="148">
        <f>J165/(J28)</f>
        <v>4.1242319192515219E-2</v>
      </c>
      <c r="K187" s="323">
        <f>K165/(4*K28)</f>
        <v>4.1537704839367542E-2</v>
      </c>
      <c r="L187" s="323">
        <f>L165/(4*L28)</f>
        <v>3.8070635896465838E-2</v>
      </c>
      <c r="M187" s="323">
        <f>M165/(4*M28)</f>
        <v>4.8641269638523436E-2</v>
      </c>
      <c r="N187" s="323">
        <f>N165/(4*N28)</f>
        <v>3.425692695214106E-2</v>
      </c>
      <c r="O187" s="148">
        <f>O165/(O28)</f>
        <v>4.3709216708014198E-2</v>
      </c>
      <c r="P187" s="323">
        <f>P165/(4*P28)</f>
        <v>3.3665258652678019E-2</v>
      </c>
      <c r="Q187" s="323">
        <f>Q165/(4*Q28)</f>
        <v>6.5125434169561125E-2</v>
      </c>
      <c r="R187" s="323">
        <f>R165/(4*R28)</f>
        <v>5.4443691645717066E-2</v>
      </c>
      <c r="S187" s="323">
        <f>S165/(4*S28)</f>
        <v>4.2690164820455311E-2</v>
      </c>
      <c r="T187" s="148">
        <f>T165/(T28)</f>
        <v>4.7416138823278595E-2</v>
      </c>
      <c r="U187" s="323">
        <f>U165/(4*U28)</f>
        <v>5.2491219495561445E-2</v>
      </c>
      <c r="V187" s="324">
        <f>Drivers!V134</f>
        <v>0.05</v>
      </c>
      <c r="W187" s="324">
        <f>Drivers!W134</f>
        <v>0.05</v>
      </c>
      <c r="X187" s="324">
        <f>Drivers!X134</f>
        <v>0.05</v>
      </c>
      <c r="Y187" s="148">
        <f>Y165/(Y28)</f>
        <v>5.519453912622703E-2</v>
      </c>
      <c r="Z187" s="324">
        <f>Drivers!Z134</f>
        <v>0.05</v>
      </c>
      <c r="AA187" s="324">
        <f>Drivers!AA134</f>
        <v>0.05</v>
      </c>
      <c r="AB187" s="324">
        <f>Drivers!AB134</f>
        <v>0.05</v>
      </c>
      <c r="AC187" s="324">
        <f>Drivers!AC134</f>
        <v>0.05</v>
      </c>
      <c r="AD187" s="148">
        <f>AD165/(AD28)</f>
        <v>5.3626421189186604E-2</v>
      </c>
      <c r="AE187" s="325">
        <f>Drivers!AE134</f>
        <v>5.5E-2</v>
      </c>
      <c r="AF187" s="325">
        <f>Drivers!AF134</f>
        <v>5.5E-2</v>
      </c>
      <c r="AG187" s="325">
        <f>Drivers!AG134</f>
        <v>5.5E-2</v>
      </c>
      <c r="AH187" s="9"/>
      <c r="AI187" s="9"/>
      <c r="AJ187" s="9"/>
      <c r="AK187" s="9"/>
    </row>
    <row r="188" spans="1:37" ht="13.5" customHeight="1">
      <c r="A188" s="180"/>
      <c r="B188" s="9"/>
      <c r="C188" s="9" t="s">
        <v>854</v>
      </c>
      <c r="D188" s="9"/>
      <c r="E188" s="9"/>
      <c r="F188" s="323">
        <f>F169/(4*-SUM(F32:F33))</f>
        <v>0.21394523812785074</v>
      </c>
      <c r="G188" s="323">
        <f>G169/(4*-SUM(G32:G33))</f>
        <v>0.26844198564593302</v>
      </c>
      <c r="H188" s="323">
        <f>H169/(4*-SUM(H32:H33))</f>
        <v>0.36296274729593991</v>
      </c>
      <c r="I188" s="323">
        <f>I169/(4*-SUM(I32:I33))</f>
        <v>0.21624620323885368</v>
      </c>
      <c r="J188" s="148">
        <f>J169/-SUM(J32:J33)</f>
        <v>0.19028462025820433</v>
      </c>
      <c r="K188" s="323">
        <f>K169/(4*-SUM(K32:K33))</f>
        <v>0.21672872264543924</v>
      </c>
      <c r="L188" s="323">
        <f>L169/(4*-SUM(L32:L33))</f>
        <v>0.26751567782937469</v>
      </c>
      <c r="M188" s="323">
        <f>M169/(4*-SUM(M32:M33))</f>
        <v>0.32508799241911468</v>
      </c>
      <c r="N188" s="323">
        <f>N169/(4*-SUM(N32:N33))</f>
        <v>0.20862165599603352</v>
      </c>
      <c r="O188" s="148">
        <f>O169/-SUM(O32:O33)</f>
        <v>0.25134972810648487</v>
      </c>
      <c r="P188" s="323">
        <f>P169/(4*-SUM(P32:P33))</f>
        <v>0.25514609783420467</v>
      </c>
      <c r="Q188" s="323">
        <f>Q169/(4*-SUM(Q32:Q33))</f>
        <v>0.30240197084787512</v>
      </c>
      <c r="R188" s="323">
        <f>R169/(4*-SUM(R32:R33))</f>
        <v>0.30152692378348589</v>
      </c>
      <c r="S188" s="323">
        <f>S169/(4*-SUM(S32:S33))</f>
        <v>0.2097481240949581</v>
      </c>
      <c r="T188" s="148">
        <f>T169/-SUM(T32:T33)</f>
        <v>0.24116131994319029</v>
      </c>
      <c r="U188" s="323">
        <f>U169/(4*-SUM(U32:U33))</f>
        <v>0.27882313124475916</v>
      </c>
      <c r="V188" s="324">
        <f>Drivers!V162</f>
        <v>0.27500000000000002</v>
      </c>
      <c r="W188" s="324">
        <f>Drivers!W162</f>
        <v>0.27500000000000002</v>
      </c>
      <c r="X188" s="324">
        <f>Drivers!X162</f>
        <v>0.27500000000000002</v>
      </c>
      <c r="Y188" s="148">
        <f>Y169/-SUM(Y32,Y33)</f>
        <v>0.30411929401501092</v>
      </c>
      <c r="Z188" s="324">
        <f>Drivers!Z162</f>
        <v>0.28000000000000003</v>
      </c>
      <c r="AA188" s="324">
        <f>Drivers!AA162</f>
        <v>0.28000000000000003</v>
      </c>
      <c r="AB188" s="324">
        <f>Drivers!AB162</f>
        <v>0.28000000000000003</v>
      </c>
      <c r="AC188" s="324">
        <f>Drivers!AC162</f>
        <v>0.28000000000000003</v>
      </c>
      <c r="AD188" s="148">
        <f>AD169/-SUM(AD32,AD33)</f>
        <v>0.30030795865944498</v>
      </c>
      <c r="AE188" s="325">
        <f>Drivers!AE162</f>
        <v>0.3</v>
      </c>
      <c r="AF188" s="325">
        <f>Drivers!AF162</f>
        <v>0.3</v>
      </c>
      <c r="AG188" s="325">
        <f>Drivers!AG162</f>
        <v>0.3</v>
      </c>
      <c r="AH188" s="9"/>
      <c r="AI188" s="9"/>
      <c r="AJ188" s="9"/>
      <c r="AK188" s="9"/>
    </row>
    <row r="189" spans="1:37" ht="13.5" customHeight="1">
      <c r="A189" s="180"/>
      <c r="B189" s="9"/>
      <c r="C189" s="9" t="s">
        <v>855</v>
      </c>
      <c r="D189" s="9"/>
      <c r="E189" s="9"/>
      <c r="F189" s="323">
        <f>F170/(4*-SUM(F32,F33))</f>
        <v>0</v>
      </c>
      <c r="G189" s="323">
        <f>G170/(4*-SUM(G32,G33))</f>
        <v>0</v>
      </c>
      <c r="H189" s="323">
        <f>H170/(4*-SUM(H32,H33))</f>
        <v>0</v>
      </c>
      <c r="I189" s="323">
        <f>I170/(4*-SUM(I32,I33))</f>
        <v>0</v>
      </c>
      <c r="J189" s="148">
        <f>J170/(-SUM(J32,J33))</f>
        <v>0</v>
      </c>
      <c r="K189" s="323">
        <f>K170/(4*-SUM(K32,K33))</f>
        <v>0</v>
      </c>
      <c r="L189" s="323">
        <f>L170/(4*-SUM(L32,L33))</f>
        <v>0</v>
      </c>
      <c r="M189" s="323">
        <f>M170/(4*-SUM(M32,M33))</f>
        <v>0</v>
      </c>
      <c r="N189" s="323">
        <f>N170/(4*-SUM(N32,N33))</f>
        <v>0</v>
      </c>
      <c r="O189" s="148">
        <f>O170/(-SUM(O32,O33))</f>
        <v>0</v>
      </c>
      <c r="P189" s="323">
        <f>P170/(4*-SUM(P32,P33))</f>
        <v>0</v>
      </c>
      <c r="Q189" s="323">
        <f>Q170/(4*-SUM(Q32,Q33))</f>
        <v>0</v>
      </c>
      <c r="R189" s="323">
        <f>R170/(4*-SUM(R32,R33))</f>
        <v>0</v>
      </c>
      <c r="S189" s="323">
        <f>S170/(4*-SUM(S32,S33))</f>
        <v>0</v>
      </c>
      <c r="T189" s="148">
        <f>T170/(-SUM(T32,T33))</f>
        <v>0</v>
      </c>
      <c r="U189" s="323">
        <f>U170/(4*-SUM(U32,U33))</f>
        <v>0</v>
      </c>
      <c r="V189" s="324">
        <f>Drivers!V167</f>
        <v>0</v>
      </c>
      <c r="W189" s="324">
        <f>Drivers!W167</f>
        <v>0</v>
      </c>
      <c r="X189" s="324">
        <f>Drivers!X167</f>
        <v>0</v>
      </c>
      <c r="Y189" s="148">
        <f>Y170/-SUM(Y32,Y33)</f>
        <v>0</v>
      </c>
      <c r="Z189" s="324">
        <f>Drivers!Z167</f>
        <v>0</v>
      </c>
      <c r="AA189" s="324">
        <f>Drivers!AA167</f>
        <v>0</v>
      </c>
      <c r="AB189" s="324">
        <f>Drivers!AB167</f>
        <v>0</v>
      </c>
      <c r="AC189" s="324">
        <f>Drivers!AC167</f>
        <v>0</v>
      </c>
      <c r="AD189" s="148">
        <f>AD170/-SUM(AD32,AD33)</f>
        <v>0</v>
      </c>
      <c r="AE189" s="325">
        <f>Drivers!AE167</f>
        <v>0</v>
      </c>
      <c r="AF189" s="325">
        <f>Drivers!AF167</f>
        <v>0</v>
      </c>
      <c r="AG189" s="325">
        <f>Drivers!AG167</f>
        <v>0</v>
      </c>
      <c r="AH189" s="9"/>
      <c r="AI189" s="9"/>
      <c r="AJ189" s="9"/>
      <c r="AK189" s="9"/>
    </row>
    <row r="190" spans="1:37" ht="13.5" customHeight="1">
      <c r="A190" s="180"/>
      <c r="B190" s="9"/>
      <c r="C190" s="9"/>
      <c r="D190" s="9"/>
      <c r="E190" s="9"/>
      <c r="F190" s="228"/>
      <c r="G190" s="228"/>
      <c r="H190" s="228"/>
      <c r="I190" s="228"/>
      <c r="J190" s="9"/>
      <c r="K190" s="228"/>
      <c r="L190" s="228"/>
      <c r="M190" s="228"/>
      <c r="N190" s="228"/>
      <c r="O190" s="9"/>
      <c r="P190" s="228"/>
      <c r="Q190" s="228"/>
      <c r="R190" s="228"/>
      <c r="S190" s="228"/>
      <c r="T190" s="9"/>
      <c r="U190" s="228"/>
      <c r="V190" s="229"/>
      <c r="W190" s="229"/>
      <c r="X190" s="229"/>
      <c r="Y190" s="9"/>
      <c r="Z190" s="229"/>
      <c r="AA190" s="229"/>
      <c r="AB190" s="229"/>
      <c r="AC190" s="229"/>
      <c r="AD190" s="9"/>
      <c r="AE190" s="9"/>
      <c r="AF190" s="9"/>
      <c r="AG190" s="9"/>
      <c r="AH190" s="9"/>
      <c r="AI190" s="9"/>
      <c r="AJ190" s="9"/>
      <c r="AK190" s="9"/>
    </row>
    <row r="191" spans="1:37" ht="13.5" customHeight="1">
      <c r="A191" s="180" t="s">
        <v>0</v>
      </c>
      <c r="B191" s="37"/>
      <c r="C191" s="50" t="s">
        <v>357</v>
      </c>
      <c r="D191" s="12"/>
      <c r="E191" s="12"/>
      <c r="F191" s="226" t="str">
        <f>F$25</f>
        <v>1Q23</v>
      </c>
      <c r="G191" s="51" t="str">
        <f t="shared" ref="G191:AG191" si="65">G$63</f>
        <v>2Q23</v>
      </c>
      <c r="H191" s="51" t="str">
        <f t="shared" si="65"/>
        <v>3Q23</v>
      </c>
      <c r="I191" s="51" t="str">
        <f t="shared" si="65"/>
        <v>4Q23</v>
      </c>
      <c r="J191" s="51">
        <f t="shared" si="65"/>
        <v>2023</v>
      </c>
      <c r="K191" s="51" t="str">
        <f t="shared" si="65"/>
        <v>1Q24</v>
      </c>
      <c r="L191" s="51" t="str">
        <f t="shared" si="65"/>
        <v>2Q24</v>
      </c>
      <c r="M191" s="51" t="str">
        <f t="shared" si="65"/>
        <v>3Q24</v>
      </c>
      <c r="N191" s="51" t="str">
        <f t="shared" si="65"/>
        <v>4Q24</v>
      </c>
      <c r="O191" s="51">
        <f t="shared" si="65"/>
        <v>2024</v>
      </c>
      <c r="P191" s="51" t="str">
        <f t="shared" si="65"/>
        <v>1Q25</v>
      </c>
      <c r="Q191" s="51" t="str">
        <f t="shared" si="65"/>
        <v>2Q25</v>
      </c>
      <c r="R191" s="51" t="str">
        <f t="shared" si="65"/>
        <v>3Q25</v>
      </c>
      <c r="S191" s="51" t="str">
        <f t="shared" si="65"/>
        <v>4Q25</v>
      </c>
      <c r="T191" s="51">
        <f t="shared" si="65"/>
        <v>2025</v>
      </c>
      <c r="U191" s="51" t="str">
        <f t="shared" si="65"/>
        <v>1Q26</v>
      </c>
      <c r="V191" s="51" t="str">
        <f t="shared" si="65"/>
        <v>2Q26e</v>
      </c>
      <c r="W191" s="51" t="str">
        <f t="shared" si="65"/>
        <v>3Q26e</v>
      </c>
      <c r="X191" s="51" t="str">
        <f t="shared" si="65"/>
        <v>4Q26e</v>
      </c>
      <c r="Y191" s="51" t="str">
        <f t="shared" si="65"/>
        <v>2026e</v>
      </c>
      <c r="Z191" s="51" t="str">
        <f t="shared" si="65"/>
        <v>1Q27e</v>
      </c>
      <c r="AA191" s="51" t="str">
        <f t="shared" si="65"/>
        <v>2Q27e</v>
      </c>
      <c r="AB191" s="51" t="str">
        <f t="shared" si="65"/>
        <v>3Q27e</v>
      </c>
      <c r="AC191" s="51" t="str">
        <f t="shared" si="65"/>
        <v>4Q27e</v>
      </c>
      <c r="AD191" s="51" t="str">
        <f t="shared" si="65"/>
        <v>2027e</v>
      </c>
      <c r="AE191" s="51" t="str">
        <f t="shared" si="65"/>
        <v>2028e</v>
      </c>
      <c r="AF191" s="51" t="str">
        <f t="shared" si="65"/>
        <v>2029e</v>
      </c>
      <c r="AG191" s="52" t="str">
        <f t="shared" si="65"/>
        <v>2030e</v>
      </c>
      <c r="AH191" s="180" t="s">
        <v>0</v>
      </c>
      <c r="AI191" s="9"/>
      <c r="AJ191" s="9"/>
      <c r="AK191" s="9"/>
    </row>
    <row r="192" spans="1:37" ht="13.5" customHeight="1">
      <c r="A192" s="180"/>
      <c r="B192" s="9"/>
      <c r="C192" s="9"/>
      <c r="D192" s="9"/>
      <c r="E192" s="9"/>
      <c r="F192" s="228"/>
      <c r="G192" s="228"/>
      <c r="H192" s="228"/>
      <c r="I192" s="228"/>
      <c r="J192" s="9"/>
      <c r="K192" s="228"/>
      <c r="L192" s="228"/>
      <c r="M192" s="228"/>
      <c r="N192" s="228"/>
      <c r="O192" s="9"/>
      <c r="P192" s="228"/>
      <c r="Q192" s="228"/>
      <c r="R192" s="228"/>
      <c r="S192" s="228"/>
      <c r="T192" s="9"/>
      <c r="U192" s="228"/>
      <c r="V192" s="229"/>
      <c r="W192" s="229"/>
      <c r="X192" s="229"/>
      <c r="Y192" s="9"/>
      <c r="Z192" s="229"/>
      <c r="AA192" s="229"/>
      <c r="AB192" s="229"/>
      <c r="AC192" s="229"/>
      <c r="AD192" s="9"/>
      <c r="AE192" s="9"/>
      <c r="AF192" s="9"/>
      <c r="AG192" s="9"/>
      <c r="AH192" s="9"/>
      <c r="AI192" s="9"/>
      <c r="AJ192" s="9"/>
      <c r="AK192" s="9"/>
    </row>
    <row r="193" spans="1:37" ht="13.5" customHeight="1">
      <c r="A193" s="180"/>
      <c r="B193" s="9"/>
      <c r="C193" s="9" t="s">
        <v>358</v>
      </c>
      <c r="D193" s="9"/>
      <c r="E193" s="9"/>
      <c r="F193" s="228"/>
      <c r="G193" s="266">
        <f>F197</f>
        <v>93.679999999999993</v>
      </c>
      <c r="H193" s="266">
        <f t="shared" ref="H193:I193" si="66">G197</f>
        <v>93.070000000000007</v>
      </c>
      <c r="I193" s="266">
        <f t="shared" si="66"/>
        <v>91.5</v>
      </c>
      <c r="J193" s="197">
        <f>G193</f>
        <v>93.679999999999993</v>
      </c>
      <c r="K193" s="266">
        <f>J197</f>
        <v>90.751999999999995</v>
      </c>
      <c r="L193" s="266">
        <f>K197</f>
        <v>94.756</v>
      </c>
      <c r="M193" s="266">
        <f t="shared" ref="M193:N193" si="67">L197</f>
        <v>96.356999999999999</v>
      </c>
      <c r="N193" s="266">
        <f t="shared" si="67"/>
        <v>96.820999999999998</v>
      </c>
      <c r="O193" s="197">
        <f>K193</f>
        <v>90.751999999999995</v>
      </c>
      <c r="P193" s="266">
        <f>O197</f>
        <v>95.437999999999988</v>
      </c>
      <c r="Q193" s="266">
        <f>P197</f>
        <v>95.085000000000008</v>
      </c>
      <c r="R193" s="266">
        <f t="shared" ref="R193:S193" si="68">Q197</f>
        <v>95.254999999999995</v>
      </c>
      <c r="S193" s="266">
        <f t="shared" si="68"/>
        <v>97.37299999999999</v>
      </c>
      <c r="T193" s="197">
        <f>P193</f>
        <v>95.437999999999988</v>
      </c>
      <c r="U193" s="266">
        <f>T197</f>
        <v>98.998999999999995</v>
      </c>
      <c r="V193" s="196">
        <f>U197</f>
        <v>96.676999999999992</v>
      </c>
      <c r="W193" s="196">
        <f t="shared" ref="W193:X193" si="69">V197</f>
        <v>98.883927919999991</v>
      </c>
      <c r="X193" s="196">
        <f t="shared" si="69"/>
        <v>101.22647077999999</v>
      </c>
      <c r="Y193" s="197">
        <f>U193</f>
        <v>98.998999999999995</v>
      </c>
      <c r="Z193" s="196">
        <f>Y197</f>
        <v>103.34223463159998</v>
      </c>
      <c r="AA193" s="196">
        <f t="shared" ref="AA193:AC193" si="70">Z197</f>
        <v>105.13837689220638</v>
      </c>
      <c r="AB193" s="196">
        <f t="shared" si="70"/>
        <v>107.04228768844916</v>
      </c>
      <c r="AC193" s="196">
        <f t="shared" si="70"/>
        <v>109.03633252924718</v>
      </c>
      <c r="AD193" s="197">
        <f>Z193</f>
        <v>103.34223463159998</v>
      </c>
      <c r="AE193" s="197">
        <f>AD197</f>
        <v>111.12246101385817</v>
      </c>
      <c r="AF193" s="197">
        <f t="shared" ref="AF193:AG193" si="71">AE197</f>
        <v>119.44730324287444</v>
      </c>
      <c r="AG193" s="197">
        <f t="shared" si="71"/>
        <v>128.23001179448661</v>
      </c>
      <c r="AH193" s="9"/>
      <c r="AI193" s="9"/>
      <c r="AJ193" s="9"/>
      <c r="AK193" s="9"/>
    </row>
    <row r="194" spans="1:37" ht="13.5" customHeight="1">
      <c r="A194" s="180"/>
      <c r="B194" s="9"/>
      <c r="C194" s="103" t="s">
        <v>115</v>
      </c>
      <c r="D194" s="9"/>
      <c r="E194" s="9"/>
      <c r="F194" s="955"/>
      <c r="G194" s="955">
        <f>G197-F197</f>
        <v>-0.60999999999998522</v>
      </c>
      <c r="H194" s="955">
        <f t="shared" ref="H194:U194" si="72">H197-G197</f>
        <v>-1.5700000000000074</v>
      </c>
      <c r="I194" s="955">
        <f t="shared" si="72"/>
        <v>-0.74800000000000466</v>
      </c>
      <c r="J194" s="954">
        <f>SUM(G194:I194)</f>
        <v>-2.9279999999999973</v>
      </c>
      <c r="K194" s="955">
        <f t="shared" si="72"/>
        <v>4.0040000000000049</v>
      </c>
      <c r="L194" s="955">
        <f t="shared" si="72"/>
        <v>1.6009999999999991</v>
      </c>
      <c r="M194" s="955">
        <f t="shared" si="72"/>
        <v>0.46399999999999864</v>
      </c>
      <c r="N194" s="955">
        <f t="shared" si="72"/>
        <v>-1.3830000000000098</v>
      </c>
      <c r="O194" s="954">
        <f>SUM(K194:N194)</f>
        <v>4.6859999999999928</v>
      </c>
      <c r="P194" s="955">
        <f t="shared" si="72"/>
        <v>-0.35299999999998022</v>
      </c>
      <c r="Q194" s="955">
        <f t="shared" si="72"/>
        <v>0.16999999999998749</v>
      </c>
      <c r="R194" s="955">
        <f t="shared" si="72"/>
        <v>2.117999999999995</v>
      </c>
      <c r="S194" s="955">
        <f t="shared" si="72"/>
        <v>1.6260000000000048</v>
      </c>
      <c r="T194" s="954">
        <f>SUM(P194:S194)</f>
        <v>3.561000000000007</v>
      </c>
      <c r="U194" s="955">
        <f t="shared" si="72"/>
        <v>-2.3220000000000027</v>
      </c>
      <c r="V194" s="956">
        <f>V201*V28</f>
        <v>2.20692792</v>
      </c>
      <c r="W194" s="956">
        <f>W201*W28</f>
        <v>2.34254286</v>
      </c>
      <c r="X194" s="956">
        <f>X201*X28</f>
        <v>2.1157638516000001</v>
      </c>
      <c r="Y194" s="954">
        <f>SUM(U194:X194)</f>
        <v>4.3432346315999979</v>
      </c>
      <c r="Z194" s="956">
        <f>Z201*Z28</f>
        <v>1.7961422606063999</v>
      </c>
      <c r="AA194" s="956">
        <f>AA201*AA28</f>
        <v>1.9039107962427841</v>
      </c>
      <c r="AB194" s="956">
        <f>AB201*AB28</f>
        <v>1.9940448407980162</v>
      </c>
      <c r="AC194" s="956">
        <f>AC201*AC28</f>
        <v>2.0861284846109984</v>
      </c>
      <c r="AD194" s="954">
        <f>SUM(Z194:AC194)</f>
        <v>7.7802263822581992</v>
      </c>
      <c r="AE194" s="954">
        <f>AE201*AE28</f>
        <v>8.3248422290162747</v>
      </c>
      <c r="AF194" s="954">
        <f>AF201*AF28</f>
        <v>8.7827085516121688</v>
      </c>
      <c r="AG194" s="954">
        <f>AG201*AG28</f>
        <v>9.3561699560613718</v>
      </c>
      <c r="AH194" s="9"/>
      <c r="AI194" s="9"/>
      <c r="AJ194" s="9"/>
      <c r="AK194" s="9"/>
    </row>
    <row r="195" spans="1:37" ht="13.5" hidden="1" customHeight="1">
      <c r="A195" s="180"/>
      <c r="B195" s="9"/>
      <c r="C195" s="103" t="s">
        <v>359</v>
      </c>
      <c r="D195" s="9"/>
      <c r="E195" s="9"/>
      <c r="F195" s="271"/>
      <c r="G195" s="271"/>
      <c r="H195" s="271"/>
      <c r="I195" s="271"/>
      <c r="J195" s="279"/>
      <c r="K195" s="271"/>
      <c r="L195" s="271"/>
      <c r="M195" s="271"/>
      <c r="N195" s="271"/>
      <c r="O195" s="279"/>
      <c r="P195" s="271"/>
      <c r="Q195" s="271"/>
      <c r="R195" s="271"/>
      <c r="S195" s="271"/>
      <c r="T195" s="279"/>
      <c r="U195" s="271"/>
      <c r="V195" s="272"/>
      <c r="W195" s="272"/>
      <c r="X195" s="272"/>
      <c r="Y195" s="242"/>
      <c r="Z195" s="272"/>
      <c r="AA195" s="272"/>
      <c r="AB195" s="272"/>
      <c r="AC195" s="272"/>
      <c r="AD195" s="242"/>
      <c r="AE195" s="126"/>
      <c r="AF195" s="126"/>
      <c r="AG195" s="126"/>
      <c r="AH195" s="9"/>
      <c r="AI195" s="9"/>
      <c r="AJ195" s="9"/>
      <c r="AK195" s="9"/>
    </row>
    <row r="196" spans="1:37" ht="13.5" hidden="1" customHeight="1">
      <c r="A196" s="180"/>
      <c r="B196" s="9"/>
      <c r="C196" s="103" t="s">
        <v>360</v>
      </c>
      <c r="D196" s="9"/>
      <c r="E196" s="9"/>
      <c r="F196" s="267"/>
      <c r="G196" s="280"/>
      <c r="H196" s="267"/>
      <c r="I196" s="267"/>
      <c r="J196" s="327"/>
      <c r="K196" s="267"/>
      <c r="L196" s="267"/>
      <c r="M196" s="267"/>
      <c r="N196" s="267"/>
      <c r="O196" s="327"/>
      <c r="P196" s="267"/>
      <c r="Q196" s="267"/>
      <c r="R196" s="267"/>
      <c r="S196" s="267"/>
      <c r="T196" s="327"/>
      <c r="U196" s="267"/>
      <c r="V196" s="298"/>
      <c r="W196" s="298"/>
      <c r="X196" s="298"/>
      <c r="Y196" s="327"/>
      <c r="Z196" s="298"/>
      <c r="AA196" s="298"/>
      <c r="AB196" s="298"/>
      <c r="AC196" s="298"/>
      <c r="AD196" s="327"/>
      <c r="AE196" s="304"/>
      <c r="AF196" s="304"/>
      <c r="AG196" s="304"/>
      <c r="AH196" s="9"/>
      <c r="AI196" s="9"/>
      <c r="AJ196" s="9"/>
      <c r="AK196" s="9"/>
    </row>
    <row r="197" spans="1:37" ht="13.5" customHeight="1">
      <c r="A197" s="180"/>
      <c r="B197" s="9"/>
      <c r="C197" s="9" t="s">
        <v>361</v>
      </c>
      <c r="D197" s="9"/>
      <c r="E197" s="9"/>
      <c r="F197" s="266">
        <f t="shared" ref="F197:U197" si="73">F128</f>
        <v>93.679999999999993</v>
      </c>
      <c r="G197" s="266">
        <f t="shared" si="73"/>
        <v>93.070000000000007</v>
      </c>
      <c r="H197" s="266">
        <f t="shared" si="73"/>
        <v>91.5</v>
      </c>
      <c r="I197" s="266">
        <f t="shared" si="73"/>
        <v>90.751999999999995</v>
      </c>
      <c r="J197" s="197">
        <f t="shared" si="73"/>
        <v>90.751999999999995</v>
      </c>
      <c r="K197" s="266">
        <f t="shared" si="73"/>
        <v>94.756</v>
      </c>
      <c r="L197" s="266">
        <f t="shared" si="73"/>
        <v>96.356999999999999</v>
      </c>
      <c r="M197" s="266">
        <f t="shared" si="73"/>
        <v>96.820999999999998</v>
      </c>
      <c r="N197" s="266">
        <f t="shared" si="73"/>
        <v>95.437999999999988</v>
      </c>
      <c r="O197" s="197">
        <f t="shared" si="73"/>
        <v>95.437999999999988</v>
      </c>
      <c r="P197" s="266">
        <f t="shared" si="73"/>
        <v>95.085000000000008</v>
      </c>
      <c r="Q197" s="266">
        <f t="shared" si="73"/>
        <v>95.254999999999995</v>
      </c>
      <c r="R197" s="266">
        <f t="shared" si="73"/>
        <v>97.37299999999999</v>
      </c>
      <c r="S197" s="266">
        <f t="shared" si="73"/>
        <v>98.998999999999995</v>
      </c>
      <c r="T197" s="197">
        <f t="shared" si="73"/>
        <v>98.998999999999995</v>
      </c>
      <c r="U197" s="266">
        <f t="shared" si="73"/>
        <v>96.676999999999992</v>
      </c>
      <c r="V197" s="196">
        <f>SUM(V193:V196)</f>
        <v>98.883927919999991</v>
      </c>
      <c r="W197" s="196">
        <f t="shared" ref="W197:X197" si="74">SUM(W193:W196)</f>
        <v>101.22647077999999</v>
      </c>
      <c r="X197" s="196">
        <f t="shared" si="74"/>
        <v>103.34223463159998</v>
      </c>
      <c r="Y197" s="197">
        <f>X197</f>
        <v>103.34223463159998</v>
      </c>
      <c r="Z197" s="196">
        <f>SUM(Z193:Z196)</f>
        <v>105.13837689220638</v>
      </c>
      <c r="AA197" s="196">
        <f t="shared" ref="AA197:AE197" si="75">SUM(AA193:AA196)</f>
        <v>107.04228768844916</v>
      </c>
      <c r="AB197" s="196">
        <f t="shared" si="75"/>
        <v>109.03633252924718</v>
      </c>
      <c r="AC197" s="196">
        <f t="shared" si="75"/>
        <v>111.12246101385817</v>
      </c>
      <c r="AD197" s="197">
        <f>AC197</f>
        <v>111.12246101385817</v>
      </c>
      <c r="AE197" s="197">
        <f t="shared" si="75"/>
        <v>119.44730324287444</v>
      </c>
      <c r="AF197" s="197">
        <f t="shared" ref="AF197" si="76">SUM(AF193:AF196)</f>
        <v>128.23001179448661</v>
      </c>
      <c r="AG197" s="197">
        <f t="shared" ref="AG197" si="77">SUM(AG193:AG196)</f>
        <v>137.58618175054798</v>
      </c>
      <c r="AH197" s="9"/>
      <c r="AI197" s="9"/>
      <c r="AJ197" s="9"/>
      <c r="AK197" s="9"/>
    </row>
    <row r="198" spans="1:37" ht="13.5" customHeight="1">
      <c r="A198" s="180"/>
      <c r="B198" s="9"/>
      <c r="C198" s="9"/>
      <c r="D198" s="9"/>
      <c r="E198" s="9"/>
      <c r="F198" s="266"/>
      <c r="G198" s="266"/>
      <c r="H198" s="266"/>
      <c r="I198" s="266"/>
      <c r="J198" s="197"/>
      <c r="K198" s="266"/>
      <c r="L198" s="266"/>
      <c r="M198" s="266"/>
      <c r="N198" s="266"/>
      <c r="O198" s="197"/>
      <c r="P198" s="266"/>
      <c r="Q198" s="266"/>
      <c r="R198" s="266"/>
      <c r="S198" s="266"/>
      <c r="T198" s="197"/>
      <c r="U198" s="266"/>
      <c r="V198" s="196"/>
      <c r="W198" s="196"/>
      <c r="X198" s="196"/>
      <c r="Y198" s="197"/>
      <c r="Z198" s="196"/>
      <c r="AA198" s="196"/>
      <c r="AB198" s="196"/>
      <c r="AC198" s="196"/>
      <c r="AD198" s="197"/>
      <c r="AE198" s="9"/>
      <c r="AF198" s="9"/>
      <c r="AG198" s="9"/>
      <c r="AH198" s="9"/>
      <c r="AI198" s="9"/>
      <c r="AJ198" s="9"/>
      <c r="AK198" s="9"/>
    </row>
    <row r="199" spans="1:37" ht="13.5" customHeight="1">
      <c r="A199" s="180" t="s">
        <v>0</v>
      </c>
      <c r="B199" s="9"/>
      <c r="C199" s="33" t="s">
        <v>41</v>
      </c>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09"/>
      <c r="AH199" s="180" t="s">
        <v>0</v>
      </c>
      <c r="AI199" s="9"/>
      <c r="AJ199" s="9"/>
      <c r="AK199" s="9"/>
    </row>
    <row r="200" spans="1:37" ht="13.5" customHeight="1">
      <c r="A200" s="180"/>
      <c r="B200" s="9"/>
      <c r="C200" s="9"/>
      <c r="D200" s="9"/>
      <c r="E200" s="9"/>
      <c r="F200" s="228"/>
      <c r="G200" s="228"/>
      <c r="H200" s="228"/>
      <c r="I200" s="228"/>
      <c r="J200" s="9"/>
      <c r="K200" s="228"/>
      <c r="L200" s="228"/>
      <c r="M200" s="228"/>
      <c r="N200" s="228"/>
      <c r="O200" s="9"/>
      <c r="P200" s="228"/>
      <c r="Q200" s="228"/>
      <c r="R200" s="228"/>
      <c r="S200" s="228"/>
      <c r="T200" s="9"/>
      <c r="U200" s="228"/>
      <c r="V200" s="229"/>
      <c r="W200" s="229"/>
      <c r="X200" s="229"/>
      <c r="Y200" s="9"/>
      <c r="Z200" s="229"/>
      <c r="AA200" s="229"/>
      <c r="AB200" s="229"/>
      <c r="AC200" s="229"/>
      <c r="AD200" s="9"/>
      <c r="AE200" s="9"/>
      <c r="AF200" s="9"/>
      <c r="AG200" s="9"/>
      <c r="AH200" s="9"/>
      <c r="AI200" s="9"/>
      <c r="AJ200" s="9"/>
      <c r="AK200" s="9"/>
    </row>
    <row r="201" spans="1:37" ht="13.5" customHeight="1">
      <c r="A201" s="180"/>
      <c r="B201" s="9"/>
      <c r="C201" s="9" t="s">
        <v>362</v>
      </c>
      <c r="D201" s="9"/>
      <c r="E201" s="9"/>
      <c r="F201" s="323">
        <f t="shared" ref="F201:U201" si="78">F194/F28</f>
        <v>0</v>
      </c>
      <c r="G201" s="323">
        <f t="shared" si="78"/>
        <v>-3.9769986047905569E-3</v>
      </c>
      <c r="H201" s="323">
        <f t="shared" si="78"/>
        <v>-1.2355005744684259E-2</v>
      </c>
      <c r="I201" s="323">
        <f t="shared" si="78"/>
        <v>-6.6319111962265904E-3</v>
      </c>
      <c r="J201" s="148">
        <f t="shared" si="78"/>
        <v>-5.537557233717817E-3</v>
      </c>
      <c r="K201" s="323">
        <f t="shared" si="78"/>
        <v>3.2022521333685265E-2</v>
      </c>
      <c r="L201" s="323">
        <f t="shared" si="78"/>
        <v>1.2618619754721137E-2</v>
      </c>
      <c r="M201" s="323">
        <f t="shared" si="78"/>
        <v>3.7041767786434939E-3</v>
      </c>
      <c r="N201" s="323">
        <f t="shared" si="78"/>
        <v>-7.8283757393938242E-3</v>
      </c>
      <c r="O201" s="148">
        <f t="shared" si="78"/>
        <v>8.4608967900592462E-3</v>
      </c>
      <c r="P201" s="323">
        <f t="shared" si="78"/>
        <v>-1.7943282959979883E-3</v>
      </c>
      <c r="Q201" s="323">
        <f t="shared" si="78"/>
        <v>1.1333408889391762E-3</v>
      </c>
      <c r="R201" s="323">
        <f t="shared" si="78"/>
        <v>1.2587587141405288E-2</v>
      </c>
      <c r="S201" s="323">
        <f t="shared" si="78"/>
        <v>8.2132411995575385E-3</v>
      </c>
      <c r="T201" s="148">
        <f t="shared" si="78"/>
        <v>4.9946420857154179E-3</v>
      </c>
      <c r="U201" s="323">
        <f t="shared" si="78"/>
        <v>-1.319633094261132E-2</v>
      </c>
      <c r="V201" s="324">
        <f>Drivers!V100</f>
        <v>1.2E-2</v>
      </c>
      <c r="W201" s="324">
        <f>Drivers!W100</f>
        <v>1.2E-2</v>
      </c>
      <c r="X201" s="324">
        <f>Drivers!X100</f>
        <v>0.01</v>
      </c>
      <c r="Y201" s="148">
        <f>Y194/Y28</f>
        <v>5.6651604484816483E-3</v>
      </c>
      <c r="Z201" s="324">
        <f>Drivers!Z100</f>
        <v>8.0000000000000002E-3</v>
      </c>
      <c r="AA201" s="324">
        <f>Drivers!AA100</f>
        <v>8.0000000000000002E-3</v>
      </c>
      <c r="AB201" s="324">
        <f>Drivers!AB100</f>
        <v>8.0000000000000002E-3</v>
      </c>
      <c r="AC201" s="324">
        <f>Drivers!AC100</f>
        <v>8.0000000000000002E-3</v>
      </c>
      <c r="AD201" s="148">
        <f>AD194/AD28</f>
        <v>8.0000000000000019E-3</v>
      </c>
      <c r="AE201" s="325">
        <f>Drivers!AE100</f>
        <v>8.0000000000000002E-3</v>
      </c>
      <c r="AF201" s="325">
        <f>Drivers!AF100</f>
        <v>8.0000000000000002E-3</v>
      </c>
      <c r="AG201" s="325">
        <f>Drivers!AG100</f>
        <v>8.0000000000000002E-3</v>
      </c>
      <c r="AH201" s="9"/>
      <c r="AI201" s="9"/>
      <c r="AJ201" s="9"/>
      <c r="AK201" s="9"/>
    </row>
    <row r="202" spans="1:37" ht="13.5" customHeight="1">
      <c r="A202" s="180"/>
      <c r="B202" s="9"/>
      <c r="C202" s="9" t="s">
        <v>363</v>
      </c>
      <c r="D202" s="9"/>
      <c r="E202" s="9"/>
      <c r="F202" s="323"/>
      <c r="G202" s="323">
        <f>-G195*4/AVERAGE(F197:G197)</f>
        <v>0</v>
      </c>
      <c r="H202" s="323">
        <f>-H195*4/AVERAGE(G197:H197)</f>
        <v>0</v>
      </c>
      <c r="I202" s="323">
        <f>-I195*4/AVERAGE(H197:I197)</f>
        <v>0</v>
      </c>
      <c r="J202" s="148">
        <f>-J195/AVERAGE(F197:I197)</f>
        <v>0</v>
      </c>
      <c r="K202" s="323">
        <f>-K195*4/AVERAGE(J197:K197)</f>
        <v>0</v>
      </c>
      <c r="L202" s="323">
        <f>-L195*4/AVERAGE(K197:L197)</f>
        <v>0</v>
      </c>
      <c r="M202" s="323">
        <f>-M195*4/AVERAGE(L197:M197)</f>
        <v>0</v>
      </c>
      <c r="N202" s="323">
        <f>-N195*4/AVERAGE(M197:N197)</f>
        <v>0</v>
      </c>
      <c r="O202" s="148">
        <f>-O195/AVERAGE(J197,O197)</f>
        <v>0</v>
      </c>
      <c r="P202" s="323">
        <f>-P195*4/AVERAGE(O197:P197)</f>
        <v>0</v>
      </c>
      <c r="Q202" s="323">
        <f>-Q195*4/AVERAGE(P197:Q197)</f>
        <v>0</v>
      </c>
      <c r="R202" s="323">
        <f>-R195*4/AVERAGE(Q197:R197)</f>
        <v>0</v>
      </c>
      <c r="S202" s="323">
        <f>-S195*4/AVERAGE(R197:S197)</f>
        <v>0</v>
      </c>
      <c r="T202" s="148">
        <f>-T195/AVERAGE(O197,T197)</f>
        <v>0</v>
      </c>
      <c r="U202" s="323">
        <f>-U195*4/AVERAGE(T197:U197)</f>
        <v>0</v>
      </c>
      <c r="V202" s="324">
        <f>Drivers!V75</f>
        <v>0</v>
      </c>
      <c r="W202" s="324">
        <f>Drivers!W75</f>
        <v>0</v>
      </c>
      <c r="X202" s="324">
        <f>Drivers!X75</f>
        <v>0</v>
      </c>
      <c r="Y202" s="148">
        <f>-Y195/AVERAGE(T197,Y197)</f>
        <v>0</v>
      </c>
      <c r="Z202" s="324">
        <f>Drivers!Z75</f>
        <v>0</v>
      </c>
      <c r="AA202" s="324">
        <f>Drivers!AA75</f>
        <v>0</v>
      </c>
      <c r="AB202" s="324">
        <f>Drivers!AB75</f>
        <v>0</v>
      </c>
      <c r="AC202" s="324">
        <f>Drivers!AC75</f>
        <v>0</v>
      </c>
      <c r="AD202" s="148">
        <f>-AD195/AVERAGE(Y197,AD197)</f>
        <v>0</v>
      </c>
      <c r="AE202" s="325">
        <f>Drivers!AE75</f>
        <v>0</v>
      </c>
      <c r="AF202" s="325">
        <f>Drivers!AF75</f>
        <v>0</v>
      </c>
      <c r="AG202" s="325">
        <f>Drivers!AG75</f>
        <v>0</v>
      </c>
      <c r="AH202" s="9"/>
      <c r="AI202" s="9"/>
      <c r="AJ202" s="9"/>
      <c r="AK202" s="9"/>
    </row>
    <row r="203" spans="1:37" ht="13.5" customHeight="1">
      <c r="A203" s="180"/>
      <c r="B203" s="9"/>
      <c r="C203" s="9" t="s">
        <v>364</v>
      </c>
      <c r="D203" s="9"/>
      <c r="E203" s="9"/>
      <c r="F203" s="323">
        <f t="shared" ref="F203:AG203" si="79">-F195/F28</f>
        <v>0</v>
      </c>
      <c r="G203" s="323">
        <f t="shared" si="79"/>
        <v>0</v>
      </c>
      <c r="H203" s="323">
        <f t="shared" si="79"/>
        <v>0</v>
      </c>
      <c r="I203" s="323">
        <f t="shared" si="79"/>
        <v>0</v>
      </c>
      <c r="J203" s="148">
        <f t="shared" si="79"/>
        <v>0</v>
      </c>
      <c r="K203" s="323">
        <f t="shared" si="79"/>
        <v>0</v>
      </c>
      <c r="L203" s="323">
        <f t="shared" si="79"/>
        <v>0</v>
      </c>
      <c r="M203" s="323">
        <f t="shared" si="79"/>
        <v>0</v>
      </c>
      <c r="N203" s="323">
        <f t="shared" si="79"/>
        <v>0</v>
      </c>
      <c r="O203" s="148">
        <f t="shared" si="79"/>
        <v>0</v>
      </c>
      <c r="P203" s="323">
        <f t="shared" si="79"/>
        <v>0</v>
      </c>
      <c r="Q203" s="323">
        <f t="shared" si="79"/>
        <v>0</v>
      </c>
      <c r="R203" s="323">
        <f t="shared" si="79"/>
        <v>0</v>
      </c>
      <c r="S203" s="323">
        <f t="shared" si="79"/>
        <v>0</v>
      </c>
      <c r="T203" s="148">
        <f t="shared" si="79"/>
        <v>0</v>
      </c>
      <c r="U203" s="323">
        <f t="shared" si="79"/>
        <v>0</v>
      </c>
      <c r="V203" s="328">
        <f t="shared" si="79"/>
        <v>0</v>
      </c>
      <c r="W203" s="328">
        <f t="shared" si="79"/>
        <v>0</v>
      </c>
      <c r="X203" s="328">
        <f t="shared" si="79"/>
        <v>0</v>
      </c>
      <c r="Y203" s="148">
        <f t="shared" si="79"/>
        <v>0</v>
      </c>
      <c r="Z203" s="328">
        <f t="shared" si="79"/>
        <v>0</v>
      </c>
      <c r="AA203" s="328">
        <f t="shared" si="79"/>
        <v>0</v>
      </c>
      <c r="AB203" s="328">
        <f t="shared" si="79"/>
        <v>0</v>
      </c>
      <c r="AC203" s="328">
        <f t="shared" si="79"/>
        <v>0</v>
      </c>
      <c r="AD203" s="148">
        <f t="shared" si="79"/>
        <v>0</v>
      </c>
      <c r="AE203" s="148">
        <f t="shared" si="79"/>
        <v>0</v>
      </c>
      <c r="AF203" s="148">
        <f t="shared" si="79"/>
        <v>0</v>
      </c>
      <c r="AG203" s="148">
        <f t="shared" si="79"/>
        <v>0</v>
      </c>
      <c r="AH203" s="9"/>
      <c r="AI203" s="9"/>
      <c r="AJ203" s="9"/>
      <c r="AK203" s="9"/>
    </row>
    <row r="204" spans="1:37" ht="13.5" customHeight="1">
      <c r="A204" s="180"/>
      <c r="B204" s="9"/>
      <c r="C204" s="9"/>
      <c r="D204" s="9"/>
      <c r="E204" s="9"/>
      <c r="F204" s="228"/>
      <c r="G204" s="228"/>
      <c r="H204" s="228"/>
      <c r="I204" s="228"/>
      <c r="J204" s="9"/>
      <c r="K204" s="228"/>
      <c r="L204" s="228"/>
      <c r="M204" s="228"/>
      <c r="N204" s="228"/>
      <c r="O204" s="9"/>
      <c r="P204" s="228"/>
      <c r="Q204" s="228"/>
      <c r="R204" s="228"/>
      <c r="S204" s="228"/>
      <c r="T204" s="9"/>
      <c r="U204" s="228"/>
      <c r="V204" s="229"/>
      <c r="W204" s="229"/>
      <c r="X204" s="229"/>
      <c r="Y204" s="9"/>
      <c r="Z204" s="229"/>
      <c r="AA204" s="229"/>
      <c r="AB204" s="229"/>
      <c r="AC204" s="229"/>
      <c r="AD204" s="9"/>
      <c r="AE204" s="9"/>
      <c r="AF204" s="9"/>
      <c r="AG204" s="9"/>
      <c r="AH204" s="9"/>
      <c r="AI204" s="9"/>
      <c r="AJ204" s="9"/>
      <c r="AK204" s="9"/>
    </row>
    <row r="205" spans="1:37" ht="13.5" customHeight="1">
      <c r="A205" s="180" t="s">
        <v>0</v>
      </c>
      <c r="B205" s="37"/>
      <c r="C205" s="50" t="s">
        <v>851</v>
      </c>
      <c r="D205" s="12"/>
      <c r="E205" s="12"/>
      <c r="F205" s="226" t="str">
        <f>F$25</f>
        <v>1Q23</v>
      </c>
      <c r="G205" s="51" t="str">
        <f t="shared" ref="G205:AG205" si="80">G$63</f>
        <v>2Q23</v>
      </c>
      <c r="H205" s="51" t="str">
        <f t="shared" si="80"/>
        <v>3Q23</v>
      </c>
      <c r="I205" s="51" t="str">
        <f t="shared" si="80"/>
        <v>4Q23</v>
      </c>
      <c r="J205" s="51">
        <f t="shared" si="80"/>
        <v>2023</v>
      </c>
      <c r="K205" s="51" t="str">
        <f t="shared" si="80"/>
        <v>1Q24</v>
      </c>
      <c r="L205" s="51" t="str">
        <f t="shared" si="80"/>
        <v>2Q24</v>
      </c>
      <c r="M205" s="51" t="str">
        <f t="shared" si="80"/>
        <v>3Q24</v>
      </c>
      <c r="N205" s="51" t="str">
        <f t="shared" si="80"/>
        <v>4Q24</v>
      </c>
      <c r="O205" s="51">
        <f t="shared" si="80"/>
        <v>2024</v>
      </c>
      <c r="P205" s="51" t="str">
        <f t="shared" si="80"/>
        <v>1Q25</v>
      </c>
      <c r="Q205" s="51" t="str">
        <f t="shared" si="80"/>
        <v>2Q25</v>
      </c>
      <c r="R205" s="51" t="str">
        <f t="shared" si="80"/>
        <v>3Q25</v>
      </c>
      <c r="S205" s="51" t="str">
        <f t="shared" si="80"/>
        <v>4Q25</v>
      </c>
      <c r="T205" s="51">
        <f t="shared" si="80"/>
        <v>2025</v>
      </c>
      <c r="U205" s="51" t="str">
        <f t="shared" si="80"/>
        <v>1Q26</v>
      </c>
      <c r="V205" s="51" t="str">
        <f t="shared" si="80"/>
        <v>2Q26e</v>
      </c>
      <c r="W205" s="51" t="str">
        <f t="shared" si="80"/>
        <v>3Q26e</v>
      </c>
      <c r="X205" s="51" t="str">
        <f t="shared" si="80"/>
        <v>4Q26e</v>
      </c>
      <c r="Y205" s="51" t="str">
        <f t="shared" si="80"/>
        <v>2026e</v>
      </c>
      <c r="Z205" s="51" t="str">
        <f t="shared" si="80"/>
        <v>1Q27e</v>
      </c>
      <c r="AA205" s="51" t="str">
        <f t="shared" si="80"/>
        <v>2Q27e</v>
      </c>
      <c r="AB205" s="51" t="str">
        <f t="shared" si="80"/>
        <v>3Q27e</v>
      </c>
      <c r="AC205" s="51" t="str">
        <f t="shared" si="80"/>
        <v>4Q27e</v>
      </c>
      <c r="AD205" s="51" t="str">
        <f t="shared" si="80"/>
        <v>2027e</v>
      </c>
      <c r="AE205" s="51" t="str">
        <f t="shared" si="80"/>
        <v>2028e</v>
      </c>
      <c r="AF205" s="51" t="str">
        <f t="shared" si="80"/>
        <v>2029e</v>
      </c>
      <c r="AG205" s="52" t="str">
        <f t="shared" si="80"/>
        <v>2030e</v>
      </c>
      <c r="AH205" s="180" t="s">
        <v>0</v>
      </c>
      <c r="AI205" s="9"/>
      <c r="AJ205" s="9"/>
      <c r="AK205" s="9"/>
    </row>
    <row r="206" spans="1:37" ht="13.5" customHeight="1">
      <c r="A206" s="180"/>
      <c r="B206" s="9"/>
      <c r="C206" s="9"/>
      <c r="D206" s="9"/>
      <c r="E206" s="9"/>
      <c r="F206" s="832"/>
      <c r="G206" s="832"/>
      <c r="H206" s="832"/>
      <c r="I206" s="832"/>
      <c r="J206" s="9"/>
      <c r="K206" s="832"/>
      <c r="L206" s="832"/>
      <c r="M206" s="832"/>
      <c r="N206" s="832"/>
      <c r="O206" s="9"/>
      <c r="P206" s="832"/>
      <c r="Q206" s="832"/>
      <c r="R206" s="832"/>
      <c r="S206" s="832"/>
      <c r="T206" s="9"/>
      <c r="U206" s="832"/>
      <c r="V206" s="196"/>
      <c r="W206" s="196"/>
      <c r="X206" s="196"/>
      <c r="Y206" s="9"/>
      <c r="Z206" s="196"/>
      <c r="AA206" s="196"/>
      <c r="AB206" s="196"/>
      <c r="AC206" s="196"/>
      <c r="AD206" s="9"/>
      <c r="AE206" s="9"/>
      <c r="AF206" s="9"/>
      <c r="AG206" s="9"/>
      <c r="AH206" s="9"/>
      <c r="AI206" s="9"/>
      <c r="AJ206" s="9"/>
      <c r="AK206" s="9"/>
    </row>
    <row r="207" spans="1:37" ht="13.5" hidden="1" customHeight="1">
      <c r="A207" s="180"/>
      <c r="B207" s="9"/>
      <c r="C207" s="9" t="s">
        <v>365</v>
      </c>
      <c r="D207" s="9"/>
      <c r="E207" s="9"/>
      <c r="F207" s="833"/>
      <c r="G207" s="834"/>
      <c r="H207" s="834"/>
      <c r="I207" s="834"/>
      <c r="J207" s="809"/>
      <c r="K207" s="837"/>
      <c r="L207" s="837"/>
      <c r="M207" s="837"/>
      <c r="N207" s="837"/>
      <c r="O207" s="809"/>
      <c r="P207" s="837"/>
      <c r="Q207" s="837"/>
      <c r="R207" s="837"/>
      <c r="S207" s="837"/>
      <c r="T207" s="809"/>
      <c r="U207" s="837"/>
      <c r="V207" s="196"/>
      <c r="W207" s="196"/>
      <c r="X207" s="196"/>
      <c r="Y207" s="197"/>
      <c r="Z207" s="196"/>
      <c r="AA207" s="196"/>
      <c r="AB207" s="196"/>
      <c r="AC207" s="196"/>
      <c r="AD207" s="197"/>
      <c r="AE207" s="197"/>
      <c r="AF207" s="197"/>
      <c r="AG207" s="197"/>
      <c r="AH207" s="197"/>
      <c r="AI207" s="9"/>
      <c r="AJ207" s="9"/>
      <c r="AK207" s="9"/>
    </row>
    <row r="208" spans="1:37" ht="13.5" customHeight="1">
      <c r="A208" s="180"/>
      <c r="B208" s="9"/>
      <c r="C208" s="957" t="s">
        <v>858</v>
      </c>
      <c r="D208" s="884"/>
      <c r="E208" s="884"/>
      <c r="F208" s="953">
        <v>0</v>
      </c>
      <c r="G208" s="953">
        <f>G211-F211</f>
        <v>1.9759999999998854</v>
      </c>
      <c r="H208" s="953">
        <f t="shared" ref="H208:AG208" si="81">H211-G211</f>
        <v>-285.54099999999994</v>
      </c>
      <c r="I208" s="953">
        <f t="shared" si="81"/>
        <v>60.661000000000058</v>
      </c>
      <c r="J208" s="954">
        <f>SUM(F208:I208)</f>
        <v>-222.904</v>
      </c>
      <c r="K208" s="953">
        <f t="shared" si="81"/>
        <v>41.938999999999965</v>
      </c>
      <c r="L208" s="953">
        <f t="shared" si="81"/>
        <v>134.10399999999993</v>
      </c>
      <c r="M208" s="953">
        <f t="shared" si="81"/>
        <v>-193.78100000000006</v>
      </c>
      <c r="N208" s="953">
        <f t="shared" si="81"/>
        <v>37.234000000000037</v>
      </c>
      <c r="O208" s="954">
        <f>SUM(K208:N208)</f>
        <v>19.495999999999867</v>
      </c>
      <c r="P208" s="953">
        <f t="shared" si="81"/>
        <v>31.531000000000063</v>
      </c>
      <c r="Q208" s="953">
        <f t="shared" si="81"/>
        <v>45.259999999999991</v>
      </c>
      <c r="R208" s="953">
        <f t="shared" si="81"/>
        <v>37.302999999999997</v>
      </c>
      <c r="S208" s="953">
        <f t="shared" si="81"/>
        <v>57.616999999999962</v>
      </c>
      <c r="T208" s="954">
        <f>SUM(P208:S208)</f>
        <v>171.71100000000001</v>
      </c>
      <c r="U208" s="953">
        <f t="shared" si="81"/>
        <v>106.58500000000004</v>
      </c>
      <c r="V208" s="822">
        <f t="shared" si="81"/>
        <v>28.351139999999987</v>
      </c>
      <c r="W208" s="822">
        <f t="shared" si="81"/>
        <v>29.20167420000007</v>
      </c>
      <c r="X208" s="822">
        <f t="shared" si="81"/>
        <v>30.077724426000032</v>
      </c>
      <c r="Y208" s="954">
        <f>SUM(U208:X208)</f>
        <v>194.21553862600013</v>
      </c>
      <c r="Z208" s="822">
        <f t="shared" si="81"/>
        <v>72.286797703820184</v>
      </c>
      <c r="AA208" s="822">
        <f t="shared" si="81"/>
        <v>66.297320179789267</v>
      </c>
      <c r="AB208" s="822">
        <f t="shared" si="81"/>
        <v>64.418896108028548</v>
      </c>
      <c r="AC208" s="822">
        <f t="shared" si="81"/>
        <v>61.783577630882064</v>
      </c>
      <c r="AD208" s="954">
        <f>SUM(Z208:AC208)</f>
        <v>264.78659162252006</v>
      </c>
      <c r="AE208" s="820">
        <f t="shared" si="81"/>
        <v>194.61826953727791</v>
      </c>
      <c r="AF208" s="820">
        <f t="shared" si="81"/>
        <v>223.8110099678695</v>
      </c>
      <c r="AG208" s="820">
        <f t="shared" si="81"/>
        <v>257.38266146305</v>
      </c>
      <c r="AH208" s="840"/>
      <c r="AI208" s="9"/>
      <c r="AJ208" s="9"/>
      <c r="AK208" s="9"/>
    </row>
    <row r="209" spans="1:37" ht="13.5" hidden="1" customHeight="1">
      <c r="A209" s="180"/>
      <c r="B209" s="9"/>
      <c r="C209" s="103" t="s">
        <v>366</v>
      </c>
      <c r="D209" s="9"/>
      <c r="E209" s="9"/>
      <c r="F209" s="835">
        <f>F34-F195</f>
        <v>0</v>
      </c>
      <c r="G209" s="835">
        <f>G34-G195</f>
        <v>0</v>
      </c>
      <c r="H209" s="835">
        <f>H34-H195</f>
        <v>0</v>
      </c>
      <c r="I209" s="835">
        <f>I34-I195</f>
        <v>0</v>
      </c>
      <c r="J209" s="242">
        <f>SUM(F209:I209)</f>
        <v>0</v>
      </c>
      <c r="K209" s="838">
        <f>K34-K195</f>
        <v>0</v>
      </c>
      <c r="L209" s="838">
        <f>L34-L195</f>
        <v>0</v>
      </c>
      <c r="M209" s="838">
        <f>M34-M195</f>
        <v>0</v>
      </c>
      <c r="N209" s="838">
        <f>N34-N195</f>
        <v>0</v>
      </c>
      <c r="O209" s="242">
        <f>SUM(K209:N209)</f>
        <v>0</v>
      </c>
      <c r="P209" s="838">
        <f>P34-P195</f>
        <v>0</v>
      </c>
      <c r="Q209" s="838">
        <f>Q34-Q195</f>
        <v>0</v>
      </c>
      <c r="R209" s="838">
        <f>R34-R195</f>
        <v>0</v>
      </c>
      <c r="S209" s="838">
        <f>S34-S195</f>
        <v>0</v>
      </c>
      <c r="T209" s="242">
        <f>SUM(P209:S209)</f>
        <v>0</v>
      </c>
      <c r="U209" s="838">
        <f>U34-U195</f>
        <v>0</v>
      </c>
      <c r="V209" s="196"/>
      <c r="W209" s="196"/>
      <c r="X209" s="196"/>
      <c r="Y209" s="841"/>
      <c r="Z209" s="196"/>
      <c r="AA209" s="196"/>
      <c r="AB209" s="196"/>
      <c r="AC209" s="196"/>
      <c r="AD209" s="841"/>
      <c r="AE209" s="841"/>
      <c r="AF209" s="841"/>
      <c r="AG209" s="841"/>
      <c r="AH209" s="841"/>
      <c r="AI209" s="9"/>
      <c r="AJ209" s="9"/>
      <c r="AK209" s="9"/>
    </row>
    <row r="210" spans="1:37" ht="13.5" hidden="1" customHeight="1">
      <c r="A210" s="180"/>
      <c r="B210" s="9"/>
      <c r="C210" s="103" t="s">
        <v>367</v>
      </c>
      <c r="D210" s="9"/>
      <c r="E210" s="9"/>
      <c r="F210" s="836">
        <v>0</v>
      </c>
      <c r="G210" s="836">
        <v>0</v>
      </c>
      <c r="H210" s="836">
        <v>0</v>
      </c>
      <c r="I210" s="836">
        <v>0</v>
      </c>
      <c r="J210" s="327">
        <f>SUM(F210:I210)</f>
        <v>0</v>
      </c>
      <c r="K210" s="839">
        <v>0</v>
      </c>
      <c r="L210" s="839">
        <v>0</v>
      </c>
      <c r="M210" s="839">
        <v>0</v>
      </c>
      <c r="N210" s="839">
        <v>0</v>
      </c>
      <c r="O210" s="327">
        <f>SUM(K210:N210)</f>
        <v>0</v>
      </c>
      <c r="P210" s="839">
        <v>0</v>
      </c>
      <c r="Q210" s="839">
        <v>0</v>
      </c>
      <c r="R210" s="839">
        <v>0</v>
      </c>
      <c r="S210" s="839">
        <v>0</v>
      </c>
      <c r="T210" s="327">
        <f>SUM(P210:S210)</f>
        <v>0</v>
      </c>
      <c r="U210" s="839">
        <v>0</v>
      </c>
      <c r="V210" s="822"/>
      <c r="W210" s="822"/>
      <c r="X210" s="822"/>
      <c r="Y210" s="842"/>
      <c r="Z210" s="822"/>
      <c r="AA210" s="822"/>
      <c r="AB210" s="822"/>
      <c r="AC210" s="822"/>
      <c r="AD210" s="842"/>
      <c r="AE210" s="842"/>
      <c r="AF210" s="842"/>
      <c r="AG210" s="842"/>
      <c r="AH210" s="842"/>
      <c r="AI210" s="9"/>
      <c r="AJ210" s="9"/>
      <c r="AK210" s="9"/>
    </row>
    <row r="211" spans="1:37" ht="13.5" customHeight="1">
      <c r="A211" s="180"/>
      <c r="B211" s="9"/>
      <c r="C211" s="9" t="s">
        <v>856</v>
      </c>
      <c r="D211" s="9"/>
      <c r="E211" s="9"/>
      <c r="F211" s="834">
        <f t="shared" ref="F211:U211" si="82">F129</f>
        <v>870.15000000000009</v>
      </c>
      <c r="G211" s="834">
        <f t="shared" si="82"/>
        <v>872.12599999999998</v>
      </c>
      <c r="H211" s="834">
        <f t="shared" si="82"/>
        <v>586.58500000000004</v>
      </c>
      <c r="I211" s="834">
        <f t="shared" si="82"/>
        <v>647.24600000000009</v>
      </c>
      <c r="J211" s="197">
        <f t="shared" si="82"/>
        <v>647.24600000000009</v>
      </c>
      <c r="K211" s="837">
        <f t="shared" si="82"/>
        <v>689.18500000000006</v>
      </c>
      <c r="L211" s="837">
        <f t="shared" si="82"/>
        <v>823.28899999999999</v>
      </c>
      <c r="M211" s="837">
        <f t="shared" si="82"/>
        <v>629.50799999999992</v>
      </c>
      <c r="N211" s="837">
        <f t="shared" si="82"/>
        <v>666.74199999999996</v>
      </c>
      <c r="O211" s="197">
        <f t="shared" si="82"/>
        <v>666.74199999999996</v>
      </c>
      <c r="P211" s="837">
        <f t="shared" si="82"/>
        <v>698.27300000000002</v>
      </c>
      <c r="Q211" s="837">
        <f t="shared" si="82"/>
        <v>743.53300000000002</v>
      </c>
      <c r="R211" s="837">
        <f t="shared" si="82"/>
        <v>780.83600000000001</v>
      </c>
      <c r="S211" s="837">
        <f t="shared" si="82"/>
        <v>838.45299999999997</v>
      </c>
      <c r="T211" s="197">
        <f t="shared" si="82"/>
        <v>838.45299999999997</v>
      </c>
      <c r="U211" s="837">
        <f t="shared" si="82"/>
        <v>945.03800000000001</v>
      </c>
      <c r="V211" s="196">
        <f>U211*(1+V215)</f>
        <v>973.38914</v>
      </c>
      <c r="W211" s="196">
        <f>V211*(1+W215)</f>
        <v>1002.5908142000001</v>
      </c>
      <c r="X211" s="196">
        <f>W211*(1+X215)</f>
        <v>1032.6685386260001</v>
      </c>
      <c r="Y211" s="197">
        <f>X211</f>
        <v>1032.6685386260001</v>
      </c>
      <c r="Z211" s="843">
        <f>Y211*(1+Z215)</f>
        <v>1104.9553363298203</v>
      </c>
      <c r="AA211" s="843">
        <f>Z211*(1+AA215)</f>
        <v>1171.2526565096096</v>
      </c>
      <c r="AB211" s="843">
        <f>AA211*(1+AB215)</f>
        <v>1235.6715526176381</v>
      </c>
      <c r="AC211" s="843">
        <f>AB211*(1+AC215)</f>
        <v>1297.4551302485202</v>
      </c>
      <c r="AD211" s="197">
        <f>AC211</f>
        <v>1297.4551302485202</v>
      </c>
      <c r="AE211" s="844">
        <f>AD211*(1+AE215)</f>
        <v>1492.0733997857981</v>
      </c>
      <c r="AF211" s="844">
        <f>AE211*(1+AF215)</f>
        <v>1715.8844097536676</v>
      </c>
      <c r="AG211" s="844">
        <f>AF211*(1+AG215)</f>
        <v>1973.2670712167176</v>
      </c>
      <c r="AH211" s="9"/>
      <c r="AI211" s="9"/>
      <c r="AJ211" s="9"/>
      <c r="AK211" s="9"/>
    </row>
    <row r="212" spans="1:37" ht="13.5" customHeight="1">
      <c r="A212" s="180"/>
      <c r="B212" s="9"/>
      <c r="C212" s="9"/>
      <c r="D212" s="9"/>
      <c r="E212" s="9"/>
      <c r="F212" s="266"/>
      <c r="G212" s="266"/>
      <c r="H212" s="266"/>
      <c r="I212" s="266"/>
      <c r="J212" s="197"/>
      <c r="K212" s="266"/>
      <c r="L212" s="266"/>
      <c r="M212" s="266"/>
      <c r="N212" s="266"/>
      <c r="O212" s="197"/>
      <c r="P212" s="266"/>
      <c r="Q212" s="266"/>
      <c r="R212" s="266"/>
      <c r="S212" s="266"/>
      <c r="T212" s="197"/>
      <c r="U212" s="266"/>
      <c r="V212" s="196"/>
      <c r="W212" s="196"/>
      <c r="X212" s="196"/>
      <c r="Y212" s="197"/>
      <c r="Z212" s="196"/>
      <c r="AA212" s="196"/>
      <c r="AB212" s="196"/>
      <c r="AC212" s="196"/>
      <c r="AD212" s="197"/>
      <c r="AE212" s="197"/>
      <c r="AF212" s="197"/>
      <c r="AG212" s="197"/>
      <c r="AH212" s="9"/>
      <c r="AI212" s="9"/>
      <c r="AJ212" s="9"/>
      <c r="AK212" s="9"/>
    </row>
    <row r="213" spans="1:37" ht="13.5" customHeight="1">
      <c r="A213" s="180" t="s">
        <v>0</v>
      </c>
      <c r="B213" s="9"/>
      <c r="C213" s="33" t="s">
        <v>41</v>
      </c>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09"/>
      <c r="AH213" s="180" t="s">
        <v>0</v>
      </c>
      <c r="AI213" s="9"/>
      <c r="AJ213" s="9"/>
      <c r="AK213" s="9"/>
    </row>
    <row r="214" spans="1:37" ht="13.5" customHeight="1">
      <c r="A214" s="180"/>
      <c r="B214" s="9"/>
      <c r="C214" s="9"/>
      <c r="D214" s="9"/>
      <c r="E214" s="9"/>
      <c r="F214" s="228"/>
      <c r="G214" s="228"/>
      <c r="H214" s="228"/>
      <c r="I214" s="228"/>
      <c r="J214" s="9"/>
      <c r="K214" s="228"/>
      <c r="L214" s="228"/>
      <c r="M214" s="228"/>
      <c r="N214" s="228"/>
      <c r="O214" s="9"/>
      <c r="P214" s="228"/>
      <c r="Q214" s="228"/>
      <c r="R214" s="228"/>
      <c r="S214" s="228"/>
      <c r="T214" s="9"/>
      <c r="U214" s="228"/>
      <c r="V214" s="229"/>
      <c r="W214" s="229"/>
      <c r="X214" s="229"/>
      <c r="Y214" s="9"/>
      <c r="Z214" s="229"/>
      <c r="AA214" s="229"/>
      <c r="AB214" s="229"/>
      <c r="AC214" s="229"/>
      <c r="AD214" s="9"/>
      <c r="AE214" s="9"/>
      <c r="AF214" s="9"/>
      <c r="AG214" s="9"/>
      <c r="AH214" s="9"/>
      <c r="AI214" s="9"/>
      <c r="AJ214" s="9"/>
      <c r="AK214" s="9"/>
    </row>
    <row r="215" spans="1:37" ht="13.5" customHeight="1">
      <c r="A215" s="180"/>
      <c r="B215" s="9"/>
      <c r="C215" s="9" t="s">
        <v>852</v>
      </c>
      <c r="D215" s="9"/>
      <c r="E215" s="9"/>
      <c r="F215" s="323"/>
      <c r="G215" s="310">
        <f>G211/F211-1</f>
        <v>2.2708728380163024E-3</v>
      </c>
      <c r="H215" s="310">
        <f>H211/G211-1</f>
        <v>-0.32740796628010171</v>
      </c>
      <c r="I215" s="310">
        <f>I211/H211-1</f>
        <v>0.10341382749303185</v>
      </c>
      <c r="J215" s="311"/>
      <c r="K215" s="310">
        <f>K211/J211-1</f>
        <v>6.4796074444646967E-2</v>
      </c>
      <c r="L215" s="310">
        <f>L211/K211-1</f>
        <v>0.19458345727199511</v>
      </c>
      <c r="M215" s="310">
        <f>M211/L211-1</f>
        <v>-0.23537421245759393</v>
      </c>
      <c r="N215" s="310">
        <f>N211/M211-1</f>
        <v>5.9147778900347614E-2</v>
      </c>
      <c r="O215" s="311">
        <f>O211/J211-1</f>
        <v>3.0121468498839565E-2</v>
      </c>
      <c r="P215" s="310">
        <f>P211/O211-1</f>
        <v>4.7291156099360965E-2</v>
      </c>
      <c r="Q215" s="310">
        <f>Q211/P211-1</f>
        <v>6.4817055793364498E-2</v>
      </c>
      <c r="R215" s="310">
        <f>R211/Q211-1</f>
        <v>5.0169931933081724E-2</v>
      </c>
      <c r="S215" s="310">
        <f>S211/R211-1</f>
        <v>7.378886219385361E-2</v>
      </c>
      <c r="T215" s="311">
        <f>T211/O211-1</f>
        <v>0.25753739827399502</v>
      </c>
      <c r="U215" s="310">
        <f>U211/T211-1</f>
        <v>0.127121019305793</v>
      </c>
      <c r="V215" s="331">
        <f>Drivers!V93</f>
        <v>0.03</v>
      </c>
      <c r="W215" s="331">
        <f>Drivers!W93</f>
        <v>0.03</v>
      </c>
      <c r="X215" s="331">
        <f>Drivers!X93</f>
        <v>0.03</v>
      </c>
      <c r="Y215" s="311">
        <f>Y211/T211-1</f>
        <v>0.23163557006296132</v>
      </c>
      <c r="Z215" s="331">
        <f>Drivers!Z93</f>
        <v>7.0000000000000007E-2</v>
      </c>
      <c r="AA215" s="331">
        <f>Drivers!AA93</f>
        <v>0.06</v>
      </c>
      <c r="AB215" s="331">
        <f>Drivers!AB93</f>
        <v>5.5E-2</v>
      </c>
      <c r="AC215" s="331">
        <f>Drivers!AC93</f>
        <v>0.05</v>
      </c>
      <c r="AD215" s="311">
        <f>AD211/Y211-1</f>
        <v>0.25641005000000039</v>
      </c>
      <c r="AE215" s="332">
        <f>Drivers!AE93</f>
        <v>0.15</v>
      </c>
      <c r="AF215" s="332">
        <f>Drivers!AF93</f>
        <v>0.15</v>
      </c>
      <c r="AG215" s="332">
        <f>Drivers!AG93</f>
        <v>0.15</v>
      </c>
      <c r="AH215" s="9"/>
      <c r="AI215" s="9"/>
      <c r="AJ215" s="9"/>
      <c r="AK215" s="9"/>
    </row>
    <row r="216" spans="1:37" ht="13.5" customHeight="1">
      <c r="A216" s="180"/>
      <c r="B216" s="9"/>
      <c r="C216" s="9"/>
      <c r="D216" s="9"/>
      <c r="E216" s="9"/>
      <c r="F216" s="228"/>
      <c r="G216" s="228"/>
      <c r="H216" s="228"/>
      <c r="I216" s="228"/>
      <c r="J216" s="9"/>
      <c r="K216" s="228"/>
      <c r="L216" s="228"/>
      <c r="M216" s="228"/>
      <c r="N216" s="228"/>
      <c r="O216" s="9"/>
      <c r="P216" s="228"/>
      <c r="Q216" s="228"/>
      <c r="R216" s="228"/>
      <c r="S216" s="228"/>
      <c r="T216" s="9"/>
      <c r="U216" s="228"/>
      <c r="V216" s="229"/>
      <c r="W216" s="229"/>
      <c r="X216" s="229"/>
      <c r="Y216" s="9"/>
      <c r="Z216" s="229"/>
      <c r="AA216" s="229"/>
      <c r="AB216" s="229"/>
      <c r="AC216" s="229"/>
      <c r="AD216" s="9"/>
      <c r="AE216" s="9"/>
      <c r="AF216" s="9"/>
      <c r="AG216" s="9"/>
      <c r="AH216" s="9"/>
      <c r="AI216" s="9"/>
      <c r="AJ216" s="9"/>
      <c r="AK216" s="9"/>
    </row>
    <row r="217" spans="1:37" ht="13.5" customHeight="1">
      <c r="A217" s="180" t="s">
        <v>0</v>
      </c>
      <c r="B217" s="37"/>
      <c r="C217" s="50" t="s">
        <v>368</v>
      </c>
      <c r="D217" s="12"/>
      <c r="E217" s="12"/>
      <c r="F217" s="226" t="str">
        <f>F$25</f>
        <v>1Q23</v>
      </c>
      <c r="G217" s="51" t="str">
        <f t="shared" ref="G217:AG217" si="83">G$63</f>
        <v>2Q23</v>
      </c>
      <c r="H217" s="51" t="str">
        <f t="shared" si="83"/>
        <v>3Q23</v>
      </c>
      <c r="I217" s="51" t="str">
        <f t="shared" si="83"/>
        <v>4Q23</v>
      </c>
      <c r="J217" s="51">
        <f t="shared" si="83"/>
        <v>2023</v>
      </c>
      <c r="K217" s="51" t="str">
        <f t="shared" si="83"/>
        <v>1Q24</v>
      </c>
      <c r="L217" s="51" t="str">
        <f t="shared" si="83"/>
        <v>2Q24</v>
      </c>
      <c r="M217" s="51" t="str">
        <f t="shared" si="83"/>
        <v>3Q24</v>
      </c>
      <c r="N217" s="51" t="str">
        <f t="shared" si="83"/>
        <v>4Q24</v>
      </c>
      <c r="O217" s="51">
        <f t="shared" si="83"/>
        <v>2024</v>
      </c>
      <c r="P217" s="51" t="str">
        <f t="shared" si="83"/>
        <v>1Q25</v>
      </c>
      <c r="Q217" s="51" t="str">
        <f t="shared" si="83"/>
        <v>2Q25</v>
      </c>
      <c r="R217" s="51" t="str">
        <f t="shared" si="83"/>
        <v>3Q25</v>
      </c>
      <c r="S217" s="51" t="str">
        <f t="shared" si="83"/>
        <v>4Q25</v>
      </c>
      <c r="T217" s="51">
        <f t="shared" si="83"/>
        <v>2025</v>
      </c>
      <c r="U217" s="51" t="str">
        <f t="shared" si="83"/>
        <v>1Q26</v>
      </c>
      <c r="V217" s="51" t="str">
        <f t="shared" si="83"/>
        <v>2Q26e</v>
      </c>
      <c r="W217" s="51" t="str">
        <f t="shared" si="83"/>
        <v>3Q26e</v>
      </c>
      <c r="X217" s="51" t="str">
        <f t="shared" si="83"/>
        <v>4Q26e</v>
      </c>
      <c r="Y217" s="51" t="str">
        <f t="shared" si="83"/>
        <v>2026e</v>
      </c>
      <c r="Z217" s="51" t="str">
        <f t="shared" si="83"/>
        <v>1Q27e</v>
      </c>
      <c r="AA217" s="51" t="str">
        <f t="shared" si="83"/>
        <v>2Q27e</v>
      </c>
      <c r="AB217" s="51" t="str">
        <f t="shared" si="83"/>
        <v>3Q27e</v>
      </c>
      <c r="AC217" s="51" t="str">
        <f t="shared" si="83"/>
        <v>4Q27e</v>
      </c>
      <c r="AD217" s="51" t="str">
        <f t="shared" si="83"/>
        <v>2027e</v>
      </c>
      <c r="AE217" s="51" t="str">
        <f t="shared" si="83"/>
        <v>2028e</v>
      </c>
      <c r="AF217" s="51" t="str">
        <f t="shared" si="83"/>
        <v>2029e</v>
      </c>
      <c r="AG217" s="52" t="str">
        <f t="shared" si="83"/>
        <v>2030e</v>
      </c>
      <c r="AH217" s="180" t="s">
        <v>0</v>
      </c>
      <c r="AI217" s="9"/>
      <c r="AJ217" s="9"/>
      <c r="AK217" s="9"/>
    </row>
    <row r="218" spans="1:37" ht="13.5" customHeight="1">
      <c r="A218" s="180"/>
      <c r="B218" s="9"/>
      <c r="C218" s="9"/>
      <c r="D218" s="9"/>
      <c r="E218" s="9"/>
      <c r="F218" s="228"/>
      <c r="G218" s="228"/>
      <c r="H218" s="228"/>
      <c r="I218" s="228"/>
      <c r="J218" s="9"/>
      <c r="K218" s="228"/>
      <c r="L218" s="228"/>
      <c r="M218" s="228"/>
      <c r="N218" s="228"/>
      <c r="O218" s="9"/>
      <c r="P218" s="228"/>
      <c r="Q218" s="228"/>
      <c r="R218" s="228"/>
      <c r="S218" s="228"/>
      <c r="T218" s="9"/>
      <c r="U218" s="228"/>
      <c r="V218" s="229"/>
      <c r="W218" s="229"/>
      <c r="X218" s="229"/>
      <c r="Y218" s="9"/>
      <c r="Z218" s="229"/>
      <c r="AA218" s="229"/>
      <c r="AB218" s="229"/>
      <c r="AC218" s="229"/>
      <c r="AD218" s="9"/>
      <c r="AE218" s="9"/>
      <c r="AF218" s="9"/>
      <c r="AG218" s="9"/>
      <c r="AH218" s="9"/>
      <c r="AI218" s="9"/>
      <c r="AJ218" s="9"/>
      <c r="AK218" s="9"/>
    </row>
    <row r="219" spans="1:37" ht="13.5" customHeight="1">
      <c r="A219" s="180"/>
      <c r="B219" s="9"/>
      <c r="C219" s="9" t="s">
        <v>333</v>
      </c>
      <c r="D219" s="9"/>
      <c r="E219" s="9"/>
      <c r="F219" s="837">
        <f t="shared" ref="F219:U219" si="84">F130</f>
        <v>246.089</v>
      </c>
      <c r="G219" s="837">
        <f t="shared" si="84"/>
        <v>237.20699999999999</v>
      </c>
      <c r="H219" s="837">
        <f t="shared" si="84"/>
        <v>230.154</v>
      </c>
      <c r="I219" s="837">
        <f t="shared" si="84"/>
        <v>233.91200000000001</v>
      </c>
      <c r="J219" s="197">
        <f t="shared" si="84"/>
        <v>233.91200000000001</v>
      </c>
      <c r="K219" s="837">
        <f t="shared" si="84"/>
        <v>229.25899999999999</v>
      </c>
      <c r="L219" s="837">
        <f t="shared" si="84"/>
        <v>229.791</v>
      </c>
      <c r="M219" s="837">
        <f t="shared" si="84"/>
        <v>225.922</v>
      </c>
      <c r="N219" s="837">
        <f t="shared" si="84"/>
        <v>261.887</v>
      </c>
      <c r="O219" s="197">
        <f t="shared" si="84"/>
        <v>261.887</v>
      </c>
      <c r="P219" s="837">
        <f t="shared" si="84"/>
        <v>259.30099999999999</v>
      </c>
      <c r="Q219" s="837">
        <f t="shared" si="84"/>
        <v>257.18700000000001</v>
      </c>
      <c r="R219" s="837">
        <f t="shared" si="84"/>
        <v>255.001</v>
      </c>
      <c r="S219" s="837">
        <f t="shared" si="84"/>
        <v>308.52499999999998</v>
      </c>
      <c r="T219" s="197">
        <f t="shared" si="84"/>
        <v>308.52499999999998</v>
      </c>
      <c r="U219" s="837">
        <f t="shared" si="84"/>
        <v>301.97000000000003</v>
      </c>
      <c r="V219" s="852">
        <f>V231*V28</f>
        <v>285.06152300000002</v>
      </c>
      <c r="W219" s="852">
        <f>W231*W28</f>
        <v>302.57845275</v>
      </c>
      <c r="X219" s="852">
        <f>X231*X28</f>
        <v>327.94339699800003</v>
      </c>
      <c r="Y219" s="197">
        <f>X219</f>
        <v>327.94339699800003</v>
      </c>
      <c r="Z219" s="852">
        <f>Z231*Z28</f>
        <v>348.00256299249003</v>
      </c>
      <c r="AA219" s="852">
        <f>AA231*AA28</f>
        <v>368.88271677203943</v>
      </c>
      <c r="AB219" s="852">
        <f>AB231*AB28</f>
        <v>386.34618790461565</v>
      </c>
      <c r="AC219" s="852">
        <f>AC231*AC28</f>
        <v>404.18739389338094</v>
      </c>
      <c r="AD219" s="197">
        <f>AC219</f>
        <v>404.18739389338094</v>
      </c>
      <c r="AE219" s="844">
        <f>AE231*AE28</f>
        <v>437.0542170233544</v>
      </c>
      <c r="AF219" s="844">
        <f>AF231*AF28</f>
        <v>461.09219895963878</v>
      </c>
      <c r="AG219" s="844">
        <f>AG231*AG28</f>
        <v>491.19892269322202</v>
      </c>
      <c r="AH219" s="9"/>
      <c r="AI219" s="9"/>
      <c r="AJ219" s="9"/>
      <c r="AK219" s="9"/>
    </row>
    <row r="220" spans="1:37" ht="13.5" customHeight="1">
      <c r="A220" s="180"/>
      <c r="B220" s="9"/>
      <c r="C220" s="9" t="s">
        <v>369</v>
      </c>
      <c r="D220" s="9"/>
      <c r="E220" s="9"/>
      <c r="F220" s="845">
        <f t="shared" ref="F220:AG220" si="85">SUM(F219:F219)</f>
        <v>246.089</v>
      </c>
      <c r="G220" s="845">
        <f t="shared" si="85"/>
        <v>237.20699999999999</v>
      </c>
      <c r="H220" s="845">
        <f t="shared" si="85"/>
        <v>230.154</v>
      </c>
      <c r="I220" s="845">
        <f t="shared" si="85"/>
        <v>233.91200000000001</v>
      </c>
      <c r="J220" s="820">
        <f t="shared" si="85"/>
        <v>233.91200000000001</v>
      </c>
      <c r="K220" s="848">
        <f t="shared" si="85"/>
        <v>229.25899999999999</v>
      </c>
      <c r="L220" s="848">
        <f t="shared" si="85"/>
        <v>229.791</v>
      </c>
      <c r="M220" s="848">
        <f t="shared" si="85"/>
        <v>225.922</v>
      </c>
      <c r="N220" s="848">
        <f t="shared" si="85"/>
        <v>261.887</v>
      </c>
      <c r="O220" s="820">
        <f t="shared" si="85"/>
        <v>261.887</v>
      </c>
      <c r="P220" s="848">
        <f t="shared" si="85"/>
        <v>259.30099999999999</v>
      </c>
      <c r="Q220" s="848">
        <f t="shared" si="85"/>
        <v>257.18700000000001</v>
      </c>
      <c r="R220" s="848">
        <f t="shared" si="85"/>
        <v>255.001</v>
      </c>
      <c r="S220" s="848">
        <f t="shared" si="85"/>
        <v>308.52499999999998</v>
      </c>
      <c r="T220" s="820">
        <f t="shared" si="85"/>
        <v>308.52499999999998</v>
      </c>
      <c r="U220" s="848">
        <f t="shared" si="85"/>
        <v>301.97000000000003</v>
      </c>
      <c r="V220" s="853">
        <f t="shared" si="85"/>
        <v>285.06152300000002</v>
      </c>
      <c r="W220" s="853">
        <f t="shared" si="85"/>
        <v>302.57845275</v>
      </c>
      <c r="X220" s="853">
        <f t="shared" si="85"/>
        <v>327.94339699800003</v>
      </c>
      <c r="Y220" s="820">
        <f t="shared" si="85"/>
        <v>327.94339699800003</v>
      </c>
      <c r="Z220" s="857">
        <f t="shared" si="85"/>
        <v>348.00256299249003</v>
      </c>
      <c r="AA220" s="857">
        <f t="shared" si="85"/>
        <v>368.88271677203943</v>
      </c>
      <c r="AB220" s="857">
        <f t="shared" si="85"/>
        <v>386.34618790461565</v>
      </c>
      <c r="AC220" s="857">
        <f t="shared" si="85"/>
        <v>404.18739389338094</v>
      </c>
      <c r="AD220" s="820">
        <f t="shared" si="85"/>
        <v>404.18739389338094</v>
      </c>
      <c r="AE220" s="820">
        <f t="shared" si="85"/>
        <v>437.0542170233544</v>
      </c>
      <c r="AF220" s="820">
        <f t="shared" si="85"/>
        <v>461.09219895963878</v>
      </c>
      <c r="AG220" s="820">
        <f t="shared" si="85"/>
        <v>491.19892269322202</v>
      </c>
      <c r="AH220" s="9"/>
      <c r="AI220" s="9"/>
      <c r="AJ220" s="9"/>
      <c r="AK220" s="9"/>
    </row>
    <row r="221" spans="1:37" ht="13.5" customHeight="1">
      <c r="A221" s="215"/>
      <c r="B221" s="216"/>
      <c r="C221" s="84" t="s">
        <v>370</v>
      </c>
      <c r="D221" s="216"/>
      <c r="E221" s="216"/>
      <c r="F221" s="846"/>
      <c r="G221" s="847">
        <f>G220-F220</f>
        <v>-8.882000000000005</v>
      </c>
      <c r="H221" s="847">
        <f>H220-G220</f>
        <v>-7.0529999999999973</v>
      </c>
      <c r="I221" s="847">
        <f>I220-H220</f>
        <v>3.7580000000000098</v>
      </c>
      <c r="J221" s="334"/>
      <c r="K221" s="849">
        <f>K220-J220</f>
        <v>-4.65300000000002</v>
      </c>
      <c r="L221" s="849">
        <f>L220-K220</f>
        <v>0.53200000000001069</v>
      </c>
      <c r="M221" s="849">
        <f>M220-L220</f>
        <v>-3.8689999999999998</v>
      </c>
      <c r="N221" s="849">
        <f>N220-M220</f>
        <v>35.965000000000003</v>
      </c>
      <c r="O221" s="334">
        <f>O220-J220</f>
        <v>27.974999999999994</v>
      </c>
      <c r="P221" s="849">
        <f>P220-O220</f>
        <v>-2.5860000000000127</v>
      </c>
      <c r="Q221" s="849">
        <f>Q220-P220</f>
        <v>-2.1139999999999759</v>
      </c>
      <c r="R221" s="849">
        <f>R220-Q220</f>
        <v>-2.186000000000007</v>
      </c>
      <c r="S221" s="849">
        <f>S220-R220</f>
        <v>53.523999999999972</v>
      </c>
      <c r="T221" s="334">
        <f>T220-O220</f>
        <v>46.637999999999977</v>
      </c>
      <c r="U221" s="849">
        <f>U220-T220</f>
        <v>-6.55499999999995</v>
      </c>
      <c r="V221" s="854">
        <f>V220-U220</f>
        <v>-16.908477000000005</v>
      </c>
      <c r="W221" s="854">
        <f>W220-V220</f>
        <v>17.516929749999974</v>
      </c>
      <c r="X221" s="854">
        <f>X220-W220</f>
        <v>25.364944248000029</v>
      </c>
      <c r="Y221" s="334">
        <f>Y220-T220</f>
        <v>19.418396998000048</v>
      </c>
      <c r="Z221" s="858">
        <f>Z220-Y220</f>
        <v>20.059165994490002</v>
      </c>
      <c r="AA221" s="858">
        <f>AA220-Z220</f>
        <v>20.880153779549403</v>
      </c>
      <c r="AB221" s="858">
        <f>AB220-AA220</f>
        <v>17.463471132576217</v>
      </c>
      <c r="AC221" s="858">
        <f>AC220-AB220</f>
        <v>17.841205988765296</v>
      </c>
      <c r="AD221" s="334">
        <f>AD220-Y220</f>
        <v>76.243996895380917</v>
      </c>
      <c r="AE221" s="334">
        <f>AE220-AD220</f>
        <v>32.866823129973454</v>
      </c>
      <c r="AF221" s="334">
        <f>AF220-AE220</f>
        <v>24.037981936284382</v>
      </c>
      <c r="AG221" s="334">
        <f>AG220-AF220</f>
        <v>30.106723733583237</v>
      </c>
      <c r="AH221" s="216"/>
      <c r="AI221" s="216"/>
      <c r="AJ221" s="216"/>
      <c r="AK221" s="216"/>
    </row>
    <row r="222" spans="1:37" ht="13.5" customHeight="1">
      <c r="A222" s="180"/>
      <c r="B222" s="9"/>
      <c r="C222" s="9"/>
      <c r="D222" s="9"/>
      <c r="E222" s="9"/>
      <c r="F222" s="228"/>
      <c r="G222" s="228"/>
      <c r="H222" s="228"/>
      <c r="I222" s="228"/>
      <c r="J222" s="9"/>
      <c r="K222" s="228"/>
      <c r="L222" s="228"/>
      <c r="M222" s="228"/>
      <c r="N222" s="228"/>
      <c r="O222" s="9"/>
      <c r="P222" s="832"/>
      <c r="Q222" s="832"/>
      <c r="R222" s="832"/>
      <c r="S222" s="832"/>
      <c r="T222" s="9"/>
      <c r="U222" s="228"/>
      <c r="V222" s="855"/>
      <c r="W222" s="855"/>
      <c r="X222" s="855"/>
      <c r="Y222" s="9"/>
      <c r="Z222" s="859"/>
      <c r="AA222" s="859"/>
      <c r="AB222" s="859"/>
      <c r="AC222" s="859"/>
      <c r="AD222" s="9"/>
      <c r="AE222" s="9"/>
      <c r="AF222" s="9"/>
      <c r="AG222" s="9"/>
      <c r="AH222" s="9"/>
      <c r="AI222" s="9"/>
      <c r="AJ222" s="9"/>
      <c r="AK222" s="9"/>
    </row>
    <row r="223" spans="1:37" ht="13.5" customHeight="1">
      <c r="A223" s="180"/>
      <c r="B223" s="9"/>
      <c r="C223" s="103" t="s">
        <v>334</v>
      </c>
      <c r="D223" s="9"/>
      <c r="E223" s="9"/>
      <c r="F223" s="850">
        <f t="shared" ref="F223:U223" si="86">F143</f>
        <v>117.861</v>
      </c>
      <c r="G223" s="850">
        <f t="shared" si="86"/>
        <v>121.33800000000001</v>
      </c>
      <c r="H223" s="850">
        <f t="shared" si="86"/>
        <v>114.069</v>
      </c>
      <c r="I223" s="850">
        <f t="shared" si="86"/>
        <v>118.595</v>
      </c>
      <c r="J223" s="268">
        <f t="shared" si="86"/>
        <v>118.595</v>
      </c>
      <c r="K223" s="850">
        <f t="shared" si="86"/>
        <v>120.29400000000001</v>
      </c>
      <c r="L223" s="850">
        <f t="shared" si="86"/>
        <v>126.10900000000001</v>
      </c>
      <c r="M223" s="850">
        <f t="shared" si="86"/>
        <v>114.77800000000001</v>
      </c>
      <c r="N223" s="850">
        <f t="shared" si="86"/>
        <v>115.73400000000001</v>
      </c>
      <c r="O223" s="268">
        <f t="shared" si="86"/>
        <v>115.73400000000001</v>
      </c>
      <c r="P223" s="850">
        <f t="shared" si="86"/>
        <v>125.164</v>
      </c>
      <c r="Q223" s="850">
        <f t="shared" si="86"/>
        <v>120.49700000000001</v>
      </c>
      <c r="R223" s="850">
        <f t="shared" si="86"/>
        <v>120.092</v>
      </c>
      <c r="S223" s="850">
        <f t="shared" si="86"/>
        <v>134.441</v>
      </c>
      <c r="T223" s="268">
        <f t="shared" si="86"/>
        <v>134.441</v>
      </c>
      <c r="U223" s="850">
        <f t="shared" si="86"/>
        <v>160.85900000000001</v>
      </c>
      <c r="V223" s="856">
        <f>V233*V28</f>
        <v>156.324061</v>
      </c>
      <c r="W223" s="856">
        <f>W233*W28</f>
        <v>165.93011924999999</v>
      </c>
      <c r="X223" s="856">
        <f>X233*X28</f>
        <v>179.839927386</v>
      </c>
      <c r="Y223" s="268">
        <f>X223</f>
        <v>179.839927386</v>
      </c>
      <c r="Z223" s="860">
        <f>Z233*Z28</f>
        <v>190.84011518942998</v>
      </c>
      <c r="AA223" s="860">
        <f>AA233*AA28</f>
        <v>202.29052210079581</v>
      </c>
      <c r="AB223" s="860">
        <f>AB233*AB28</f>
        <v>211.86726433478921</v>
      </c>
      <c r="AC223" s="860">
        <f>AC233*AC28</f>
        <v>221.65115148991856</v>
      </c>
      <c r="AD223" s="268">
        <f>AC223</f>
        <v>221.65115148991856</v>
      </c>
      <c r="AE223" s="861">
        <f>(AE233*AE28)/4</f>
        <v>221.12862170824479</v>
      </c>
      <c r="AF223" s="861">
        <f>(AF233*AF28)/4</f>
        <v>233.29069590219819</v>
      </c>
      <c r="AG223" s="861">
        <f>(AG233*AG28)/4</f>
        <v>248.5232644578802</v>
      </c>
      <c r="AH223" s="9"/>
      <c r="AI223" s="9"/>
      <c r="AJ223" s="9"/>
      <c r="AK223" s="9"/>
    </row>
    <row r="224" spans="1:37" ht="13.5" customHeight="1">
      <c r="A224" s="180"/>
      <c r="B224" s="9"/>
      <c r="C224" s="9" t="s">
        <v>371</v>
      </c>
      <c r="D224" s="9"/>
      <c r="E224" s="9"/>
      <c r="F224" s="837">
        <f t="shared" ref="F224:AG224" si="87">SUM(F223:F223)</f>
        <v>117.861</v>
      </c>
      <c r="G224" s="837">
        <f t="shared" si="87"/>
        <v>121.33800000000001</v>
      </c>
      <c r="H224" s="837">
        <f t="shared" si="87"/>
        <v>114.069</v>
      </c>
      <c r="I224" s="837">
        <f t="shared" si="87"/>
        <v>118.595</v>
      </c>
      <c r="J224" s="197">
        <f t="shared" si="87"/>
        <v>118.595</v>
      </c>
      <c r="K224" s="837">
        <f t="shared" si="87"/>
        <v>120.29400000000001</v>
      </c>
      <c r="L224" s="837">
        <f t="shared" si="87"/>
        <v>126.10900000000001</v>
      </c>
      <c r="M224" s="837">
        <f t="shared" si="87"/>
        <v>114.77800000000001</v>
      </c>
      <c r="N224" s="837">
        <f t="shared" si="87"/>
        <v>115.73400000000001</v>
      </c>
      <c r="O224" s="197">
        <f t="shared" si="87"/>
        <v>115.73400000000001</v>
      </c>
      <c r="P224" s="837">
        <f t="shared" si="87"/>
        <v>125.164</v>
      </c>
      <c r="Q224" s="837">
        <f t="shared" si="87"/>
        <v>120.49700000000001</v>
      </c>
      <c r="R224" s="837">
        <f t="shared" si="87"/>
        <v>120.092</v>
      </c>
      <c r="S224" s="837">
        <f t="shared" si="87"/>
        <v>134.441</v>
      </c>
      <c r="T224" s="197">
        <f t="shared" si="87"/>
        <v>134.441</v>
      </c>
      <c r="U224" s="837">
        <f t="shared" si="87"/>
        <v>160.85900000000001</v>
      </c>
      <c r="V224" s="843">
        <f t="shared" si="87"/>
        <v>156.324061</v>
      </c>
      <c r="W224" s="843">
        <f t="shared" si="87"/>
        <v>165.93011924999999</v>
      </c>
      <c r="X224" s="843">
        <f t="shared" si="87"/>
        <v>179.839927386</v>
      </c>
      <c r="Y224" s="197">
        <f t="shared" si="87"/>
        <v>179.839927386</v>
      </c>
      <c r="Z224" s="852">
        <f t="shared" si="87"/>
        <v>190.84011518942998</v>
      </c>
      <c r="AA224" s="852">
        <f t="shared" si="87"/>
        <v>202.29052210079581</v>
      </c>
      <c r="AB224" s="852">
        <f t="shared" si="87"/>
        <v>211.86726433478921</v>
      </c>
      <c r="AC224" s="852">
        <f t="shared" si="87"/>
        <v>221.65115148991856</v>
      </c>
      <c r="AD224" s="197">
        <f t="shared" si="87"/>
        <v>221.65115148991856</v>
      </c>
      <c r="AE224" s="197">
        <f t="shared" si="87"/>
        <v>221.12862170824479</v>
      </c>
      <c r="AF224" s="197">
        <f t="shared" si="87"/>
        <v>233.29069590219819</v>
      </c>
      <c r="AG224" s="197">
        <f t="shared" si="87"/>
        <v>248.5232644578802</v>
      </c>
      <c r="AH224" s="9"/>
      <c r="AI224" s="9"/>
      <c r="AJ224" s="9"/>
      <c r="AK224" s="9"/>
    </row>
    <row r="225" spans="1:37" ht="13.5" customHeight="1">
      <c r="A225" s="215"/>
      <c r="B225" s="216"/>
      <c r="C225" s="84" t="s">
        <v>372</v>
      </c>
      <c r="D225" s="216"/>
      <c r="E225" s="216"/>
      <c r="F225" s="851"/>
      <c r="G225" s="849">
        <f>G224-F224</f>
        <v>3.4770000000000039</v>
      </c>
      <c r="H225" s="849">
        <f>H224-G224</f>
        <v>-7.2690000000000055</v>
      </c>
      <c r="I225" s="849">
        <f>I224-H224</f>
        <v>4.5259999999999962</v>
      </c>
      <c r="J225" s="334"/>
      <c r="K225" s="849">
        <f>K224-J224</f>
        <v>1.6990000000000123</v>
      </c>
      <c r="L225" s="849">
        <f>L224-K224</f>
        <v>5.8149999999999977</v>
      </c>
      <c r="M225" s="849">
        <f>M224-L224</f>
        <v>-11.331000000000003</v>
      </c>
      <c r="N225" s="849">
        <f>N224-M224</f>
        <v>0.95600000000000307</v>
      </c>
      <c r="O225" s="334">
        <f>O224-J224</f>
        <v>-2.86099999999999</v>
      </c>
      <c r="P225" s="333">
        <f>P224-O224</f>
        <v>9.4299999999999926</v>
      </c>
      <c r="Q225" s="333">
        <f>Q224-P224</f>
        <v>-4.6669999999999874</v>
      </c>
      <c r="R225" s="333">
        <f>R224-Q224</f>
        <v>-0.40500000000001535</v>
      </c>
      <c r="S225" s="333">
        <f>S224-R224</f>
        <v>14.349000000000004</v>
      </c>
      <c r="T225" s="334">
        <f>T224-O224</f>
        <v>18.706999999999994</v>
      </c>
      <c r="U225" s="849">
        <f>U224-T224</f>
        <v>26.418000000000006</v>
      </c>
      <c r="V225" s="335">
        <f>V224-U224</f>
        <v>-4.5349390000000085</v>
      </c>
      <c r="W225" s="335">
        <f>W224-V224</f>
        <v>9.6060582499999896</v>
      </c>
      <c r="X225" s="335">
        <f>X224-W224</f>
        <v>13.909808136000009</v>
      </c>
      <c r="Y225" s="334">
        <f>Y224-T224</f>
        <v>45.398927385999997</v>
      </c>
      <c r="Z225" s="858">
        <f>Z224-Y224</f>
        <v>11.000187803429981</v>
      </c>
      <c r="AA225" s="858">
        <f>AA224-Z224</f>
        <v>11.450406911365832</v>
      </c>
      <c r="AB225" s="858">
        <f>AB224-AA224</f>
        <v>9.5767422339934001</v>
      </c>
      <c r="AC225" s="858">
        <f>AC224-AB224</f>
        <v>9.7838871551293494</v>
      </c>
      <c r="AD225" s="334">
        <f>AD224-Y224</f>
        <v>41.811224103918562</v>
      </c>
      <c r="AE225" s="334">
        <f>AE224-AD224</f>
        <v>-0.52252978167376796</v>
      </c>
      <c r="AF225" s="334">
        <f>AF224-AE224</f>
        <v>12.162074193953401</v>
      </c>
      <c r="AG225" s="334">
        <f>AG224-AF224</f>
        <v>15.232568555682008</v>
      </c>
      <c r="AH225" s="216"/>
      <c r="AI225" s="216"/>
      <c r="AJ225" s="216"/>
      <c r="AK225" s="216"/>
    </row>
    <row r="226" spans="1:37" ht="13.5" customHeight="1">
      <c r="A226" s="180"/>
      <c r="B226" s="9"/>
      <c r="C226" s="9"/>
      <c r="D226" s="9"/>
      <c r="E226" s="9"/>
      <c r="F226" s="228"/>
      <c r="G226" s="228"/>
      <c r="H226" s="228"/>
      <c r="I226" s="228"/>
      <c r="J226" s="9"/>
      <c r="K226" s="228"/>
      <c r="L226" s="228"/>
      <c r="M226" s="228"/>
      <c r="N226" s="228"/>
      <c r="O226" s="9"/>
      <c r="P226" s="228"/>
      <c r="Q226" s="228"/>
      <c r="R226" s="228"/>
      <c r="S226" s="228"/>
      <c r="T226" s="9"/>
      <c r="U226" s="228"/>
      <c r="V226" s="229"/>
      <c r="W226" s="229"/>
      <c r="X226" s="229"/>
      <c r="Y226" s="9"/>
      <c r="Z226" s="859"/>
      <c r="AA226" s="859"/>
      <c r="AB226" s="859"/>
      <c r="AC226" s="859"/>
      <c r="AD226" s="9"/>
      <c r="AE226" s="9"/>
      <c r="AF226" s="9"/>
      <c r="AG226" s="9"/>
      <c r="AH226" s="9"/>
      <c r="AI226" s="9"/>
      <c r="AJ226" s="9"/>
      <c r="AK226" s="9"/>
    </row>
    <row r="227" spans="1:37" ht="13.5" customHeight="1">
      <c r="A227" s="180"/>
      <c r="B227" s="299"/>
      <c r="C227" s="300" t="s">
        <v>373</v>
      </c>
      <c r="D227" s="70"/>
      <c r="E227" s="70"/>
      <c r="F227" s="301"/>
      <c r="G227" s="301">
        <f>G225-G221</f>
        <v>12.359000000000009</v>
      </c>
      <c r="H227" s="301">
        <f>H225-H221</f>
        <v>-0.21600000000000819</v>
      </c>
      <c r="I227" s="301">
        <f>I225-I221</f>
        <v>0.76799999999998647</v>
      </c>
      <c r="J227" s="302"/>
      <c r="K227" s="301">
        <f t="shared" ref="K227:AG227" si="88">K225-K221</f>
        <v>6.3520000000000323</v>
      </c>
      <c r="L227" s="301">
        <f t="shared" si="88"/>
        <v>5.282999999999987</v>
      </c>
      <c r="M227" s="301">
        <f t="shared" si="88"/>
        <v>-7.4620000000000033</v>
      </c>
      <c r="N227" s="301">
        <f t="shared" si="88"/>
        <v>-35.009</v>
      </c>
      <c r="O227" s="302">
        <f t="shared" si="88"/>
        <v>-30.835999999999984</v>
      </c>
      <c r="P227" s="301">
        <f t="shared" si="88"/>
        <v>12.016000000000005</v>
      </c>
      <c r="Q227" s="301">
        <f t="shared" si="88"/>
        <v>-2.5530000000000115</v>
      </c>
      <c r="R227" s="301">
        <f t="shared" si="88"/>
        <v>1.7809999999999917</v>
      </c>
      <c r="S227" s="301">
        <f t="shared" si="88"/>
        <v>-39.174999999999969</v>
      </c>
      <c r="T227" s="302">
        <f t="shared" si="88"/>
        <v>-27.930999999999983</v>
      </c>
      <c r="U227" s="301">
        <f t="shared" si="88"/>
        <v>32.972999999999956</v>
      </c>
      <c r="V227" s="303">
        <f t="shared" si="88"/>
        <v>12.373537999999996</v>
      </c>
      <c r="W227" s="303">
        <f t="shared" si="88"/>
        <v>-7.9108714999999847</v>
      </c>
      <c r="X227" s="303">
        <f t="shared" si="88"/>
        <v>-11.455136112000019</v>
      </c>
      <c r="Y227" s="302">
        <f t="shared" si="88"/>
        <v>25.980530387999949</v>
      </c>
      <c r="Z227" s="303">
        <f t="shared" si="88"/>
        <v>-9.0589781910600209</v>
      </c>
      <c r="AA227" s="303">
        <f t="shared" si="88"/>
        <v>-9.429746868183571</v>
      </c>
      <c r="AB227" s="303">
        <f t="shared" si="88"/>
        <v>-7.8867288985828168</v>
      </c>
      <c r="AC227" s="303">
        <f t="shared" si="88"/>
        <v>-8.0573188336359465</v>
      </c>
      <c r="AD227" s="302">
        <f t="shared" si="88"/>
        <v>-34.432772791462355</v>
      </c>
      <c r="AE227" s="302">
        <f t="shared" si="88"/>
        <v>-33.389352911647222</v>
      </c>
      <c r="AF227" s="302">
        <f t="shared" si="88"/>
        <v>-11.87590774233098</v>
      </c>
      <c r="AG227" s="320">
        <f t="shared" si="88"/>
        <v>-14.87415517790123</v>
      </c>
      <c r="AH227" s="9"/>
      <c r="AI227" s="9"/>
      <c r="AJ227" s="9"/>
      <c r="AK227" s="9"/>
    </row>
    <row r="228" spans="1:37" ht="13.5" customHeight="1">
      <c r="A228" s="180"/>
      <c r="B228" s="9"/>
      <c r="C228" s="9"/>
      <c r="D228" s="9"/>
      <c r="E228" s="9"/>
      <c r="F228" s="228"/>
      <c r="G228" s="228"/>
      <c r="H228" s="228"/>
      <c r="I228" s="228"/>
      <c r="J228" s="9"/>
      <c r="K228" s="228"/>
      <c r="L228" s="228"/>
      <c r="M228" s="228"/>
      <c r="N228" s="228"/>
      <c r="O228" s="9"/>
      <c r="P228" s="228"/>
      <c r="Q228" s="228"/>
      <c r="R228" s="228"/>
      <c r="S228" s="228"/>
      <c r="T228" s="9"/>
      <c r="U228" s="228"/>
      <c r="V228" s="229"/>
      <c r="W228" s="229"/>
      <c r="X228" s="229"/>
      <c r="Y228" s="9"/>
      <c r="Z228" s="229"/>
      <c r="AA228" s="229"/>
      <c r="AB228" s="229"/>
      <c r="AC228" s="229"/>
      <c r="AD228" s="9"/>
      <c r="AE228" s="9"/>
      <c r="AF228" s="9"/>
      <c r="AG228" s="9"/>
      <c r="AH228" s="9"/>
      <c r="AI228" s="9"/>
      <c r="AJ228" s="9"/>
      <c r="AK228" s="9"/>
    </row>
    <row r="229" spans="1:37" ht="13.5" customHeight="1">
      <c r="A229" s="180" t="s">
        <v>0</v>
      </c>
      <c r="B229" s="9"/>
      <c r="C229" s="33" t="s">
        <v>41</v>
      </c>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09"/>
      <c r="AH229" s="180" t="s">
        <v>0</v>
      </c>
      <c r="AI229" s="9"/>
      <c r="AJ229" s="9"/>
      <c r="AK229" s="9"/>
    </row>
    <row r="230" spans="1:37" ht="13.5" customHeight="1">
      <c r="A230" s="180"/>
      <c r="B230" s="9"/>
      <c r="C230" s="9"/>
      <c r="D230" s="9"/>
      <c r="E230" s="9"/>
      <c r="F230" s="228"/>
      <c r="G230" s="228"/>
      <c r="H230" s="228"/>
      <c r="I230" s="228"/>
      <c r="J230" s="9"/>
      <c r="K230" s="228"/>
      <c r="L230" s="228"/>
      <c r="M230" s="228"/>
      <c r="N230" s="228"/>
      <c r="O230" s="9"/>
      <c r="P230" s="228"/>
      <c r="Q230" s="228"/>
      <c r="R230" s="228"/>
      <c r="S230" s="228"/>
      <c r="T230" s="9"/>
      <c r="U230" s="228"/>
      <c r="V230" s="229"/>
      <c r="W230" s="229"/>
      <c r="X230" s="229"/>
      <c r="Y230" s="9"/>
      <c r="Z230" s="229"/>
      <c r="AA230" s="229"/>
      <c r="AB230" s="229"/>
      <c r="AC230" s="229"/>
      <c r="AD230" s="9"/>
      <c r="AE230" s="9"/>
      <c r="AF230" s="9"/>
      <c r="AG230" s="9"/>
      <c r="AH230" s="9"/>
      <c r="AI230" s="9"/>
      <c r="AJ230" s="9"/>
      <c r="AK230" s="9"/>
    </row>
    <row r="231" spans="1:37" ht="13.5" customHeight="1">
      <c r="A231" s="180"/>
      <c r="B231" s="9"/>
      <c r="C231" s="9" t="s">
        <v>864</v>
      </c>
      <c r="D231" s="9"/>
      <c r="E231" s="9"/>
      <c r="F231" s="323">
        <f t="shared" ref="F231:U231" si="89">F219/F28</f>
        <v>1.8160343593414459</v>
      </c>
      <c r="G231" s="323">
        <f t="shared" si="89"/>
        <v>1.5465113246665187</v>
      </c>
      <c r="H231" s="323">
        <f t="shared" si="89"/>
        <v>1.8111808867274188</v>
      </c>
      <c r="I231" s="323">
        <f t="shared" si="89"/>
        <v>2.0739085718338832</v>
      </c>
      <c r="J231" s="311">
        <f t="shared" si="89"/>
        <v>0.44238425124774705</v>
      </c>
      <c r="K231" s="323">
        <f t="shared" si="89"/>
        <v>1.8335292753345007</v>
      </c>
      <c r="L231" s="323">
        <f t="shared" si="89"/>
        <v>1.8111463160881489</v>
      </c>
      <c r="M231" s="323">
        <f t="shared" si="89"/>
        <v>1.8035668667773661</v>
      </c>
      <c r="N231" s="323">
        <f t="shared" si="89"/>
        <v>1.4823932301248126</v>
      </c>
      <c r="O231" s="311">
        <f t="shared" si="89"/>
        <v>0.47285507419083422</v>
      </c>
      <c r="P231" s="323">
        <f t="shared" si="89"/>
        <v>1.3180485027779048</v>
      </c>
      <c r="Q231" s="323">
        <f t="shared" si="89"/>
        <v>1.7145914306095376</v>
      </c>
      <c r="R231" s="323">
        <f t="shared" si="89"/>
        <v>1.5155086443085446</v>
      </c>
      <c r="S231" s="323">
        <f t="shared" si="89"/>
        <v>1.5584195824683162</v>
      </c>
      <c r="T231" s="311">
        <f t="shared" si="89"/>
        <v>0.43273573420256845</v>
      </c>
      <c r="U231" s="323">
        <f t="shared" si="89"/>
        <v>1.7161481717227978</v>
      </c>
      <c r="V231" s="331">
        <f>Drivers!V144</f>
        <v>1.55</v>
      </c>
      <c r="W231" s="331">
        <f>Drivers!W144</f>
        <v>1.55</v>
      </c>
      <c r="X231" s="331">
        <f>Drivers!X144</f>
        <v>1.55</v>
      </c>
      <c r="Y231" s="311">
        <f>Y219/Y28</f>
        <v>0.4277576782282595</v>
      </c>
      <c r="Z231" s="331">
        <f>Drivers!Z144</f>
        <v>1.55</v>
      </c>
      <c r="AA231" s="331">
        <f>Drivers!AA144</f>
        <v>1.55</v>
      </c>
      <c r="AB231" s="331">
        <f>Drivers!AB144</f>
        <v>1.55</v>
      </c>
      <c r="AC231" s="331">
        <f>Drivers!AC144</f>
        <v>1.55</v>
      </c>
      <c r="AD231" s="311">
        <f>AD219/AD28</f>
        <v>0.41560476421619619</v>
      </c>
      <c r="AE231" s="332">
        <f>Drivers!AE144</f>
        <v>0.42</v>
      </c>
      <c r="AF231" s="332">
        <f>Drivers!AF144</f>
        <v>0.42</v>
      </c>
      <c r="AG231" s="332">
        <f>Drivers!AG144</f>
        <v>0.42</v>
      </c>
      <c r="AH231" s="9"/>
      <c r="AI231" s="9"/>
      <c r="AJ231" s="9"/>
      <c r="AK231" s="9"/>
    </row>
    <row r="232" spans="1:37" ht="13.5" customHeight="1">
      <c r="A232" s="180"/>
      <c r="B232" s="9"/>
      <c r="C232" s="9" t="s">
        <v>850</v>
      </c>
      <c r="D232" s="9"/>
      <c r="E232" s="9"/>
      <c r="F232" s="811"/>
      <c r="G232" s="310">
        <f>G220/F220-1</f>
        <v>-3.6092633153046227E-2</v>
      </c>
      <c r="H232" s="310">
        <f>H220/G220-1</f>
        <v>-2.9733523884202362E-2</v>
      </c>
      <c r="I232" s="310">
        <f>I220/H220-1</f>
        <v>1.6328197641579223E-2</v>
      </c>
      <c r="J232" s="311"/>
      <c r="K232" s="310">
        <f>K220/I220-1</f>
        <v>-1.9892096172919871E-2</v>
      </c>
      <c r="L232" s="310">
        <f>L220/K220-1</f>
        <v>2.320519587017289E-3</v>
      </c>
      <c r="M232" s="310">
        <f>M220/L220-1</f>
        <v>-1.6837038874455534E-2</v>
      </c>
      <c r="N232" s="310">
        <f>N220/M220-1</f>
        <v>0.15919211055142934</v>
      </c>
      <c r="O232" s="311">
        <f>O220/J220-1</f>
        <v>0.11959625842197052</v>
      </c>
      <c r="P232" s="310">
        <f>P220/N220-1</f>
        <v>-9.8744878516306978E-3</v>
      </c>
      <c r="Q232" s="310">
        <f>Q220/P220-1</f>
        <v>-8.1526874173256658E-3</v>
      </c>
      <c r="R232" s="310">
        <f>R220/Q220-1</f>
        <v>-8.4996520041837886E-3</v>
      </c>
      <c r="S232" s="310">
        <f>S220/R220-1</f>
        <v>0.20989721608934864</v>
      </c>
      <c r="T232" s="311">
        <f>T220/O220-1</f>
        <v>0.17808444099936227</v>
      </c>
      <c r="U232" s="310">
        <f>U220/S220-1</f>
        <v>-2.1246252329632731E-2</v>
      </c>
      <c r="V232" s="813">
        <f>V220/U220-1</f>
        <v>-5.5993896744709781E-2</v>
      </c>
      <c r="W232" s="813">
        <f>W220/V220-1</f>
        <v>6.1449646257590418E-2</v>
      </c>
      <c r="X232" s="813">
        <f>X220/W220-1</f>
        <v>8.3829314405799327E-2</v>
      </c>
      <c r="Y232" s="311">
        <f>Y220/T220-1</f>
        <v>6.2939460328984786E-2</v>
      </c>
      <c r="Z232" s="813">
        <f>Z220/X220-1</f>
        <v>6.1166549404903403E-2</v>
      </c>
      <c r="AA232" s="813">
        <f>AA220/Z220-1</f>
        <v>6.0000000000000053E-2</v>
      </c>
      <c r="AB232" s="813">
        <f>AB220/AA220-1</f>
        <v>4.7341527099433733E-2</v>
      </c>
      <c r="AC232" s="813">
        <f>AC220/AB220-1</f>
        <v>4.6179324521173015E-2</v>
      </c>
      <c r="AD232" s="311">
        <f>AD220/Y220-1</f>
        <v>0.23249133110567222</v>
      </c>
      <c r="AE232" s="812">
        <f>AE220/AD220-1</f>
        <v>8.1315804566243433E-2</v>
      </c>
      <c r="AF232" s="812">
        <f>AF220/AE220-1</f>
        <v>5.4999999999999716E-2</v>
      </c>
      <c r="AG232" s="812">
        <f>AG220/AF220-1</f>
        <v>6.5294368027724037E-2</v>
      </c>
      <c r="AH232" s="9"/>
      <c r="AI232" s="9"/>
      <c r="AJ232" s="9"/>
      <c r="AK232" s="9"/>
    </row>
    <row r="233" spans="1:37" ht="13.5" customHeight="1">
      <c r="A233" s="180"/>
      <c r="B233" s="9"/>
      <c r="C233" s="9" t="s">
        <v>859</v>
      </c>
      <c r="D233" s="9"/>
      <c r="E233" s="9"/>
      <c r="F233" s="811">
        <f>F223/F28</f>
        <v>0.86976510785261485</v>
      </c>
      <c r="G233" s="811">
        <f>G223/G28</f>
        <v>0.7910836995214563</v>
      </c>
      <c r="H233" s="811">
        <f>H223/H28</f>
        <v>0.89765805750979755</v>
      </c>
      <c r="I233" s="811">
        <f>I223/I28</f>
        <v>1.0514859736851438</v>
      </c>
      <c r="J233" s="311">
        <f>SUM(F223:I223)/J28</f>
        <v>0.89240722984077636</v>
      </c>
      <c r="K233" s="811">
        <f>K223/K28</f>
        <v>0.96206722810048229</v>
      </c>
      <c r="L233" s="811">
        <f>L223/L28</f>
        <v>0.99395472745042401</v>
      </c>
      <c r="M233" s="811">
        <f>M223/M28</f>
        <v>0.91628879805850039</v>
      </c>
      <c r="N233" s="811">
        <f>N223/N28</f>
        <v>0.6551042934367306</v>
      </c>
      <c r="O233" s="311">
        <f>SUM(K223:N223)/O28</f>
        <v>0.86110298605017332</v>
      </c>
      <c r="P233" s="811">
        <f>P223/P28</f>
        <v>0.63621899954760563</v>
      </c>
      <c r="Q233" s="811">
        <f>Q223/Q28</f>
        <v>0.80331868879125867</v>
      </c>
      <c r="R233" s="811">
        <f>R223/R28</f>
        <v>0.71372451132466819</v>
      </c>
      <c r="S233" s="811">
        <f>S223/S28</f>
        <v>0.67908755234299623</v>
      </c>
      <c r="T233" s="311">
        <f>SUM(P223:S223)/T28</f>
        <v>0.7015697847296638</v>
      </c>
      <c r="U233" s="811">
        <f>U223/U28</f>
        <v>0.91418974982666323</v>
      </c>
      <c r="V233" s="331">
        <f>Drivers!V149</f>
        <v>0.85</v>
      </c>
      <c r="W233" s="331">
        <f>Drivers!W149</f>
        <v>0.85</v>
      </c>
      <c r="X233" s="331">
        <f>Drivers!X149</f>
        <v>0.85</v>
      </c>
      <c r="Y233" s="311">
        <f>SUM(U223:X223)/Y28</f>
        <v>0.86473240410543839</v>
      </c>
      <c r="Z233" s="331">
        <f>Drivers!Z149</f>
        <v>0.85</v>
      </c>
      <c r="AA233" s="331">
        <f>Drivers!AA149</f>
        <v>0.85</v>
      </c>
      <c r="AB233" s="331">
        <f>Drivers!AB149</f>
        <v>0.85</v>
      </c>
      <c r="AC233" s="331">
        <f>Drivers!AC149</f>
        <v>0.85</v>
      </c>
      <c r="AD233" s="311">
        <f>SUM(Z223:AC223)/AD28</f>
        <v>0.85</v>
      </c>
      <c r="AE233" s="828">
        <f>Drivers!AE149</f>
        <v>0.85</v>
      </c>
      <c r="AF233" s="828">
        <f>Drivers!AF149</f>
        <v>0.85</v>
      </c>
      <c r="AG233" s="828">
        <f>Drivers!AG149</f>
        <v>0.85</v>
      </c>
      <c r="AH233" s="9"/>
      <c r="AI233" s="9"/>
      <c r="AJ233" s="9"/>
      <c r="AK233" s="9"/>
    </row>
    <row r="234" spans="1:37" ht="13.5" customHeight="1">
      <c r="A234" s="180"/>
      <c r="B234" s="9"/>
      <c r="C234" s="9"/>
      <c r="D234" s="9"/>
      <c r="E234" s="9"/>
      <c r="F234" s="228"/>
      <c r="G234" s="228"/>
      <c r="H234" s="228"/>
      <c r="I234" s="228"/>
      <c r="J234" s="9"/>
      <c r="K234" s="228"/>
      <c r="L234" s="228"/>
      <c r="M234" s="228"/>
      <c r="N234" s="228"/>
      <c r="O234" s="9"/>
      <c r="P234" s="228"/>
      <c r="Q234" s="228"/>
      <c r="R234" s="228"/>
      <c r="S234" s="228"/>
      <c r="T234" s="9"/>
      <c r="U234" s="228"/>
      <c r="V234" s="229"/>
      <c r="W234" s="229"/>
      <c r="X234" s="229"/>
      <c r="Y234" s="9"/>
      <c r="Z234" s="229"/>
      <c r="AA234" s="229"/>
      <c r="AB234" s="229"/>
      <c r="AC234" s="229"/>
      <c r="AD234" s="9"/>
      <c r="AE234" s="9"/>
      <c r="AF234" s="9"/>
      <c r="AG234" s="9"/>
      <c r="AH234" s="9"/>
      <c r="AI234" s="9"/>
      <c r="AJ234" s="9"/>
      <c r="AK234" s="9"/>
    </row>
    <row r="235" spans="1:37" ht="13.5" customHeight="1">
      <c r="A235" s="180" t="s">
        <v>0</v>
      </c>
      <c r="B235" s="37"/>
      <c r="C235" s="50" t="s">
        <v>374</v>
      </c>
      <c r="D235" s="12"/>
      <c r="E235" s="12"/>
      <c r="F235" s="226" t="str">
        <f>F$25</f>
        <v>1Q23</v>
      </c>
      <c r="G235" s="51" t="str">
        <f t="shared" ref="G235:AG235" si="90">G$63</f>
        <v>2Q23</v>
      </c>
      <c r="H235" s="51" t="str">
        <f t="shared" si="90"/>
        <v>3Q23</v>
      </c>
      <c r="I235" s="51" t="str">
        <f t="shared" si="90"/>
        <v>4Q23</v>
      </c>
      <c r="J235" s="51">
        <f t="shared" si="90"/>
        <v>2023</v>
      </c>
      <c r="K235" s="51" t="str">
        <f t="shared" si="90"/>
        <v>1Q24</v>
      </c>
      <c r="L235" s="51" t="str">
        <f t="shared" si="90"/>
        <v>2Q24</v>
      </c>
      <c r="M235" s="51" t="str">
        <f t="shared" si="90"/>
        <v>3Q24</v>
      </c>
      <c r="N235" s="51" t="str">
        <f t="shared" si="90"/>
        <v>4Q24</v>
      </c>
      <c r="O235" s="51">
        <f t="shared" si="90"/>
        <v>2024</v>
      </c>
      <c r="P235" s="51" t="str">
        <f t="shared" si="90"/>
        <v>1Q25</v>
      </c>
      <c r="Q235" s="51" t="str">
        <f t="shared" si="90"/>
        <v>2Q25</v>
      </c>
      <c r="R235" s="51" t="str">
        <f t="shared" si="90"/>
        <v>3Q25</v>
      </c>
      <c r="S235" s="51" t="str">
        <f t="shared" si="90"/>
        <v>4Q25</v>
      </c>
      <c r="T235" s="51">
        <f t="shared" si="90"/>
        <v>2025</v>
      </c>
      <c r="U235" s="51" t="str">
        <f t="shared" si="90"/>
        <v>1Q26</v>
      </c>
      <c r="V235" s="51" t="str">
        <f t="shared" si="90"/>
        <v>2Q26e</v>
      </c>
      <c r="W235" s="51" t="str">
        <f t="shared" si="90"/>
        <v>3Q26e</v>
      </c>
      <c r="X235" s="51" t="str">
        <f t="shared" si="90"/>
        <v>4Q26e</v>
      </c>
      <c r="Y235" s="51" t="str">
        <f t="shared" si="90"/>
        <v>2026e</v>
      </c>
      <c r="Z235" s="51" t="str">
        <f t="shared" si="90"/>
        <v>1Q27e</v>
      </c>
      <c r="AA235" s="51" t="str">
        <f t="shared" si="90"/>
        <v>2Q27e</v>
      </c>
      <c r="AB235" s="51" t="str">
        <f t="shared" si="90"/>
        <v>3Q27e</v>
      </c>
      <c r="AC235" s="51" t="str">
        <f t="shared" si="90"/>
        <v>4Q27e</v>
      </c>
      <c r="AD235" s="51" t="str">
        <f t="shared" si="90"/>
        <v>2027e</v>
      </c>
      <c r="AE235" s="51" t="str">
        <f t="shared" si="90"/>
        <v>2028e</v>
      </c>
      <c r="AF235" s="51" t="str">
        <f t="shared" si="90"/>
        <v>2029e</v>
      </c>
      <c r="AG235" s="52" t="str">
        <f t="shared" si="90"/>
        <v>2030e</v>
      </c>
      <c r="AH235" s="180" t="s">
        <v>0</v>
      </c>
      <c r="AI235" s="9"/>
      <c r="AJ235" s="9"/>
      <c r="AK235" s="9"/>
    </row>
    <row r="236" spans="1:37" ht="13.5" customHeight="1">
      <c r="A236" s="180"/>
      <c r="B236" s="9"/>
      <c r="C236" s="9"/>
      <c r="D236" s="9"/>
      <c r="E236" s="9"/>
      <c r="F236" s="228"/>
      <c r="G236" s="228"/>
      <c r="H236" s="228"/>
      <c r="I236" s="228"/>
      <c r="J236" s="9"/>
      <c r="K236" s="228"/>
      <c r="L236" s="228"/>
      <c r="M236" s="228"/>
      <c r="N236" s="228"/>
      <c r="O236" s="9"/>
      <c r="P236" s="228"/>
      <c r="Q236" s="228"/>
      <c r="R236" s="228"/>
      <c r="S236" s="228"/>
      <c r="T236" s="9"/>
      <c r="U236" s="228"/>
      <c r="V236" s="229"/>
      <c r="W236" s="229"/>
      <c r="X236" s="229"/>
      <c r="Y236" s="9"/>
      <c r="Z236" s="229"/>
      <c r="AA236" s="229"/>
      <c r="AB236" s="229"/>
      <c r="AC236" s="229"/>
      <c r="AD236" s="9"/>
      <c r="AE236" s="9"/>
      <c r="AF236" s="9"/>
      <c r="AG236" s="9"/>
      <c r="AH236" s="9"/>
      <c r="AI236" s="9"/>
      <c r="AJ236" s="9"/>
      <c r="AK236" s="9"/>
    </row>
    <row r="237" spans="1:37" ht="13.5" customHeight="1">
      <c r="A237" s="180"/>
      <c r="B237" s="9"/>
      <c r="C237" s="9" t="s">
        <v>375</v>
      </c>
      <c r="D237" s="9"/>
      <c r="E237" s="9"/>
      <c r="F237" s="228"/>
      <c r="G237" s="228"/>
      <c r="H237" s="228"/>
      <c r="I237" s="228"/>
      <c r="J237" s="9"/>
      <c r="K237" s="228"/>
      <c r="L237" s="228"/>
      <c r="M237" s="228"/>
      <c r="N237" s="228"/>
      <c r="O237" s="9"/>
      <c r="P237" s="228"/>
      <c r="Q237" s="228"/>
      <c r="R237" s="228"/>
      <c r="S237" s="228"/>
      <c r="T237" s="9"/>
      <c r="U237" s="228"/>
      <c r="V237" s="229"/>
      <c r="W237" s="229"/>
      <c r="X237" s="229"/>
      <c r="Y237" s="9"/>
      <c r="Z237" s="229"/>
      <c r="AA237" s="229"/>
      <c r="AB237" s="229"/>
      <c r="AC237" s="229"/>
      <c r="AD237" s="9"/>
      <c r="AE237" s="9"/>
      <c r="AF237" s="9"/>
      <c r="AG237" s="9"/>
      <c r="AH237" s="9"/>
      <c r="AI237" s="9"/>
      <c r="AJ237" s="9"/>
      <c r="AK237" s="9"/>
    </row>
    <row r="238" spans="1:37" ht="13.5" customHeight="1">
      <c r="A238" s="180"/>
      <c r="B238" s="9"/>
      <c r="C238" s="103" t="s">
        <v>376</v>
      </c>
      <c r="D238" s="9"/>
      <c r="E238" s="9"/>
      <c r="F238" s="283">
        <f t="shared" ref="F238:AG238" si="91">F53</f>
        <v>1.5163382794129572</v>
      </c>
      <c r="G238" s="283">
        <f t="shared" si="91"/>
        <v>1.5593243243243244</v>
      </c>
      <c r="H238" s="283">
        <f t="shared" si="91"/>
        <v>0.59130317353139727</v>
      </c>
      <c r="I238" s="283">
        <f t="shared" si="91"/>
        <v>1.3860330823821476</v>
      </c>
      <c r="J238" s="91">
        <f t="shared" si="91"/>
        <v>5.0475188213389464</v>
      </c>
      <c r="K238" s="283">
        <f t="shared" si="91"/>
        <v>1.3616569867663828</v>
      </c>
      <c r="L238" s="283">
        <f t="shared" si="91"/>
        <v>1.7101383954610534</v>
      </c>
      <c r="M238" s="283">
        <f t="shared" si="91"/>
        <v>0.91509433962264186</v>
      </c>
      <c r="N238" s="283">
        <f t="shared" si="91"/>
        <v>2.0292936763695915</v>
      </c>
      <c r="O238" s="91">
        <f t="shared" si="91"/>
        <v>6.0014792117914322</v>
      </c>
      <c r="P238" s="283">
        <f t="shared" si="91"/>
        <v>2.1941798941798942</v>
      </c>
      <c r="Q238" s="283">
        <f t="shared" si="91"/>
        <v>1.9123929471032743</v>
      </c>
      <c r="R238" s="283">
        <f t="shared" si="91"/>
        <v>1.9510075566750629</v>
      </c>
      <c r="S238" s="283">
        <f t="shared" si="91"/>
        <v>1.8371929824561413</v>
      </c>
      <c r="T238" s="91">
        <f t="shared" si="91"/>
        <v>7.8638596491228077</v>
      </c>
      <c r="U238" s="283">
        <f t="shared" si="91"/>
        <v>1.8629441624365481</v>
      </c>
      <c r="V238" s="284">
        <f t="shared" ca="1" si="91"/>
        <v>1.6397700425494395</v>
      </c>
      <c r="W238" s="284">
        <f t="shared" ca="1" si="91"/>
        <v>1.7421891563742802</v>
      </c>
      <c r="X238" s="284">
        <f t="shared" ca="1" si="91"/>
        <v>1.8953385117302592</v>
      </c>
      <c r="Y238" s="91">
        <f t="shared" ca="1" si="91"/>
        <v>7.1398470593642225</v>
      </c>
      <c r="Z238" s="284">
        <f t="shared" ca="1" si="91"/>
        <v>2.0502490421228021</v>
      </c>
      <c r="AA238" s="284">
        <f t="shared" ca="1" si="91"/>
        <v>2.1692146614473531</v>
      </c>
      <c r="AB238" s="284">
        <f t="shared" ca="1" si="91"/>
        <v>2.2009098075530766</v>
      </c>
      <c r="AC238" s="284">
        <f t="shared" ca="1" si="91"/>
        <v>2.3062668278040341</v>
      </c>
      <c r="AD238" s="91">
        <f t="shared" ca="1" si="91"/>
        <v>8.726191008720928</v>
      </c>
      <c r="AE238" s="91">
        <f t="shared" ca="1" si="91"/>
        <v>9.2176812550313034</v>
      </c>
      <c r="AF238" s="91">
        <f t="shared" ca="1" si="91"/>
        <v>9.8143247922514973</v>
      </c>
      <c r="AG238" s="91">
        <f t="shared" ca="1" si="91"/>
        <v>10.543492949212967</v>
      </c>
      <c r="AH238" s="9"/>
      <c r="AI238" s="9"/>
      <c r="AJ238" s="9"/>
      <c r="AK238" s="9"/>
    </row>
    <row r="239" spans="1:37" ht="13.5" customHeight="1">
      <c r="A239" s="180"/>
      <c r="B239" s="9"/>
      <c r="C239" s="103" t="s">
        <v>377</v>
      </c>
      <c r="D239" s="9"/>
      <c r="E239" s="9"/>
      <c r="F239" s="336">
        <f>F240/SUM(F238,B239:D239)</f>
        <v>45.36586653120154</v>
      </c>
      <c r="G239" s="336">
        <f>G240/SUM(F238:G238,C238:D238)</f>
        <v>22.652029489627044</v>
      </c>
      <c r="H239" s="336">
        <f>H240/SUM(F238:H238,D238)</f>
        <v>19.708392275705922</v>
      </c>
      <c r="I239" s="337">
        <f>I240/SUM(F238:I238)</f>
        <v>12.861669239420914</v>
      </c>
      <c r="J239" s="338">
        <f>J240/J238</f>
        <v>12.940791979077758</v>
      </c>
      <c r="K239" s="337">
        <f>K240/SUM(K238,G238:I238)</f>
        <v>14.649928065788412</v>
      </c>
      <c r="L239" s="337">
        <f>L240/SUM(K238:L238,H238:I238)</f>
        <v>18.209071695712613</v>
      </c>
      <c r="M239" s="337">
        <f>M240/SUM(K238:M238,I238)</f>
        <v>16.806494954454049</v>
      </c>
      <c r="N239" s="337">
        <f>N240/SUM(K238:N238)</f>
        <v>18.014743372363316</v>
      </c>
      <c r="O239" s="338">
        <f>O240/O238</f>
        <v>17.752872871214041</v>
      </c>
      <c r="P239" s="337">
        <f>P240/SUM(P238,L238:N238)</f>
        <v>18.02238181807806</v>
      </c>
      <c r="Q239" s="337">
        <f>Q240/SUM(P238:Q238,M238:N238)</f>
        <v>21.805538721911347</v>
      </c>
      <c r="R239" s="337">
        <f>R240/SUM(P238:R238,N238)</f>
        <v>20.609941303414384</v>
      </c>
      <c r="S239" s="337">
        <f>S240/SUM(P238:S238)</f>
        <v>17.607851840923111</v>
      </c>
      <c r="T239" s="338">
        <f>T240/T238</f>
        <v>17.820749052877584</v>
      </c>
      <c r="U239" s="337">
        <f>U240/SUM(U238,Q238:S238)</f>
        <v>19.767205102267202</v>
      </c>
      <c r="V239" s="339">
        <f ca="1">V240/SUM(U238:V238,R238:S238)</f>
        <v>20.50634320208378</v>
      </c>
      <c r="W239" s="339">
        <f ca="1">W240/SUM(U238:W238,S238)</f>
        <v>21.11098080874622</v>
      </c>
      <c r="X239" s="339">
        <f ca="1">X240/SUM(U238:X238)</f>
        <v>16.562464143642973</v>
      </c>
      <c r="Y239" s="338">
        <f ca="1">Y240/Y238</f>
        <v>16.565159741998695</v>
      </c>
      <c r="Z239" s="339">
        <f ca="1">Z240/SUM(Z238,V238:X238)</f>
        <v>16.139098662889495</v>
      </c>
      <c r="AA239" s="339">
        <f ca="1">AA240/SUM(Z238:AA238,W238:X238)</f>
        <v>15.051562920934355</v>
      </c>
      <c r="AB239" s="339">
        <f ca="1">AB240/SUM(Z238:AB238,X238)</f>
        <v>14.221271693271039</v>
      </c>
      <c r="AC239" s="339">
        <f ca="1">AC240/SUM(Z238:AC238)</f>
        <v>13.551606965222685</v>
      </c>
      <c r="AD239" s="338">
        <f ca="1">AD240/AD238</f>
        <v>13.552304766399375</v>
      </c>
      <c r="AE239" s="338">
        <f ca="1">AE240/AE238</f>
        <v>12.829690757146754</v>
      </c>
      <c r="AF239" s="338">
        <f ca="1">AF240/AF238</f>
        <v>12.04973368044304</v>
      </c>
      <c r="AG239" s="338">
        <f ca="1">AG240/AG238</f>
        <v>11.216396745333594</v>
      </c>
      <c r="AH239" s="9"/>
      <c r="AI239" s="9"/>
      <c r="AJ239" s="9"/>
      <c r="AK239" s="9"/>
    </row>
    <row r="240" spans="1:37" ht="13.5" customHeight="1">
      <c r="A240" s="180"/>
      <c r="B240" s="9"/>
      <c r="C240" s="103" t="s">
        <v>378</v>
      </c>
      <c r="D240" s="9"/>
      <c r="E240" s="9"/>
      <c r="F240" s="340">
        <v>68.790000000000006</v>
      </c>
      <c r="G240" s="340">
        <v>69.67</v>
      </c>
      <c r="H240" s="340">
        <v>72.27</v>
      </c>
      <c r="I240" s="340">
        <v>64.989999999999995</v>
      </c>
      <c r="J240" s="91">
        <f>F240*(F241/(SUM(F241:I241)))+G240*(G241/(SUM(F241:I241)))+H240*(H241/(SUM(F241:I241)))+I240*(I241/(SUM(F241:I241)))</f>
        <v>65.318891077427054</v>
      </c>
      <c r="K240" s="340">
        <v>71.760000000000005</v>
      </c>
      <c r="L240" s="340">
        <v>91.94</v>
      </c>
      <c r="M240" s="340">
        <v>90.3</v>
      </c>
      <c r="N240" s="341">
        <v>108.38</v>
      </c>
      <c r="O240" s="91">
        <f>K240*(K241/(SUM(K241:N241)))+L240*(L241/(SUM(K241:N241)))+M240*(M241/(SUM(K241:N241)))+N240*(N241/(SUM(K241:N241)))</f>
        <v>106.54349748616715</v>
      </c>
      <c r="P240" s="340">
        <v>123.43</v>
      </c>
      <c r="Q240" s="340">
        <v>153.75</v>
      </c>
      <c r="R240" s="341">
        <v>166.67</v>
      </c>
      <c r="S240" s="340">
        <v>139.01</v>
      </c>
      <c r="T240" s="91">
        <f>P240*(P241/(SUM(P241:S241)))+Q240*(Q241/(SUM(P241:S241)))+R240*(R241/(SUM(P241:S241)))+S240*(S241/(SUM(P241:S241)))</f>
        <v>140.13986939406752</v>
      </c>
      <c r="U240" s="340">
        <v>149.51</v>
      </c>
      <c r="V240" s="862">
        <f>U240</f>
        <v>149.51</v>
      </c>
      <c r="W240" s="862">
        <f>V240</f>
        <v>149.51</v>
      </c>
      <c r="X240" s="863">
        <f>Share_Price</f>
        <v>118.26</v>
      </c>
      <c r="Y240" s="91">
        <f>U240*(U241/(SUM(U241:X241)))+V240*(V241/(SUM(U241:X241)))+W240*(W241/(SUM(U241:X241)))+X240*(X241/(SUM(U241:X241)))</f>
        <v>118.27270707180797</v>
      </c>
      <c r="Z240" s="862">
        <f>X240</f>
        <v>118.26</v>
      </c>
      <c r="AA240" s="862">
        <f>Z240</f>
        <v>118.26</v>
      </c>
      <c r="AB240" s="862">
        <f>AA240</f>
        <v>118.26</v>
      </c>
      <c r="AC240" s="862">
        <f>AB240</f>
        <v>118.26</v>
      </c>
      <c r="AD240" s="91">
        <f>AVERAGE(Z240:AC240)</f>
        <v>118.26</v>
      </c>
      <c r="AE240" s="342">
        <f>AC240</f>
        <v>118.26</v>
      </c>
      <c r="AF240" s="342">
        <f>AE240</f>
        <v>118.26</v>
      </c>
      <c r="AG240" s="342">
        <f>AF240</f>
        <v>118.26</v>
      </c>
      <c r="AH240" s="9"/>
      <c r="AI240" s="9"/>
      <c r="AJ240" s="9"/>
      <c r="AK240" s="9"/>
    </row>
    <row r="241" spans="1:37" ht="13.5" customHeight="1">
      <c r="A241" s="180"/>
      <c r="B241" s="9"/>
      <c r="C241" s="103" t="s">
        <v>379</v>
      </c>
      <c r="D241" s="9"/>
      <c r="E241" s="9"/>
      <c r="F241" s="297">
        <f>F242/F240</f>
        <v>3.9249890972525072E-4</v>
      </c>
      <c r="G241" s="297">
        <f>G242/G240</f>
        <v>1.8558920625807378E-2</v>
      </c>
      <c r="H241" s="297">
        <f>H242/H240</f>
        <v>1.3712467137124672E-2</v>
      </c>
      <c r="I241" s="297">
        <f>I242/I240</f>
        <v>0.53948299738421301</v>
      </c>
      <c r="J241" s="126">
        <f>SUM(F241:I241)</f>
        <v>0.57214688405687031</v>
      </c>
      <c r="K241" s="297">
        <f>K242/K240</f>
        <v>3.4838350055741362E-4</v>
      </c>
      <c r="L241" s="297">
        <f>L242/L240</f>
        <v>3.3500108766586906E-2</v>
      </c>
      <c r="M241" s="297">
        <f>M242/M240</f>
        <v>5.5924695459579178E-3</v>
      </c>
      <c r="N241" s="343">
        <f>N242/N240</f>
        <v>0.32244879128990594</v>
      </c>
      <c r="O241" s="126">
        <f>SUM(K241:N241)</f>
        <v>0.36188975310300819</v>
      </c>
      <c r="P241" s="297">
        <f>P242/P240</f>
        <v>1.2962812930405898E-4</v>
      </c>
      <c r="Q241" s="297">
        <f>Q242/Q240</f>
        <v>1.9252032520325202E-2</v>
      </c>
      <c r="R241" s="343">
        <f>R242/R240</f>
        <v>9.5998080038399246E-5</v>
      </c>
      <c r="S241" s="297">
        <f>S242/S240</f>
        <v>0.23224228472771744</v>
      </c>
      <c r="T241" s="126">
        <f>SUM(P241:S241)</f>
        <v>0.25171994345738508</v>
      </c>
      <c r="U241" s="297">
        <f>U242/U240</f>
        <v>1.2039328473011839E-4</v>
      </c>
      <c r="V241" s="272">
        <f>V242/V240</f>
        <v>0</v>
      </c>
      <c r="W241" s="272">
        <f>W242/W240</f>
        <v>0</v>
      </c>
      <c r="X241" s="272">
        <f>X242/X240</f>
        <v>0.29595805851513612</v>
      </c>
      <c r="Y241" s="126">
        <f>SUM(U241:X241)</f>
        <v>0.29607845179986625</v>
      </c>
      <c r="Z241" s="866">
        <f>Z242/Z240</f>
        <v>0</v>
      </c>
      <c r="AA241" s="866">
        <f>AA242/AA240</f>
        <v>0</v>
      </c>
      <c r="AB241" s="866">
        <f>AB242/AB240</f>
        <v>0</v>
      </c>
      <c r="AC241" s="866">
        <f>AC242/AC240</f>
        <v>0.29595805851513612</v>
      </c>
      <c r="AD241" s="126">
        <f>SUM(Z241:AC241)</f>
        <v>0.29595805851513612</v>
      </c>
      <c r="AE241" s="126">
        <f>AE242/AE240</f>
        <v>0.29595805851513612</v>
      </c>
      <c r="AF241" s="126">
        <f>AF242/AF240</f>
        <v>0.29595805851513612</v>
      </c>
      <c r="AG241" s="126">
        <f>AG242/AG240</f>
        <v>0.29595805851513612</v>
      </c>
      <c r="AH241" s="9"/>
      <c r="AI241" s="9"/>
      <c r="AJ241" s="9"/>
      <c r="AK241" s="9"/>
    </row>
    <row r="242" spans="1:37" ht="13.5" customHeight="1">
      <c r="A242" s="180"/>
      <c r="B242" s="9"/>
      <c r="C242" s="103" t="s">
        <v>380</v>
      </c>
      <c r="D242" s="9"/>
      <c r="E242" s="9"/>
      <c r="F242" s="271">
        <v>2.7E-2</v>
      </c>
      <c r="G242" s="271">
        <v>1.2929999999999999</v>
      </c>
      <c r="H242" s="271">
        <v>0.99099999999999999</v>
      </c>
      <c r="I242" s="271">
        <v>35.061</v>
      </c>
      <c r="J242" s="126">
        <f>SUM(F242:I242)</f>
        <v>37.372</v>
      </c>
      <c r="K242" s="271">
        <v>2.5000000000000001E-2</v>
      </c>
      <c r="L242" s="271">
        <v>3.08</v>
      </c>
      <c r="M242" s="271">
        <v>0.505</v>
      </c>
      <c r="N242" s="271">
        <v>34.947000000000003</v>
      </c>
      <c r="O242" s="126">
        <f>SUM(K242:N242)</f>
        <v>38.557000000000002</v>
      </c>
      <c r="P242" s="271">
        <v>1.6E-2</v>
      </c>
      <c r="Q242" s="271">
        <v>2.96</v>
      </c>
      <c r="R242" s="271">
        <v>1.6E-2</v>
      </c>
      <c r="S242" s="271">
        <v>32.283999999999999</v>
      </c>
      <c r="T242" s="126">
        <f>SUM(P242:S242)</f>
        <v>35.275999999999996</v>
      </c>
      <c r="U242" s="271">
        <v>1.7999999999999999E-2</v>
      </c>
      <c r="V242" s="272">
        <f>V273</f>
        <v>0</v>
      </c>
      <c r="W242" s="272">
        <f>W273</f>
        <v>0</v>
      </c>
      <c r="X242" s="272">
        <f>X273</f>
        <v>35</v>
      </c>
      <c r="Y242" s="126">
        <f>SUM(U242:X242)</f>
        <v>35.018000000000001</v>
      </c>
      <c r="Z242" s="866">
        <f>Z273</f>
        <v>0</v>
      </c>
      <c r="AA242" s="866">
        <f>AA273</f>
        <v>0</v>
      </c>
      <c r="AB242" s="866">
        <f>AB273</f>
        <v>0</v>
      </c>
      <c r="AC242" s="866">
        <f>AC273</f>
        <v>35</v>
      </c>
      <c r="AD242" s="126">
        <f>SUM(Z242:AC242)</f>
        <v>35</v>
      </c>
      <c r="AE242" s="126">
        <f>AE273</f>
        <v>35</v>
      </c>
      <c r="AF242" s="126">
        <f>AF273</f>
        <v>35</v>
      </c>
      <c r="AG242" s="126">
        <f>AG273</f>
        <v>35</v>
      </c>
      <c r="AH242" s="9"/>
      <c r="AI242" s="9"/>
      <c r="AJ242" s="9"/>
      <c r="AK242" s="9"/>
    </row>
    <row r="243" spans="1:37" ht="13.5" customHeight="1">
      <c r="A243" s="180"/>
      <c r="B243" s="9"/>
      <c r="C243" s="9"/>
      <c r="D243" s="9"/>
      <c r="E243" s="9"/>
      <c r="F243" s="228"/>
      <c r="G243" s="228"/>
      <c r="H243" s="228"/>
      <c r="I243" s="345"/>
      <c r="J243" s="9"/>
      <c r="K243" s="228"/>
      <c r="L243" s="228"/>
      <c r="M243" s="228"/>
      <c r="N243" s="346"/>
      <c r="O243" s="9"/>
      <c r="P243" s="228"/>
      <c r="Q243" s="228"/>
      <c r="R243" s="347"/>
      <c r="S243" s="228"/>
      <c r="T243" s="9"/>
      <c r="U243" s="228"/>
      <c r="V243" s="229"/>
      <c r="W243" s="229"/>
      <c r="X243" s="229"/>
      <c r="Y243" s="9"/>
      <c r="Z243" s="855"/>
      <c r="AA243" s="855"/>
      <c r="AB243" s="855"/>
      <c r="AC243" s="855"/>
      <c r="AD243" s="9"/>
      <c r="AE243" s="9"/>
      <c r="AF243" s="9"/>
      <c r="AG243" s="9"/>
      <c r="AH243" s="9"/>
      <c r="AI243" s="9"/>
      <c r="AJ243" s="9"/>
      <c r="AK243" s="9"/>
    </row>
    <row r="244" spans="1:37" ht="13.5" customHeight="1">
      <c r="A244" s="180"/>
      <c r="B244" s="9"/>
      <c r="C244" s="9" t="s">
        <v>381</v>
      </c>
      <c r="D244" s="9"/>
      <c r="E244" s="9"/>
      <c r="F244" s="271"/>
      <c r="G244" s="228"/>
      <c r="H244" s="228"/>
      <c r="I244" s="228"/>
      <c r="J244" s="9"/>
      <c r="K244" s="228"/>
      <c r="L244" s="228"/>
      <c r="M244" s="228"/>
      <c r="N244" s="347"/>
      <c r="O244" s="9"/>
      <c r="P244" s="228"/>
      <c r="Q244" s="228"/>
      <c r="R244" s="347"/>
      <c r="S244" s="348"/>
      <c r="T244" s="9"/>
      <c r="U244" s="228"/>
      <c r="V244" s="229"/>
      <c r="W244" s="229"/>
      <c r="X244" s="229"/>
      <c r="Y244" s="9"/>
      <c r="Z244" s="855"/>
      <c r="AA244" s="855"/>
      <c r="AB244" s="855"/>
      <c r="AC244" s="855"/>
      <c r="AD244" s="9"/>
      <c r="AE244" s="9"/>
      <c r="AF244" s="9"/>
      <c r="AG244" s="9"/>
      <c r="AH244" s="9"/>
      <c r="AI244" s="9"/>
      <c r="AJ244" s="9"/>
      <c r="AK244" s="9"/>
    </row>
    <row r="245" spans="1:37" ht="13.5" customHeight="1">
      <c r="A245" s="180"/>
      <c r="B245" s="9"/>
      <c r="C245" s="103" t="s">
        <v>382</v>
      </c>
      <c r="D245" s="9"/>
      <c r="E245" s="9"/>
      <c r="F245" s="266">
        <f ca="1">J248-(J247+J246)</f>
        <v>161.67100000000002</v>
      </c>
      <c r="G245" s="266">
        <f>F248</f>
        <v>163.18199999999999</v>
      </c>
      <c r="H245" s="266">
        <f t="shared" ref="H245:I245" si="92">G248</f>
        <v>164.81700000000001</v>
      </c>
      <c r="I245" s="266">
        <f t="shared" si="92"/>
        <v>166.875</v>
      </c>
      <c r="J245" s="197">
        <f ca="1">F245</f>
        <v>161.67100000000002</v>
      </c>
      <c r="K245" s="266">
        <f>J248</f>
        <v>171.62100000000001</v>
      </c>
      <c r="L245" s="266">
        <f>K248</f>
        <v>176.727</v>
      </c>
      <c r="M245" s="266">
        <f t="shared" ref="M245:N245" si="93">L248</f>
        <v>179.26900000000001</v>
      </c>
      <c r="N245" s="266">
        <f t="shared" si="93"/>
        <v>181.983</v>
      </c>
      <c r="O245" s="197">
        <f>K245</f>
        <v>171.62100000000001</v>
      </c>
      <c r="P245" s="266">
        <f>O248</f>
        <v>208.45699999999999</v>
      </c>
      <c r="Q245" s="266">
        <f>P248</f>
        <v>210.154</v>
      </c>
      <c r="R245" s="266">
        <f t="shared" ref="R245:S245" si="94">Q248</f>
        <v>214.84300000000002</v>
      </c>
      <c r="S245" s="266">
        <f t="shared" si="94"/>
        <v>224.012</v>
      </c>
      <c r="T245" s="197">
        <f>P245</f>
        <v>208.45699999999999</v>
      </c>
      <c r="U245" s="266">
        <f>T248</f>
        <v>261.911</v>
      </c>
      <c r="V245" s="196">
        <f>U248</f>
        <v>271.74699999999996</v>
      </c>
      <c r="W245" s="196">
        <f>V248</f>
        <v>275.11566784789545</v>
      </c>
      <c r="X245" s="196">
        <f>W248</f>
        <v>278.69133914340347</v>
      </c>
      <c r="Y245" s="197"/>
      <c r="Z245" s="843">
        <f>Y248</f>
        <v>282.56675651215443</v>
      </c>
      <c r="AA245" s="843">
        <f>Z248</f>
        <v>286.67921978885568</v>
      </c>
      <c r="AB245" s="843">
        <f>AA248</f>
        <v>291.03843086215903</v>
      </c>
      <c r="AC245" s="843">
        <f>AB248</f>
        <v>295.60401364462132</v>
      </c>
      <c r="AD245" s="197">
        <f>Y248</f>
        <v>282.56675651215443</v>
      </c>
      <c r="AE245" s="197">
        <f>AD248</f>
        <v>300.38043195602324</v>
      </c>
      <c r="AF245" s="197">
        <f>AE248</f>
        <v>319.44106468096288</v>
      </c>
      <c r="AG245" s="197">
        <f>AF248</f>
        <v>339.55003220577419</v>
      </c>
      <c r="AH245" s="9"/>
      <c r="AI245" s="9"/>
      <c r="AJ245" s="9"/>
      <c r="AK245" s="9"/>
    </row>
    <row r="246" spans="1:37" ht="13.5" customHeight="1">
      <c r="A246" s="180"/>
      <c r="B246" s="9"/>
      <c r="C246" s="103" t="s">
        <v>383</v>
      </c>
      <c r="D246" s="9"/>
      <c r="E246" s="9"/>
      <c r="F246" s="326">
        <f ca="1">F248-(F245+F247)</f>
        <v>-0.3790000000000191</v>
      </c>
      <c r="G246" s="326">
        <f t="shared" ref="G246:I246" si="95">G248-(G245+G247)</f>
        <v>-0.45499999999998408</v>
      </c>
      <c r="H246" s="326">
        <f t="shared" si="95"/>
        <v>-0.77200000000001978</v>
      </c>
      <c r="I246" s="326">
        <f t="shared" si="95"/>
        <v>1.606000000000023</v>
      </c>
      <c r="J246" s="242">
        <f ca="1">SUM(F246:I246)</f>
        <v>0</v>
      </c>
      <c r="K246" s="326">
        <f>K248-(K245+K247)</f>
        <v>2.2599999999999909</v>
      </c>
      <c r="L246" s="326">
        <f t="shared" ref="L246" si="96">L248-(L245+L247)</f>
        <v>-0.57499999999998863</v>
      </c>
      <c r="M246" s="326">
        <f t="shared" ref="M246" si="97">M248-(M245+M247)</f>
        <v>-0.55000000000001137</v>
      </c>
      <c r="N246" s="326">
        <f t="shared" ref="N246" si="98">N248-(N245+N247)</f>
        <v>23.567999999999984</v>
      </c>
      <c r="O246" s="242">
        <f>SUM(K246:N246)</f>
        <v>24.702999999999975</v>
      </c>
      <c r="P246" s="326">
        <f>P248-(P245+P247)</f>
        <v>-1.5260000000000105</v>
      </c>
      <c r="Q246" s="326">
        <f t="shared" ref="Q246" si="99">Q248-(Q245+Q247)</f>
        <v>1.6000000000019554E-2</v>
      </c>
      <c r="R246" s="326">
        <f t="shared" ref="R246" si="100">R248-(R245+R247)</f>
        <v>-2.6160000000000139</v>
      </c>
      <c r="S246" s="326">
        <f t="shared" ref="S246" si="101">S248-(S245+S247)</f>
        <v>26.173000000000002</v>
      </c>
      <c r="T246" s="242">
        <f>SUM(P246:S246)</f>
        <v>22.046999999999997</v>
      </c>
      <c r="U246" s="326">
        <f>U248-(U245+U247)</f>
        <v>6.6129999999999427</v>
      </c>
      <c r="V246" s="243">
        <f>V272*V240</f>
        <v>0</v>
      </c>
      <c r="W246" s="243">
        <f>W272*W240</f>
        <v>0</v>
      </c>
      <c r="X246" s="243">
        <f>X272*X240</f>
        <v>0</v>
      </c>
      <c r="Y246" s="242">
        <f>SUM(U246:X246)</f>
        <v>6.6129999999999427</v>
      </c>
      <c r="Z246" s="867">
        <f>Z272*Z240</f>
        <v>0</v>
      </c>
      <c r="AA246" s="867">
        <f>AA272*AA240</f>
        <v>0</v>
      </c>
      <c r="AB246" s="867">
        <f>AB272*AB240</f>
        <v>0</v>
      </c>
      <c r="AC246" s="867">
        <f>AC272*AC240</f>
        <v>0</v>
      </c>
      <c r="AD246" s="242">
        <f>SUM(Z246:AC246)</f>
        <v>0</v>
      </c>
      <c r="AE246" s="242">
        <f>AE272*AE240</f>
        <v>0</v>
      </c>
      <c r="AF246" s="242">
        <f>AF272*AF240</f>
        <v>0</v>
      </c>
      <c r="AG246" s="242">
        <f>AG272*AG240</f>
        <v>0</v>
      </c>
      <c r="AH246" s="9"/>
      <c r="AI246" s="9"/>
      <c r="AJ246" s="9"/>
      <c r="AK246" s="9"/>
    </row>
    <row r="247" spans="1:37" ht="13.5" customHeight="1">
      <c r="A247" s="180"/>
      <c r="B247" s="9"/>
      <c r="C247" s="103" t="s">
        <v>384</v>
      </c>
      <c r="D247" s="9"/>
      <c r="E247" s="9"/>
      <c r="F247" s="267">
        <v>1.89</v>
      </c>
      <c r="G247" s="267">
        <f>3.98-F247</f>
        <v>2.09</v>
      </c>
      <c r="H247" s="267">
        <f>6.81-SUM(F247:G247)</f>
        <v>2.83</v>
      </c>
      <c r="I247" s="267">
        <f>9.95-SUM(F247:H247)</f>
        <v>3.1399999999999997</v>
      </c>
      <c r="J247" s="268">
        <f>SUM(F247:I247)</f>
        <v>9.9499999999999993</v>
      </c>
      <c r="K247" s="267">
        <v>2.8460000000000001</v>
      </c>
      <c r="L247" s="267">
        <f>5.963-K247</f>
        <v>3.117</v>
      </c>
      <c r="M247" s="267">
        <f>9.227-SUM(K247:L247)</f>
        <v>3.2640000000000002</v>
      </c>
      <c r="N247" s="280">
        <f>12.133-SUM(K247:M247)</f>
        <v>2.9059999999999988</v>
      </c>
      <c r="O247" s="268">
        <f>SUM(K247:N247)</f>
        <v>12.132999999999999</v>
      </c>
      <c r="P247" s="267">
        <v>3.2229999999999999</v>
      </c>
      <c r="Q247" s="267">
        <f>7.896-P247</f>
        <v>4.673</v>
      </c>
      <c r="R247" s="280">
        <f>19.681-SUM(P247:Q247)</f>
        <v>11.785</v>
      </c>
      <c r="S247" s="267">
        <f>31.407-SUM(P247:R247)</f>
        <v>11.725999999999999</v>
      </c>
      <c r="T247" s="268">
        <f>SUM(P247:S247)</f>
        <v>31.407</v>
      </c>
      <c r="U247" s="267">
        <v>3.2229999999999999</v>
      </c>
      <c r="V247" s="269">
        <f>V250*V28</f>
        <v>3.3686678478955203</v>
      </c>
      <c r="W247" s="269">
        <f>W250*W28</f>
        <v>3.5756712955080188</v>
      </c>
      <c r="X247" s="269">
        <f>X250*X28</f>
        <v>3.8754173687509517</v>
      </c>
      <c r="Y247" s="268">
        <f>SUM(U247:X247)</f>
        <v>14.04275651215449</v>
      </c>
      <c r="Z247" s="856">
        <f>Z250*Z28</f>
        <v>4.112463276701277</v>
      </c>
      <c r="AA247" s="856">
        <f>AA250*AA28</f>
        <v>4.3592110733033538</v>
      </c>
      <c r="AB247" s="856">
        <f>AB250*AB28</f>
        <v>4.5655827824622959</v>
      </c>
      <c r="AC247" s="856">
        <f>AC250*AC28</f>
        <v>4.7764183114019021</v>
      </c>
      <c r="AD247" s="268">
        <f>SUM(Z247:AC247)</f>
        <v>17.813675443868828</v>
      </c>
      <c r="AE247" s="268">
        <f>AE250*AE28</f>
        <v>19.060632724939651</v>
      </c>
      <c r="AF247" s="268">
        <f>AF250*AF28</f>
        <v>20.10896752481133</v>
      </c>
      <c r="AG247" s="268">
        <f>AG250*AG28</f>
        <v>21.421969851033914</v>
      </c>
      <c r="AH247" s="9"/>
      <c r="AI247" s="9"/>
      <c r="AJ247" s="9"/>
      <c r="AK247" s="9"/>
    </row>
    <row r="248" spans="1:37" ht="13.5" customHeight="1">
      <c r="A248" s="180"/>
      <c r="B248" s="9"/>
      <c r="C248" s="103" t="s">
        <v>385</v>
      </c>
      <c r="D248" s="9"/>
      <c r="E248" s="9"/>
      <c r="F248" s="266">
        <f t="shared" ref="F248:U248" si="102">F148</f>
        <v>163.18199999999999</v>
      </c>
      <c r="G248" s="266">
        <f t="shared" si="102"/>
        <v>164.81700000000001</v>
      </c>
      <c r="H248" s="266">
        <f t="shared" si="102"/>
        <v>166.875</v>
      </c>
      <c r="I248" s="266">
        <f t="shared" si="102"/>
        <v>171.62100000000001</v>
      </c>
      <c r="J248" s="197">
        <f t="shared" si="102"/>
        <v>171.62100000000001</v>
      </c>
      <c r="K248" s="266">
        <f t="shared" si="102"/>
        <v>176.727</v>
      </c>
      <c r="L248" s="266">
        <f t="shared" si="102"/>
        <v>179.26900000000001</v>
      </c>
      <c r="M248" s="266">
        <f t="shared" si="102"/>
        <v>181.983</v>
      </c>
      <c r="N248" s="349">
        <f t="shared" si="102"/>
        <v>208.45699999999999</v>
      </c>
      <c r="O248" s="197">
        <f t="shared" si="102"/>
        <v>208.45699999999999</v>
      </c>
      <c r="P248" s="266">
        <f t="shared" si="102"/>
        <v>210.154</v>
      </c>
      <c r="Q248" s="266">
        <f t="shared" si="102"/>
        <v>214.84300000000002</v>
      </c>
      <c r="R248" s="349">
        <f t="shared" si="102"/>
        <v>224.012</v>
      </c>
      <c r="S248" s="266">
        <f t="shared" si="102"/>
        <v>261.911</v>
      </c>
      <c r="T248" s="197">
        <f t="shared" si="102"/>
        <v>261.911</v>
      </c>
      <c r="U248" s="266">
        <f t="shared" si="102"/>
        <v>271.74699999999996</v>
      </c>
      <c r="V248" s="196">
        <f>SUM(V245:V247)</f>
        <v>275.11566784789545</v>
      </c>
      <c r="W248" s="196">
        <f>SUM(W245:W247)</f>
        <v>278.69133914340347</v>
      </c>
      <c r="X248" s="196">
        <f>SUM(X245:X247)</f>
        <v>282.56675651215443</v>
      </c>
      <c r="Y248" s="197">
        <f>X248</f>
        <v>282.56675651215443</v>
      </c>
      <c r="Z248" s="843">
        <f t="shared" ref="Z248:AG248" si="103">SUM(Z245:Z247)</f>
        <v>286.67921978885568</v>
      </c>
      <c r="AA248" s="843">
        <f t="shared" si="103"/>
        <v>291.03843086215903</v>
      </c>
      <c r="AB248" s="843">
        <f t="shared" si="103"/>
        <v>295.60401364462132</v>
      </c>
      <c r="AC248" s="843">
        <f t="shared" si="103"/>
        <v>300.38043195602324</v>
      </c>
      <c r="AD248" s="197">
        <f t="shared" si="103"/>
        <v>300.38043195602324</v>
      </c>
      <c r="AE248" s="197">
        <f t="shared" si="103"/>
        <v>319.44106468096288</v>
      </c>
      <c r="AF248" s="197">
        <f t="shared" si="103"/>
        <v>339.55003220577419</v>
      </c>
      <c r="AG248" s="197">
        <f t="shared" si="103"/>
        <v>360.97200205680809</v>
      </c>
      <c r="AH248" s="9"/>
      <c r="AI248" s="9"/>
      <c r="AJ248" s="9"/>
      <c r="AK248" s="9"/>
    </row>
    <row r="249" spans="1:37" ht="13.5" customHeight="1">
      <c r="A249" s="180"/>
      <c r="B249" s="9"/>
      <c r="C249" s="9"/>
      <c r="D249" s="9"/>
      <c r="E249" s="9"/>
      <c r="F249" s="228"/>
      <c r="G249" s="228"/>
      <c r="H249" s="228"/>
      <c r="I249" s="228"/>
      <c r="J249" s="9"/>
      <c r="K249" s="228"/>
      <c r="L249" s="228"/>
      <c r="M249" s="228"/>
      <c r="N249" s="347"/>
      <c r="O249" s="9"/>
      <c r="P249" s="228"/>
      <c r="Q249" s="228"/>
      <c r="R249" s="347"/>
      <c r="S249" s="228"/>
      <c r="T249" s="9"/>
      <c r="U249" s="228"/>
      <c r="V249" s="229"/>
      <c r="W249" s="229"/>
      <c r="X249" s="229"/>
      <c r="Y249" s="9"/>
      <c r="Z249" s="855"/>
      <c r="AA249" s="855"/>
      <c r="AB249" s="855"/>
      <c r="AC249" s="855"/>
      <c r="AD249" s="9"/>
      <c r="AE249" s="9"/>
      <c r="AF249" s="9"/>
      <c r="AG249" s="9"/>
      <c r="AH249" s="9"/>
      <c r="AI249" s="9"/>
      <c r="AJ249" s="9"/>
      <c r="AK249" s="9"/>
    </row>
    <row r="250" spans="1:37" ht="13.5" customHeight="1">
      <c r="A250" s="180"/>
      <c r="B250" s="9"/>
      <c r="C250" s="84" t="s">
        <v>386</v>
      </c>
      <c r="D250" s="216"/>
      <c r="E250" s="216"/>
      <c r="F250" s="350">
        <f t="shared" ref="F250:U250" si="104">F247/F28</f>
        <v>1.3947413086953632E-2</v>
      </c>
      <c r="G250" s="350">
        <f t="shared" si="104"/>
        <v>1.3626109973790925E-2</v>
      </c>
      <c r="H250" s="350">
        <f t="shared" si="104"/>
        <v>2.227048806207407E-2</v>
      </c>
      <c r="I250" s="350">
        <f t="shared" si="104"/>
        <v>2.7839841117849415E-2</v>
      </c>
      <c r="J250" s="351">
        <f t="shared" si="104"/>
        <v>1.8817860135072518E-2</v>
      </c>
      <c r="K250" s="350">
        <f t="shared" si="104"/>
        <v>2.2761262666250788E-2</v>
      </c>
      <c r="L250" s="350">
        <f t="shared" si="104"/>
        <v>2.4567294050884328E-2</v>
      </c>
      <c r="M250" s="350">
        <f t="shared" si="104"/>
        <v>2.6056967684250861E-2</v>
      </c>
      <c r="N250" s="352">
        <f t="shared" si="104"/>
        <v>1.6449211785016835E-2</v>
      </c>
      <c r="O250" s="351">
        <f t="shared" si="104"/>
        <v>2.190696985782949E-2</v>
      </c>
      <c r="P250" s="350">
        <f t="shared" si="104"/>
        <v>1.6382776481591615E-2</v>
      </c>
      <c r="Q250" s="350">
        <f t="shared" si="104"/>
        <v>3.1153541023606825E-2</v>
      </c>
      <c r="R250" s="352">
        <f t="shared" si="104"/>
        <v>7.0039997385014943E-2</v>
      </c>
      <c r="S250" s="350">
        <f t="shared" si="104"/>
        <v>5.9230299081187827E-2</v>
      </c>
      <c r="T250" s="351">
        <f t="shared" si="104"/>
        <v>4.4051312548740194E-2</v>
      </c>
      <c r="U250" s="350">
        <f t="shared" si="104"/>
        <v>1.8316871071505699E-2</v>
      </c>
      <c r="V250" s="864">
        <f>U250</f>
        <v>1.8316871071505699E-2</v>
      </c>
      <c r="W250" s="864">
        <f>V250</f>
        <v>1.8316871071505699E-2</v>
      </c>
      <c r="X250" s="864">
        <f>W250</f>
        <v>1.8316871071505699E-2</v>
      </c>
      <c r="Y250" s="351">
        <f>Y247/Y28</f>
        <v>1.8316871071505699E-2</v>
      </c>
      <c r="Z250" s="864">
        <f>X250</f>
        <v>1.8316871071505699E-2</v>
      </c>
      <c r="AA250" s="864">
        <f>Z250</f>
        <v>1.8316871071505699E-2</v>
      </c>
      <c r="AB250" s="864">
        <f>AA250</f>
        <v>1.8316871071505699E-2</v>
      </c>
      <c r="AC250" s="864">
        <f>AB250</f>
        <v>1.8316871071505699E-2</v>
      </c>
      <c r="AD250" s="351">
        <f>AD247/AD28</f>
        <v>1.8316871071505699E-2</v>
      </c>
      <c r="AE250" s="869">
        <f>AC250</f>
        <v>1.8316871071505699E-2</v>
      </c>
      <c r="AF250" s="869">
        <f>AE250</f>
        <v>1.8316871071505699E-2</v>
      </c>
      <c r="AG250" s="869">
        <f>AF250</f>
        <v>1.8316871071505699E-2</v>
      </c>
      <c r="AH250" s="9"/>
      <c r="AI250" s="9"/>
      <c r="AJ250" s="9"/>
      <c r="AK250" s="9"/>
    </row>
    <row r="251" spans="1:37" ht="13.5" customHeight="1">
      <c r="A251" s="180"/>
      <c r="B251" s="9"/>
      <c r="C251" s="9"/>
      <c r="D251" s="9"/>
      <c r="E251" s="9"/>
      <c r="F251" s="228"/>
      <c r="G251" s="228"/>
      <c r="H251" s="228"/>
      <c r="I251" s="228"/>
      <c r="J251" s="9"/>
      <c r="K251" s="228"/>
      <c r="L251" s="228"/>
      <c r="M251" s="228"/>
      <c r="N251" s="347"/>
      <c r="O251" s="9"/>
      <c r="P251" s="228"/>
      <c r="Q251" s="228"/>
      <c r="R251" s="347"/>
      <c r="S251" s="228"/>
      <c r="T251" s="9"/>
      <c r="U251" s="228"/>
      <c r="V251" s="229"/>
      <c r="W251" s="229"/>
      <c r="X251" s="229"/>
      <c r="Y251" s="9"/>
      <c r="Z251" s="855"/>
      <c r="AA251" s="855"/>
      <c r="AB251" s="855"/>
      <c r="AC251" s="855"/>
      <c r="AD251" s="9"/>
      <c r="AE251" s="9"/>
      <c r="AF251" s="9"/>
      <c r="AG251" s="9"/>
      <c r="AH251" s="9"/>
      <c r="AI251" s="9"/>
      <c r="AJ251" s="9"/>
      <c r="AK251" s="9"/>
    </row>
    <row r="252" spans="1:37" ht="13.5" customHeight="1">
      <c r="A252" s="180"/>
      <c r="B252" s="9"/>
      <c r="C252" s="9" t="s">
        <v>338</v>
      </c>
      <c r="D252" s="9"/>
      <c r="E252" s="9"/>
      <c r="F252" s="228"/>
      <c r="G252" s="228"/>
      <c r="H252" s="228"/>
      <c r="I252" s="228"/>
      <c r="J252" s="9"/>
      <c r="K252" s="228"/>
      <c r="L252" s="228"/>
      <c r="M252" s="228"/>
      <c r="N252" s="347"/>
      <c r="O252" s="9"/>
      <c r="P252" s="228"/>
      <c r="Q252" s="228"/>
      <c r="R252" s="347"/>
      <c r="S252" s="228"/>
      <c r="T252" s="9"/>
      <c r="U252" s="228"/>
      <c r="V252" s="229"/>
      <c r="W252" s="229"/>
      <c r="X252" s="229"/>
      <c r="Y252" s="9"/>
      <c r="Z252" s="855"/>
      <c r="AA252" s="855"/>
      <c r="AB252" s="855"/>
      <c r="AC252" s="855"/>
      <c r="AD252" s="9"/>
      <c r="AE252" s="9"/>
      <c r="AF252" s="9"/>
      <c r="AG252" s="9"/>
      <c r="AH252" s="9"/>
      <c r="AI252" s="9"/>
      <c r="AJ252" s="9"/>
      <c r="AK252" s="9"/>
    </row>
    <row r="253" spans="1:37" ht="13.5" customHeight="1">
      <c r="A253" s="180"/>
      <c r="B253" s="9"/>
      <c r="C253" s="103" t="s">
        <v>382</v>
      </c>
      <c r="D253" s="9"/>
      <c r="E253" s="9"/>
      <c r="F253" s="329">
        <f>E257</f>
        <v>0</v>
      </c>
      <c r="G253" s="266">
        <f>F257</f>
        <v>205.32499999999999</v>
      </c>
      <c r="H253" s="266">
        <f>G257</f>
        <v>225.95699999999999</v>
      </c>
      <c r="I253" s="266">
        <f>H257</f>
        <v>227.786</v>
      </c>
      <c r="J253" s="197">
        <f>F253</f>
        <v>0</v>
      </c>
      <c r="K253" s="266">
        <f>J257</f>
        <v>243.82300000000001</v>
      </c>
      <c r="L253" s="266">
        <f>K257</f>
        <v>258.041</v>
      </c>
      <c r="M253" s="266">
        <f>L257</f>
        <v>283.25099999999998</v>
      </c>
      <c r="N253" s="349">
        <f>M257</f>
        <v>285.964</v>
      </c>
      <c r="O253" s="197">
        <f>K253</f>
        <v>243.82300000000001</v>
      </c>
      <c r="P253" s="266">
        <f>O257</f>
        <v>316.69600000000003</v>
      </c>
      <c r="Q253" s="266">
        <f>P257</f>
        <v>356.209</v>
      </c>
      <c r="R253" s="349">
        <f>Q257</f>
        <v>391.73700000000002</v>
      </c>
      <c r="S253" s="266">
        <f>R257</f>
        <v>425.245</v>
      </c>
      <c r="T253" s="197">
        <f>P253</f>
        <v>316.69600000000003</v>
      </c>
      <c r="U253" s="266">
        <f>T257</f>
        <v>455.51100000000002</v>
      </c>
      <c r="V253" s="196">
        <f>U257</f>
        <v>486.91399999999999</v>
      </c>
      <c r="W253" s="196">
        <f ca="1">V257</f>
        <v>532.3262866602704</v>
      </c>
      <c r="X253" s="196">
        <f ca="1">W257</f>
        <v>582.09065205947445</v>
      </c>
      <c r="Y253" s="197">
        <f>T257</f>
        <v>455.51100000000002</v>
      </c>
      <c r="Z253" s="843">
        <f ca="1">Y257</f>
        <v>637.79878593667468</v>
      </c>
      <c r="AA253" s="843">
        <f ca="1">Z257</f>
        <v>698.74285108331571</v>
      </c>
      <c r="AB253" s="843">
        <f ca="1">AA257</f>
        <v>762.05251506768809</v>
      </c>
      <c r="AC253" s="843">
        <f ca="1">AB257</f>
        <v>826.79627681254851</v>
      </c>
      <c r="AD253" s="197">
        <f ca="1">Y257</f>
        <v>637.79878593667468</v>
      </c>
      <c r="AE253" s="197">
        <f ca="1">AD257</f>
        <v>895.39791559963965</v>
      </c>
      <c r="AF253" s="197">
        <f ca="1">AE257</f>
        <v>1154.3405916246586</v>
      </c>
      <c r="AG253" s="197">
        <f ca="1">AF257</f>
        <v>1417.284426634822</v>
      </c>
      <c r="AH253" s="9"/>
      <c r="AI253" s="9"/>
      <c r="AJ253" s="9"/>
      <c r="AK253" s="9"/>
    </row>
    <row r="254" spans="1:37" ht="13.5" customHeight="1">
      <c r="A254" s="180"/>
      <c r="B254" s="9"/>
      <c r="C254" s="103" t="s">
        <v>292</v>
      </c>
      <c r="D254" s="9"/>
      <c r="E254" s="9"/>
      <c r="F254" s="297">
        <f>F45</f>
        <v>56.103000000000009</v>
      </c>
      <c r="G254" s="297">
        <f>G45</f>
        <v>57.695000000000007</v>
      </c>
      <c r="H254" s="297">
        <f>H45</f>
        <v>21.892999999999983</v>
      </c>
      <c r="I254" s="297">
        <f>I45</f>
        <v>51.365000000000002</v>
      </c>
      <c r="J254" s="126">
        <f>SUM(F254:I254)</f>
        <v>187.05600000000001</v>
      </c>
      <c r="K254" s="297">
        <f>K45</f>
        <v>51.344000000000001</v>
      </c>
      <c r="L254" s="297">
        <f>L45</f>
        <v>64.503000000000014</v>
      </c>
      <c r="M254" s="297">
        <f>M45</f>
        <v>34.532000000000011</v>
      </c>
      <c r="N254" s="343">
        <f>N45</f>
        <v>76.824999999999989</v>
      </c>
      <c r="O254" s="126">
        <f>SUM(K254:N254)</f>
        <v>227.20400000000001</v>
      </c>
      <c r="P254" s="297">
        <f>P45</f>
        <v>87.086999999999989</v>
      </c>
      <c r="Q254" s="297">
        <f>Q45</f>
        <v>75.921999999999997</v>
      </c>
      <c r="R254" s="343">
        <f>R45</f>
        <v>77.454999999999998</v>
      </c>
      <c r="S254" s="297">
        <f>S45</f>
        <v>73.30400000000003</v>
      </c>
      <c r="T254" s="126">
        <f>SUM(P254:S254)</f>
        <v>313.76800000000003</v>
      </c>
      <c r="U254" s="297">
        <f>U45</f>
        <v>77.069999999999993</v>
      </c>
      <c r="V254" s="272">
        <f ca="1">V45</f>
        <v>67.837286660270308</v>
      </c>
      <c r="W254" s="272">
        <f ca="1">W45</f>
        <v>72.07436539920397</v>
      </c>
      <c r="X254" s="272">
        <f ca="1">X45</f>
        <v>78.129683877200506</v>
      </c>
      <c r="Y254" s="126">
        <f ca="1">SUM(U254:X254)</f>
        <v>295.11133593667478</v>
      </c>
      <c r="Z254" s="866">
        <f ca="1">Z45</f>
        <v>84.212015146641136</v>
      </c>
      <c r="AA254" s="866">
        <f ca="1">AA45</f>
        <v>89.098413984372471</v>
      </c>
      <c r="AB254" s="866">
        <f ca="1">AB45</f>
        <v>90.400261744860444</v>
      </c>
      <c r="AC254" s="866">
        <f ca="1">AC45</f>
        <v>94.386421287090769</v>
      </c>
      <c r="AD254" s="126">
        <f ca="1">SUM(Z254:AC254)</f>
        <v>358.09711216296489</v>
      </c>
      <c r="AE254" s="126">
        <f ca="1">AE45</f>
        <v>374.51535590001902</v>
      </c>
      <c r="AF254" s="126">
        <f ca="1">AF45</f>
        <v>395.85241686641348</v>
      </c>
      <c r="AG254" s="126">
        <f ca="1">AG45</f>
        <v>422.14236064446368</v>
      </c>
      <c r="AH254" s="9"/>
      <c r="AI254" s="9"/>
      <c r="AJ254" s="9"/>
      <c r="AK254" s="9"/>
    </row>
    <row r="255" spans="1:37" ht="13.5" customHeight="1">
      <c r="A255" s="180"/>
      <c r="B255" s="9"/>
      <c r="C255" s="103" t="s">
        <v>387</v>
      </c>
      <c r="D255" s="9"/>
      <c r="E255" s="9"/>
      <c r="F255" s="344">
        <v>-12.9</v>
      </c>
      <c r="G255" s="271">
        <f>-27.747-F255</f>
        <v>-14.847</v>
      </c>
      <c r="H255" s="271">
        <f>-42.55-SUM(F255:G255)</f>
        <v>-14.802999999999997</v>
      </c>
      <c r="I255" s="271">
        <f>-72.4-SUM(F255:H255)</f>
        <v>-29.850000000000009</v>
      </c>
      <c r="J255" s="126">
        <f>SUM(F255:I255)</f>
        <v>-72.400000000000006</v>
      </c>
      <c r="K255" s="271">
        <v>-15.048999999999999</v>
      </c>
      <c r="L255" s="271">
        <f>-31.8-K255</f>
        <v>-16.751000000000001</v>
      </c>
      <c r="M255" s="271">
        <f>-48.6-SUM(K255:L255)</f>
        <v>-16.8</v>
      </c>
      <c r="N255" s="344">
        <f>-65.4-SUM(K255:M255)</f>
        <v>-16.800000000000004</v>
      </c>
      <c r="O255" s="126">
        <f>SUM(K255:N255)</f>
        <v>-65.400000000000006</v>
      </c>
      <c r="P255" s="271">
        <f>-17.6</f>
        <v>-17.600000000000001</v>
      </c>
      <c r="Q255" s="271">
        <f>-37.1-P255</f>
        <v>-19.5</v>
      </c>
      <c r="R255" s="344">
        <f>-56.5-SUM(P255:Q255)</f>
        <v>-19.399999999999999</v>
      </c>
      <c r="S255" s="271">
        <f>-75.997-SUM(P255:R255)</f>
        <v>-19.497</v>
      </c>
      <c r="T255" s="126">
        <f>SUM(P255:S255)</f>
        <v>-75.997</v>
      </c>
      <c r="U255" s="271">
        <v>-20.233000000000001</v>
      </c>
      <c r="V255" s="272">
        <f>-V268</f>
        <v>-22.424999999999997</v>
      </c>
      <c r="W255" s="272">
        <f>-W268</f>
        <v>-22.309999999999995</v>
      </c>
      <c r="X255" s="272">
        <f>-X268</f>
        <v>-22.42155</v>
      </c>
      <c r="Y255" s="126">
        <f>SUM(U255:X255)</f>
        <v>-87.389549999999986</v>
      </c>
      <c r="Z255" s="866">
        <f>-Z268</f>
        <v>-23.267949999999999</v>
      </c>
      <c r="AA255" s="866">
        <f>-AA268</f>
        <v>-25.788749999999993</v>
      </c>
      <c r="AB255" s="866">
        <f>-AB268</f>
        <v>-25.656499999999994</v>
      </c>
      <c r="AC255" s="866">
        <f>-AC268</f>
        <v>-25.784782499999999</v>
      </c>
      <c r="AD255" s="126">
        <f>SUM(Z255:AC255)</f>
        <v>-100.49798249999998</v>
      </c>
      <c r="AE255" s="126">
        <f>-AE268</f>
        <v>-115.57267987499996</v>
      </c>
      <c r="AF255" s="126">
        <f>-AF268</f>
        <v>-132.90858185624995</v>
      </c>
      <c r="AG255" s="126">
        <f>-AG268</f>
        <v>-152.84486913468743</v>
      </c>
      <c r="AH255" s="9"/>
      <c r="AI255" s="9"/>
      <c r="AJ255" s="9"/>
      <c r="AK255" s="9"/>
    </row>
    <row r="256" spans="1:37" ht="13.5" customHeight="1">
      <c r="A256" s="180"/>
      <c r="B256" s="9"/>
      <c r="C256" s="103" t="s">
        <v>388</v>
      </c>
      <c r="D256" s="9"/>
      <c r="E256" s="9"/>
      <c r="F256" s="285">
        <f>F257-SUM(F253:F255)</f>
        <v>162.12199999999999</v>
      </c>
      <c r="G256" s="285">
        <f>G257-SUM(G253:G255)</f>
        <v>-22.21599999999998</v>
      </c>
      <c r="H256" s="285">
        <f>H257-SUM(H253:H255)</f>
        <v>-5.2609999999999673</v>
      </c>
      <c r="I256" s="285">
        <f>I257-SUM(I253:I255)</f>
        <v>-5.4779999999999802</v>
      </c>
      <c r="J256" s="268">
        <f>SUM(F256:I256)</f>
        <v>129.16700000000006</v>
      </c>
      <c r="K256" s="285">
        <f>K257-SUM(K253:K255)</f>
        <v>-22.077000000000055</v>
      </c>
      <c r="L256" s="285">
        <f>L257-SUM(L253:L255)</f>
        <v>-22.54200000000003</v>
      </c>
      <c r="M256" s="285">
        <f>M257-SUM(M253:M255)</f>
        <v>-15.019000000000005</v>
      </c>
      <c r="N256" s="353">
        <f>N257-SUM(N253:N255)</f>
        <v>-29.29299999999995</v>
      </c>
      <c r="O256" s="268">
        <f>SUM(K256:N256)</f>
        <v>-88.93100000000004</v>
      </c>
      <c r="P256" s="285">
        <f>P257-SUM(P253:P255)</f>
        <v>-29.97399999999999</v>
      </c>
      <c r="Q256" s="285">
        <f>Q257-SUM(Q253:Q255)</f>
        <v>-20.893999999999949</v>
      </c>
      <c r="R256" s="353">
        <f>R257-SUM(R253:R255)</f>
        <v>-24.547000000000025</v>
      </c>
      <c r="S256" s="285">
        <f>S257-SUM(S253:S255)</f>
        <v>-23.540999999999997</v>
      </c>
      <c r="T256" s="268">
        <f>SUM(P256:S256)</f>
        <v>-98.95599999999996</v>
      </c>
      <c r="U256" s="285">
        <f>U257-SUM(U253:U255)</f>
        <v>-25.434000000000083</v>
      </c>
      <c r="V256" s="865">
        <v>0</v>
      </c>
      <c r="W256" s="865">
        <v>0</v>
      </c>
      <c r="X256" s="865">
        <v>0</v>
      </c>
      <c r="Y256" s="268">
        <f>SUM(U256:X256)</f>
        <v>-25.434000000000083</v>
      </c>
      <c r="Z256" s="865">
        <v>0</v>
      </c>
      <c r="AA256" s="865">
        <v>0</v>
      </c>
      <c r="AB256" s="865">
        <v>0</v>
      </c>
      <c r="AC256" s="865">
        <v>0</v>
      </c>
      <c r="AD256" s="268">
        <f>SUM(Z256:AC256)</f>
        <v>0</v>
      </c>
      <c r="AE256" s="282">
        <v>0</v>
      </c>
      <c r="AF256" s="282">
        <v>0</v>
      </c>
      <c r="AG256" s="282">
        <v>0</v>
      </c>
      <c r="AH256" s="9"/>
      <c r="AI256" s="9"/>
      <c r="AJ256" s="9"/>
      <c r="AK256" s="9"/>
    </row>
    <row r="257" spans="1:37" ht="13.5" customHeight="1">
      <c r="A257" s="180"/>
      <c r="B257" s="9"/>
      <c r="C257" s="103" t="s">
        <v>385</v>
      </c>
      <c r="D257" s="9"/>
      <c r="E257" s="9"/>
      <c r="F257" s="266">
        <f t="shared" ref="F257:U257" si="105">F149</f>
        <v>205.32499999999999</v>
      </c>
      <c r="G257" s="266">
        <f t="shared" si="105"/>
        <v>225.95699999999999</v>
      </c>
      <c r="H257" s="266">
        <f t="shared" si="105"/>
        <v>227.786</v>
      </c>
      <c r="I257" s="266">
        <f t="shared" si="105"/>
        <v>243.82300000000001</v>
      </c>
      <c r="J257" s="197">
        <f t="shared" si="105"/>
        <v>243.82300000000001</v>
      </c>
      <c r="K257" s="266">
        <f t="shared" si="105"/>
        <v>258.041</v>
      </c>
      <c r="L257" s="266">
        <f t="shared" si="105"/>
        <v>283.25099999999998</v>
      </c>
      <c r="M257" s="266">
        <f t="shared" si="105"/>
        <v>285.964</v>
      </c>
      <c r="N257" s="349">
        <f t="shared" si="105"/>
        <v>316.69600000000003</v>
      </c>
      <c r="O257" s="197">
        <f t="shared" si="105"/>
        <v>316.69600000000003</v>
      </c>
      <c r="P257" s="266">
        <f t="shared" si="105"/>
        <v>356.209</v>
      </c>
      <c r="Q257" s="266">
        <f t="shared" si="105"/>
        <v>391.73700000000002</v>
      </c>
      <c r="R257" s="349">
        <f t="shared" si="105"/>
        <v>425.245</v>
      </c>
      <c r="S257" s="266">
        <f t="shared" si="105"/>
        <v>455.51100000000002</v>
      </c>
      <c r="T257" s="197">
        <f t="shared" si="105"/>
        <v>455.51100000000002</v>
      </c>
      <c r="U257" s="266">
        <f t="shared" si="105"/>
        <v>486.91399999999999</v>
      </c>
      <c r="V257" s="196">
        <f ca="1">SUM(V253:V256)</f>
        <v>532.3262866602704</v>
      </c>
      <c r="W257" s="196">
        <f ca="1">SUM(W253:W256)</f>
        <v>582.09065205947445</v>
      </c>
      <c r="X257" s="196">
        <f t="shared" ref="X257:AG257" ca="1" si="106">SUM(X253:X256)</f>
        <v>637.7987859366749</v>
      </c>
      <c r="Y257" s="197">
        <f t="shared" ca="1" si="106"/>
        <v>637.79878593667468</v>
      </c>
      <c r="Z257" s="843">
        <f t="shared" ca="1" si="106"/>
        <v>698.74285108331571</v>
      </c>
      <c r="AA257" s="843">
        <f t="shared" ca="1" si="106"/>
        <v>762.05251506768809</v>
      </c>
      <c r="AB257" s="843">
        <f t="shared" ca="1" si="106"/>
        <v>826.79627681254851</v>
      </c>
      <c r="AC257" s="843">
        <f t="shared" ca="1" si="106"/>
        <v>895.3979155996393</v>
      </c>
      <c r="AD257" s="197">
        <f t="shared" ca="1" si="106"/>
        <v>895.39791559963965</v>
      </c>
      <c r="AE257" s="197">
        <f t="shared" ca="1" si="106"/>
        <v>1154.3405916246586</v>
      </c>
      <c r="AF257" s="197">
        <f t="shared" ca="1" si="106"/>
        <v>1417.284426634822</v>
      </c>
      <c r="AG257" s="197">
        <f t="shared" ca="1" si="106"/>
        <v>1686.5819181445981</v>
      </c>
      <c r="AH257" s="9"/>
      <c r="AI257" s="9"/>
      <c r="AJ257" s="9"/>
      <c r="AK257" s="9"/>
    </row>
    <row r="258" spans="1:37" ht="13.5" customHeight="1">
      <c r="A258" s="180"/>
      <c r="B258" s="9"/>
      <c r="C258" s="9"/>
      <c r="D258" s="9"/>
      <c r="E258" s="9"/>
      <c r="F258" s="228"/>
      <c r="G258" s="228"/>
      <c r="H258" s="228"/>
      <c r="I258" s="228"/>
      <c r="J258" s="9"/>
      <c r="K258" s="228"/>
      <c r="L258" s="228"/>
      <c r="M258" s="228"/>
      <c r="N258" s="347"/>
      <c r="O258" s="9"/>
      <c r="P258" s="228"/>
      <c r="Q258" s="228"/>
      <c r="R258" s="347"/>
      <c r="S258" s="228"/>
      <c r="T258" s="9"/>
      <c r="U258" s="228"/>
      <c r="V258" s="229"/>
      <c r="W258" s="229"/>
      <c r="X258" s="229"/>
      <c r="Y258" s="9"/>
      <c r="Z258" s="855"/>
      <c r="AA258" s="855"/>
      <c r="AB258" s="855"/>
      <c r="AC258" s="855"/>
      <c r="AD258" s="9"/>
      <c r="AE258" s="9"/>
      <c r="AF258" s="9"/>
      <c r="AG258" s="9"/>
      <c r="AH258" s="9"/>
      <c r="AI258" s="9"/>
      <c r="AJ258" s="9"/>
      <c r="AK258" s="9"/>
    </row>
    <row r="259" spans="1:37" ht="13.5" customHeight="1">
      <c r="A259" s="180"/>
      <c r="B259" s="9"/>
      <c r="C259" s="9" t="s">
        <v>389</v>
      </c>
      <c r="D259" s="9"/>
      <c r="E259" s="9"/>
      <c r="F259" s="228"/>
      <c r="G259" s="228"/>
      <c r="H259" s="228"/>
      <c r="I259" s="228"/>
      <c r="J259" s="9"/>
      <c r="K259" s="228"/>
      <c r="L259" s="228"/>
      <c r="M259" s="228"/>
      <c r="N259" s="347"/>
      <c r="O259" s="9"/>
      <c r="P259" s="228"/>
      <c r="Q259" s="228"/>
      <c r="R259" s="228"/>
      <c r="S259" s="228"/>
      <c r="T259" s="9"/>
      <c r="U259" s="228"/>
      <c r="V259" s="229"/>
      <c r="W259" s="229"/>
      <c r="X259" s="229"/>
      <c r="Y259" s="9"/>
      <c r="Z259" s="855"/>
      <c r="AA259" s="855"/>
      <c r="AB259" s="855"/>
      <c r="AC259" s="855"/>
      <c r="AD259" s="9"/>
      <c r="AE259" s="9"/>
      <c r="AF259" s="9"/>
      <c r="AG259" s="9"/>
      <c r="AH259" s="9"/>
      <c r="AI259" s="9"/>
      <c r="AJ259" s="9"/>
      <c r="AK259" s="9"/>
    </row>
    <row r="260" spans="1:37" ht="13.5" customHeight="1">
      <c r="A260" s="180"/>
      <c r="B260" s="9"/>
      <c r="C260" s="103" t="s">
        <v>382</v>
      </c>
      <c r="D260" s="9"/>
      <c r="E260" s="9"/>
      <c r="F260" s="329">
        <f>E262</f>
        <v>0</v>
      </c>
      <c r="G260" s="266">
        <f>F262</f>
        <v>0</v>
      </c>
      <c r="H260" s="266">
        <f>G262</f>
        <v>0</v>
      </c>
      <c r="I260" s="266">
        <f>H262</f>
        <v>0</v>
      </c>
      <c r="J260" s="197">
        <f>F260</f>
        <v>0</v>
      </c>
      <c r="K260" s="266">
        <f>J262</f>
        <v>0</v>
      </c>
      <c r="L260" s="266">
        <f>K262</f>
        <v>0</v>
      </c>
      <c r="M260" s="266">
        <f>L262</f>
        <v>0</v>
      </c>
      <c r="N260" s="349">
        <f>M262</f>
        <v>0</v>
      </c>
      <c r="O260" s="197">
        <f>K260</f>
        <v>0</v>
      </c>
      <c r="P260" s="266">
        <f>O262</f>
        <v>0</v>
      </c>
      <c r="Q260" s="266">
        <f>P262</f>
        <v>0</v>
      </c>
      <c r="R260" s="266">
        <f>Q262</f>
        <v>0</v>
      </c>
      <c r="S260" s="266">
        <f>R262</f>
        <v>0</v>
      </c>
      <c r="T260" s="197">
        <f>P260</f>
        <v>0</v>
      </c>
      <c r="U260" s="266">
        <f>T262</f>
        <v>-0.14099999999999999</v>
      </c>
      <c r="V260" s="196">
        <f>U262</f>
        <v>0.14000000000000001</v>
      </c>
      <c r="W260" s="196">
        <f>V262</f>
        <v>0.14000000000000001</v>
      </c>
      <c r="X260" s="196">
        <f>W262</f>
        <v>0.14000000000000001</v>
      </c>
      <c r="Y260" s="197">
        <f>T262</f>
        <v>-0.14099999999999999</v>
      </c>
      <c r="Z260" s="843">
        <f>Y262</f>
        <v>0.14000000000000004</v>
      </c>
      <c r="AA260" s="843">
        <f>Z262</f>
        <v>0.14000000000000004</v>
      </c>
      <c r="AB260" s="843">
        <f>AA262</f>
        <v>0.14000000000000004</v>
      </c>
      <c r="AC260" s="843">
        <f>AB262</f>
        <v>0.14000000000000004</v>
      </c>
      <c r="AD260" s="197">
        <f>Y262</f>
        <v>0.14000000000000004</v>
      </c>
      <c r="AE260" s="197">
        <f>AD262</f>
        <v>0.14000000000000004</v>
      </c>
      <c r="AF260" s="197">
        <f>AE262</f>
        <v>0.14000000000000004</v>
      </c>
      <c r="AG260" s="197">
        <f>AF262</f>
        <v>0.14000000000000004</v>
      </c>
      <c r="AH260" s="9"/>
      <c r="AI260" s="9"/>
      <c r="AJ260" s="9"/>
      <c r="AK260" s="9"/>
    </row>
    <row r="261" spans="1:37" ht="13.5" customHeight="1">
      <c r="A261" s="180"/>
      <c r="B261" s="9"/>
      <c r="C261" s="103" t="s">
        <v>390</v>
      </c>
      <c r="D261" s="9"/>
      <c r="E261" s="9"/>
      <c r="F261" s="285">
        <f>F262-F260</f>
        <v>0</v>
      </c>
      <c r="G261" s="285">
        <f>G262-G260</f>
        <v>0</v>
      </c>
      <c r="H261" s="285">
        <f>H262-H260</f>
        <v>0</v>
      </c>
      <c r="I261" s="285">
        <f>I262-I260</f>
        <v>0</v>
      </c>
      <c r="J261" s="268">
        <f>SUM(F261:I261)</f>
        <v>0</v>
      </c>
      <c r="K261" s="285">
        <f>K262-K260</f>
        <v>0</v>
      </c>
      <c r="L261" s="285">
        <f>L262-L260</f>
        <v>0</v>
      </c>
      <c r="M261" s="285">
        <f>M262-M260</f>
        <v>0</v>
      </c>
      <c r="N261" s="353">
        <f>N262-N260</f>
        <v>0</v>
      </c>
      <c r="O261" s="268">
        <f>SUM(K261:N261)</f>
        <v>0</v>
      </c>
      <c r="P261" s="285">
        <f>P262-P260</f>
        <v>0</v>
      </c>
      <c r="Q261" s="285">
        <f>Q262-Q260</f>
        <v>0</v>
      </c>
      <c r="R261" s="285">
        <f>R262-R260</f>
        <v>0</v>
      </c>
      <c r="S261" s="285">
        <f>S262-S260</f>
        <v>-0.14099999999999999</v>
      </c>
      <c r="T261" s="268">
        <f>SUM(P261:S261)</f>
        <v>-0.14099999999999999</v>
      </c>
      <c r="U261" s="285">
        <f>U262-U260</f>
        <v>0.28100000000000003</v>
      </c>
      <c r="V261" s="298">
        <f>Drivers!V119</f>
        <v>0</v>
      </c>
      <c r="W261" s="298">
        <f>Drivers!W119</f>
        <v>0</v>
      </c>
      <c r="X261" s="298">
        <f>Drivers!X119</f>
        <v>0</v>
      </c>
      <c r="Y261" s="268">
        <f>SUM(U261:X261)</f>
        <v>0.28100000000000003</v>
      </c>
      <c r="Z261" s="868">
        <f>Drivers!Z119</f>
        <v>0</v>
      </c>
      <c r="AA261" s="868">
        <f>Drivers!AA119</f>
        <v>0</v>
      </c>
      <c r="AB261" s="868">
        <f>Drivers!AB119</f>
        <v>0</v>
      </c>
      <c r="AC261" s="868">
        <f>Drivers!AC119</f>
        <v>0</v>
      </c>
      <c r="AD261" s="268">
        <f>SUM(Z261:AC261)</f>
        <v>0</v>
      </c>
      <c r="AE261" s="304">
        <f>Drivers!AE119</f>
        <v>0</v>
      </c>
      <c r="AF261" s="304">
        <f>Drivers!AF119</f>
        <v>0</v>
      </c>
      <c r="AG261" s="304">
        <f>Drivers!AG119</f>
        <v>0</v>
      </c>
      <c r="AH261" s="9"/>
      <c r="AI261" s="9"/>
      <c r="AJ261" s="9"/>
      <c r="AK261" s="9"/>
    </row>
    <row r="262" spans="1:37" ht="13.5" customHeight="1">
      <c r="A262" s="180"/>
      <c r="B262" s="9"/>
      <c r="C262" s="103" t="s">
        <v>385</v>
      </c>
      <c r="D262" s="9"/>
      <c r="E262" s="9"/>
      <c r="F262" s="266">
        <f>F151</f>
        <v>0</v>
      </c>
      <c r="G262" s="266">
        <f>G151</f>
        <v>0</v>
      </c>
      <c r="H262" s="266">
        <f>H151</f>
        <v>0</v>
      </c>
      <c r="I262" s="266">
        <f>I151</f>
        <v>0</v>
      </c>
      <c r="J262" s="197">
        <f>SUM(J260:J261)</f>
        <v>0</v>
      </c>
      <c r="K262" s="266">
        <f>K151</f>
        <v>0</v>
      </c>
      <c r="L262" s="266">
        <f>L151</f>
        <v>0</v>
      </c>
      <c r="M262" s="266">
        <f>M151</f>
        <v>0</v>
      </c>
      <c r="N262" s="266">
        <f>N151</f>
        <v>0</v>
      </c>
      <c r="O262" s="197">
        <f>SUM(O260:O261)</f>
        <v>0</v>
      </c>
      <c r="P262" s="266">
        <f>P151</f>
        <v>0</v>
      </c>
      <c r="Q262" s="266">
        <f>Q151</f>
        <v>0</v>
      </c>
      <c r="R262" s="266">
        <f>R151</f>
        <v>0</v>
      </c>
      <c r="S262" s="266">
        <f>S151</f>
        <v>-0.14099999999999999</v>
      </c>
      <c r="T262" s="197">
        <f>SUM(T260:T261)</f>
        <v>-0.14099999999999999</v>
      </c>
      <c r="U262" s="266">
        <f>U151</f>
        <v>0.14000000000000001</v>
      </c>
      <c r="V262" s="196">
        <f>SUM(V260:V261)</f>
        <v>0.14000000000000001</v>
      </c>
      <c r="W262" s="196">
        <f>SUM(W260:W261)</f>
        <v>0.14000000000000001</v>
      </c>
      <c r="X262" s="196">
        <f t="shared" ref="X262:AG262" si="107">SUM(X260:X261)</f>
        <v>0.14000000000000001</v>
      </c>
      <c r="Y262" s="197">
        <f t="shared" si="107"/>
        <v>0.14000000000000004</v>
      </c>
      <c r="Z262" s="843">
        <f t="shared" si="107"/>
        <v>0.14000000000000004</v>
      </c>
      <c r="AA262" s="843">
        <f t="shared" si="107"/>
        <v>0.14000000000000004</v>
      </c>
      <c r="AB262" s="843">
        <f t="shared" si="107"/>
        <v>0.14000000000000004</v>
      </c>
      <c r="AC262" s="843">
        <f t="shared" si="107"/>
        <v>0.14000000000000004</v>
      </c>
      <c r="AD262" s="197">
        <f t="shared" si="107"/>
        <v>0.14000000000000004</v>
      </c>
      <c r="AE262" s="197">
        <f t="shared" si="107"/>
        <v>0.14000000000000004</v>
      </c>
      <c r="AF262" s="197">
        <f t="shared" si="107"/>
        <v>0.14000000000000004</v>
      </c>
      <c r="AG262" s="197">
        <f t="shared" si="107"/>
        <v>0.14000000000000004</v>
      </c>
      <c r="AH262" s="9"/>
      <c r="AI262" s="9"/>
      <c r="AJ262" s="9"/>
      <c r="AK262" s="9"/>
    </row>
    <row r="263" spans="1:37" ht="13.5" customHeight="1">
      <c r="A263" s="180"/>
      <c r="B263" s="9"/>
      <c r="C263" s="9"/>
      <c r="D263" s="9"/>
      <c r="E263" s="9"/>
      <c r="F263" s="228"/>
      <c r="G263" s="228"/>
      <c r="H263" s="228"/>
      <c r="I263" s="228"/>
      <c r="J263" s="9"/>
      <c r="K263" s="228"/>
      <c r="L263" s="228"/>
      <c r="M263" s="228"/>
      <c r="N263" s="228"/>
      <c r="O263" s="9"/>
      <c r="P263" s="228"/>
      <c r="Q263" s="228"/>
      <c r="R263" s="228"/>
      <c r="S263" s="228"/>
      <c r="T263" s="9"/>
      <c r="U263" s="228"/>
      <c r="V263" s="229"/>
      <c r="W263" s="229"/>
      <c r="X263" s="229"/>
      <c r="Y263" s="9"/>
      <c r="Z263" s="855"/>
      <c r="AA263" s="855"/>
      <c r="AB263" s="855"/>
      <c r="AC263" s="855"/>
      <c r="AD263" s="9"/>
      <c r="AE263" s="9"/>
      <c r="AF263" s="9"/>
      <c r="AG263" s="9"/>
      <c r="AH263" s="9"/>
      <c r="AI263" s="9"/>
      <c r="AJ263" s="9"/>
      <c r="AK263" s="9"/>
    </row>
    <row r="264" spans="1:37" ht="13.5" customHeight="1">
      <c r="A264" s="180"/>
      <c r="B264" s="9"/>
      <c r="C264" s="9" t="s">
        <v>391</v>
      </c>
      <c r="D264" s="9"/>
      <c r="E264" s="9"/>
      <c r="F264" s="228"/>
      <c r="G264" s="228"/>
      <c r="H264" s="228"/>
      <c r="I264" s="228"/>
      <c r="J264" s="9"/>
      <c r="K264" s="228"/>
      <c r="L264" s="228"/>
      <c r="M264" s="228"/>
      <c r="N264" s="228"/>
      <c r="O264" s="9"/>
      <c r="P264" s="228"/>
      <c r="Q264" s="228"/>
      <c r="R264" s="228"/>
      <c r="S264" s="228"/>
      <c r="T264" s="9"/>
      <c r="U264" s="228"/>
      <c r="V264" s="229"/>
      <c r="W264" s="229"/>
      <c r="X264" s="229"/>
      <c r="Y264" s="9"/>
      <c r="Z264" s="229"/>
      <c r="AA264" s="229"/>
      <c r="AB264" s="229"/>
      <c r="AC264" s="229"/>
      <c r="AD264" s="9"/>
      <c r="AE264" s="9"/>
      <c r="AF264" s="9"/>
      <c r="AG264" s="9"/>
      <c r="AH264" s="9"/>
      <c r="AI264" s="9"/>
      <c r="AJ264" s="9"/>
      <c r="AK264" s="9"/>
    </row>
    <row r="265" spans="1:37" ht="13.5" customHeight="1">
      <c r="A265" s="180"/>
      <c r="B265" s="9"/>
      <c r="C265" s="103" t="s">
        <v>392</v>
      </c>
      <c r="D265" s="9"/>
      <c r="E265" s="9"/>
      <c r="F265" s="283">
        <f t="shared" ref="F265:AG265" si="108">F268/F267</f>
        <v>0.34865807183977943</v>
      </c>
      <c r="G265" s="283">
        <f>G268/G267</f>
        <v>0.34864864864864864</v>
      </c>
      <c r="H265" s="283">
        <f t="shared" si="108"/>
        <v>0.40099932478055367</v>
      </c>
      <c r="I265" s="283">
        <f t="shared" si="108"/>
        <v>0.8054723548935484</v>
      </c>
      <c r="J265" s="91">
        <f t="shared" si="108"/>
        <v>1.9022909414717077</v>
      </c>
      <c r="K265" s="283">
        <f t="shared" si="108"/>
        <v>0.39910361471344841</v>
      </c>
      <c r="L265" s="283">
        <f t="shared" si="108"/>
        <v>0.44411156477013625</v>
      </c>
      <c r="M265" s="283">
        <f t="shared" si="108"/>
        <v>0.44519821920712321</v>
      </c>
      <c r="N265" s="283">
        <f t="shared" si="108"/>
        <v>0.44376353742934138</v>
      </c>
      <c r="O265" s="91">
        <f t="shared" si="108"/>
        <v>1.7275080564213643</v>
      </c>
      <c r="P265" s="283">
        <f t="shared" si="108"/>
        <v>0.44343663391282445</v>
      </c>
      <c r="Q265" s="283">
        <f t="shared" si="108"/>
        <v>0.49118387909319894</v>
      </c>
      <c r="R265" s="283">
        <f t="shared" si="108"/>
        <v>0.48866498740554148</v>
      </c>
      <c r="S265" s="283">
        <f t="shared" si="108"/>
        <v>0.48864661654135338</v>
      </c>
      <c r="T265" s="91">
        <f t="shared" si="108"/>
        <v>1.9046867167919801</v>
      </c>
      <c r="U265" s="283">
        <f t="shared" si="108"/>
        <v>0.48907420836354853</v>
      </c>
      <c r="V265" s="354">
        <f>V268/V267</f>
        <v>0.54205946337926025</v>
      </c>
      <c r="W265" s="354">
        <f>W268/W267</f>
        <v>0.5392796712593666</v>
      </c>
      <c r="X265" s="354">
        <f t="shared" si="108"/>
        <v>0.54392165818152927</v>
      </c>
      <c r="Y265" s="355">
        <f t="shared" si="108"/>
        <v>2.1142800889239641</v>
      </c>
      <c r="Z265" s="354">
        <f t="shared" si="108"/>
        <v>0.56648795443964628</v>
      </c>
      <c r="AA265" s="354">
        <f t="shared" si="108"/>
        <v>0.62786004934063488</v>
      </c>
      <c r="AB265" s="354">
        <f t="shared" si="108"/>
        <v>0.62464025421581115</v>
      </c>
      <c r="AC265" s="354">
        <f t="shared" si="108"/>
        <v>0.63003330066954466</v>
      </c>
      <c r="AD265" s="355">
        <f t="shared" si="108"/>
        <v>2.4489574517624115</v>
      </c>
      <c r="AE265" s="355">
        <f t="shared" si="108"/>
        <v>2.8445085310785427</v>
      </c>
      <c r="AF265" s="355">
        <f t="shared" si="108"/>
        <v>3.2951876366968706</v>
      </c>
      <c r="AG265" s="355">
        <f t="shared" si="108"/>
        <v>3.8174771126610705</v>
      </c>
      <c r="AH265" s="9"/>
      <c r="AI265" s="9"/>
      <c r="AJ265" s="9"/>
      <c r="AK265" s="9"/>
    </row>
    <row r="266" spans="1:37" ht="13.5" customHeight="1">
      <c r="A266" s="180"/>
      <c r="B266" s="9"/>
      <c r="C266" s="103" t="s">
        <v>45</v>
      </c>
      <c r="D266" s="9"/>
      <c r="E266" s="9"/>
      <c r="F266" s="310">
        <f>4*F265/F240</f>
        <v>2.0273764898373566E-2</v>
      </c>
      <c r="G266" s="310">
        <f>4*G265/G240</f>
        <v>2.0017146470426218E-2</v>
      </c>
      <c r="H266" s="310">
        <f>4*H265/H240</f>
        <v>2.2194510849899193E-2</v>
      </c>
      <c r="I266" s="310">
        <f>4*I265/I240</f>
        <v>4.95751564790613E-2</v>
      </c>
      <c r="J266" s="311">
        <f>J265/J240</f>
        <v>2.9123135896731454E-2</v>
      </c>
      <c r="K266" s="310">
        <f>4*K265/K240</f>
        <v>2.2246578300638149E-2</v>
      </c>
      <c r="L266" s="310">
        <f>4*L265/L240</f>
        <v>1.9321799641946323E-2</v>
      </c>
      <c r="M266" s="310">
        <f>4*M265/M240</f>
        <v>1.9720851349152746E-2</v>
      </c>
      <c r="N266" s="310">
        <f>4*N265/N240</f>
        <v>1.6378060063825112E-2</v>
      </c>
      <c r="O266" s="311">
        <f>O265/O240</f>
        <v>1.6214110641953081E-2</v>
      </c>
      <c r="P266" s="310">
        <f>4*P265/P240</f>
        <v>1.4370465329752068E-2</v>
      </c>
      <c r="Q266" s="310">
        <f>4*Q265/Q240</f>
        <v>1.2778767586164525E-2</v>
      </c>
      <c r="R266" s="310">
        <f>4*R265/R240</f>
        <v>1.1727725143230132E-2</v>
      </c>
      <c r="S266" s="310">
        <f>4*S265/S240</f>
        <v>1.4060761572299933E-2</v>
      </c>
      <c r="T266" s="311">
        <f>T265/T240</f>
        <v>1.3591326472811815E-2</v>
      </c>
      <c r="U266" s="310">
        <f>4*U265/U240</f>
        <v>1.3084722315926655E-2</v>
      </c>
      <c r="V266" s="312">
        <f>V265*4/V240</f>
        <v>1.4502293181172103E-2</v>
      </c>
      <c r="W266" s="312">
        <f>W265*4/W240</f>
        <v>1.4427922446909682E-2</v>
      </c>
      <c r="X266" s="312">
        <f>X265*4/X240</f>
        <v>1.8397485478827302E-2</v>
      </c>
      <c r="Y266" s="311">
        <f>Y265/Y240</f>
        <v>1.7876314335481494E-2</v>
      </c>
      <c r="Z266" s="312">
        <f>Z265*4/Z240</f>
        <v>1.9160762876362127E-2</v>
      </c>
      <c r="AA266" s="312">
        <f>AA265*4/AA240</f>
        <v>2.1236598996808215E-2</v>
      </c>
      <c r="AB266" s="312">
        <f>AB265*4/AB240</f>
        <v>2.1127693360927149E-2</v>
      </c>
      <c r="AC266" s="312">
        <f>AC265*4/AC240</f>
        <v>2.1310106567547595E-2</v>
      </c>
      <c r="AD266" s="311">
        <f>AD265/AD240</f>
        <v>2.0708248365993671E-2</v>
      </c>
      <c r="AE266" s="311">
        <f>AE265/AE240</f>
        <v>2.4053006351078494E-2</v>
      </c>
      <c r="AF266" s="311">
        <f>AF265/AF240</f>
        <v>2.7863923868568161E-2</v>
      </c>
      <c r="AG266" s="311">
        <f>AG265/AG240</f>
        <v>3.2280374705403944E-2</v>
      </c>
      <c r="AH266" s="9"/>
      <c r="AI266" s="9"/>
      <c r="AJ266" s="9"/>
      <c r="AK266" s="9"/>
    </row>
    <row r="267" spans="1:37" ht="13.5" customHeight="1">
      <c r="A267" s="180"/>
      <c r="B267" s="9"/>
      <c r="C267" s="103" t="s">
        <v>393</v>
      </c>
      <c r="D267" s="9"/>
      <c r="E267" s="9"/>
      <c r="F267" s="297">
        <f t="shared" ref="F267:AG267" si="109">F283</f>
        <v>36.999000000000002</v>
      </c>
      <c r="G267" s="297">
        <f t="shared" si="109"/>
        <v>37</v>
      </c>
      <c r="H267" s="297">
        <f t="shared" si="109"/>
        <v>37.024999999999999</v>
      </c>
      <c r="I267" s="297">
        <f t="shared" si="109"/>
        <v>37.058999999999997</v>
      </c>
      <c r="J267" s="126">
        <f t="shared" si="109"/>
        <v>37.058999999999997</v>
      </c>
      <c r="K267" s="297">
        <f t="shared" si="109"/>
        <v>37.707000000000001</v>
      </c>
      <c r="L267" s="297">
        <f t="shared" si="109"/>
        <v>37.718000000000004</v>
      </c>
      <c r="M267" s="297">
        <f t="shared" si="109"/>
        <v>37.735999999999997</v>
      </c>
      <c r="N267" s="297">
        <f t="shared" si="109"/>
        <v>37.857999999999997</v>
      </c>
      <c r="O267" s="126">
        <f t="shared" si="109"/>
        <v>37.857999999999997</v>
      </c>
      <c r="P267" s="297">
        <f t="shared" si="109"/>
        <v>39.69</v>
      </c>
      <c r="Q267" s="297">
        <f t="shared" si="109"/>
        <v>39.700000000000003</v>
      </c>
      <c r="R267" s="297">
        <f t="shared" si="109"/>
        <v>39.700000000000003</v>
      </c>
      <c r="S267" s="297">
        <f t="shared" si="109"/>
        <v>39.9</v>
      </c>
      <c r="T267" s="126">
        <f t="shared" si="109"/>
        <v>39.9</v>
      </c>
      <c r="U267" s="297">
        <f t="shared" si="109"/>
        <v>41.37</v>
      </c>
      <c r="V267" s="272">
        <f>V283</f>
        <v>41.37</v>
      </c>
      <c r="W267" s="272">
        <f>W283</f>
        <v>41.37</v>
      </c>
      <c r="X267" s="272">
        <f t="shared" si="109"/>
        <v>41.222020970742435</v>
      </c>
      <c r="Y267" s="126">
        <f t="shared" si="109"/>
        <v>41.333005242685601</v>
      </c>
      <c r="Z267" s="272">
        <f t="shared" si="109"/>
        <v>41.074041941484865</v>
      </c>
      <c r="AA267" s="272">
        <f t="shared" si="109"/>
        <v>41.074041941484865</v>
      </c>
      <c r="AB267" s="272">
        <f t="shared" si="109"/>
        <v>41.074041941484865</v>
      </c>
      <c r="AC267" s="272">
        <f t="shared" si="109"/>
        <v>40.926062912227295</v>
      </c>
      <c r="AD267" s="126">
        <f t="shared" si="109"/>
        <v>41.037047184170476</v>
      </c>
      <c r="AE267" s="126">
        <f t="shared" si="109"/>
        <v>40.630104853712169</v>
      </c>
      <c r="AF267" s="126">
        <f t="shared" si="109"/>
        <v>40.334146795197029</v>
      </c>
      <c r="AG267" s="126">
        <f t="shared" si="109"/>
        <v>40.038188736681903</v>
      </c>
      <c r="AH267" s="9"/>
      <c r="AI267" s="9"/>
      <c r="AJ267" s="9"/>
      <c r="AK267" s="9"/>
    </row>
    <row r="268" spans="1:37" ht="13.5" customHeight="1">
      <c r="A268" s="180"/>
      <c r="B268" s="9"/>
      <c r="C268" s="103" t="s">
        <v>394</v>
      </c>
      <c r="D268" s="9"/>
      <c r="E268" s="9"/>
      <c r="F268" s="266">
        <v>12.9</v>
      </c>
      <c r="G268" s="266">
        <f>-F255</f>
        <v>12.9</v>
      </c>
      <c r="H268" s="266">
        <f>-G255</f>
        <v>14.847</v>
      </c>
      <c r="I268" s="266">
        <f>-I255</f>
        <v>29.850000000000009</v>
      </c>
      <c r="J268" s="197">
        <f>SUM(F268:I268)</f>
        <v>70.497000000000014</v>
      </c>
      <c r="K268" s="266">
        <f>-K255</f>
        <v>15.048999999999999</v>
      </c>
      <c r="L268" s="266">
        <f>-L255</f>
        <v>16.751000000000001</v>
      </c>
      <c r="M268" s="266">
        <f>-M255</f>
        <v>16.8</v>
      </c>
      <c r="N268" s="266">
        <f>-N255</f>
        <v>16.800000000000004</v>
      </c>
      <c r="O268" s="197">
        <f>SUM(K268:N268)</f>
        <v>65.400000000000006</v>
      </c>
      <c r="P268" s="266">
        <f>-P255</f>
        <v>17.600000000000001</v>
      </c>
      <c r="Q268" s="266">
        <f>-Q255</f>
        <v>19.5</v>
      </c>
      <c r="R268" s="266">
        <f>-R255</f>
        <v>19.399999999999999</v>
      </c>
      <c r="S268" s="266">
        <f>-S255</f>
        <v>19.497</v>
      </c>
      <c r="T268" s="197">
        <f>SUM(P268:S268)</f>
        <v>75.997</v>
      </c>
      <c r="U268" s="266">
        <f>-U255</f>
        <v>20.233000000000001</v>
      </c>
      <c r="V268" s="196">
        <f>Q268*(1+V274)</f>
        <v>22.424999999999997</v>
      </c>
      <c r="W268" s="196">
        <f>R268*(1+W274)</f>
        <v>22.309999999999995</v>
      </c>
      <c r="X268" s="196">
        <f>S268*(1+X274)</f>
        <v>22.42155</v>
      </c>
      <c r="Y268" s="197">
        <f>SUM(U268:X268)</f>
        <v>87.389549999999986</v>
      </c>
      <c r="Z268" s="196">
        <f>U268*(1+Z274)</f>
        <v>23.267949999999999</v>
      </c>
      <c r="AA268" s="196">
        <f>V268*(1+AA274)</f>
        <v>25.788749999999993</v>
      </c>
      <c r="AB268" s="196">
        <f>W268*(1+AB274)</f>
        <v>25.656499999999994</v>
      </c>
      <c r="AC268" s="196">
        <f>X268*(1+AC274)</f>
        <v>25.784782499999999</v>
      </c>
      <c r="AD268" s="197">
        <f>SUM(Z268:AC268)</f>
        <v>100.49798249999998</v>
      </c>
      <c r="AE268" s="197">
        <f>AD268*(1+AE274)</f>
        <v>115.57267987499996</v>
      </c>
      <c r="AF268" s="197">
        <f>AE268*(1+AF274)</f>
        <v>132.90858185624995</v>
      </c>
      <c r="AG268" s="197">
        <f>AF268*(1+AG274)</f>
        <v>152.84486913468743</v>
      </c>
      <c r="AH268" s="9"/>
      <c r="AI268" s="9"/>
      <c r="AJ268" s="9"/>
      <c r="AK268" s="9"/>
    </row>
    <row r="269" spans="1:37" ht="13.5" customHeight="1">
      <c r="A269" s="180"/>
      <c r="B269" s="9"/>
      <c r="C269" s="103"/>
      <c r="D269" s="9"/>
      <c r="E269" s="9"/>
      <c r="F269" s="266"/>
      <c r="G269" s="266"/>
      <c r="H269" s="266"/>
      <c r="I269" s="266"/>
      <c r="J269" s="197"/>
      <c r="K269" s="266"/>
      <c r="L269" s="266"/>
      <c r="M269" s="266"/>
      <c r="N269" s="266"/>
      <c r="O269" s="197"/>
      <c r="P269" s="266"/>
      <c r="Q269" s="266"/>
      <c r="R269" s="266"/>
      <c r="S269" s="266"/>
      <c r="T269" s="197"/>
      <c r="U269" s="266"/>
      <c r="V269" s="272"/>
      <c r="W269" s="272"/>
      <c r="X269" s="272"/>
      <c r="Y269" s="126"/>
      <c r="Z269" s="272"/>
      <c r="AA269" s="272"/>
      <c r="AB269" s="272"/>
      <c r="AC269" s="272"/>
      <c r="AD269" s="126"/>
      <c r="AE269" s="9"/>
      <c r="AF269" s="9"/>
      <c r="AG269" s="9"/>
      <c r="AH269" s="9"/>
      <c r="AI269" s="9"/>
      <c r="AJ269" s="9"/>
      <c r="AK269" s="9"/>
    </row>
    <row r="270" spans="1:37" ht="13.5" customHeight="1">
      <c r="A270" s="180" t="s">
        <v>0</v>
      </c>
      <c r="B270" s="9"/>
      <c r="C270" s="33" t="s">
        <v>41</v>
      </c>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09"/>
      <c r="AH270" s="180" t="s">
        <v>0</v>
      </c>
      <c r="AI270" s="9"/>
      <c r="AJ270" s="9"/>
      <c r="AK270" s="9"/>
    </row>
    <row r="271" spans="1:37" ht="13.5" customHeight="1">
      <c r="A271" s="180"/>
      <c r="B271" s="9"/>
      <c r="C271" s="103"/>
      <c r="D271" s="9"/>
      <c r="E271" s="9"/>
      <c r="F271" s="266"/>
      <c r="G271" s="266"/>
      <c r="H271" s="266"/>
      <c r="I271" s="266"/>
      <c r="J271" s="197"/>
      <c r="K271" s="266"/>
      <c r="L271" s="266"/>
      <c r="M271" s="266"/>
      <c r="N271" s="266"/>
      <c r="O271" s="197"/>
      <c r="P271" s="266"/>
      <c r="Q271" s="266"/>
      <c r="R271" s="266"/>
      <c r="S271" s="266"/>
      <c r="T271" s="197"/>
      <c r="U271" s="266"/>
      <c r="V271" s="272"/>
      <c r="W271" s="272"/>
      <c r="X271" s="272"/>
      <c r="Y271" s="126"/>
      <c r="Z271" s="272"/>
      <c r="AA271" s="272"/>
      <c r="AB271" s="272"/>
      <c r="AC271" s="272"/>
      <c r="AD271" s="126"/>
      <c r="AE271" s="9"/>
      <c r="AF271" s="9"/>
      <c r="AG271" s="9"/>
      <c r="AH271" s="9"/>
      <c r="AI271" s="9"/>
      <c r="AJ271" s="9"/>
      <c r="AK271" s="9"/>
    </row>
    <row r="272" spans="1:37" ht="13.5" customHeight="1">
      <c r="A272" s="180"/>
      <c r="B272" s="9"/>
      <c r="C272" s="103" t="s">
        <v>395</v>
      </c>
      <c r="D272" s="9"/>
      <c r="E272" s="9"/>
      <c r="F272" s="326">
        <v>0</v>
      </c>
      <c r="G272" s="326">
        <v>0</v>
      </c>
      <c r="H272" s="326">
        <v>0</v>
      </c>
      <c r="I272" s="326">
        <v>0</v>
      </c>
      <c r="J272" s="242">
        <f>SUM(F272:I272)</f>
        <v>0</v>
      </c>
      <c r="K272" s="326">
        <v>0</v>
      </c>
      <c r="L272" s="326">
        <v>0</v>
      </c>
      <c r="M272" s="326">
        <v>0</v>
      </c>
      <c r="N272" s="326">
        <v>0</v>
      </c>
      <c r="O272" s="242">
        <f>SUM(K272:N272)</f>
        <v>0</v>
      </c>
      <c r="P272" s="326">
        <v>0</v>
      </c>
      <c r="Q272" s="326">
        <v>0</v>
      </c>
      <c r="R272" s="326">
        <v>0</v>
      </c>
      <c r="S272" s="326">
        <v>0</v>
      </c>
      <c r="T272" s="242">
        <f>SUM(P272:S272)</f>
        <v>0</v>
      </c>
      <c r="U272" s="326">
        <v>0</v>
      </c>
      <c r="V272" s="330">
        <v>0</v>
      </c>
      <c r="W272" s="330">
        <v>0</v>
      </c>
      <c r="X272" s="330">
        <v>0</v>
      </c>
      <c r="Y272" s="242">
        <f>SUM(U272:X272)</f>
        <v>0</v>
      </c>
      <c r="Z272" s="330">
        <v>0</v>
      </c>
      <c r="AA272" s="330">
        <v>0</v>
      </c>
      <c r="AB272" s="330">
        <v>0</v>
      </c>
      <c r="AC272" s="330">
        <v>0</v>
      </c>
      <c r="AD272" s="242">
        <f>SUM(Z272:AC272)</f>
        <v>0</v>
      </c>
      <c r="AE272" s="242">
        <v>0</v>
      </c>
      <c r="AF272" s="242">
        <v>0</v>
      </c>
      <c r="AG272" s="242">
        <v>0</v>
      </c>
      <c r="AH272" s="9"/>
      <c r="AI272" s="9"/>
      <c r="AJ272" s="9"/>
      <c r="AK272" s="9"/>
    </row>
    <row r="273" spans="1:37" ht="13.5" customHeight="1">
      <c r="A273" s="180"/>
      <c r="B273" s="9"/>
      <c r="C273" s="103" t="s">
        <v>396</v>
      </c>
      <c r="D273" s="9"/>
      <c r="E273" s="9"/>
      <c r="F273" s="297">
        <f t="shared" ref="F273:U273" si="110">F242</f>
        <v>2.7E-2</v>
      </c>
      <c r="G273" s="297">
        <f t="shared" si="110"/>
        <v>1.2929999999999999</v>
      </c>
      <c r="H273" s="297">
        <f t="shared" si="110"/>
        <v>0.99099999999999999</v>
      </c>
      <c r="I273" s="297">
        <f t="shared" si="110"/>
        <v>35.061</v>
      </c>
      <c r="J273" s="126">
        <f t="shared" si="110"/>
        <v>37.372</v>
      </c>
      <c r="K273" s="297">
        <f t="shared" si="110"/>
        <v>2.5000000000000001E-2</v>
      </c>
      <c r="L273" s="297">
        <f t="shared" si="110"/>
        <v>3.08</v>
      </c>
      <c r="M273" s="297">
        <f t="shared" si="110"/>
        <v>0.505</v>
      </c>
      <c r="N273" s="297">
        <f t="shared" si="110"/>
        <v>34.947000000000003</v>
      </c>
      <c r="O273" s="126">
        <f t="shared" si="110"/>
        <v>38.557000000000002</v>
      </c>
      <c r="P273" s="297">
        <f t="shared" si="110"/>
        <v>1.6E-2</v>
      </c>
      <c r="Q273" s="297">
        <f t="shared" si="110"/>
        <v>2.96</v>
      </c>
      <c r="R273" s="297">
        <f t="shared" si="110"/>
        <v>1.6E-2</v>
      </c>
      <c r="S273" s="297">
        <f t="shared" si="110"/>
        <v>32.283999999999999</v>
      </c>
      <c r="T273" s="126">
        <f t="shared" si="110"/>
        <v>35.275999999999996</v>
      </c>
      <c r="U273" s="297">
        <f t="shared" si="110"/>
        <v>1.7999999999999999E-2</v>
      </c>
      <c r="V273" s="274">
        <f>Drivers!V187</f>
        <v>0</v>
      </c>
      <c r="W273" s="274">
        <f>Drivers!W187</f>
        <v>0</v>
      </c>
      <c r="X273" s="274">
        <f>Drivers!X187</f>
        <v>35</v>
      </c>
      <c r="Y273" s="126">
        <f>SUM(U273:X273)</f>
        <v>35.018000000000001</v>
      </c>
      <c r="Z273" s="274">
        <f>Drivers!Z187</f>
        <v>0</v>
      </c>
      <c r="AA273" s="274">
        <f>Drivers!AA187</f>
        <v>0</v>
      </c>
      <c r="AB273" s="274">
        <f>Drivers!AB187</f>
        <v>0</v>
      </c>
      <c r="AC273" s="274">
        <f>Drivers!AC187</f>
        <v>35</v>
      </c>
      <c r="AD273" s="126">
        <f>SUM(Z273:AC273)</f>
        <v>35</v>
      </c>
      <c r="AE273" s="275">
        <f>Drivers!AE187</f>
        <v>35</v>
      </c>
      <c r="AF273" s="275">
        <f>Drivers!AF187</f>
        <v>35</v>
      </c>
      <c r="AG273" s="275">
        <f>Drivers!AG187</f>
        <v>35</v>
      </c>
      <c r="AH273" s="9"/>
      <c r="AI273" s="9"/>
      <c r="AJ273" s="9"/>
      <c r="AK273" s="9"/>
    </row>
    <row r="274" spans="1:37" ht="13.5" customHeight="1">
      <c r="A274" s="180"/>
      <c r="B274" s="9"/>
      <c r="C274" s="103" t="s">
        <v>397</v>
      </c>
      <c r="D274" s="9"/>
      <c r="E274" s="9"/>
      <c r="F274" s="323"/>
      <c r="G274" s="310"/>
      <c r="H274" s="310"/>
      <c r="I274" s="310"/>
      <c r="J274" s="311"/>
      <c r="K274" s="310">
        <f t="shared" ref="K274:U274" si="111">K268/F268-1</f>
        <v>0.16658914728682173</v>
      </c>
      <c r="L274" s="310">
        <f t="shared" si="111"/>
        <v>0.29852713178294588</v>
      </c>
      <c r="M274" s="310">
        <f t="shared" si="111"/>
        <v>0.13154172560113153</v>
      </c>
      <c r="N274" s="310">
        <f t="shared" si="111"/>
        <v>-0.43718592964824121</v>
      </c>
      <c r="O274" s="311">
        <f t="shared" si="111"/>
        <v>-7.2300948976552259E-2</v>
      </c>
      <c r="P274" s="310">
        <f t="shared" si="111"/>
        <v>0.16951292444680721</v>
      </c>
      <c r="Q274" s="310">
        <f t="shared" si="111"/>
        <v>0.16410960539669261</v>
      </c>
      <c r="R274" s="310">
        <f t="shared" si="111"/>
        <v>0.15476190476190466</v>
      </c>
      <c r="S274" s="310">
        <f t="shared" si="111"/>
        <v>0.160535714285714</v>
      </c>
      <c r="T274" s="311">
        <f t="shared" si="111"/>
        <v>0.1620336391437307</v>
      </c>
      <c r="U274" s="310">
        <f t="shared" si="111"/>
        <v>0.14960227272727256</v>
      </c>
      <c r="V274" s="331">
        <f>Drivers!V109</f>
        <v>0.15</v>
      </c>
      <c r="W274" s="331">
        <f>Drivers!W109</f>
        <v>0.15</v>
      </c>
      <c r="X274" s="331">
        <f>Drivers!X109</f>
        <v>0.15</v>
      </c>
      <c r="Y274" s="311">
        <f>Y268/T268-1</f>
        <v>0.14990789110096436</v>
      </c>
      <c r="Z274" s="331">
        <f>Drivers!Z109</f>
        <v>0.15</v>
      </c>
      <c r="AA274" s="331">
        <f>Drivers!AA109</f>
        <v>0.15</v>
      </c>
      <c r="AB274" s="331">
        <f>Drivers!AB109</f>
        <v>0.15</v>
      </c>
      <c r="AC274" s="331">
        <f>Drivers!AC109</f>
        <v>0.15</v>
      </c>
      <c r="AD274" s="311">
        <f>AD268/Y268-1</f>
        <v>0.14999999999999991</v>
      </c>
      <c r="AE274" s="332">
        <f>Drivers!AE109</f>
        <v>0.15</v>
      </c>
      <c r="AF274" s="332">
        <f>Drivers!AF109</f>
        <v>0.15</v>
      </c>
      <c r="AG274" s="332">
        <f>Drivers!AG109</f>
        <v>0.15</v>
      </c>
      <c r="AH274" s="9"/>
      <c r="AI274" s="9"/>
      <c r="AJ274" s="9"/>
      <c r="AK274" s="9"/>
    </row>
    <row r="275" spans="1:37" ht="13.5" customHeight="1">
      <c r="A275" s="180"/>
      <c r="B275" s="9"/>
      <c r="C275" s="9"/>
      <c r="D275" s="9"/>
      <c r="E275" s="9"/>
      <c r="F275" s="228"/>
      <c r="G275" s="228"/>
      <c r="H275" s="228"/>
      <c r="I275" s="228"/>
      <c r="J275" s="9"/>
      <c r="K275" s="228"/>
      <c r="L275" s="228"/>
      <c r="M275" s="228"/>
      <c r="N275" s="228"/>
      <c r="O275" s="9"/>
      <c r="P275" s="228"/>
      <c r="Q275" s="228"/>
      <c r="R275" s="228"/>
      <c r="S275" s="228"/>
      <c r="T275" s="9"/>
      <c r="U275" s="228"/>
      <c r="V275" s="229"/>
      <c r="W275" s="229"/>
      <c r="X275" s="229"/>
      <c r="Y275" s="9"/>
      <c r="Z275" s="229"/>
      <c r="AA275" s="229"/>
      <c r="AB275" s="229"/>
      <c r="AC275" s="229"/>
      <c r="AD275" s="9"/>
      <c r="AE275" s="9"/>
      <c r="AF275" s="9"/>
      <c r="AG275" s="9"/>
      <c r="AH275" s="9"/>
      <c r="AI275" s="9"/>
      <c r="AJ275" s="9"/>
      <c r="AK275" s="9"/>
    </row>
    <row r="276" spans="1:37" ht="13.5" customHeight="1">
      <c r="A276" s="180" t="s">
        <v>0</v>
      </c>
      <c r="B276" s="37"/>
      <c r="C276" s="50" t="s">
        <v>398</v>
      </c>
      <c r="D276" s="12"/>
      <c r="E276" s="12"/>
      <c r="F276" s="226" t="str">
        <f>F$25</f>
        <v>1Q23</v>
      </c>
      <c r="G276" s="51" t="str">
        <f t="shared" ref="G276:AG276" si="112">G$63</f>
        <v>2Q23</v>
      </c>
      <c r="H276" s="51" t="str">
        <f t="shared" si="112"/>
        <v>3Q23</v>
      </c>
      <c r="I276" s="51" t="str">
        <f t="shared" si="112"/>
        <v>4Q23</v>
      </c>
      <c r="J276" s="51">
        <f t="shared" si="112"/>
        <v>2023</v>
      </c>
      <c r="K276" s="51" t="str">
        <f t="shared" si="112"/>
        <v>1Q24</v>
      </c>
      <c r="L276" s="51" t="str">
        <f t="shared" si="112"/>
        <v>2Q24</v>
      </c>
      <c r="M276" s="51" t="str">
        <f t="shared" si="112"/>
        <v>3Q24</v>
      </c>
      <c r="N276" s="51" t="str">
        <f t="shared" si="112"/>
        <v>4Q24</v>
      </c>
      <c r="O276" s="51">
        <f t="shared" si="112"/>
        <v>2024</v>
      </c>
      <c r="P276" s="51" t="str">
        <f t="shared" si="112"/>
        <v>1Q25</v>
      </c>
      <c r="Q276" s="51" t="str">
        <f t="shared" si="112"/>
        <v>2Q25</v>
      </c>
      <c r="R276" s="51" t="str">
        <f t="shared" si="112"/>
        <v>3Q25</v>
      </c>
      <c r="S276" s="51" t="str">
        <f t="shared" si="112"/>
        <v>4Q25</v>
      </c>
      <c r="T276" s="51">
        <f t="shared" si="112"/>
        <v>2025</v>
      </c>
      <c r="U276" s="51" t="str">
        <f t="shared" si="112"/>
        <v>1Q26</v>
      </c>
      <c r="V276" s="51" t="str">
        <f t="shared" si="112"/>
        <v>2Q26e</v>
      </c>
      <c r="W276" s="51" t="str">
        <f t="shared" si="112"/>
        <v>3Q26e</v>
      </c>
      <c r="X276" s="51" t="str">
        <f t="shared" si="112"/>
        <v>4Q26e</v>
      </c>
      <c r="Y276" s="51" t="str">
        <f t="shared" si="112"/>
        <v>2026e</v>
      </c>
      <c r="Z276" s="51" t="str">
        <f t="shared" si="112"/>
        <v>1Q27e</v>
      </c>
      <c r="AA276" s="51" t="str">
        <f t="shared" si="112"/>
        <v>2Q27e</v>
      </c>
      <c r="AB276" s="51" t="str">
        <f t="shared" si="112"/>
        <v>3Q27e</v>
      </c>
      <c r="AC276" s="51" t="str">
        <f t="shared" si="112"/>
        <v>4Q27e</v>
      </c>
      <c r="AD276" s="51" t="str">
        <f t="shared" si="112"/>
        <v>2027e</v>
      </c>
      <c r="AE276" s="51" t="str">
        <f t="shared" si="112"/>
        <v>2028e</v>
      </c>
      <c r="AF276" s="51" t="str">
        <f t="shared" si="112"/>
        <v>2029e</v>
      </c>
      <c r="AG276" s="52" t="str">
        <f t="shared" si="112"/>
        <v>2030e</v>
      </c>
      <c r="AH276" s="180" t="s">
        <v>0</v>
      </c>
      <c r="AI276" s="9"/>
      <c r="AJ276" s="9"/>
      <c r="AK276" s="9"/>
    </row>
    <row r="277" spans="1:37" ht="13.5" customHeight="1">
      <c r="A277" s="180"/>
      <c r="B277" s="9"/>
      <c r="C277" s="9"/>
      <c r="D277" s="9"/>
      <c r="E277" s="9"/>
      <c r="F277" s="228"/>
      <c r="G277" s="228"/>
      <c r="H277" s="228"/>
      <c r="I277" s="228"/>
      <c r="J277" s="9"/>
      <c r="K277" s="228"/>
      <c r="L277" s="228"/>
      <c r="M277" s="228"/>
      <c r="N277" s="228"/>
      <c r="O277" s="9"/>
      <c r="P277" s="228"/>
      <c r="Q277" s="228"/>
      <c r="R277" s="228"/>
      <c r="S277" s="228"/>
      <c r="T277" s="9"/>
      <c r="U277" s="228"/>
      <c r="V277" s="229"/>
      <c r="W277" s="229"/>
      <c r="X277" s="229"/>
      <c r="Y277" s="9"/>
      <c r="Z277" s="229"/>
      <c r="AA277" s="229"/>
      <c r="AB277" s="229"/>
      <c r="AC277" s="229"/>
      <c r="AD277" s="9"/>
      <c r="AE277" s="9"/>
      <c r="AF277" s="9"/>
      <c r="AG277" s="9"/>
      <c r="AH277" s="9"/>
      <c r="AI277" s="9"/>
      <c r="AJ277" s="9"/>
      <c r="AK277" s="9"/>
    </row>
    <row r="278" spans="1:37" ht="13.5" customHeight="1">
      <c r="A278" s="180"/>
      <c r="B278" s="9"/>
      <c r="C278" s="9" t="s">
        <v>399</v>
      </c>
      <c r="D278" s="9"/>
      <c r="E278" s="9"/>
      <c r="F278" s="270"/>
      <c r="G278" s="270"/>
      <c r="H278" s="270"/>
      <c r="I278" s="270"/>
      <c r="J278" s="9"/>
      <c r="K278" s="270"/>
      <c r="L278" s="270"/>
      <c r="M278" s="270"/>
      <c r="N278" s="270"/>
      <c r="O278" s="9"/>
      <c r="P278" s="270"/>
      <c r="Q278" s="270"/>
      <c r="R278" s="270"/>
      <c r="S278" s="270"/>
      <c r="T278" s="9"/>
      <c r="U278" s="270"/>
      <c r="V278" s="273">
        <f>U281</f>
        <v>41.37</v>
      </c>
      <c r="W278" s="273">
        <f>V281</f>
        <v>41.37</v>
      </c>
      <c r="X278" s="273">
        <f>W281</f>
        <v>41.37</v>
      </c>
      <c r="Y278" s="9"/>
      <c r="Z278" s="273">
        <f>Y281</f>
        <v>41.074041941484865</v>
      </c>
      <c r="AA278" s="273">
        <f>Z281</f>
        <v>41.074041941484865</v>
      </c>
      <c r="AB278" s="273">
        <f>AA281</f>
        <v>41.074041941484865</v>
      </c>
      <c r="AC278" s="273">
        <f>AB281</f>
        <v>41.074041941484865</v>
      </c>
      <c r="AD278" s="126">
        <f>Y281</f>
        <v>41.074041941484865</v>
      </c>
      <c r="AE278" s="356">
        <f>AD281</f>
        <v>40.778083882969732</v>
      </c>
      <c r="AF278" s="356">
        <f>AE281</f>
        <v>40.482125824454599</v>
      </c>
      <c r="AG278" s="356">
        <f>AF281</f>
        <v>40.186167765939466</v>
      </c>
      <c r="AH278" s="9"/>
      <c r="AI278" s="9"/>
      <c r="AJ278" s="9"/>
      <c r="AK278" s="9"/>
    </row>
    <row r="279" spans="1:37" ht="13.5" customHeight="1">
      <c r="A279" s="180"/>
      <c r="B279" s="9"/>
      <c r="C279" s="103" t="s">
        <v>400</v>
      </c>
      <c r="D279" s="9"/>
      <c r="E279" s="9"/>
      <c r="F279" s="357"/>
      <c r="G279" s="357"/>
      <c r="H279" s="357"/>
      <c r="I279" s="357"/>
      <c r="J279" s="358"/>
      <c r="K279" s="357"/>
      <c r="L279" s="357"/>
      <c r="M279" s="357"/>
      <c r="N279" s="357"/>
      <c r="O279" s="358"/>
      <c r="P279" s="357"/>
      <c r="Q279" s="357"/>
      <c r="R279" s="357"/>
      <c r="S279" s="357"/>
      <c r="T279" s="358"/>
      <c r="U279" s="357"/>
      <c r="V279" s="273">
        <f>V272</f>
        <v>0</v>
      </c>
      <c r="W279" s="273">
        <f>W272</f>
        <v>0</v>
      </c>
      <c r="X279" s="273">
        <f>X272</f>
        <v>0</v>
      </c>
      <c r="Y279" s="356">
        <f>SUM(U279:X279)</f>
        <v>0</v>
      </c>
      <c r="Z279" s="273">
        <f>Z272</f>
        <v>0</v>
      </c>
      <c r="AA279" s="273">
        <f>AA272</f>
        <v>0</v>
      </c>
      <c r="AB279" s="273">
        <f>AB272</f>
        <v>0</v>
      </c>
      <c r="AC279" s="273">
        <f>AC272</f>
        <v>0</v>
      </c>
      <c r="AD279" s="356">
        <f>SUM(Z279:AC279)</f>
        <v>0</v>
      </c>
      <c r="AE279" s="356">
        <f>AE272</f>
        <v>0</v>
      </c>
      <c r="AF279" s="356">
        <f>AF272</f>
        <v>0</v>
      </c>
      <c r="AG279" s="356">
        <f>AG272</f>
        <v>0</v>
      </c>
      <c r="AH279" s="9"/>
      <c r="AI279" s="9"/>
      <c r="AJ279" s="9"/>
      <c r="AK279" s="9"/>
    </row>
    <row r="280" spans="1:37" ht="13.5" customHeight="1">
      <c r="A280" s="180"/>
      <c r="B280" s="9"/>
      <c r="C280" s="103" t="s">
        <v>401</v>
      </c>
      <c r="D280" s="9"/>
      <c r="E280" s="9"/>
      <c r="F280" s="359"/>
      <c r="G280" s="359"/>
      <c r="H280" s="359"/>
      <c r="I280" s="359"/>
      <c r="J280" s="360"/>
      <c r="K280" s="359"/>
      <c r="L280" s="359"/>
      <c r="M280" s="359"/>
      <c r="N280" s="359"/>
      <c r="O280" s="360"/>
      <c r="P280" s="359"/>
      <c r="Q280" s="359"/>
      <c r="R280" s="359"/>
      <c r="S280" s="359"/>
      <c r="T280" s="360"/>
      <c r="U280" s="359"/>
      <c r="V280" s="361">
        <f>-V241</f>
        <v>0</v>
      </c>
      <c r="W280" s="361">
        <f>-W241</f>
        <v>0</v>
      </c>
      <c r="X280" s="361">
        <f>-X241</f>
        <v>-0.29595805851513612</v>
      </c>
      <c r="Y280" s="362">
        <f>SUM(U280:X280)</f>
        <v>-0.29595805851513612</v>
      </c>
      <c r="Z280" s="361">
        <f>-Z241</f>
        <v>0</v>
      </c>
      <c r="AA280" s="361">
        <f>-AA241</f>
        <v>0</v>
      </c>
      <c r="AB280" s="361">
        <f>-AB241</f>
        <v>0</v>
      </c>
      <c r="AC280" s="361">
        <f>-AC241</f>
        <v>-0.29595805851513612</v>
      </c>
      <c r="AD280" s="362">
        <f>SUM(Z280:AC280)</f>
        <v>-0.29595805851513612</v>
      </c>
      <c r="AE280" s="362">
        <f>-AE241</f>
        <v>-0.29595805851513612</v>
      </c>
      <c r="AF280" s="362">
        <f>-AF241</f>
        <v>-0.29595805851513612</v>
      </c>
      <c r="AG280" s="362">
        <f>-AG241</f>
        <v>-0.29595805851513612</v>
      </c>
      <c r="AH280" s="9"/>
      <c r="AI280" s="9"/>
      <c r="AJ280" s="9"/>
      <c r="AK280" s="9"/>
    </row>
    <row r="281" spans="1:37" ht="13.5" customHeight="1">
      <c r="A281" s="180"/>
      <c r="B281" s="9"/>
      <c r="C281" s="9" t="s">
        <v>402</v>
      </c>
      <c r="D281" s="9"/>
      <c r="E281" s="9"/>
      <c r="F281" s="271">
        <v>36.999000000000002</v>
      </c>
      <c r="G281" s="271">
        <v>37</v>
      </c>
      <c r="H281" s="271">
        <v>37.024999999999999</v>
      </c>
      <c r="I281" s="271">
        <v>37.058999999999997</v>
      </c>
      <c r="J281" s="279">
        <f>J283</f>
        <v>37.058999999999997</v>
      </c>
      <c r="K281" s="271">
        <v>37.707000000000001</v>
      </c>
      <c r="L281" s="271">
        <v>37.718000000000004</v>
      </c>
      <c r="M281" s="271">
        <v>37.735999999999997</v>
      </c>
      <c r="N281" s="271">
        <v>37.857999999999997</v>
      </c>
      <c r="O281" s="279">
        <f>O283</f>
        <v>37.857999999999997</v>
      </c>
      <c r="P281" s="271">
        <v>39.69</v>
      </c>
      <c r="Q281" s="271">
        <v>39.700000000000003</v>
      </c>
      <c r="R281" s="271">
        <v>39.700000000000003</v>
      </c>
      <c r="S281" s="271">
        <v>39.9</v>
      </c>
      <c r="T281" s="279">
        <f>T283</f>
        <v>39.9</v>
      </c>
      <c r="U281" s="271">
        <v>41.37</v>
      </c>
      <c r="V281" s="272">
        <f>SUM(V278:V280)</f>
        <v>41.37</v>
      </c>
      <c r="W281" s="272">
        <f>SUM(W278:W280)</f>
        <v>41.37</v>
      </c>
      <c r="X281" s="272">
        <f>SUM(X278:X280)</f>
        <v>41.074041941484865</v>
      </c>
      <c r="Y281" s="126">
        <f>X281</f>
        <v>41.074041941484865</v>
      </c>
      <c r="Z281" s="272">
        <f t="shared" ref="Z281:AG281" si="113">SUM(Z278:Z280)</f>
        <v>41.074041941484865</v>
      </c>
      <c r="AA281" s="272">
        <f t="shared" si="113"/>
        <v>41.074041941484865</v>
      </c>
      <c r="AB281" s="272">
        <f t="shared" si="113"/>
        <v>41.074041941484865</v>
      </c>
      <c r="AC281" s="272">
        <f t="shared" si="113"/>
        <v>40.778083882969732</v>
      </c>
      <c r="AD281" s="126">
        <f t="shared" si="113"/>
        <v>40.778083882969732</v>
      </c>
      <c r="AE281" s="126">
        <f t="shared" si="113"/>
        <v>40.482125824454599</v>
      </c>
      <c r="AF281" s="126">
        <f t="shared" si="113"/>
        <v>40.186167765939466</v>
      </c>
      <c r="AG281" s="126">
        <f t="shared" si="113"/>
        <v>39.890209707424333</v>
      </c>
      <c r="AH281" s="9"/>
      <c r="AI281" s="9"/>
      <c r="AJ281" s="9"/>
      <c r="AK281" s="9"/>
    </row>
    <row r="282" spans="1:37" ht="13.5" customHeight="1">
      <c r="A282" s="180"/>
      <c r="B282" s="9"/>
      <c r="C282" s="9"/>
      <c r="D282" s="9"/>
      <c r="E282" s="9"/>
      <c r="F282" s="297"/>
      <c r="G282" s="297"/>
      <c r="H282" s="297"/>
      <c r="I282" s="297"/>
      <c r="J282" s="126"/>
      <c r="K282" s="297"/>
      <c r="L282" s="297"/>
      <c r="M282" s="297"/>
      <c r="N282" s="297"/>
      <c r="O282" s="126"/>
      <c r="P282" s="297"/>
      <c r="Q282" s="297"/>
      <c r="R282" s="297"/>
      <c r="S282" s="297"/>
      <c r="T282" s="126"/>
      <c r="U282" s="297"/>
      <c r="V282" s="272"/>
      <c r="W282" s="272"/>
      <c r="X282" s="272"/>
      <c r="Y282" s="126"/>
      <c r="Z282" s="272"/>
      <c r="AA282" s="272"/>
      <c r="AB282" s="272"/>
      <c r="AC282" s="272"/>
      <c r="AD282" s="126"/>
      <c r="AE282" s="9"/>
      <c r="AF282" s="9"/>
      <c r="AG282" s="9"/>
      <c r="AH282" s="9"/>
      <c r="AI282" s="9"/>
      <c r="AJ282" s="9"/>
      <c r="AK282" s="9"/>
    </row>
    <row r="283" spans="1:37" ht="13.5" customHeight="1">
      <c r="A283" s="180"/>
      <c r="B283" s="9"/>
      <c r="C283" s="9" t="s">
        <v>403</v>
      </c>
      <c r="D283" s="9"/>
      <c r="E283" s="9"/>
      <c r="F283" s="271">
        <f>F281</f>
        <v>36.999000000000002</v>
      </c>
      <c r="G283" s="271">
        <f>G281</f>
        <v>37</v>
      </c>
      <c r="H283" s="271">
        <f>H281</f>
        <v>37.024999999999999</v>
      </c>
      <c r="I283" s="271">
        <f>I281</f>
        <v>37.058999999999997</v>
      </c>
      <c r="J283" s="279">
        <f>I283</f>
        <v>37.058999999999997</v>
      </c>
      <c r="K283" s="271">
        <f>K281</f>
        <v>37.707000000000001</v>
      </c>
      <c r="L283" s="271">
        <f>L281</f>
        <v>37.718000000000004</v>
      </c>
      <c r="M283" s="271">
        <f>M281</f>
        <v>37.735999999999997</v>
      </c>
      <c r="N283" s="271">
        <f>N281</f>
        <v>37.857999999999997</v>
      </c>
      <c r="O283" s="279">
        <f>N283</f>
        <v>37.857999999999997</v>
      </c>
      <c r="P283" s="271">
        <f>P281</f>
        <v>39.69</v>
      </c>
      <c r="Q283" s="271">
        <f>Q281</f>
        <v>39.700000000000003</v>
      </c>
      <c r="R283" s="271">
        <f>R281</f>
        <v>39.700000000000003</v>
      </c>
      <c r="S283" s="271">
        <f>S281</f>
        <v>39.9</v>
      </c>
      <c r="T283" s="279">
        <f>S283</f>
        <v>39.9</v>
      </c>
      <c r="U283" s="271">
        <f>U281</f>
        <v>41.37</v>
      </c>
      <c r="V283" s="272">
        <f>AVERAGE(V281,V278)</f>
        <v>41.37</v>
      </c>
      <c r="W283" s="272">
        <f>AVERAGE(W281,W278)</f>
        <v>41.37</v>
      </c>
      <c r="X283" s="272">
        <f>AVERAGE(X281,X278)</f>
        <v>41.222020970742435</v>
      </c>
      <c r="Y283" s="126">
        <f>AVERAGE(U283:X283)</f>
        <v>41.333005242685601</v>
      </c>
      <c r="Z283" s="272">
        <f>AVERAGE(Z281,Z278)</f>
        <v>41.074041941484865</v>
      </c>
      <c r="AA283" s="272">
        <f>AVERAGE(AA281,AA278)</f>
        <v>41.074041941484865</v>
      </c>
      <c r="AB283" s="272">
        <f>AVERAGE(AB281,AB278)</f>
        <v>41.074041941484865</v>
      </c>
      <c r="AC283" s="272">
        <f>AVERAGE(AC281,AC278)</f>
        <v>40.926062912227295</v>
      </c>
      <c r="AD283" s="126">
        <f>AVERAGE(Z283:AC283)</f>
        <v>41.037047184170476</v>
      </c>
      <c r="AE283" s="126">
        <f>AVERAGE(AE281,AE278)</f>
        <v>40.630104853712169</v>
      </c>
      <c r="AF283" s="126">
        <f>AVERAGE(AF281,AF278)</f>
        <v>40.334146795197029</v>
      </c>
      <c r="AG283" s="126">
        <f>AVERAGE(AG281,AG278)</f>
        <v>40.038188736681903</v>
      </c>
      <c r="AH283" s="9"/>
      <c r="AI283" s="9"/>
      <c r="AJ283" s="9"/>
      <c r="AK283" s="9"/>
    </row>
    <row r="284" spans="1:37" ht="13.5" customHeight="1">
      <c r="A284" s="180"/>
      <c r="B284" s="9"/>
      <c r="C284" s="103" t="s">
        <v>404</v>
      </c>
      <c r="D284" s="9"/>
      <c r="E284" s="9"/>
      <c r="F284" s="285">
        <f t="shared" ref="F284:U284" si="114">F285-F283</f>
        <v>16.701000000000001</v>
      </c>
      <c r="G284" s="285">
        <f t="shared" si="114"/>
        <v>16.744999999999997</v>
      </c>
      <c r="H284" s="285">
        <f t="shared" si="114"/>
        <v>16.744</v>
      </c>
      <c r="I284" s="285">
        <f t="shared" si="114"/>
        <v>16.639000000000003</v>
      </c>
      <c r="J284" s="268">
        <f t="shared" si="114"/>
        <v>16.639000000000003</v>
      </c>
      <c r="K284" s="285">
        <f t="shared" si="114"/>
        <v>16.232999999999997</v>
      </c>
      <c r="L284" s="285">
        <f t="shared" si="114"/>
        <v>16.221999999999994</v>
      </c>
      <c r="M284" s="285">
        <f t="shared" si="114"/>
        <v>16.251000000000005</v>
      </c>
      <c r="N284" s="285">
        <f t="shared" si="114"/>
        <v>16.042000000000002</v>
      </c>
      <c r="O284" s="268">
        <f t="shared" si="114"/>
        <v>16.042000000000002</v>
      </c>
      <c r="P284" s="285">
        <f t="shared" si="114"/>
        <v>14.36</v>
      </c>
      <c r="Q284" s="285">
        <f t="shared" si="114"/>
        <v>14.479999999999997</v>
      </c>
      <c r="R284" s="285">
        <f t="shared" si="114"/>
        <v>14.699999999999996</v>
      </c>
      <c r="S284" s="285">
        <f t="shared" si="114"/>
        <v>0.39999999999999858</v>
      </c>
      <c r="T284" s="268">
        <f t="shared" si="114"/>
        <v>0.39999999999999858</v>
      </c>
      <c r="U284" s="285">
        <f t="shared" si="114"/>
        <v>13.100000000000001</v>
      </c>
      <c r="V284" s="281">
        <f>U284</f>
        <v>13.100000000000001</v>
      </c>
      <c r="W284" s="281">
        <f>V284</f>
        <v>13.100000000000001</v>
      </c>
      <c r="X284" s="281">
        <f>W284</f>
        <v>13.100000000000001</v>
      </c>
      <c r="Y284" s="268">
        <f>Y285-Y283</f>
        <v>13.100000000000009</v>
      </c>
      <c r="Z284" s="281">
        <f>X284</f>
        <v>13.100000000000001</v>
      </c>
      <c r="AA284" s="281">
        <f>Z284</f>
        <v>13.100000000000001</v>
      </c>
      <c r="AB284" s="281">
        <f>AA284</f>
        <v>13.100000000000001</v>
      </c>
      <c r="AC284" s="281">
        <f>AB284</f>
        <v>13.100000000000001</v>
      </c>
      <c r="AD284" s="268">
        <f>AD285-AD283</f>
        <v>13.100000000000001</v>
      </c>
      <c r="AE284" s="282">
        <f>AC284</f>
        <v>13.100000000000001</v>
      </c>
      <c r="AF284" s="282">
        <f>AE284</f>
        <v>13.100000000000001</v>
      </c>
      <c r="AG284" s="282">
        <f>AF284</f>
        <v>13.100000000000001</v>
      </c>
      <c r="AH284" s="9"/>
      <c r="AI284" s="9"/>
      <c r="AJ284" s="9"/>
      <c r="AK284" s="9"/>
    </row>
    <row r="285" spans="1:37" ht="13.5" customHeight="1">
      <c r="A285" s="180"/>
      <c r="B285" s="9"/>
      <c r="C285" s="9" t="s">
        <v>405</v>
      </c>
      <c r="D285" s="9"/>
      <c r="E285" s="9"/>
      <c r="F285" s="271">
        <v>53.7</v>
      </c>
      <c r="G285" s="271">
        <v>53.744999999999997</v>
      </c>
      <c r="H285" s="271">
        <v>53.768999999999998</v>
      </c>
      <c r="I285" s="271">
        <v>53.698</v>
      </c>
      <c r="J285" s="279">
        <f>I285</f>
        <v>53.698</v>
      </c>
      <c r="K285" s="271">
        <v>53.94</v>
      </c>
      <c r="L285" s="271">
        <v>53.94</v>
      </c>
      <c r="M285" s="271">
        <v>53.987000000000002</v>
      </c>
      <c r="N285" s="271">
        <v>53.9</v>
      </c>
      <c r="O285" s="279">
        <f>N285</f>
        <v>53.9</v>
      </c>
      <c r="P285" s="271">
        <v>54.05</v>
      </c>
      <c r="Q285" s="271">
        <v>54.18</v>
      </c>
      <c r="R285" s="271">
        <v>54.4</v>
      </c>
      <c r="S285" s="271">
        <v>40.299999999999997</v>
      </c>
      <c r="T285" s="279">
        <f>S285</f>
        <v>40.299999999999997</v>
      </c>
      <c r="U285" s="271">
        <v>54.47</v>
      </c>
      <c r="V285" s="272">
        <f>SUM(V283:V284)</f>
        <v>54.47</v>
      </c>
      <c r="W285" s="272">
        <f>SUM(W283:W284)</f>
        <v>54.47</v>
      </c>
      <c r="X285" s="272">
        <f>SUM(X283:X284)</f>
        <v>54.322020970742436</v>
      </c>
      <c r="Y285" s="126">
        <f>AVERAGE(U285:X285)</f>
        <v>54.43300524268561</v>
      </c>
      <c r="Z285" s="272">
        <f>SUM(Z283:Z284)</f>
        <v>54.174041941484866</v>
      </c>
      <c r="AA285" s="272">
        <f>SUM(AA283:AA284)</f>
        <v>54.174041941484866</v>
      </c>
      <c r="AB285" s="272">
        <f>SUM(AB283:AB284)</f>
        <v>54.174041941484866</v>
      </c>
      <c r="AC285" s="272">
        <f>SUM(AC283:AC284)</f>
        <v>54.026062912227296</v>
      </c>
      <c r="AD285" s="126">
        <f>AVERAGE(Z285:AC285)</f>
        <v>54.137047184170477</v>
      </c>
      <c r="AE285" s="126">
        <f>SUM(AE283:AE284)</f>
        <v>53.73010485371217</v>
      </c>
      <c r="AF285" s="126">
        <f>SUM(AF283:AF284)</f>
        <v>53.43414679519703</v>
      </c>
      <c r="AG285" s="126">
        <f>SUM(AG283:AG284)</f>
        <v>53.138188736681904</v>
      </c>
      <c r="AH285" s="9"/>
      <c r="AI285" s="9"/>
      <c r="AJ285" s="9"/>
      <c r="AK285" s="9"/>
    </row>
    <row r="286" spans="1:37" ht="13.5" customHeight="1">
      <c r="A286" s="180"/>
      <c r="B286" s="9"/>
      <c r="C286" s="9"/>
      <c r="D286" s="9"/>
      <c r="E286" s="9"/>
      <c r="F286" s="228"/>
      <c r="G286" s="228"/>
      <c r="H286" s="228"/>
      <c r="I286" s="228"/>
      <c r="J286" s="9"/>
      <c r="K286" s="228"/>
      <c r="L286" s="228"/>
      <c r="M286" s="228"/>
      <c r="N286" s="228"/>
      <c r="O286" s="9"/>
      <c r="P286" s="228"/>
      <c r="Q286" s="228"/>
      <c r="R286" s="228"/>
      <c r="S286" s="228"/>
      <c r="T286" s="9"/>
      <c r="U286" s="228"/>
      <c r="V286" s="229"/>
      <c r="W286" s="229"/>
      <c r="X286" s="229"/>
      <c r="Y286" s="9"/>
      <c r="Z286" s="229"/>
      <c r="AA286" s="229"/>
      <c r="AB286" s="229"/>
      <c r="AC286" s="229"/>
      <c r="AD286" s="9"/>
      <c r="AE286" s="9"/>
      <c r="AF286" s="9"/>
      <c r="AG286" s="9"/>
      <c r="AH286" s="9"/>
      <c r="AI286" s="9"/>
      <c r="AJ286" s="9"/>
      <c r="AK286" s="9"/>
    </row>
    <row r="287" spans="1:37" ht="13.5" customHeight="1">
      <c r="A287" s="180" t="s">
        <v>0</v>
      </c>
      <c r="B287" s="37"/>
      <c r="C287" s="50" t="s">
        <v>406</v>
      </c>
      <c r="D287" s="12"/>
      <c r="E287" s="12"/>
      <c r="F287" s="226" t="str">
        <f>F$25</f>
        <v>1Q23</v>
      </c>
      <c r="G287" s="51" t="str">
        <f t="shared" ref="G287:AG287" si="115">G$63</f>
        <v>2Q23</v>
      </c>
      <c r="H287" s="51" t="str">
        <f t="shared" si="115"/>
        <v>3Q23</v>
      </c>
      <c r="I287" s="51" t="str">
        <f t="shared" si="115"/>
        <v>4Q23</v>
      </c>
      <c r="J287" s="51">
        <f t="shared" si="115"/>
        <v>2023</v>
      </c>
      <c r="K287" s="51" t="str">
        <f t="shared" si="115"/>
        <v>1Q24</v>
      </c>
      <c r="L287" s="51" t="str">
        <f t="shared" si="115"/>
        <v>2Q24</v>
      </c>
      <c r="M287" s="51" t="str">
        <f t="shared" si="115"/>
        <v>3Q24</v>
      </c>
      <c r="N287" s="51" t="str">
        <f t="shared" si="115"/>
        <v>4Q24</v>
      </c>
      <c r="O287" s="51">
        <f t="shared" si="115"/>
        <v>2024</v>
      </c>
      <c r="P287" s="51" t="str">
        <f t="shared" si="115"/>
        <v>1Q25</v>
      </c>
      <c r="Q287" s="51" t="str">
        <f t="shared" si="115"/>
        <v>2Q25</v>
      </c>
      <c r="R287" s="51" t="str">
        <f t="shared" si="115"/>
        <v>3Q25</v>
      </c>
      <c r="S287" s="51" t="str">
        <f t="shared" si="115"/>
        <v>4Q25</v>
      </c>
      <c r="T287" s="51">
        <f t="shared" si="115"/>
        <v>2025</v>
      </c>
      <c r="U287" s="51" t="str">
        <f t="shared" si="115"/>
        <v>1Q26</v>
      </c>
      <c r="V287" s="51" t="str">
        <f t="shared" si="115"/>
        <v>2Q26e</v>
      </c>
      <c r="W287" s="51" t="str">
        <f t="shared" si="115"/>
        <v>3Q26e</v>
      </c>
      <c r="X287" s="51" t="str">
        <f t="shared" si="115"/>
        <v>4Q26e</v>
      </c>
      <c r="Y287" s="51" t="str">
        <f t="shared" si="115"/>
        <v>2026e</v>
      </c>
      <c r="Z287" s="51" t="str">
        <f t="shared" si="115"/>
        <v>1Q27e</v>
      </c>
      <c r="AA287" s="51" t="str">
        <f t="shared" si="115"/>
        <v>2Q27e</v>
      </c>
      <c r="AB287" s="51" t="str">
        <f t="shared" si="115"/>
        <v>3Q27e</v>
      </c>
      <c r="AC287" s="51" t="str">
        <f t="shared" si="115"/>
        <v>4Q27e</v>
      </c>
      <c r="AD287" s="51" t="str">
        <f t="shared" si="115"/>
        <v>2027e</v>
      </c>
      <c r="AE287" s="51" t="str">
        <f t="shared" si="115"/>
        <v>2028e</v>
      </c>
      <c r="AF287" s="51" t="str">
        <f t="shared" si="115"/>
        <v>2029e</v>
      </c>
      <c r="AG287" s="52" t="str">
        <f t="shared" si="115"/>
        <v>2030e</v>
      </c>
      <c r="AH287" s="180" t="s">
        <v>0</v>
      </c>
      <c r="AI287" s="9"/>
      <c r="AJ287" s="9"/>
      <c r="AK287" s="9"/>
    </row>
    <row r="288" spans="1:37" ht="13.5" customHeight="1">
      <c r="A288" s="180"/>
      <c r="B288" s="9"/>
      <c r="C288" s="9"/>
      <c r="D288" s="9"/>
      <c r="E288" s="9"/>
      <c r="F288" s="228"/>
      <c r="G288" s="228"/>
      <c r="H288" s="228"/>
      <c r="I288" s="228"/>
      <c r="J288" s="9"/>
      <c r="K288" s="228"/>
      <c r="L288" s="228"/>
      <c r="M288" s="228"/>
      <c r="N288" s="228"/>
      <c r="O288" s="9"/>
      <c r="P288" s="228"/>
      <c r="Q288" s="228"/>
      <c r="R288" s="228"/>
      <c r="S288" s="228"/>
      <c r="T288" s="9"/>
      <c r="U288" s="228"/>
      <c r="V288" s="229"/>
      <c r="W288" s="229"/>
      <c r="X288" s="229"/>
      <c r="Y288" s="9"/>
      <c r="Z288" s="229"/>
      <c r="AA288" s="229"/>
      <c r="AB288" s="229"/>
      <c r="AC288" s="229"/>
      <c r="AD288" s="9"/>
      <c r="AE288" s="9"/>
      <c r="AF288" s="9"/>
      <c r="AG288" s="9"/>
      <c r="AH288" s="9"/>
      <c r="AI288" s="9"/>
      <c r="AJ288" s="9"/>
      <c r="AK288" s="9"/>
    </row>
    <row r="289" spans="1:37" ht="13.5" customHeight="1">
      <c r="A289" s="180"/>
      <c r="B289" s="9"/>
      <c r="C289" s="9" t="s">
        <v>299</v>
      </c>
      <c r="D289" s="9"/>
      <c r="E289" s="9"/>
      <c r="F289" s="228"/>
      <c r="G289" s="228"/>
      <c r="H289" s="228"/>
      <c r="I289" s="228"/>
      <c r="J289" s="9"/>
      <c r="K289" s="228"/>
      <c r="L289" s="228"/>
      <c r="M289" s="228"/>
      <c r="N289" s="228"/>
      <c r="O289" s="9"/>
      <c r="P289" s="228"/>
      <c r="Q289" s="228"/>
      <c r="R289" s="228"/>
      <c r="S289" s="228"/>
      <c r="T289" s="9"/>
      <c r="U289" s="228"/>
      <c r="V289" s="196">
        <f ca="1">V89</f>
        <v>55.691143243462534</v>
      </c>
      <c r="W289" s="196">
        <f ca="1">W89</f>
        <v>33.328946570768501</v>
      </c>
      <c r="X289" s="196">
        <f ca="1">X89</f>
        <v>31.792701651653822</v>
      </c>
      <c r="Y289" s="9"/>
      <c r="Z289" s="196">
        <f ca="1">Z89</f>
        <v>-15.269505354157772</v>
      </c>
      <c r="AA289" s="196">
        <f ca="1">AA89</f>
        <v>8.7623900957546539</v>
      </c>
      <c r="AB289" s="196">
        <f ca="1">AB89</f>
        <v>17.81306371532817</v>
      </c>
      <c r="AC289" s="196">
        <f ca="1">AC89</f>
        <v>21.914456014333084</v>
      </c>
      <c r="AD289" s="9"/>
      <c r="AE289" s="197">
        <f ca="1">AE89</f>
        <v>188.34808503826309</v>
      </c>
      <c r="AF289" s="197">
        <f ca="1">AF89</f>
        <v>160.55649341205927</v>
      </c>
      <c r="AG289" s="197">
        <f ca="1">AG89</f>
        <v>155.39679788016582</v>
      </c>
      <c r="AH289" s="9"/>
      <c r="AI289" s="9"/>
      <c r="AJ289" s="9"/>
      <c r="AK289" s="9"/>
    </row>
    <row r="290" spans="1:37" ht="13.5" customHeight="1">
      <c r="A290" s="180"/>
      <c r="B290" s="9"/>
      <c r="C290" s="103" t="s">
        <v>401</v>
      </c>
      <c r="D290" s="9"/>
      <c r="E290" s="9"/>
      <c r="F290" s="228"/>
      <c r="G290" s="228"/>
      <c r="H290" s="228"/>
      <c r="I290" s="228"/>
      <c r="J290" s="9"/>
      <c r="K290" s="228"/>
      <c r="L290" s="228"/>
      <c r="M290" s="228"/>
      <c r="N290" s="228"/>
      <c r="O290" s="9"/>
      <c r="P290" s="228"/>
      <c r="Q290" s="228"/>
      <c r="R290" s="228"/>
      <c r="S290" s="228"/>
      <c r="T290" s="9"/>
      <c r="U290" s="228"/>
      <c r="V290" s="272">
        <f>-V242</f>
        <v>0</v>
      </c>
      <c r="W290" s="272">
        <f>-W242</f>
        <v>0</v>
      </c>
      <c r="X290" s="272">
        <f>-X242</f>
        <v>-35</v>
      </c>
      <c r="Y290" s="9"/>
      <c r="Z290" s="272">
        <f>-Z242</f>
        <v>0</v>
      </c>
      <c r="AA290" s="272">
        <f>-AA242</f>
        <v>0</v>
      </c>
      <c r="AB290" s="272">
        <f>-AB242</f>
        <v>0</v>
      </c>
      <c r="AC290" s="272">
        <f>-AC242</f>
        <v>-35</v>
      </c>
      <c r="AD290" s="9"/>
      <c r="AE290" s="126">
        <f>-AE242</f>
        <v>-35</v>
      </c>
      <c r="AF290" s="126">
        <f>-AF242</f>
        <v>-35</v>
      </c>
      <c r="AG290" s="126">
        <f>-AG242</f>
        <v>-35</v>
      </c>
      <c r="AH290" s="9"/>
      <c r="AI290" s="9"/>
      <c r="AJ290" s="9"/>
      <c r="AK290" s="9"/>
    </row>
    <row r="291" spans="1:37" ht="13.5" customHeight="1">
      <c r="A291" s="180"/>
      <c r="B291" s="9"/>
      <c r="C291" s="103" t="s">
        <v>387</v>
      </c>
      <c r="D291" s="9"/>
      <c r="E291" s="9"/>
      <c r="F291" s="228"/>
      <c r="G291" s="228"/>
      <c r="H291" s="228"/>
      <c r="I291" s="228"/>
      <c r="J291" s="9"/>
      <c r="K291" s="228"/>
      <c r="L291" s="228"/>
      <c r="M291" s="228"/>
      <c r="N291" s="228"/>
      <c r="O291" s="9"/>
      <c r="P291" s="228"/>
      <c r="Q291" s="228"/>
      <c r="R291" s="228"/>
      <c r="S291" s="228"/>
      <c r="T291" s="9"/>
      <c r="U291" s="228"/>
      <c r="V291" s="272">
        <f>-V268</f>
        <v>-22.424999999999997</v>
      </c>
      <c r="W291" s="272">
        <f>-W268</f>
        <v>-22.309999999999995</v>
      </c>
      <c r="X291" s="272">
        <f>-X268</f>
        <v>-22.42155</v>
      </c>
      <c r="Y291" s="9"/>
      <c r="Z291" s="272">
        <f>-Z268</f>
        <v>-23.267949999999999</v>
      </c>
      <c r="AA291" s="272">
        <f>-AA268</f>
        <v>-25.788749999999993</v>
      </c>
      <c r="AB291" s="272">
        <f>-AB268</f>
        <v>-25.656499999999994</v>
      </c>
      <c r="AC291" s="272">
        <f>-AC268</f>
        <v>-25.784782499999999</v>
      </c>
      <c r="AD291" s="9"/>
      <c r="AE291" s="126">
        <f>-AE268</f>
        <v>-115.57267987499996</v>
      </c>
      <c r="AF291" s="126">
        <f>-AF268</f>
        <v>-132.90858185624995</v>
      </c>
      <c r="AG291" s="126">
        <f>-AG268</f>
        <v>-152.84486913468743</v>
      </c>
      <c r="AH291" s="9"/>
      <c r="AI291" s="9"/>
      <c r="AJ291" s="9"/>
      <c r="AK291" s="9"/>
    </row>
    <row r="292" spans="1:37" ht="13.5" customHeight="1">
      <c r="A292" s="180"/>
      <c r="B292" s="9"/>
      <c r="C292" s="103" t="s">
        <v>303</v>
      </c>
      <c r="D292" s="9"/>
      <c r="E292" s="9"/>
      <c r="F292" s="228"/>
      <c r="G292" s="228"/>
      <c r="H292" s="228"/>
      <c r="I292" s="228"/>
      <c r="J292" s="9"/>
      <c r="K292" s="228"/>
      <c r="L292" s="228"/>
      <c r="M292" s="228"/>
      <c r="N292" s="228"/>
      <c r="O292" s="9"/>
      <c r="P292" s="228"/>
      <c r="Q292" s="228"/>
      <c r="R292" s="228"/>
      <c r="S292" s="228"/>
      <c r="T292" s="9"/>
      <c r="U292" s="228"/>
      <c r="V292" s="243">
        <f>V246</f>
        <v>0</v>
      </c>
      <c r="W292" s="243">
        <f>W246</f>
        <v>0</v>
      </c>
      <c r="X292" s="243">
        <f>X246</f>
        <v>0</v>
      </c>
      <c r="Y292" s="9"/>
      <c r="Z292" s="243">
        <f>Z246</f>
        <v>0</v>
      </c>
      <c r="AA292" s="243">
        <f>AA246</f>
        <v>0</v>
      </c>
      <c r="AB292" s="243">
        <f>AB246</f>
        <v>0</v>
      </c>
      <c r="AC292" s="243">
        <f>AC246</f>
        <v>0</v>
      </c>
      <c r="AD292" s="9"/>
      <c r="AE292" s="242">
        <f>AE246</f>
        <v>0</v>
      </c>
      <c r="AF292" s="242">
        <f>AF246</f>
        <v>0</v>
      </c>
      <c r="AG292" s="242">
        <f>AG246</f>
        <v>0</v>
      </c>
      <c r="AH292" s="9"/>
      <c r="AI292" s="9"/>
      <c r="AJ292" s="9"/>
      <c r="AK292" s="9"/>
    </row>
    <row r="293" spans="1:37" ht="13.5" customHeight="1">
      <c r="A293" s="180"/>
      <c r="B293" s="9"/>
      <c r="C293" s="103" t="s">
        <v>311</v>
      </c>
      <c r="D293" s="9"/>
      <c r="E293" s="9"/>
      <c r="F293" s="228"/>
      <c r="G293" s="228"/>
      <c r="H293" s="228"/>
      <c r="I293" s="228"/>
      <c r="J293" s="9"/>
      <c r="K293" s="228"/>
      <c r="L293" s="228"/>
      <c r="M293" s="228"/>
      <c r="N293" s="228"/>
      <c r="O293" s="9"/>
      <c r="P293" s="228"/>
      <c r="Q293" s="228"/>
      <c r="R293" s="228"/>
      <c r="S293" s="228"/>
      <c r="T293" s="9"/>
      <c r="U293" s="228"/>
      <c r="V293" s="272">
        <f>V104</f>
        <v>263.34699999999998</v>
      </c>
      <c r="W293" s="272">
        <f ca="1">W104</f>
        <v>261.16986924346253</v>
      </c>
      <c r="X293" s="272">
        <f ca="1">X104</f>
        <v>283.12018531423104</v>
      </c>
      <c r="Y293" s="9"/>
      <c r="Z293" s="272">
        <f ca="1">Z104</f>
        <v>273.99226514188484</v>
      </c>
      <c r="AA293" s="272">
        <f ca="1">AA104</f>
        <v>248.19034694510708</v>
      </c>
      <c r="AB293" s="272">
        <f ca="1">AB104</f>
        <v>244.48216069086456</v>
      </c>
      <c r="AC293" s="272">
        <f ca="1">AC104</f>
        <v>235.06937527754951</v>
      </c>
      <c r="AD293" s="9"/>
      <c r="AE293" s="126">
        <f ca="1">AE104</f>
        <v>206.78502704233651</v>
      </c>
      <c r="AF293" s="126">
        <f ca="1">AF104</f>
        <v>256.12554661597574</v>
      </c>
      <c r="AG293" s="126">
        <f ca="1">AG104</f>
        <v>269.7771651521565</v>
      </c>
      <c r="AH293" s="9"/>
      <c r="AI293" s="9"/>
      <c r="AJ293" s="9"/>
      <c r="AK293" s="9"/>
    </row>
    <row r="294" spans="1:37" ht="13.5" customHeight="1">
      <c r="A294" s="180"/>
      <c r="B294" s="9"/>
      <c r="C294" s="103" t="s">
        <v>407</v>
      </c>
      <c r="D294" s="9"/>
      <c r="E294" s="9"/>
      <c r="F294" s="228"/>
      <c r="G294" s="228"/>
      <c r="H294" s="228"/>
      <c r="I294" s="228"/>
      <c r="J294" s="9"/>
      <c r="K294" s="228"/>
      <c r="L294" s="228"/>
      <c r="M294" s="228"/>
      <c r="N294" s="228"/>
      <c r="O294" s="9"/>
      <c r="P294" s="228"/>
      <c r="Q294" s="228"/>
      <c r="R294" s="228"/>
      <c r="S294" s="228"/>
      <c r="T294" s="9"/>
      <c r="U294" s="228"/>
      <c r="V294" s="272">
        <f ca="1">V300*V28</f>
        <v>-9.2009685018153391</v>
      </c>
      <c r="W294" s="272">
        <f ca="1">W300*W28</f>
        <v>-9.7663647614791227</v>
      </c>
      <c r="X294" s="272">
        <f ca="1">X300*X28</f>
        <v>-10.585072423670875</v>
      </c>
      <c r="Y294" s="9"/>
      <c r="Z294" s="272">
        <f ca="1">Z300*Z28</f>
        <v>-11.232524779027818</v>
      </c>
      <c r="AA294" s="272">
        <f ca="1">AA300*AA28</f>
        <v>-11.906476265769488</v>
      </c>
      <c r="AB294" s="272">
        <f ca="1">AB300*AB28</f>
        <v>-12.470147034564178</v>
      </c>
      <c r="AC294" s="272">
        <f ca="1">AC300*AC28</f>
        <v>-13.046010001300059</v>
      </c>
      <c r="AD294" s="9"/>
      <c r="AE294" s="126">
        <f ca="1">AE300*AE28</f>
        <v>-52.061019146307864</v>
      </c>
      <c r="AF294" s="126">
        <f ca="1">AF300*AF28</f>
        <v>-54.924375199354792</v>
      </c>
      <c r="AG294" s="126">
        <f ca="1">AG300*AG28</f>
        <v>-58.510627567314259</v>
      </c>
      <c r="AH294" s="9"/>
      <c r="AI294" s="9"/>
      <c r="AJ294" s="9"/>
      <c r="AK294" s="9"/>
    </row>
    <row r="295" spans="1:37" ht="13.5" customHeight="1">
      <c r="A295" s="180"/>
      <c r="B295" s="9"/>
      <c r="C295" s="103" t="s">
        <v>408</v>
      </c>
      <c r="D295" s="9"/>
      <c r="E295" s="9"/>
      <c r="F295" s="228"/>
      <c r="G295" s="228"/>
      <c r="H295" s="228"/>
      <c r="I295" s="228"/>
      <c r="J295" s="9"/>
      <c r="K295" s="228"/>
      <c r="L295" s="228"/>
      <c r="M295" s="228"/>
      <c r="N295" s="228"/>
      <c r="O295" s="9"/>
      <c r="P295" s="228"/>
      <c r="Q295" s="228"/>
      <c r="R295" s="228"/>
      <c r="S295" s="228"/>
      <c r="T295" s="9"/>
      <c r="U295" s="228"/>
      <c r="V295" s="196">
        <f ca="1">SUM(V289:V294)</f>
        <v>287.41217474164716</v>
      </c>
      <c r="W295" s="196">
        <f ca="1">SUM(W289:W294)</f>
        <v>262.42245105275191</v>
      </c>
      <c r="X295" s="196">
        <f ca="1">SUM(X289:X294)</f>
        <v>246.90626454221396</v>
      </c>
      <c r="Y295" s="9"/>
      <c r="Z295" s="196">
        <f ca="1">SUM(Z289:Z294)</f>
        <v>224.22228500869926</v>
      </c>
      <c r="AA295" s="196">
        <f ca="1">SUM(AA289:AA294)</f>
        <v>219.25751077509224</v>
      </c>
      <c r="AB295" s="196">
        <f ca="1">SUM(AB289:AB294)</f>
        <v>224.16857737162857</v>
      </c>
      <c r="AC295" s="196">
        <f ca="1">SUM(AC289:AC294)</f>
        <v>183.15303879058254</v>
      </c>
      <c r="AD295" s="9"/>
      <c r="AE295" s="197">
        <f ca="1">SUM(AE289:AE294)</f>
        <v>192.49941305929175</v>
      </c>
      <c r="AF295" s="197">
        <f ca="1">SUM(AF289:AF294)</f>
        <v>193.84908297243027</v>
      </c>
      <c r="AG295" s="197">
        <f ca="1">SUM(AG289:AG294)</f>
        <v>178.81846633032063</v>
      </c>
      <c r="AH295" s="9"/>
      <c r="AI295" s="9"/>
      <c r="AJ295" s="9"/>
      <c r="AK295" s="9"/>
    </row>
    <row r="296" spans="1:37" ht="13.5" customHeight="1">
      <c r="A296" s="180"/>
      <c r="B296" s="9"/>
      <c r="C296" s="103" t="s">
        <v>409</v>
      </c>
      <c r="D296" s="9"/>
      <c r="E296" s="9"/>
      <c r="F296" s="228"/>
      <c r="G296" s="228"/>
      <c r="H296" s="228"/>
      <c r="I296" s="228"/>
      <c r="J296" s="9"/>
      <c r="K296" s="228"/>
      <c r="L296" s="228"/>
      <c r="M296" s="228"/>
      <c r="N296" s="228"/>
      <c r="O296" s="9"/>
      <c r="P296" s="228"/>
      <c r="Q296" s="228"/>
      <c r="R296" s="228"/>
      <c r="S296" s="228"/>
      <c r="T296" s="9"/>
      <c r="U296" s="228"/>
      <c r="V296" s="363">
        <f>Drivers!V174</f>
        <v>0</v>
      </c>
      <c r="W296" s="363">
        <f>Drivers!W174</f>
        <v>0</v>
      </c>
      <c r="X296" s="363">
        <f>Drivers!X174</f>
        <v>0</v>
      </c>
      <c r="Y296" s="364"/>
      <c r="Z296" s="363">
        <f>Drivers!Z174</f>
        <v>0</v>
      </c>
      <c r="AA296" s="363">
        <f>Drivers!AA174</f>
        <v>0</v>
      </c>
      <c r="AB296" s="363">
        <f>Drivers!AB174</f>
        <v>0</v>
      </c>
      <c r="AC296" s="363">
        <f>Drivers!AC174</f>
        <v>0</v>
      </c>
      <c r="AD296" s="9"/>
      <c r="AE296" s="365">
        <f>Drivers!AE174</f>
        <v>0</v>
      </c>
      <c r="AF296" s="365">
        <f>Drivers!AF174</f>
        <v>0</v>
      </c>
      <c r="AG296" s="365">
        <f>Drivers!AG174</f>
        <v>0</v>
      </c>
      <c r="AH296" s="9"/>
      <c r="AI296" s="9"/>
      <c r="AJ296" s="9"/>
      <c r="AK296" s="9"/>
    </row>
    <row r="297" spans="1:37" ht="13.5" customHeight="1">
      <c r="A297" s="180"/>
      <c r="B297" s="9"/>
      <c r="C297" s="103" t="s">
        <v>410</v>
      </c>
      <c r="D297" s="9"/>
      <c r="E297" s="9"/>
      <c r="F297" s="228"/>
      <c r="G297" s="228"/>
      <c r="H297" s="228"/>
      <c r="I297" s="228"/>
      <c r="J297" s="9"/>
      <c r="K297" s="228"/>
      <c r="L297" s="228"/>
      <c r="M297" s="228"/>
      <c r="N297" s="228"/>
      <c r="O297" s="9"/>
      <c r="P297" s="228"/>
      <c r="Q297" s="228"/>
      <c r="R297" s="228"/>
      <c r="S297" s="228"/>
      <c r="T297" s="9"/>
      <c r="U297" s="228"/>
      <c r="V297" s="363">
        <f>Drivers!V179</f>
        <v>-1.5</v>
      </c>
      <c r="W297" s="363">
        <f>Drivers!W179</f>
        <v>-1.5</v>
      </c>
      <c r="X297" s="363">
        <f>Drivers!X179</f>
        <v>-1.5</v>
      </c>
      <c r="Y297" s="364"/>
      <c r="Z297" s="363">
        <f>Drivers!Z179</f>
        <v>-1.5</v>
      </c>
      <c r="AA297" s="363">
        <f>Drivers!AA179</f>
        <v>-1.5</v>
      </c>
      <c r="AB297" s="363">
        <f>Drivers!AB179</f>
        <v>-1.5</v>
      </c>
      <c r="AC297" s="363">
        <f>Drivers!AC179</f>
        <v>-1.5</v>
      </c>
      <c r="AD297" s="9"/>
      <c r="AE297" s="365">
        <f>Drivers!AE179</f>
        <v>-6</v>
      </c>
      <c r="AF297" s="365">
        <f>Drivers!AF179</f>
        <v>-6</v>
      </c>
      <c r="AG297" s="365">
        <f>Drivers!AG179</f>
        <v>-6</v>
      </c>
      <c r="AH297" s="9"/>
      <c r="AI297" s="9"/>
      <c r="AJ297" s="9"/>
      <c r="AK297" s="9"/>
    </row>
    <row r="298" spans="1:37" ht="13.5" customHeight="1">
      <c r="A298" s="180"/>
      <c r="B298" s="9"/>
      <c r="C298" s="9" t="s">
        <v>411</v>
      </c>
      <c r="D298" s="9"/>
      <c r="E298" s="9"/>
      <c r="F298" s="228"/>
      <c r="G298" s="228"/>
      <c r="H298" s="228"/>
      <c r="I298" s="228"/>
      <c r="J298" s="9"/>
      <c r="K298" s="228"/>
      <c r="L298" s="228"/>
      <c r="M298" s="228"/>
      <c r="N298" s="228"/>
      <c r="O298" s="9"/>
      <c r="P298" s="228"/>
      <c r="Q298" s="228"/>
      <c r="R298" s="228"/>
      <c r="S298" s="228"/>
      <c r="T298" s="9"/>
      <c r="U298" s="228"/>
      <c r="V298" s="196">
        <f ca="1">SUM(V295:V297)</f>
        <v>285.91217474164716</v>
      </c>
      <c r="W298" s="196">
        <f ca="1">SUM(W295:W297)</f>
        <v>260.92245105275191</v>
      </c>
      <c r="X298" s="196">
        <f ca="1">SUM(X295:X297)</f>
        <v>245.40626454221396</v>
      </c>
      <c r="Y298" s="9"/>
      <c r="Z298" s="196">
        <f ca="1">SUM(Z295:Z297)</f>
        <v>222.72228500869926</v>
      </c>
      <c r="AA298" s="196">
        <f ca="1">SUM(AA295:AA297)</f>
        <v>217.75751077509224</v>
      </c>
      <c r="AB298" s="196">
        <f ca="1">SUM(AB295:AB297)</f>
        <v>222.66857737162857</v>
      </c>
      <c r="AC298" s="196">
        <f ca="1">SUM(AC295:AC297)</f>
        <v>181.65303879058254</v>
      </c>
      <c r="AD298" s="9"/>
      <c r="AE298" s="197">
        <f ca="1">SUM(AE295:AE297)</f>
        <v>186.49941305929175</v>
      </c>
      <c r="AF298" s="197">
        <f ca="1">SUM(AF295:AF297)</f>
        <v>187.84908297243027</v>
      </c>
      <c r="AG298" s="197">
        <f ca="1">SUM(AG295:AG297)</f>
        <v>172.81846633032063</v>
      </c>
      <c r="AH298" s="9"/>
      <c r="AI298" s="9"/>
      <c r="AJ298" s="9"/>
      <c r="AK298" s="9"/>
    </row>
    <row r="299" spans="1:37" ht="13.5" customHeight="1">
      <c r="A299" s="180"/>
      <c r="B299" s="9"/>
      <c r="C299" s="9"/>
      <c r="D299" s="9"/>
      <c r="E299" s="9"/>
      <c r="F299" s="228"/>
      <c r="G299" s="228"/>
      <c r="H299" s="228"/>
      <c r="I299" s="228"/>
      <c r="J299" s="9"/>
      <c r="K299" s="228"/>
      <c r="L299" s="228"/>
      <c r="M299" s="228"/>
      <c r="N299" s="228"/>
      <c r="O299" s="9"/>
      <c r="P299" s="228"/>
      <c r="Q299" s="228"/>
      <c r="R299" s="228"/>
      <c r="S299" s="228"/>
      <c r="T299" s="9"/>
      <c r="U299" s="228"/>
      <c r="V299" s="229"/>
      <c r="W299" s="229"/>
      <c r="X299" s="229"/>
      <c r="Y299" s="9"/>
      <c r="Z299" s="229"/>
      <c r="AA299" s="229"/>
      <c r="AB299" s="229"/>
      <c r="AC299" s="229"/>
      <c r="AD299" s="9"/>
      <c r="AE299" s="9"/>
      <c r="AF299" s="9"/>
      <c r="AG299" s="9"/>
      <c r="AH299" s="9"/>
      <c r="AI299" s="9"/>
      <c r="AJ299" s="9"/>
      <c r="AK299" s="9"/>
    </row>
    <row r="300" spans="1:37" ht="13.5" customHeight="1">
      <c r="A300" s="180"/>
      <c r="B300" s="9"/>
      <c r="C300" s="216" t="s">
        <v>412</v>
      </c>
      <c r="D300" s="9"/>
      <c r="E300" s="9"/>
      <c r="F300" s="366">
        <f t="shared" ref="F300:U300" si="116">F179/F28</f>
        <v>0</v>
      </c>
      <c r="G300" s="366">
        <f t="shared" si="116"/>
        <v>2.7004472493512947E-2</v>
      </c>
      <c r="H300" s="366">
        <f t="shared" si="116"/>
        <v>3.5215701087555243E-2</v>
      </c>
      <c r="I300" s="366">
        <f t="shared" si="116"/>
        <v>-6.6035393836223658E-2</v>
      </c>
      <c r="J300" s="367">
        <f t="shared" si="116"/>
        <v>0</v>
      </c>
      <c r="K300" s="366">
        <f t="shared" si="116"/>
        <v>-0.14163007749706089</v>
      </c>
      <c r="L300" s="366">
        <f t="shared" si="116"/>
        <v>1.6015637315173956E-2</v>
      </c>
      <c r="M300" s="366">
        <f t="shared" si="116"/>
        <v>-4.9335802784519149E-2</v>
      </c>
      <c r="N300" s="366">
        <f t="shared" si="116"/>
        <v>-0.22272662949650468</v>
      </c>
      <c r="O300" s="367">
        <f t="shared" si="116"/>
        <v>-0.11050985660170229</v>
      </c>
      <c r="P300" s="366">
        <f t="shared" si="116"/>
        <v>-0.16586099801251453</v>
      </c>
      <c r="Q300" s="366">
        <f t="shared" si="116"/>
        <v>0.31558210388069247</v>
      </c>
      <c r="R300" s="366">
        <f t="shared" si="116"/>
        <v>-0.2454104040746222</v>
      </c>
      <c r="S300" s="366">
        <f t="shared" si="116"/>
        <v>-0.23018290372929637</v>
      </c>
      <c r="T300" s="367">
        <f t="shared" si="116"/>
        <v>-0.10120567097356951</v>
      </c>
      <c r="U300" s="366">
        <f t="shared" si="116"/>
        <v>0.13860694029256987</v>
      </c>
      <c r="V300" s="368">
        <f ca="1">AVERAGE($F$300:$V$300)</f>
        <v>-5.0029555121031799E-2</v>
      </c>
      <c r="W300" s="368">
        <f ca="1">AVERAGE($F$300:$V$300)</f>
        <v>-5.0029555121031799E-2</v>
      </c>
      <c r="X300" s="368">
        <f ca="1">AVERAGE($F$300:$V$300)</f>
        <v>-5.0029555121031799E-2</v>
      </c>
      <c r="Y300" s="9"/>
      <c r="Z300" s="368">
        <f ca="1">AVERAGE($F$300:$V$300)</f>
        <v>-5.0029555121031799E-2</v>
      </c>
      <c r="AA300" s="368">
        <f ca="1">AVERAGE($F$300:$V$300)</f>
        <v>-5.0029555121031799E-2</v>
      </c>
      <c r="AB300" s="368">
        <f ca="1">AVERAGE($F$300:$V$300)</f>
        <v>-5.0029555121031799E-2</v>
      </c>
      <c r="AC300" s="368">
        <f ca="1">AVERAGE($F$300:$V$300)</f>
        <v>-5.0029555121031799E-2</v>
      </c>
      <c r="AD300" s="9"/>
      <c r="AE300" s="367">
        <f ca="1">AVERAGE($F$300:$V$300)</f>
        <v>-5.0029555121031799E-2</v>
      </c>
      <c r="AF300" s="367">
        <f ca="1">AVERAGE($F$300:$V$300)</f>
        <v>-5.0029555121031799E-2</v>
      </c>
      <c r="AG300" s="367">
        <f ca="1">AVERAGE($F$300:$V$300)</f>
        <v>-5.0029555121031799E-2</v>
      </c>
      <c r="AH300" s="9"/>
      <c r="AI300" s="9"/>
      <c r="AJ300" s="9"/>
      <c r="AK300" s="9"/>
    </row>
    <row r="301" spans="1:37" ht="13.5" customHeight="1">
      <c r="A301" s="180"/>
      <c r="B301" s="9"/>
      <c r="C301" s="9"/>
      <c r="D301" s="9"/>
      <c r="E301" s="9"/>
      <c r="F301" s="228"/>
      <c r="G301" s="228"/>
      <c r="H301" s="228"/>
      <c r="I301" s="228"/>
      <c r="J301" s="9"/>
      <c r="K301" s="228"/>
      <c r="L301" s="228"/>
      <c r="M301" s="228"/>
      <c r="N301" s="228"/>
      <c r="O301" s="9"/>
      <c r="P301" s="228"/>
      <c r="Q301" s="228"/>
      <c r="R301" s="228"/>
      <c r="S301" s="228"/>
      <c r="T301" s="9"/>
      <c r="U301" s="228"/>
      <c r="V301" s="229"/>
      <c r="W301" s="229"/>
      <c r="X301" s="229"/>
      <c r="Y301" s="9"/>
      <c r="Z301" s="229"/>
      <c r="AA301" s="229"/>
      <c r="AB301" s="229"/>
      <c r="AC301" s="229"/>
      <c r="AD301" s="9"/>
      <c r="AE301" s="9"/>
      <c r="AF301" s="9"/>
      <c r="AG301" s="9"/>
      <c r="AH301" s="9"/>
      <c r="AI301" s="9"/>
      <c r="AJ301" s="9"/>
      <c r="AK301" s="9"/>
    </row>
    <row r="302" spans="1:37" ht="13.5" customHeight="1">
      <c r="A302" s="180"/>
      <c r="B302" s="9"/>
      <c r="C302" s="103" t="s">
        <v>413</v>
      </c>
      <c r="D302" s="9"/>
      <c r="E302" s="9"/>
      <c r="F302" s="329"/>
      <c r="G302" s="266"/>
      <c r="H302" s="266"/>
      <c r="I302" s="266"/>
      <c r="J302" s="197"/>
      <c r="K302" s="266"/>
      <c r="L302" s="266"/>
      <c r="M302" s="266"/>
      <c r="N302" s="266"/>
      <c r="O302" s="197"/>
      <c r="P302" s="266"/>
      <c r="Q302" s="266"/>
      <c r="R302" s="266"/>
      <c r="S302" s="266"/>
      <c r="T302" s="197"/>
      <c r="U302" s="266"/>
      <c r="V302" s="196"/>
      <c r="W302" s="196"/>
      <c r="X302" s="196"/>
      <c r="Y302" s="9"/>
      <c r="Z302" s="196"/>
      <c r="AA302" s="196"/>
      <c r="AB302" s="196"/>
      <c r="AC302" s="196"/>
      <c r="AD302" s="9"/>
      <c r="AE302" s="197"/>
      <c r="AF302" s="197"/>
      <c r="AG302" s="197"/>
      <c r="AH302" s="9"/>
      <c r="AI302" s="9"/>
      <c r="AJ302" s="9"/>
      <c r="AK302" s="9"/>
    </row>
    <row r="303" spans="1:37" ht="13.5" customHeight="1">
      <c r="A303" s="180"/>
      <c r="B303" s="9"/>
      <c r="C303" s="103" t="s">
        <v>382</v>
      </c>
      <c r="D303" s="9"/>
      <c r="E303" s="9"/>
      <c r="F303" s="297">
        <f>E305</f>
        <v>0</v>
      </c>
      <c r="G303" s="297">
        <f>F305</f>
        <v>0</v>
      </c>
      <c r="H303" s="297">
        <f>G305</f>
        <v>0</v>
      </c>
      <c r="I303" s="297">
        <f>H305</f>
        <v>0</v>
      </c>
      <c r="J303" s="126">
        <f>F303</f>
        <v>0</v>
      </c>
      <c r="K303" s="297">
        <f>J305</f>
        <v>0</v>
      </c>
      <c r="L303" s="297">
        <f>K305</f>
        <v>0</v>
      </c>
      <c r="M303" s="297">
        <f>L305</f>
        <v>0</v>
      </c>
      <c r="N303" s="297">
        <f>M305</f>
        <v>0</v>
      </c>
      <c r="O303" s="126">
        <f>K303</f>
        <v>0</v>
      </c>
      <c r="P303" s="297">
        <f>O305</f>
        <v>0</v>
      </c>
      <c r="Q303" s="297">
        <f>P305</f>
        <v>0</v>
      </c>
      <c r="R303" s="297">
        <f>Q305</f>
        <v>0</v>
      </c>
      <c r="S303" s="297">
        <f>R305</f>
        <v>0</v>
      </c>
      <c r="T303" s="126">
        <f>P303</f>
        <v>0</v>
      </c>
      <c r="U303" s="297">
        <f>T305</f>
        <v>0</v>
      </c>
      <c r="V303" s="243">
        <f>U305</f>
        <v>0</v>
      </c>
      <c r="W303" s="243">
        <f ca="1">V305</f>
        <v>0</v>
      </c>
      <c r="X303" s="243">
        <f ca="1">W305</f>
        <v>0</v>
      </c>
      <c r="Y303" s="9"/>
      <c r="Z303" s="243">
        <f ca="1">X305</f>
        <v>0</v>
      </c>
      <c r="AA303" s="243">
        <f ca="1">Z305</f>
        <v>0</v>
      </c>
      <c r="AB303" s="243">
        <f ca="1">AA305</f>
        <v>0</v>
      </c>
      <c r="AC303" s="243">
        <f ca="1">AB305</f>
        <v>0</v>
      </c>
      <c r="AD303" s="9"/>
      <c r="AE303" s="242">
        <f ca="1">AC305</f>
        <v>0</v>
      </c>
      <c r="AF303" s="242">
        <f ca="1">AE305</f>
        <v>0</v>
      </c>
      <c r="AG303" s="242">
        <f ca="1">AF305</f>
        <v>0</v>
      </c>
      <c r="AH303" s="9"/>
      <c r="AI303" s="9"/>
      <c r="AJ303" s="9"/>
      <c r="AK303" s="9"/>
    </row>
    <row r="304" spans="1:37" ht="13.5" customHeight="1">
      <c r="A304" s="180"/>
      <c r="B304" s="9"/>
      <c r="C304" s="103" t="s">
        <v>414</v>
      </c>
      <c r="D304" s="9"/>
      <c r="E304" s="9"/>
      <c r="F304" s="297">
        <f>F305-F303</f>
        <v>0</v>
      </c>
      <c r="G304" s="297">
        <f>G305-G303</f>
        <v>0</v>
      </c>
      <c r="H304" s="297">
        <f>H305-H303</f>
        <v>0</v>
      </c>
      <c r="I304" s="297">
        <f>I305-I303</f>
        <v>0</v>
      </c>
      <c r="J304" s="126">
        <f>IF(J306&gt;J303,J306-J303,0)</f>
        <v>0</v>
      </c>
      <c r="K304" s="297">
        <f>K305-K303</f>
        <v>0</v>
      </c>
      <c r="L304" s="297">
        <f>L305-L303</f>
        <v>0</v>
      </c>
      <c r="M304" s="297">
        <f>M305-M303</f>
        <v>0</v>
      </c>
      <c r="N304" s="297">
        <f>N305-N303</f>
        <v>0</v>
      </c>
      <c r="O304" s="126">
        <f>IF(O306&gt;O303,O306-O303,0)</f>
        <v>0</v>
      </c>
      <c r="P304" s="297">
        <f>P305-P303</f>
        <v>0</v>
      </c>
      <c r="Q304" s="297">
        <f>Q305-Q303</f>
        <v>0</v>
      </c>
      <c r="R304" s="297">
        <f>R305-R303</f>
        <v>0</v>
      </c>
      <c r="S304" s="297">
        <f>S305-S303</f>
        <v>0</v>
      </c>
      <c r="T304" s="126">
        <f>IF(T306&gt;T303,T306-T303,0)</f>
        <v>0</v>
      </c>
      <c r="U304" s="297">
        <f>U305-U303</f>
        <v>0</v>
      </c>
      <c r="V304" s="243">
        <f ca="1">IF(V298&lt;0,-V298,IF(V298&gt;V303,-V303,-V298))</f>
        <v>0</v>
      </c>
      <c r="W304" s="243">
        <f ca="1">IF(W298&lt;0,-W298,IF(W298&gt;W303,-W303,-W298))</f>
        <v>0</v>
      </c>
      <c r="X304" s="243">
        <f ca="1">IF(X298&lt;0,-X298,IF(X298&gt;X303,-X303,-X298))</f>
        <v>0</v>
      </c>
      <c r="Y304" s="9"/>
      <c r="Z304" s="243">
        <f ca="1">IF(Z298&lt;0,-Z298,IF(Z298&gt;Z303,-Z303,-Z298))</f>
        <v>0</v>
      </c>
      <c r="AA304" s="243">
        <f ca="1">IF(AA298&lt;0,-AA298,IF(AA298&gt;AA303,-AA303,-AA298))</f>
        <v>0</v>
      </c>
      <c r="AB304" s="243">
        <f ca="1">IF(AB298&lt;0,-AB298,IF(AB298&gt;AB303,-AB303,-AB298))</f>
        <v>0</v>
      </c>
      <c r="AC304" s="243">
        <f ca="1">IF(AC298&lt;0,-AC298,IF(AC298&gt;AC303,-AC303,-AC298))</f>
        <v>0</v>
      </c>
      <c r="AD304" s="9"/>
      <c r="AE304" s="242">
        <f ca="1">IF(AE298&lt;0,-AE298,IF(AE298&gt;AE303,-AE303,-AE298))</f>
        <v>0</v>
      </c>
      <c r="AF304" s="242">
        <f ca="1">IF(AF298&lt;0,-AF298,IF(AF298&gt;AF303,-AF303,-AF298))</f>
        <v>0</v>
      </c>
      <c r="AG304" s="242">
        <f ca="1">IF(AG298&lt;0,-AG298,IF(AG298&gt;AG303,-AG303,-AG298))</f>
        <v>0</v>
      </c>
      <c r="AH304" s="9"/>
      <c r="AI304" s="9"/>
      <c r="AJ304" s="9"/>
      <c r="AK304" s="9"/>
    </row>
    <row r="305" spans="1:37" ht="13.5" customHeight="1">
      <c r="A305" s="180"/>
      <c r="B305" s="9"/>
      <c r="C305" s="9" t="s">
        <v>385</v>
      </c>
      <c r="D305" s="9"/>
      <c r="E305" s="9"/>
      <c r="F305" s="266">
        <f t="shared" ref="F305:U305" si="117">F141</f>
        <v>0</v>
      </c>
      <c r="G305" s="266">
        <f t="shared" si="117"/>
        <v>0</v>
      </c>
      <c r="H305" s="266">
        <f t="shared" si="117"/>
        <v>0</v>
      </c>
      <c r="I305" s="266">
        <f t="shared" si="117"/>
        <v>0</v>
      </c>
      <c r="J305" s="197">
        <f t="shared" si="117"/>
        <v>0</v>
      </c>
      <c r="K305" s="266">
        <f t="shared" si="117"/>
        <v>0</v>
      </c>
      <c r="L305" s="266">
        <f t="shared" si="117"/>
        <v>0</v>
      </c>
      <c r="M305" s="266">
        <f t="shared" si="117"/>
        <v>0</v>
      </c>
      <c r="N305" s="266">
        <f t="shared" si="117"/>
        <v>0</v>
      </c>
      <c r="O305" s="197">
        <f t="shared" si="117"/>
        <v>0</v>
      </c>
      <c r="P305" s="266">
        <f t="shared" si="117"/>
        <v>0</v>
      </c>
      <c r="Q305" s="266">
        <f t="shared" si="117"/>
        <v>0</v>
      </c>
      <c r="R305" s="266">
        <f t="shared" si="117"/>
        <v>0</v>
      </c>
      <c r="S305" s="266">
        <f t="shared" si="117"/>
        <v>0</v>
      </c>
      <c r="T305" s="197">
        <f t="shared" si="117"/>
        <v>0</v>
      </c>
      <c r="U305" s="266">
        <f t="shared" si="117"/>
        <v>0</v>
      </c>
      <c r="V305" s="196">
        <f ca="1">SUM(V303:V304)</f>
        <v>0</v>
      </c>
      <c r="W305" s="196">
        <f ca="1">SUM(W303:W304)</f>
        <v>0</v>
      </c>
      <c r="X305" s="196">
        <f ca="1">SUM(X303:X304)</f>
        <v>0</v>
      </c>
      <c r="Y305" s="9"/>
      <c r="Z305" s="196">
        <f ca="1">SUM(Z303:Z304)</f>
        <v>0</v>
      </c>
      <c r="AA305" s="196">
        <f ca="1">SUM(AA303:AA304)</f>
        <v>0</v>
      </c>
      <c r="AB305" s="196">
        <f ca="1">SUM(AB303:AB304)</f>
        <v>0</v>
      </c>
      <c r="AC305" s="196">
        <f ca="1">SUM(AC303:AC304)</f>
        <v>0</v>
      </c>
      <c r="AD305" s="9"/>
      <c r="AE305" s="197">
        <f ca="1">SUM(AE303:AE304)</f>
        <v>0</v>
      </c>
      <c r="AF305" s="197">
        <f ca="1">SUM(AF303:AF304)</f>
        <v>0</v>
      </c>
      <c r="AG305" s="197">
        <f ca="1">SUM(AG303:AG304)</f>
        <v>0</v>
      </c>
      <c r="AH305" s="9"/>
      <c r="AI305" s="9"/>
      <c r="AJ305" s="9"/>
      <c r="AK305" s="9"/>
    </row>
    <row r="306" spans="1:37" ht="13.5" customHeight="1">
      <c r="A306" s="180"/>
      <c r="B306" s="9"/>
      <c r="C306" s="9"/>
      <c r="D306" s="9"/>
      <c r="E306" s="9"/>
      <c r="F306" s="297"/>
      <c r="G306" s="297"/>
      <c r="H306" s="297"/>
      <c r="I306" s="297"/>
      <c r="J306" s="126"/>
      <c r="K306" s="297"/>
      <c r="L306" s="297"/>
      <c r="M306" s="297"/>
      <c r="N306" s="297"/>
      <c r="O306" s="126"/>
      <c r="P306" s="297"/>
      <c r="Q306" s="297"/>
      <c r="R306" s="297"/>
      <c r="S306" s="297"/>
      <c r="T306" s="126"/>
      <c r="U306" s="297"/>
      <c r="V306" s="272"/>
      <c r="W306" s="272"/>
      <c r="X306" s="272"/>
      <c r="Y306" s="9"/>
      <c r="Z306" s="272"/>
      <c r="AA306" s="272"/>
      <c r="AB306" s="272"/>
      <c r="AC306" s="272"/>
      <c r="AD306" s="9"/>
      <c r="AE306" s="126"/>
      <c r="AF306" s="126"/>
      <c r="AG306" s="126"/>
      <c r="AH306" s="9"/>
      <c r="AI306" s="9"/>
      <c r="AJ306" s="9"/>
      <c r="AK306" s="9"/>
    </row>
    <row r="307" spans="1:37" ht="13.5" customHeight="1">
      <c r="A307" s="180"/>
      <c r="B307" s="9"/>
      <c r="C307" s="95" t="s">
        <v>415</v>
      </c>
      <c r="D307" s="9"/>
      <c r="E307" s="9"/>
      <c r="F307" s="297"/>
      <c r="G307" s="297"/>
      <c r="H307" s="297"/>
      <c r="I307" s="297"/>
      <c r="J307" s="126"/>
      <c r="K307" s="297"/>
      <c r="L307" s="297"/>
      <c r="M307" s="297"/>
      <c r="N307" s="297"/>
      <c r="O307" s="126"/>
      <c r="P307" s="297"/>
      <c r="Q307" s="297"/>
      <c r="R307" s="297"/>
      <c r="S307" s="297"/>
      <c r="T307" s="126"/>
      <c r="U307" s="297"/>
      <c r="V307" s="272"/>
      <c r="W307" s="272"/>
      <c r="X307" s="272"/>
      <c r="Y307" s="9"/>
      <c r="Z307" s="272"/>
      <c r="AA307" s="272"/>
      <c r="AB307" s="272"/>
      <c r="AC307" s="272"/>
      <c r="AD307" s="9"/>
      <c r="AE307" s="126"/>
      <c r="AF307" s="126"/>
      <c r="AG307" s="126"/>
      <c r="AH307" s="9"/>
      <c r="AI307" s="9"/>
      <c r="AJ307" s="9"/>
      <c r="AK307" s="9"/>
    </row>
    <row r="308" spans="1:37" ht="13.5" customHeight="1">
      <c r="A308" s="180"/>
      <c r="B308" s="9"/>
      <c r="C308" s="103" t="s">
        <v>382</v>
      </c>
      <c r="D308" s="9"/>
      <c r="E308" s="9"/>
      <c r="F308" s="329">
        <f>F142</f>
        <v>220.88499999999999</v>
      </c>
      <c r="G308" s="266">
        <f>F311</f>
        <v>220.88499999999999</v>
      </c>
      <c r="H308" s="266">
        <f>G311</f>
        <v>194.11500000000001</v>
      </c>
      <c r="I308" s="266">
        <f>H311</f>
        <v>199.126</v>
      </c>
      <c r="J308" s="197">
        <f>F308</f>
        <v>220.88499999999999</v>
      </c>
      <c r="K308" s="266">
        <f>J311</f>
        <v>213.53299999999999</v>
      </c>
      <c r="L308" s="266">
        <f>K311</f>
        <v>197.93899999999999</v>
      </c>
      <c r="M308" s="266">
        <f>L311</f>
        <v>197.346</v>
      </c>
      <c r="N308" s="266">
        <f>M311</f>
        <v>196.75200000000001</v>
      </c>
      <c r="O308" s="197">
        <f>K308</f>
        <v>213.53299999999999</v>
      </c>
      <c r="P308" s="266">
        <f>O311</f>
        <v>196.15899999999999</v>
      </c>
      <c r="Q308" s="266">
        <f>P311</f>
        <v>195.565</v>
      </c>
      <c r="R308" s="266">
        <f>Q311</f>
        <v>194.971</v>
      </c>
      <c r="S308" s="266">
        <f>R311</f>
        <v>292.024</v>
      </c>
      <c r="T308" s="197">
        <f>P308</f>
        <v>196.15899999999999</v>
      </c>
      <c r="U308" s="266">
        <f>T311</f>
        <v>290.303</v>
      </c>
      <c r="V308" s="196">
        <f>U311</f>
        <v>288.58199999999999</v>
      </c>
      <c r="W308" s="196">
        <f>V311</f>
        <v>287.08199999999999</v>
      </c>
      <c r="X308" s="196">
        <f>W311</f>
        <v>285.58199999999999</v>
      </c>
      <c r="Y308" s="9"/>
      <c r="Z308" s="196">
        <f>X311</f>
        <v>284.08199999999999</v>
      </c>
      <c r="AA308" s="196">
        <f>Z311</f>
        <v>282.58199999999999</v>
      </c>
      <c r="AB308" s="196">
        <f>AA311</f>
        <v>281.08199999999999</v>
      </c>
      <c r="AC308" s="196">
        <f>AB311</f>
        <v>279.58199999999999</v>
      </c>
      <c r="AD308" s="9"/>
      <c r="AE308" s="197">
        <f>AC311</f>
        <v>278.08199999999999</v>
      </c>
      <c r="AF308" s="197">
        <f>AE311</f>
        <v>272.08199999999999</v>
      </c>
      <c r="AG308" s="197">
        <f>AF311</f>
        <v>266.08199999999999</v>
      </c>
      <c r="AH308" s="9"/>
      <c r="AI308" s="9"/>
      <c r="AJ308" s="9"/>
      <c r="AK308" s="9"/>
    </row>
    <row r="309" spans="1:37" ht="13.5" customHeight="1">
      <c r="A309" s="180"/>
      <c r="B309" s="9"/>
      <c r="C309" s="103" t="s">
        <v>301</v>
      </c>
      <c r="D309" s="9"/>
      <c r="E309" s="9"/>
      <c r="F309" s="297">
        <f t="shared" ref="F309:U309" si="118">IF(F311&gt;F308,F311-F308,0)</f>
        <v>0</v>
      </c>
      <c r="G309" s="297">
        <f t="shared" si="118"/>
        <v>0</v>
      </c>
      <c r="H309" s="297">
        <f t="shared" si="118"/>
        <v>5.0109999999999957</v>
      </c>
      <c r="I309" s="297">
        <f t="shared" si="118"/>
        <v>14.406999999999982</v>
      </c>
      <c r="J309" s="126">
        <f t="shared" si="118"/>
        <v>0</v>
      </c>
      <c r="K309" s="297">
        <f t="shared" si="118"/>
        <v>0</v>
      </c>
      <c r="L309" s="297">
        <f t="shared" si="118"/>
        <v>0</v>
      </c>
      <c r="M309" s="297">
        <f t="shared" si="118"/>
        <v>0</v>
      </c>
      <c r="N309" s="297">
        <f t="shared" si="118"/>
        <v>0</v>
      </c>
      <c r="O309" s="126">
        <f t="shared" si="118"/>
        <v>0</v>
      </c>
      <c r="P309" s="297">
        <f t="shared" si="118"/>
        <v>0</v>
      </c>
      <c r="Q309" s="297">
        <f t="shared" si="118"/>
        <v>0</v>
      </c>
      <c r="R309" s="297">
        <f t="shared" si="118"/>
        <v>97.052999999999997</v>
      </c>
      <c r="S309" s="297">
        <f t="shared" si="118"/>
        <v>0</v>
      </c>
      <c r="T309" s="126">
        <f t="shared" si="118"/>
        <v>94.144000000000005</v>
      </c>
      <c r="U309" s="297">
        <f t="shared" si="118"/>
        <v>0</v>
      </c>
      <c r="V309" s="243">
        <f t="shared" ref="V309:X310" si="119">V296</f>
        <v>0</v>
      </c>
      <c r="W309" s="243">
        <f t="shared" si="119"/>
        <v>0</v>
      </c>
      <c r="X309" s="243">
        <f t="shared" si="119"/>
        <v>0</v>
      </c>
      <c r="Y309" s="9"/>
      <c r="Z309" s="243">
        <f t="shared" ref="Z309:AC310" si="120">Z296</f>
        <v>0</v>
      </c>
      <c r="AA309" s="243">
        <f t="shared" si="120"/>
        <v>0</v>
      </c>
      <c r="AB309" s="243">
        <f t="shared" si="120"/>
        <v>0</v>
      </c>
      <c r="AC309" s="243">
        <f t="shared" si="120"/>
        <v>0</v>
      </c>
      <c r="AD309" s="9"/>
      <c r="AE309" s="242">
        <f t="shared" ref="AE309:AG310" si="121">AE296</f>
        <v>0</v>
      </c>
      <c r="AF309" s="242">
        <f t="shared" si="121"/>
        <v>0</v>
      </c>
      <c r="AG309" s="242">
        <f t="shared" si="121"/>
        <v>0</v>
      </c>
      <c r="AH309" s="9"/>
      <c r="AI309" s="9"/>
      <c r="AJ309" s="9"/>
      <c r="AK309" s="9"/>
    </row>
    <row r="310" spans="1:37" ht="13.5" customHeight="1">
      <c r="A310" s="180"/>
      <c r="B310" s="9"/>
      <c r="C310" s="103" t="s">
        <v>416</v>
      </c>
      <c r="D310" s="9"/>
      <c r="E310" s="9"/>
      <c r="F310" s="297">
        <f t="shared" ref="F310:U310" si="122">IF(F308&gt;F311,F311-F308,0)</f>
        <v>0</v>
      </c>
      <c r="G310" s="297">
        <f t="shared" si="122"/>
        <v>-26.769999999999982</v>
      </c>
      <c r="H310" s="297">
        <f t="shared" si="122"/>
        <v>0</v>
      </c>
      <c r="I310" s="297">
        <f t="shared" si="122"/>
        <v>0</v>
      </c>
      <c r="J310" s="126">
        <f t="shared" si="122"/>
        <v>-7.3520000000000039</v>
      </c>
      <c r="K310" s="297">
        <f t="shared" si="122"/>
        <v>-15.593999999999994</v>
      </c>
      <c r="L310" s="297">
        <f t="shared" si="122"/>
        <v>-0.59299999999998931</v>
      </c>
      <c r="M310" s="297">
        <f t="shared" si="122"/>
        <v>-0.59399999999999409</v>
      </c>
      <c r="N310" s="297">
        <f t="shared" si="122"/>
        <v>-0.59300000000001774</v>
      </c>
      <c r="O310" s="126">
        <f>IF(O308&gt;O311,O311-O308,0)</f>
        <v>-17.373999999999995</v>
      </c>
      <c r="P310" s="297">
        <f t="shared" si="122"/>
        <v>-0.59399999999999409</v>
      </c>
      <c r="Q310" s="297">
        <f t="shared" si="122"/>
        <v>-0.59399999999999409</v>
      </c>
      <c r="R310" s="297">
        <f t="shared" si="122"/>
        <v>0</v>
      </c>
      <c r="S310" s="297">
        <f t="shared" si="122"/>
        <v>-1.7210000000000036</v>
      </c>
      <c r="T310" s="126">
        <f t="shared" si="122"/>
        <v>0</v>
      </c>
      <c r="U310" s="297">
        <f t="shared" si="122"/>
        <v>-1.7210000000000036</v>
      </c>
      <c r="V310" s="243">
        <f t="shared" si="119"/>
        <v>-1.5</v>
      </c>
      <c r="W310" s="243">
        <f t="shared" si="119"/>
        <v>-1.5</v>
      </c>
      <c r="X310" s="243">
        <f t="shared" si="119"/>
        <v>-1.5</v>
      </c>
      <c r="Y310" s="9"/>
      <c r="Z310" s="243">
        <f t="shared" si="120"/>
        <v>-1.5</v>
      </c>
      <c r="AA310" s="243">
        <f t="shared" si="120"/>
        <v>-1.5</v>
      </c>
      <c r="AB310" s="243">
        <f t="shared" si="120"/>
        <v>-1.5</v>
      </c>
      <c r="AC310" s="243">
        <f t="shared" si="120"/>
        <v>-1.5</v>
      </c>
      <c r="AD310" s="9"/>
      <c r="AE310" s="242">
        <f t="shared" si="121"/>
        <v>-6</v>
      </c>
      <c r="AF310" s="242">
        <f t="shared" si="121"/>
        <v>-6</v>
      </c>
      <c r="AG310" s="242">
        <f t="shared" si="121"/>
        <v>-6</v>
      </c>
      <c r="AH310" s="9"/>
      <c r="AI310" s="9"/>
      <c r="AJ310" s="9"/>
      <c r="AK310" s="9"/>
    </row>
    <row r="311" spans="1:37" ht="13.5" customHeight="1">
      <c r="A311" s="180"/>
      <c r="B311" s="9"/>
      <c r="C311" s="9" t="s">
        <v>385</v>
      </c>
      <c r="D311" s="9"/>
      <c r="E311" s="9"/>
      <c r="F311" s="266">
        <f t="shared" ref="F311:U311" si="123">F142</f>
        <v>220.88499999999999</v>
      </c>
      <c r="G311" s="266">
        <f t="shared" si="123"/>
        <v>194.11500000000001</v>
      </c>
      <c r="H311" s="266">
        <f t="shared" si="123"/>
        <v>199.126</v>
      </c>
      <c r="I311" s="266">
        <f t="shared" si="123"/>
        <v>213.53299999999999</v>
      </c>
      <c r="J311" s="197">
        <f t="shared" si="123"/>
        <v>213.53299999999999</v>
      </c>
      <c r="K311" s="266">
        <f t="shared" si="123"/>
        <v>197.93899999999999</v>
      </c>
      <c r="L311" s="266">
        <f t="shared" si="123"/>
        <v>197.346</v>
      </c>
      <c r="M311" s="266">
        <f t="shared" si="123"/>
        <v>196.75200000000001</v>
      </c>
      <c r="N311" s="266">
        <f t="shared" si="123"/>
        <v>196.15899999999999</v>
      </c>
      <c r="O311" s="197">
        <f t="shared" si="123"/>
        <v>196.15899999999999</v>
      </c>
      <c r="P311" s="266">
        <f t="shared" si="123"/>
        <v>195.565</v>
      </c>
      <c r="Q311" s="266">
        <f t="shared" si="123"/>
        <v>194.971</v>
      </c>
      <c r="R311" s="266">
        <f t="shared" si="123"/>
        <v>292.024</v>
      </c>
      <c r="S311" s="266">
        <f t="shared" si="123"/>
        <v>290.303</v>
      </c>
      <c r="T311" s="197">
        <f t="shared" si="123"/>
        <v>290.303</v>
      </c>
      <c r="U311" s="266">
        <f t="shared" si="123"/>
        <v>288.58199999999999</v>
      </c>
      <c r="V311" s="196">
        <f>SUM(V308:V310)</f>
        <v>287.08199999999999</v>
      </c>
      <c r="W311" s="196">
        <f>SUM(W308:W310)</f>
        <v>285.58199999999999</v>
      </c>
      <c r="X311" s="196">
        <f>SUM(X308:X310)</f>
        <v>284.08199999999999</v>
      </c>
      <c r="Y311" s="9"/>
      <c r="Z311" s="196">
        <f>SUM(Z308:Z310)</f>
        <v>282.58199999999999</v>
      </c>
      <c r="AA311" s="196">
        <f>SUM(AA308:AA310)</f>
        <v>281.08199999999999</v>
      </c>
      <c r="AB311" s="196">
        <f>SUM(AB308:AB310)</f>
        <v>279.58199999999999</v>
      </c>
      <c r="AC311" s="196">
        <f>SUM(AC308:AC310)</f>
        <v>278.08199999999999</v>
      </c>
      <c r="AD311" s="9"/>
      <c r="AE311" s="197">
        <f>SUM(AE308:AE310)</f>
        <v>272.08199999999999</v>
      </c>
      <c r="AF311" s="197">
        <f>SUM(AF308:AF310)</f>
        <v>266.08199999999999</v>
      </c>
      <c r="AG311" s="197">
        <f>SUM(AG308:AG310)</f>
        <v>260.08199999999999</v>
      </c>
      <c r="AH311" s="9"/>
      <c r="AI311" s="9"/>
      <c r="AJ311" s="9"/>
      <c r="AK311" s="9"/>
    </row>
    <row r="312" spans="1:37" ht="13.5" customHeight="1">
      <c r="A312" s="180"/>
      <c r="B312" s="9"/>
      <c r="C312" s="9"/>
      <c r="D312" s="9"/>
      <c r="E312" s="9"/>
      <c r="F312" s="228"/>
      <c r="G312" s="228"/>
      <c r="H312" s="228"/>
      <c r="I312" s="228"/>
      <c r="J312" s="9"/>
      <c r="K312" s="228"/>
      <c r="L312" s="228"/>
      <c r="M312" s="228"/>
      <c r="N312" s="228"/>
      <c r="O312" s="9"/>
      <c r="P312" s="228"/>
      <c r="Q312" s="228"/>
      <c r="R312" s="228"/>
      <c r="S312" s="228"/>
      <c r="T312" s="9"/>
      <c r="U312" s="228"/>
      <c r="V312" s="229"/>
      <c r="W312" s="229"/>
      <c r="X312" s="229"/>
      <c r="Y312" s="9"/>
      <c r="Z312" s="229"/>
      <c r="AA312" s="229"/>
      <c r="AB312" s="229"/>
      <c r="AC312" s="229"/>
      <c r="AD312" s="9"/>
      <c r="AE312" s="9"/>
      <c r="AF312" s="9"/>
      <c r="AG312" s="9"/>
      <c r="AH312" s="9"/>
      <c r="AI312" s="9"/>
      <c r="AJ312" s="9"/>
      <c r="AK312" s="9"/>
    </row>
    <row r="313" spans="1:37" ht="13.5" customHeight="1">
      <c r="A313" s="180"/>
      <c r="B313" s="9"/>
      <c r="C313" s="95" t="s">
        <v>417</v>
      </c>
      <c r="D313" s="9"/>
      <c r="E313" s="9"/>
      <c r="F313" s="228"/>
      <c r="G313" s="228"/>
      <c r="H313" s="228"/>
      <c r="I313" s="228"/>
      <c r="J313" s="9"/>
      <c r="K313" s="228"/>
      <c r="L313" s="228"/>
      <c r="M313" s="228"/>
      <c r="N313" s="228"/>
      <c r="O313" s="9"/>
      <c r="P313" s="228"/>
      <c r="Q313" s="228"/>
      <c r="R313" s="228"/>
      <c r="S313" s="228"/>
      <c r="T313" s="9"/>
      <c r="U313" s="228"/>
      <c r="V313" s="229"/>
      <c r="W313" s="229"/>
      <c r="X313" s="229"/>
      <c r="Y313" s="9"/>
      <c r="Z313" s="229"/>
      <c r="AA313" s="229"/>
      <c r="AB313" s="229"/>
      <c r="AC313" s="229"/>
      <c r="AD313" s="9"/>
      <c r="AE313" s="9"/>
      <c r="AF313" s="9"/>
      <c r="AG313" s="9"/>
      <c r="AH313" s="9"/>
      <c r="AI313" s="9"/>
      <c r="AJ313" s="9"/>
      <c r="AK313" s="9"/>
    </row>
    <row r="314" spans="1:37" ht="13.5" customHeight="1">
      <c r="A314" s="180"/>
      <c r="B314" s="9"/>
      <c r="C314" s="103" t="s">
        <v>418</v>
      </c>
      <c r="D314" s="9"/>
      <c r="E314" s="9"/>
      <c r="F314" s="228"/>
      <c r="G314" s="228"/>
      <c r="H314" s="228"/>
      <c r="I314" s="228"/>
      <c r="J314" s="9"/>
      <c r="K314" s="228"/>
      <c r="L314" s="228"/>
      <c r="M314" s="228"/>
      <c r="N314" s="228"/>
      <c r="O314" s="9"/>
      <c r="P314" s="228"/>
      <c r="Q314" s="228"/>
      <c r="R314" s="228"/>
      <c r="S314" s="228"/>
      <c r="T314" s="9"/>
      <c r="U314" s="228"/>
      <c r="V314" s="196">
        <f ca="1">IFERROR(AVERAGE(V305,V303),0)</f>
        <v>0</v>
      </c>
      <c r="W314" s="196">
        <f t="shared" ref="W314:X314" ca="1" si="124">IFERROR(AVERAGE(W305,W303),0)</f>
        <v>0</v>
      </c>
      <c r="X314" s="196">
        <f t="shared" ca="1" si="124"/>
        <v>0</v>
      </c>
      <c r="Y314" s="9"/>
      <c r="Z314" s="196">
        <f ca="1">IFERROR(AVERAGE(Z305,Z303),0)</f>
        <v>0</v>
      </c>
      <c r="AA314" s="196">
        <f t="shared" ref="AA314:AG314" ca="1" si="125">IFERROR(AVERAGE(AA305,AA303),0)</f>
        <v>0</v>
      </c>
      <c r="AB314" s="196">
        <f t="shared" ca="1" si="125"/>
        <v>0</v>
      </c>
      <c r="AC314" s="196">
        <f t="shared" ca="1" si="125"/>
        <v>0</v>
      </c>
      <c r="AD314" s="9"/>
      <c r="AE314" s="197">
        <f ca="1">IFERROR(AVERAGE(AE305,AE303),0)</f>
        <v>0</v>
      </c>
      <c r="AF314" s="197">
        <f ca="1">IFERROR(AVERAGE(AF305,AF303),0)</f>
        <v>0</v>
      </c>
      <c r="AG314" s="197">
        <f t="shared" ca="1" si="125"/>
        <v>0</v>
      </c>
      <c r="AH314" s="9"/>
      <c r="AI314" s="9"/>
      <c r="AJ314" s="9"/>
      <c r="AK314" s="9"/>
    </row>
    <row r="315" spans="1:37" ht="13.5" customHeight="1">
      <c r="A315" s="180"/>
      <c r="B315" s="9"/>
      <c r="C315" s="103" t="s">
        <v>419</v>
      </c>
      <c r="D315" s="9"/>
      <c r="E315" s="9"/>
      <c r="F315" s="228"/>
      <c r="G315" s="228"/>
      <c r="H315" s="228"/>
      <c r="I315" s="228"/>
      <c r="J315" s="9"/>
      <c r="K315" s="228"/>
      <c r="L315" s="228"/>
      <c r="M315" s="228"/>
      <c r="N315" s="228"/>
      <c r="O315" s="9"/>
      <c r="P315" s="228"/>
      <c r="Q315" s="228"/>
      <c r="R315" s="228"/>
      <c r="S315" s="228"/>
      <c r="T315" s="9"/>
      <c r="U315" s="228"/>
      <c r="V315" s="369">
        <f>5%/4</f>
        <v>1.2500000000000001E-2</v>
      </c>
      <c r="W315" s="369">
        <f>5%/4</f>
        <v>1.2500000000000001E-2</v>
      </c>
      <c r="X315" s="369">
        <f>5%/4</f>
        <v>1.2500000000000001E-2</v>
      </c>
      <c r="Y315" s="9"/>
      <c r="Z315" s="369">
        <f>5%/4</f>
        <v>1.2500000000000001E-2</v>
      </c>
      <c r="AA315" s="369">
        <f>5%/4</f>
        <v>1.2500000000000001E-2</v>
      </c>
      <c r="AB315" s="369">
        <f>5%/4</f>
        <v>1.2500000000000001E-2</v>
      </c>
      <c r="AC315" s="369">
        <f>5%/4</f>
        <v>1.2500000000000001E-2</v>
      </c>
      <c r="AD315" s="9"/>
      <c r="AE315" s="370">
        <f>5%</f>
        <v>0.05</v>
      </c>
      <c r="AF315" s="370">
        <f>5%</f>
        <v>0.05</v>
      </c>
      <c r="AG315" s="370">
        <f>5%</f>
        <v>0.05</v>
      </c>
      <c r="AH315" s="9"/>
      <c r="AI315" s="9"/>
      <c r="AJ315" s="9"/>
      <c r="AK315" s="9"/>
    </row>
    <row r="316" spans="1:37" ht="13.5" customHeight="1">
      <c r="A316" s="180"/>
      <c r="B316" s="9"/>
      <c r="C316" s="103" t="s">
        <v>270</v>
      </c>
      <c r="D316" s="9"/>
      <c r="E316" s="9"/>
      <c r="F316" s="228"/>
      <c r="G316" s="228"/>
      <c r="H316" s="228"/>
      <c r="I316" s="228"/>
      <c r="J316" s="9"/>
      <c r="K316" s="228"/>
      <c r="L316" s="228"/>
      <c r="M316" s="228"/>
      <c r="N316" s="228"/>
      <c r="O316" s="9"/>
      <c r="P316" s="228"/>
      <c r="Q316" s="228"/>
      <c r="R316" s="228"/>
      <c r="S316" s="228"/>
      <c r="T316" s="9"/>
      <c r="U316" s="228"/>
      <c r="V316" s="196">
        <f ca="1">-(V314*V315)</f>
        <v>0</v>
      </c>
      <c r="W316" s="196">
        <f ca="1">-(W314*W315)</f>
        <v>0</v>
      </c>
      <c r="X316" s="196">
        <f ca="1">-(X314*X315)</f>
        <v>0</v>
      </c>
      <c r="Y316" s="9"/>
      <c r="Z316" s="196">
        <f ca="1">-(Z314*Z315)</f>
        <v>0</v>
      </c>
      <c r="AA316" s="196">
        <f ca="1">-(AA314*AA315)</f>
        <v>0</v>
      </c>
      <c r="AB316" s="196">
        <f ca="1">-(AB314*AB315)</f>
        <v>0</v>
      </c>
      <c r="AC316" s="196">
        <f ca="1">-(AC314*AC315)</f>
        <v>0</v>
      </c>
      <c r="AD316" s="9"/>
      <c r="AE316" s="197">
        <f ca="1">-(AE314*AE315)</f>
        <v>0</v>
      </c>
      <c r="AF316" s="197">
        <f ca="1">-(AF314*AF315)</f>
        <v>0</v>
      </c>
      <c r="AG316" s="197">
        <f ca="1">-(AG314*AG315)</f>
        <v>0</v>
      </c>
      <c r="AH316" s="9"/>
      <c r="AI316" s="9"/>
      <c r="AJ316" s="9"/>
      <c r="AK316" s="9"/>
    </row>
    <row r="317" spans="1:37" ht="13.5" customHeight="1">
      <c r="A317" s="180"/>
      <c r="B317" s="9"/>
      <c r="C317" s="9"/>
      <c r="D317" s="9"/>
      <c r="E317" s="9"/>
      <c r="F317" s="228"/>
      <c r="G317" s="228"/>
      <c r="H317" s="228"/>
      <c r="I317" s="228"/>
      <c r="J317" s="9"/>
      <c r="K317" s="228"/>
      <c r="L317" s="228"/>
      <c r="M317" s="228"/>
      <c r="N317" s="228"/>
      <c r="O317" s="9"/>
      <c r="P317" s="228"/>
      <c r="Q317" s="228"/>
      <c r="R317" s="228"/>
      <c r="S317" s="228"/>
      <c r="T317" s="9"/>
      <c r="U317" s="228"/>
      <c r="V317" s="229"/>
      <c r="W317" s="229"/>
      <c r="X317" s="229"/>
      <c r="Y317" s="9"/>
      <c r="Z317" s="229"/>
      <c r="AA317" s="229"/>
      <c r="AB317" s="229"/>
      <c r="AC317" s="229"/>
      <c r="AD317" s="9"/>
      <c r="AE317" s="9"/>
      <c r="AF317" s="9"/>
      <c r="AG317" s="9"/>
      <c r="AH317" s="9"/>
      <c r="AI317" s="9"/>
      <c r="AJ317" s="9"/>
      <c r="AK317" s="9"/>
    </row>
    <row r="318" spans="1:37" ht="13.5" customHeight="1">
      <c r="A318" s="180"/>
      <c r="B318" s="9"/>
      <c r="C318" s="95" t="s">
        <v>420</v>
      </c>
      <c r="D318" s="9"/>
      <c r="E318" s="9"/>
      <c r="F318" s="228"/>
      <c r="G318" s="228"/>
      <c r="H318" s="228"/>
      <c r="I318" s="228"/>
      <c r="J318" s="9"/>
      <c r="K318" s="228"/>
      <c r="L318" s="228"/>
      <c r="M318" s="228"/>
      <c r="N318" s="228"/>
      <c r="O318" s="9"/>
      <c r="P318" s="228"/>
      <c r="Q318" s="228"/>
      <c r="R318" s="228"/>
      <c r="S318" s="228"/>
      <c r="T318" s="9"/>
      <c r="U318" s="228"/>
      <c r="V318" s="229"/>
      <c r="W318" s="229"/>
      <c r="X318" s="229"/>
      <c r="Y318" s="9"/>
      <c r="Z318" s="229"/>
      <c r="AA318" s="229"/>
      <c r="AB318" s="229"/>
      <c r="AC318" s="229"/>
      <c r="AD318" s="9"/>
      <c r="AE318" s="9"/>
      <c r="AF318" s="9"/>
      <c r="AG318" s="9"/>
      <c r="AH318" s="9"/>
      <c r="AI318" s="9"/>
      <c r="AJ318" s="9"/>
      <c r="AK318" s="9"/>
    </row>
    <row r="319" spans="1:37" ht="13.5" customHeight="1">
      <c r="A319" s="180"/>
      <c r="B319" s="9"/>
      <c r="C319" s="103" t="s">
        <v>418</v>
      </c>
      <c r="D319" s="9"/>
      <c r="E319" s="9"/>
      <c r="F319" s="228"/>
      <c r="G319" s="228"/>
      <c r="H319" s="228"/>
      <c r="I319" s="228"/>
      <c r="J319" s="9"/>
      <c r="K319" s="228"/>
      <c r="L319" s="228"/>
      <c r="M319" s="228"/>
      <c r="N319" s="228"/>
      <c r="O319" s="9"/>
      <c r="P319" s="228"/>
      <c r="Q319" s="228"/>
      <c r="R319" s="228"/>
      <c r="S319" s="228"/>
      <c r="T319" s="9"/>
      <c r="U319" s="228"/>
      <c r="V319" s="196">
        <f>AVERAGE(V311,V308)</f>
        <v>287.83199999999999</v>
      </c>
      <c r="W319" s="196">
        <f>AVERAGE(W311,W308)</f>
        <v>286.33199999999999</v>
      </c>
      <c r="X319" s="196">
        <f>AVERAGE(X311,X308)</f>
        <v>284.83199999999999</v>
      </c>
      <c r="Y319" s="9"/>
      <c r="Z319" s="196">
        <f>AVERAGE(Z311,Z308)</f>
        <v>283.33199999999999</v>
      </c>
      <c r="AA319" s="196">
        <f>AVERAGE(AA311,AA308)</f>
        <v>281.83199999999999</v>
      </c>
      <c r="AB319" s="196">
        <f>AVERAGE(AB311,AB308)</f>
        <v>280.33199999999999</v>
      </c>
      <c r="AC319" s="196">
        <f>AVERAGE(AC311,AC308)</f>
        <v>278.83199999999999</v>
      </c>
      <c r="AD319" s="9"/>
      <c r="AE319" s="197">
        <f>AVERAGE(AE311,AE308)</f>
        <v>275.08199999999999</v>
      </c>
      <c r="AF319" s="197">
        <f>AVERAGE(AF311,AF308)</f>
        <v>269.08199999999999</v>
      </c>
      <c r="AG319" s="197">
        <f>AVERAGE(AG311,AG308)</f>
        <v>263.08199999999999</v>
      </c>
      <c r="AH319" s="9"/>
      <c r="AI319" s="9"/>
      <c r="AJ319" s="9"/>
      <c r="AK319" s="9"/>
    </row>
    <row r="320" spans="1:37" ht="13.5" customHeight="1">
      <c r="A320" s="180"/>
      <c r="B320" s="9"/>
      <c r="C320" s="103" t="s">
        <v>419</v>
      </c>
      <c r="D320" s="9"/>
      <c r="E320" s="9"/>
      <c r="F320" s="228"/>
      <c r="G320" s="228"/>
      <c r="H320" s="228"/>
      <c r="I320" s="228"/>
      <c r="J320" s="9"/>
      <c r="K320" s="228"/>
      <c r="L320" s="228"/>
      <c r="M320" s="228"/>
      <c r="N320" s="228"/>
      <c r="O320" s="9"/>
      <c r="P320" s="228"/>
      <c r="Q320" s="228"/>
      <c r="R320" s="228"/>
      <c r="S320" s="228"/>
      <c r="T320" s="9"/>
      <c r="U320" s="228"/>
      <c r="V320" s="369">
        <v>8.7250000000000001E-3</v>
      </c>
      <c r="W320" s="369">
        <v>8.7250000000000001E-3</v>
      </c>
      <c r="X320" s="369">
        <f>3.49%/4</f>
        <v>8.7250000000000001E-3</v>
      </c>
      <c r="Y320" s="9"/>
      <c r="Z320" s="369">
        <v>8.7250000000000001E-3</v>
      </c>
      <c r="AA320" s="369">
        <v>8.7250000000000001E-3</v>
      </c>
      <c r="AB320" s="369">
        <v>8.7250000000000001E-3</v>
      </c>
      <c r="AC320" s="369">
        <v>8.7250000000000001E-3</v>
      </c>
      <c r="AD320" s="9"/>
      <c r="AE320" s="370">
        <v>3.49E-2</v>
      </c>
      <c r="AF320" s="370">
        <v>3.49E-2</v>
      </c>
      <c r="AG320" s="370">
        <v>3.49E-2</v>
      </c>
      <c r="AH320" s="9"/>
      <c r="AI320" s="9"/>
      <c r="AJ320" s="9"/>
      <c r="AK320" s="9"/>
    </row>
    <row r="321" spans="1:37" ht="13.5" customHeight="1">
      <c r="A321" s="180"/>
      <c r="B321" s="9"/>
      <c r="C321" s="103" t="s">
        <v>270</v>
      </c>
      <c r="D321" s="9"/>
      <c r="E321" s="9"/>
      <c r="F321" s="228"/>
      <c r="G321" s="228"/>
      <c r="H321" s="228"/>
      <c r="I321" s="228"/>
      <c r="J321" s="9"/>
      <c r="K321" s="228"/>
      <c r="L321" s="228"/>
      <c r="M321" s="228"/>
      <c r="N321" s="228"/>
      <c r="O321" s="9"/>
      <c r="P321" s="228"/>
      <c r="Q321" s="228"/>
      <c r="R321" s="228"/>
      <c r="S321" s="228"/>
      <c r="T321" s="9"/>
      <c r="U321" s="228"/>
      <c r="V321" s="196">
        <f>-(V319*V320)</f>
        <v>-2.5113341999999998</v>
      </c>
      <c r="W321" s="196">
        <f>-(W319*W320)</f>
        <v>-2.4982467000000002</v>
      </c>
      <c r="X321" s="196">
        <f>-(X319*X320)</f>
        <v>-2.4851592</v>
      </c>
      <c r="Y321" s="9"/>
      <c r="Z321" s="196">
        <f>-(Z319*Z320)</f>
        <v>-2.4720716999999999</v>
      </c>
      <c r="AA321" s="196">
        <f>-(AA319*AA320)</f>
        <v>-2.4589842000000002</v>
      </c>
      <c r="AB321" s="196">
        <f>-(AB319*AB320)</f>
        <v>-2.4458967</v>
      </c>
      <c r="AC321" s="196">
        <f>-(AC319*AC320)</f>
        <v>-2.4328091999999999</v>
      </c>
      <c r="AD321" s="9"/>
      <c r="AE321" s="197">
        <f>-(AE319*AE320)</f>
        <v>-9.6003617999999999</v>
      </c>
      <c r="AF321" s="197">
        <f>-(AF319*AF320)</f>
        <v>-9.3909617999999995</v>
      </c>
      <c r="AG321" s="197">
        <f>-(AG319*AG320)</f>
        <v>-9.1815618000000008</v>
      </c>
      <c r="AH321" s="9"/>
      <c r="AI321" s="9"/>
      <c r="AJ321" s="9"/>
      <c r="AK321" s="9"/>
    </row>
    <row r="322" spans="1:37" ht="13.5" customHeight="1">
      <c r="A322" s="180"/>
      <c r="B322" s="9"/>
      <c r="C322" s="9"/>
      <c r="D322" s="9"/>
      <c r="E322" s="9"/>
      <c r="F322" s="228"/>
      <c r="G322" s="228"/>
      <c r="H322" s="228"/>
      <c r="I322" s="228"/>
      <c r="J322" s="9"/>
      <c r="K322" s="228"/>
      <c r="L322" s="228"/>
      <c r="M322" s="228"/>
      <c r="N322" s="228"/>
      <c r="O322" s="9"/>
      <c r="P322" s="228"/>
      <c r="Q322" s="228"/>
      <c r="R322" s="228"/>
      <c r="S322" s="228"/>
      <c r="T322" s="9"/>
      <c r="U322" s="228"/>
      <c r="V322" s="229"/>
      <c r="W322" s="229"/>
      <c r="X322" s="229"/>
      <c r="Y322" s="9"/>
      <c r="Z322" s="229"/>
      <c r="AA322" s="229"/>
      <c r="AB322" s="229"/>
      <c r="AC322" s="229"/>
      <c r="AD322" s="9"/>
      <c r="AE322" s="9"/>
      <c r="AF322" s="9"/>
      <c r="AG322" s="9"/>
      <c r="AH322" s="9"/>
      <c r="AI322" s="9"/>
      <c r="AJ322" s="9"/>
      <c r="AK322" s="9"/>
    </row>
    <row r="323" spans="1:37" ht="13.5" customHeight="1">
      <c r="A323" s="180"/>
      <c r="B323" s="299"/>
      <c r="C323" s="70" t="s">
        <v>421</v>
      </c>
      <c r="D323" s="70"/>
      <c r="E323" s="70"/>
      <c r="F323" s="371"/>
      <c r="G323" s="371"/>
      <c r="H323" s="371"/>
      <c r="I323" s="371"/>
      <c r="J323" s="70"/>
      <c r="K323" s="371"/>
      <c r="L323" s="371"/>
      <c r="M323" s="371"/>
      <c r="N323" s="371"/>
      <c r="O323" s="70"/>
      <c r="P323" s="371"/>
      <c r="Q323" s="371"/>
      <c r="R323" s="371"/>
      <c r="S323" s="371"/>
      <c r="T323" s="70"/>
      <c r="U323" s="371"/>
      <c r="V323" s="303">
        <f ca="1">SUM(V316,V321)</f>
        <v>-2.5113341999999998</v>
      </c>
      <c r="W323" s="303">
        <f ca="1">SUM(W316,W321)</f>
        <v>-2.4982467000000002</v>
      </c>
      <c r="X323" s="303">
        <f ca="1">SUM(X316,X321)</f>
        <v>-2.4851592</v>
      </c>
      <c r="Y323" s="70"/>
      <c r="Z323" s="303">
        <f ca="1">SUM(Z316,Z321)</f>
        <v>-2.4720716999999999</v>
      </c>
      <c r="AA323" s="303">
        <f ca="1">SUM(AA316,AA321)</f>
        <v>-2.4589842000000002</v>
      </c>
      <c r="AB323" s="303">
        <f ca="1">SUM(AB316,AB321)</f>
        <v>-2.4458967</v>
      </c>
      <c r="AC323" s="303">
        <f ca="1">SUM(AC316,AC321)</f>
        <v>-2.4328091999999999</v>
      </c>
      <c r="AD323" s="70"/>
      <c r="AE323" s="302">
        <f ca="1">SUM(AE316,AE321)</f>
        <v>-9.6003617999999999</v>
      </c>
      <c r="AF323" s="302">
        <f ca="1">SUM(AF316,AF321)</f>
        <v>-9.3909617999999995</v>
      </c>
      <c r="AG323" s="320">
        <f ca="1">SUM(AG316,AG321)</f>
        <v>-9.1815618000000008</v>
      </c>
      <c r="AH323" s="197"/>
      <c r="AI323" s="9"/>
      <c r="AJ323" s="9"/>
      <c r="AK323" s="9"/>
    </row>
    <row r="324" spans="1:37" ht="13.5" customHeight="1">
      <c r="A324" s="180"/>
      <c r="B324" s="9"/>
      <c r="C324" s="9"/>
      <c r="D324" s="9"/>
      <c r="E324" s="9"/>
      <c r="F324" s="228"/>
      <c r="G324" s="228"/>
      <c r="H324" s="228"/>
      <c r="I324" s="228"/>
      <c r="J324" s="9"/>
      <c r="K324" s="228"/>
      <c r="L324" s="228"/>
      <c r="M324" s="228"/>
      <c r="N324" s="228"/>
      <c r="O324" s="9"/>
      <c r="P324" s="228"/>
      <c r="Q324" s="228"/>
      <c r="R324" s="228"/>
      <c r="S324" s="228"/>
      <c r="T324" s="9"/>
      <c r="U324" s="228"/>
      <c r="V324" s="229"/>
      <c r="W324" s="229"/>
      <c r="X324" s="229"/>
      <c r="Y324" s="9"/>
      <c r="Z324" s="229"/>
      <c r="AA324" s="229"/>
      <c r="AB324" s="229"/>
      <c r="AC324" s="229"/>
      <c r="AD324" s="9"/>
      <c r="AE324" s="9"/>
      <c r="AF324" s="9"/>
      <c r="AG324" s="9"/>
      <c r="AH324" s="9"/>
      <c r="AI324" s="9"/>
      <c r="AJ324" s="9"/>
      <c r="AK324" s="9"/>
    </row>
    <row r="325" spans="1:37" ht="13.5" customHeight="1">
      <c r="A325" s="180"/>
      <c r="B325" s="9"/>
      <c r="C325" s="95" t="s">
        <v>422</v>
      </c>
      <c r="D325" s="9"/>
      <c r="E325" s="9"/>
      <c r="F325" s="228"/>
      <c r="G325" s="228"/>
      <c r="H325" s="228"/>
      <c r="I325" s="228"/>
      <c r="J325" s="9"/>
      <c r="K325" s="228"/>
      <c r="L325" s="228"/>
      <c r="M325" s="228"/>
      <c r="N325" s="228"/>
      <c r="O325" s="9"/>
      <c r="P325" s="228"/>
      <c r="Q325" s="228"/>
      <c r="R325" s="228"/>
      <c r="S325" s="228"/>
      <c r="T325" s="9"/>
      <c r="U325" s="228"/>
      <c r="V325" s="229"/>
      <c r="W325" s="229"/>
      <c r="X325" s="229"/>
      <c r="Y325" s="9"/>
      <c r="Z325" s="229"/>
      <c r="AA325" s="229"/>
      <c r="AB325" s="229"/>
      <c r="AC325" s="229"/>
      <c r="AD325" s="9"/>
      <c r="AE325" s="9"/>
      <c r="AF325" s="9"/>
      <c r="AG325" s="9"/>
      <c r="AH325" s="9"/>
      <c r="AI325" s="9"/>
      <c r="AJ325" s="9"/>
      <c r="AK325" s="9"/>
    </row>
    <row r="326" spans="1:37" ht="13.5" customHeight="1">
      <c r="A326" s="180"/>
      <c r="B326" s="9"/>
      <c r="C326" s="103" t="s">
        <v>418</v>
      </c>
      <c r="D326" s="9"/>
      <c r="E326" s="9"/>
      <c r="F326" s="228"/>
      <c r="G326" s="228"/>
      <c r="H326" s="228"/>
      <c r="I326" s="228"/>
      <c r="J326" s="9"/>
      <c r="K326" s="228"/>
      <c r="L326" s="228"/>
      <c r="M326" s="228"/>
      <c r="N326" s="228"/>
      <c r="O326" s="9"/>
      <c r="P326" s="228"/>
      <c r="Q326" s="228"/>
      <c r="R326" s="228"/>
      <c r="S326" s="228"/>
      <c r="T326" s="9"/>
      <c r="U326" s="228"/>
      <c r="V326" s="196">
        <f ca="1">IFERROR(AVERAGE(U122,V122),0)</f>
        <v>262.25843462173123</v>
      </c>
      <c r="W326" s="196">
        <f ca="1">IFERROR(AVERAGE(V122,W122),0)</f>
        <v>272.14502727884678</v>
      </c>
      <c r="X326" s="196">
        <f ca="1">IFERROR(AVERAGE(W122,X122),0)</f>
        <v>278.55622522805794</v>
      </c>
      <c r="Y326" s="9"/>
      <c r="Z326" s="196">
        <f ca="1">IFERROR(AVERAGE(Y122,Z122),0)</f>
        <v>261.09130604349593</v>
      </c>
      <c r="AA326" s="196">
        <f ca="1">IFERROR(AVERAGE(Z122,AA122),0)</f>
        <v>246.33625381798583</v>
      </c>
      <c r="AB326" s="196">
        <f ca="1">IFERROR(AVERAGE(AA122,AB122),0)</f>
        <v>239.77576798420705</v>
      </c>
      <c r="AC326" s="196">
        <f ca="1">IFERROR(AVERAGE(AB122,AC122),0)</f>
        <v>220.92720115994302</v>
      </c>
      <c r="AD326" s="9"/>
      <c r="AE326" s="197">
        <f ca="1">IFERROR(AVERAGE(AD122,AE122),0)</f>
        <v>231.45528682915614</v>
      </c>
      <c r="AF326" s="197">
        <f ca="1">IFERROR(AVERAGE(AE122,AF122),0)</f>
        <v>262.95135588406612</v>
      </c>
      <c r="AG326" s="197">
        <f ca="1">IFERROR(AVERAGE(AF122,AG122),0)</f>
        <v>260.94711748053749</v>
      </c>
      <c r="AH326" s="9"/>
      <c r="AI326" s="9"/>
      <c r="AJ326" s="9"/>
      <c r="AK326" s="9"/>
    </row>
    <row r="327" spans="1:37" ht="13.5" customHeight="1">
      <c r="A327" s="180"/>
      <c r="B327" s="9"/>
      <c r="C327" s="103" t="s">
        <v>419</v>
      </c>
      <c r="D327" s="9"/>
      <c r="E327" s="9"/>
      <c r="F327" s="228"/>
      <c r="G327" s="228"/>
      <c r="H327" s="228"/>
      <c r="I327" s="228"/>
      <c r="J327" s="9"/>
      <c r="K327" s="228"/>
      <c r="L327" s="228"/>
      <c r="M327" s="228"/>
      <c r="N327" s="228"/>
      <c r="O327" s="9"/>
      <c r="P327" s="228"/>
      <c r="Q327" s="228"/>
      <c r="R327" s="228"/>
      <c r="S327" s="228"/>
      <c r="T327" s="9"/>
      <c r="U327" s="228"/>
      <c r="V327" s="369">
        <v>1.2500000000000001E-2</v>
      </c>
      <c r="W327" s="369">
        <f>V327</f>
        <v>1.2500000000000001E-2</v>
      </c>
      <c r="X327" s="369">
        <f>W327</f>
        <v>1.2500000000000001E-2</v>
      </c>
      <c r="Y327" s="9"/>
      <c r="Z327" s="369">
        <f>X327</f>
        <v>1.2500000000000001E-2</v>
      </c>
      <c r="AA327" s="369">
        <f>Z327</f>
        <v>1.2500000000000001E-2</v>
      </c>
      <c r="AB327" s="369">
        <f>AA327</f>
        <v>1.2500000000000001E-2</v>
      </c>
      <c r="AC327" s="369">
        <f>AB327</f>
        <v>1.2500000000000001E-2</v>
      </c>
      <c r="AD327" s="9"/>
      <c r="AE327" s="370">
        <f>AC327</f>
        <v>1.2500000000000001E-2</v>
      </c>
      <c r="AF327" s="370">
        <f>AE327</f>
        <v>1.2500000000000001E-2</v>
      </c>
      <c r="AG327" s="370">
        <f>AF327</f>
        <v>1.2500000000000001E-2</v>
      </c>
      <c r="AH327" s="9"/>
      <c r="AI327" s="9"/>
      <c r="AJ327" s="9"/>
      <c r="AK327" s="9"/>
    </row>
    <row r="328" spans="1:37" ht="13.5" customHeight="1">
      <c r="A328" s="180"/>
      <c r="B328" s="9"/>
      <c r="C328" s="103" t="s">
        <v>269</v>
      </c>
      <c r="D328" s="9"/>
      <c r="E328" s="9"/>
      <c r="F328" s="228"/>
      <c r="G328" s="228"/>
      <c r="H328" s="228"/>
      <c r="I328" s="228"/>
      <c r="J328" s="9"/>
      <c r="K328" s="228"/>
      <c r="L328" s="228"/>
      <c r="M328" s="228"/>
      <c r="N328" s="228"/>
      <c r="O328" s="9"/>
      <c r="P328" s="228"/>
      <c r="Q328" s="228"/>
      <c r="R328" s="228"/>
      <c r="S328" s="228"/>
      <c r="T328" s="9"/>
      <c r="U328" s="228"/>
      <c r="V328" s="196">
        <f ca="1">V326*V327</f>
        <v>3.2782304327716405</v>
      </c>
      <c r="W328" s="196">
        <f ca="1">W326*W327</f>
        <v>3.4018128409855848</v>
      </c>
      <c r="X328" s="196">
        <f ca="1">X326*X327</f>
        <v>3.4819528153507244</v>
      </c>
      <c r="Y328" s="9"/>
      <c r="Z328" s="196">
        <f ca="1">Z326*Z327</f>
        <v>3.2636413255436993</v>
      </c>
      <c r="AA328" s="196">
        <f ca="1">AA326*AA327</f>
        <v>3.079203172724823</v>
      </c>
      <c r="AB328" s="196">
        <f ca="1">AB326*AB327</f>
        <v>2.9971970998025883</v>
      </c>
      <c r="AC328" s="196">
        <f ca="1">AC326*AC327</f>
        <v>2.761590014499288</v>
      </c>
      <c r="AD328" s="9"/>
      <c r="AE328" s="197">
        <f ca="1">AE326*AE327</f>
        <v>2.8931910853644518</v>
      </c>
      <c r="AF328" s="197">
        <f ca="1">AF326*AF327</f>
        <v>3.2868919485508266</v>
      </c>
      <c r="AG328" s="197">
        <f ca="1">AG326*AG327</f>
        <v>3.2618389685067188</v>
      </c>
      <c r="AH328" s="9"/>
      <c r="AI328" s="9"/>
      <c r="AJ328" s="9"/>
      <c r="AK328" s="9"/>
    </row>
    <row r="329" spans="1:37" ht="13.5" customHeight="1">
      <c r="A329" s="180"/>
      <c r="B329" s="9"/>
      <c r="C329" s="9"/>
      <c r="D329" s="9"/>
      <c r="E329" s="9"/>
      <c r="F329" s="228"/>
      <c r="G329" s="228"/>
      <c r="H329" s="228"/>
      <c r="I329" s="228"/>
      <c r="J329" s="9"/>
      <c r="K329" s="228"/>
      <c r="L329" s="228"/>
      <c r="M329" s="228"/>
      <c r="N329" s="228"/>
      <c r="O329" s="9"/>
      <c r="P329" s="228"/>
      <c r="Q329" s="228"/>
      <c r="R329" s="228"/>
      <c r="S329" s="228"/>
      <c r="T329" s="9"/>
      <c r="U329" s="228"/>
      <c r="V329" s="229"/>
      <c r="W329" s="229"/>
      <c r="X329" s="229"/>
      <c r="Y329" s="9"/>
      <c r="Z329" s="229"/>
      <c r="AA329" s="229"/>
      <c r="AB329" s="229"/>
      <c r="AC329" s="229"/>
      <c r="AD329" s="9"/>
      <c r="AE329" s="9"/>
      <c r="AF329" s="9"/>
      <c r="AG329" s="9"/>
      <c r="AH329" s="9"/>
      <c r="AI329" s="9"/>
      <c r="AJ329" s="9"/>
      <c r="AK329" s="9"/>
    </row>
    <row r="330" spans="1:37" ht="13.5" customHeight="1">
      <c r="A330" s="180"/>
      <c r="B330" s="299"/>
      <c r="C330" s="70" t="s">
        <v>423</v>
      </c>
      <c r="D330" s="70"/>
      <c r="E330" s="70"/>
      <c r="F330" s="371"/>
      <c r="G330" s="371"/>
      <c r="H330" s="371"/>
      <c r="I330" s="371"/>
      <c r="J330" s="70"/>
      <c r="K330" s="371"/>
      <c r="L330" s="371"/>
      <c r="M330" s="371"/>
      <c r="N330" s="371"/>
      <c r="O330" s="70"/>
      <c r="P330" s="371"/>
      <c r="Q330" s="371"/>
      <c r="R330" s="371"/>
      <c r="S330" s="371"/>
      <c r="T330" s="70"/>
      <c r="U330" s="371"/>
      <c r="V330" s="303">
        <f ca="1">V328</f>
        <v>3.2782304327716405</v>
      </c>
      <c r="W330" s="303">
        <f ca="1">W328</f>
        <v>3.4018128409855848</v>
      </c>
      <c r="X330" s="303">
        <f ca="1">X328</f>
        <v>3.4819528153507244</v>
      </c>
      <c r="Y330" s="70"/>
      <c r="Z330" s="303">
        <f ca="1">Z328</f>
        <v>3.2636413255436993</v>
      </c>
      <c r="AA330" s="303">
        <f ca="1">AA328</f>
        <v>3.079203172724823</v>
      </c>
      <c r="AB330" s="303">
        <f ca="1">AB328</f>
        <v>2.9971970998025883</v>
      </c>
      <c r="AC330" s="303">
        <f ca="1">AC328</f>
        <v>2.761590014499288</v>
      </c>
      <c r="AD330" s="70"/>
      <c r="AE330" s="302">
        <f ca="1">AE328</f>
        <v>2.8931910853644518</v>
      </c>
      <c r="AF330" s="302">
        <f ca="1">AF328</f>
        <v>3.2868919485508266</v>
      </c>
      <c r="AG330" s="320">
        <f ca="1">AG328</f>
        <v>3.2618389685067188</v>
      </c>
      <c r="AH330" s="197"/>
      <c r="AI330" s="9"/>
      <c r="AJ330" s="9"/>
      <c r="AK330" s="9"/>
    </row>
    <row r="331" spans="1:37" ht="13.5" customHeight="1">
      <c r="A331" s="180"/>
      <c r="B331" s="9"/>
      <c r="C331" s="9"/>
      <c r="D331" s="9"/>
      <c r="E331" s="9"/>
      <c r="F331" s="228"/>
      <c r="G331" s="228"/>
      <c r="H331" s="228"/>
      <c r="I331" s="228"/>
      <c r="J331" s="9"/>
      <c r="K331" s="228"/>
      <c r="L331" s="228"/>
      <c r="M331" s="228"/>
      <c r="N331" s="228"/>
      <c r="O331" s="9"/>
      <c r="P331" s="228"/>
      <c r="Q331" s="228"/>
      <c r="R331" s="228"/>
      <c r="S331" s="228"/>
      <c r="T331" s="9"/>
      <c r="U331" s="228"/>
      <c r="V331" s="229"/>
      <c r="W331" s="229"/>
      <c r="X331" s="229"/>
      <c r="Y331" s="9"/>
      <c r="Z331" s="229"/>
      <c r="AA331" s="229"/>
      <c r="AB331" s="229"/>
      <c r="AC331" s="229"/>
      <c r="AD331" s="9"/>
      <c r="AE331" s="9"/>
      <c r="AF331" s="9"/>
      <c r="AG331" s="9"/>
      <c r="AH331" s="9"/>
      <c r="AI331" s="9"/>
      <c r="AJ331" s="9"/>
      <c r="AK331" s="9"/>
    </row>
    <row r="332" spans="1:37" ht="13.5" customHeight="1">
      <c r="A332" s="180" t="s">
        <v>0</v>
      </c>
      <c r="B332" s="37" t="s">
        <v>0</v>
      </c>
      <c r="C332" s="50" t="s">
        <v>256</v>
      </c>
      <c r="D332" s="12"/>
      <c r="E332" s="12"/>
      <c r="F332" s="226"/>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2"/>
      <c r="AH332" s="180" t="s">
        <v>0</v>
      </c>
      <c r="AI332" s="9"/>
      <c r="AJ332" s="9"/>
      <c r="AK332" s="9"/>
    </row>
    <row r="333" spans="1:37" ht="13.5" customHeight="1">
      <c r="A333" s="180"/>
      <c r="B333" s="180"/>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spans="1:37" ht="13.5" customHeight="1">
      <c r="A334" s="180"/>
      <c r="B334" s="180"/>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spans="1:37" ht="13.5" customHeight="1">
      <c r="A335" s="180"/>
      <c r="B335" s="180"/>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spans="1:37" ht="13.5" customHeight="1">
      <c r="A336" s="180" t="s">
        <v>0</v>
      </c>
      <c r="B336" s="180" t="s">
        <v>0</v>
      </c>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spans="1:1" ht="13.5" customHeight="1">
      <c r="A337" s="257"/>
    </row>
    <row r="338" spans="1:1" ht="13.5" customHeight="1">
      <c r="A338" s="257"/>
    </row>
    <row r="339" spans="1:1" ht="13.5" customHeight="1">
      <c r="A339" s="257"/>
    </row>
    <row r="340" spans="1:1" ht="13.5" customHeight="1">
      <c r="A340" s="257"/>
    </row>
    <row r="341" spans="1:1" ht="13.5" customHeight="1">
      <c r="A341" s="257"/>
    </row>
    <row r="342" spans="1:1" ht="13.5" customHeight="1">
      <c r="A342" s="257"/>
    </row>
    <row r="343" spans="1:1" ht="13.5" customHeight="1">
      <c r="A343" s="257"/>
    </row>
    <row r="344" spans="1:1" ht="13.5" customHeight="1">
      <c r="A344" s="257"/>
    </row>
    <row r="345" spans="1:1" ht="13.5" customHeight="1">
      <c r="A345" s="257"/>
    </row>
    <row r="346" spans="1:1" ht="13.5" customHeight="1">
      <c r="A346" s="257"/>
    </row>
    <row r="347" spans="1:1" ht="13.5" customHeight="1">
      <c r="A347" s="257"/>
    </row>
    <row r="348" spans="1:1" ht="13.5" customHeight="1">
      <c r="A348" s="257"/>
    </row>
    <row r="349" spans="1:1" ht="13.5" customHeight="1">
      <c r="A349" s="257"/>
    </row>
    <row r="350" spans="1:1" ht="13.5" customHeight="1">
      <c r="A350" s="257"/>
    </row>
    <row r="351" spans="1:1" ht="13.5" customHeight="1">
      <c r="A351" s="257"/>
    </row>
    <row r="352" spans="1:1" ht="13.5" customHeight="1">
      <c r="A352" s="257"/>
    </row>
    <row r="353" spans="1:1" ht="13.5" customHeight="1">
      <c r="A353" s="257"/>
    </row>
    <row r="354" spans="1:1" ht="13.5" customHeight="1">
      <c r="A354" s="257"/>
    </row>
    <row r="355" spans="1:1" ht="13.5" customHeight="1">
      <c r="A355" s="257"/>
    </row>
    <row r="356" spans="1:1" ht="13.5" customHeight="1">
      <c r="A356" s="257"/>
    </row>
    <row r="357" spans="1:1" ht="13.5" customHeight="1">
      <c r="A357" s="257"/>
    </row>
    <row r="358" spans="1:1" ht="13.5" customHeight="1">
      <c r="A358" s="257"/>
    </row>
    <row r="359" spans="1:1" ht="13.5" customHeight="1">
      <c r="A359" s="257"/>
    </row>
    <row r="360" spans="1:1" ht="13.5" customHeight="1">
      <c r="A360" s="257"/>
    </row>
    <row r="361" spans="1:1" ht="13.5" customHeight="1">
      <c r="A361" s="257"/>
    </row>
    <row r="362" spans="1:1" ht="13.5" customHeight="1">
      <c r="A362" s="257"/>
    </row>
    <row r="363" spans="1:1" ht="13.5" customHeight="1">
      <c r="A363" s="257"/>
    </row>
    <row r="364" spans="1:1" ht="13.5" customHeight="1">
      <c r="A364" s="257"/>
    </row>
    <row r="365" spans="1:1" ht="13.5" customHeight="1">
      <c r="A365" s="257"/>
    </row>
    <row r="366" spans="1:1" ht="13.5" customHeight="1">
      <c r="A366" s="257"/>
    </row>
    <row r="367" spans="1:1" ht="13.5" customHeight="1">
      <c r="A367" s="257"/>
    </row>
    <row r="368" spans="1:1" ht="13.5" customHeight="1">
      <c r="A368" s="257"/>
    </row>
    <row r="369" spans="1:1" ht="13.5" customHeight="1">
      <c r="A369" s="257"/>
    </row>
    <row r="370" spans="1:1" ht="13.5" customHeight="1">
      <c r="A370" s="257"/>
    </row>
    <row r="371" spans="1:1" ht="13.5" customHeight="1">
      <c r="A371" s="257"/>
    </row>
    <row r="372" spans="1:1" ht="13.5" customHeight="1">
      <c r="A372" s="257"/>
    </row>
    <row r="373" spans="1:1" ht="13.5" customHeight="1">
      <c r="A373" s="257"/>
    </row>
    <row r="374" spans="1:1" ht="13.5" customHeight="1">
      <c r="A374" s="257"/>
    </row>
    <row r="375" spans="1:1" ht="13.5" customHeight="1">
      <c r="A375" s="257"/>
    </row>
    <row r="376" spans="1:1" ht="13.5" customHeight="1">
      <c r="A376" s="257"/>
    </row>
    <row r="377" spans="1:1" ht="13.5" customHeight="1">
      <c r="A377" s="257"/>
    </row>
    <row r="378" spans="1:1" ht="13.5" customHeight="1">
      <c r="A378" s="257"/>
    </row>
    <row r="379" spans="1:1" ht="13.5" customHeight="1">
      <c r="A379" s="257"/>
    </row>
    <row r="380" spans="1:1" ht="13.5" customHeight="1">
      <c r="A380" s="257"/>
    </row>
    <row r="381" spans="1:1" ht="13.5" customHeight="1">
      <c r="A381" s="257"/>
    </row>
    <row r="382" spans="1:1" ht="13.5" customHeight="1">
      <c r="A382" s="257"/>
    </row>
    <row r="383" spans="1:1" ht="13.5" customHeight="1">
      <c r="A383" s="257"/>
    </row>
    <row r="384" spans="1:1" ht="13.5" customHeight="1">
      <c r="A384" s="257"/>
    </row>
    <row r="385" spans="1:1" ht="13.5" customHeight="1">
      <c r="A385" s="257"/>
    </row>
    <row r="386" spans="1:1" ht="13.5" customHeight="1">
      <c r="A386" s="257"/>
    </row>
    <row r="387" spans="1:1" ht="13.5" customHeight="1">
      <c r="A387" s="257"/>
    </row>
    <row r="388" spans="1:1" ht="13.5" customHeight="1">
      <c r="A388" s="257"/>
    </row>
    <row r="389" spans="1:1" ht="13.5" customHeight="1">
      <c r="A389" s="257"/>
    </row>
    <row r="390" spans="1:1" ht="13.5" customHeight="1">
      <c r="A390" s="257"/>
    </row>
    <row r="391" spans="1:1" ht="13.5" customHeight="1">
      <c r="A391" s="257"/>
    </row>
    <row r="392" spans="1:1" ht="13.5" customHeight="1">
      <c r="A392" s="257"/>
    </row>
    <row r="393" spans="1:1" ht="13.5" customHeight="1">
      <c r="A393" s="257"/>
    </row>
    <row r="394" spans="1:1" ht="13.5" customHeight="1">
      <c r="A394" s="257"/>
    </row>
    <row r="395" spans="1:1" ht="13.5" customHeight="1">
      <c r="A395" s="257"/>
    </row>
    <row r="396" spans="1:1" ht="13.5" customHeight="1">
      <c r="A396" s="257"/>
    </row>
    <row r="397" spans="1:1" ht="13.5" customHeight="1">
      <c r="A397" s="257"/>
    </row>
    <row r="398" spans="1:1" ht="13.5" customHeight="1">
      <c r="A398" s="257"/>
    </row>
    <row r="399" spans="1:1" ht="13.5" customHeight="1">
      <c r="A399" s="257"/>
    </row>
    <row r="400" spans="1:1" ht="13.5" customHeight="1">
      <c r="A400" s="257"/>
    </row>
    <row r="401" spans="1:1" ht="13.5" customHeight="1">
      <c r="A401" s="257"/>
    </row>
    <row r="402" spans="1:1" ht="13.5" customHeight="1">
      <c r="A402" s="257"/>
    </row>
    <row r="403" spans="1:1" ht="13.5" customHeight="1">
      <c r="A403" s="257"/>
    </row>
    <row r="404" spans="1:1" ht="13.5" customHeight="1">
      <c r="A404" s="257"/>
    </row>
    <row r="405" spans="1:1" ht="13.5" customHeight="1">
      <c r="A405" s="257"/>
    </row>
    <row r="406" spans="1:1" ht="13.5" customHeight="1">
      <c r="A406" s="257"/>
    </row>
    <row r="407" spans="1:1" ht="13.5" customHeight="1">
      <c r="A407" s="257"/>
    </row>
    <row r="408" spans="1:1" ht="13.5" customHeight="1">
      <c r="A408" s="257"/>
    </row>
    <row r="409" spans="1:1" ht="13.5" customHeight="1">
      <c r="A409" s="257"/>
    </row>
    <row r="410" spans="1:1" ht="13.5" customHeight="1">
      <c r="A410" s="257"/>
    </row>
    <row r="411" spans="1:1" ht="13.5" customHeight="1">
      <c r="A411" s="257"/>
    </row>
    <row r="412" spans="1:1" ht="13.5" customHeight="1">
      <c r="A412" s="257"/>
    </row>
    <row r="413" spans="1:1" ht="13.5" customHeight="1">
      <c r="A413" s="257"/>
    </row>
    <row r="414" spans="1:1" ht="13.5" customHeight="1">
      <c r="A414" s="257"/>
    </row>
    <row r="415" spans="1:1" ht="13.5" customHeight="1">
      <c r="A415" s="257"/>
    </row>
    <row r="416" spans="1:1" ht="13.5" customHeight="1">
      <c r="A416" s="257"/>
    </row>
    <row r="417" spans="1:1" ht="13.5" customHeight="1">
      <c r="A417" s="257"/>
    </row>
    <row r="418" spans="1:1" ht="13.5" customHeight="1">
      <c r="A418" s="257"/>
    </row>
    <row r="419" spans="1:1" ht="13.5" customHeight="1">
      <c r="A419" s="257"/>
    </row>
    <row r="420" spans="1:1" ht="13.5" customHeight="1">
      <c r="A420" s="257"/>
    </row>
    <row r="421" spans="1:1" ht="13.5" customHeight="1">
      <c r="A421" s="257"/>
    </row>
    <row r="422" spans="1:1" ht="13.5" customHeight="1">
      <c r="A422" s="257"/>
    </row>
    <row r="423" spans="1:1" ht="13.5" customHeight="1">
      <c r="A423" s="257"/>
    </row>
    <row r="424" spans="1:1" ht="13.5" customHeight="1">
      <c r="A424" s="257"/>
    </row>
    <row r="425" spans="1:1" ht="13.5" customHeight="1">
      <c r="A425" s="257"/>
    </row>
    <row r="426" spans="1:1" ht="13.5" customHeight="1">
      <c r="A426" s="257"/>
    </row>
    <row r="427" spans="1:1" ht="13.5" customHeight="1">
      <c r="A427" s="257"/>
    </row>
    <row r="428" spans="1:1" ht="13.5" customHeight="1">
      <c r="A428" s="257"/>
    </row>
    <row r="429" spans="1:1" ht="13.5" customHeight="1">
      <c r="A429" s="257"/>
    </row>
    <row r="430" spans="1:1" ht="13.5" customHeight="1">
      <c r="A430" s="257"/>
    </row>
    <row r="431" spans="1:1" ht="13.5" customHeight="1">
      <c r="A431" s="257"/>
    </row>
    <row r="432" spans="1:1" ht="13.5" customHeight="1">
      <c r="A432" s="257"/>
    </row>
    <row r="433" spans="1:1" ht="13.5" customHeight="1">
      <c r="A433" s="257"/>
    </row>
    <row r="434" spans="1:1" ht="13.5" customHeight="1">
      <c r="A434" s="257"/>
    </row>
    <row r="435" spans="1:1" ht="13.5" customHeight="1">
      <c r="A435" s="257"/>
    </row>
    <row r="436" spans="1:1" ht="13.5" customHeight="1">
      <c r="A436" s="257"/>
    </row>
    <row r="437" spans="1:1" ht="13.5" customHeight="1">
      <c r="A437" s="257"/>
    </row>
    <row r="438" spans="1:1" ht="13.5" customHeight="1">
      <c r="A438" s="257"/>
    </row>
    <row r="439" spans="1:1" ht="13.5" customHeight="1">
      <c r="A439" s="257"/>
    </row>
    <row r="440" spans="1:1" ht="13.5" customHeight="1">
      <c r="A440" s="257"/>
    </row>
    <row r="441" spans="1:1" ht="13.5" customHeight="1">
      <c r="A441" s="257"/>
    </row>
    <row r="442" spans="1:1" ht="13.5" customHeight="1">
      <c r="A442" s="257"/>
    </row>
    <row r="443" spans="1:1" ht="13.5" customHeight="1">
      <c r="A443" s="257"/>
    </row>
    <row r="444" spans="1:1" ht="13.5" customHeight="1">
      <c r="A444" s="257"/>
    </row>
    <row r="445" spans="1:1" ht="13.5" customHeight="1">
      <c r="A445" s="257"/>
    </row>
    <row r="446" spans="1:1" ht="13.5" customHeight="1">
      <c r="A446" s="257"/>
    </row>
    <row r="447" spans="1:1" ht="13.5" customHeight="1">
      <c r="A447" s="257"/>
    </row>
    <row r="448" spans="1:1" ht="13.5" customHeight="1">
      <c r="A448" s="257"/>
    </row>
    <row r="449" spans="1:1" ht="13.5" customHeight="1">
      <c r="A449" s="257"/>
    </row>
    <row r="450" spans="1:1" ht="13.5" customHeight="1">
      <c r="A450" s="257"/>
    </row>
    <row r="451" spans="1:1" ht="13.5" customHeight="1">
      <c r="A451" s="257"/>
    </row>
    <row r="452" spans="1:1" ht="13.5" customHeight="1">
      <c r="A452" s="257"/>
    </row>
    <row r="453" spans="1:1" ht="13.5" customHeight="1">
      <c r="A453" s="257"/>
    </row>
    <row r="454" spans="1:1" ht="13.5" customHeight="1">
      <c r="A454" s="257"/>
    </row>
    <row r="455" spans="1:1" ht="13.5" customHeight="1">
      <c r="A455" s="257"/>
    </row>
    <row r="456" spans="1:1" ht="13.5" customHeight="1">
      <c r="A456" s="257"/>
    </row>
    <row r="457" spans="1:1" ht="13.5" customHeight="1">
      <c r="A457" s="257"/>
    </row>
    <row r="458" spans="1:1" ht="13.5" customHeight="1">
      <c r="A458" s="257"/>
    </row>
    <row r="459" spans="1:1" ht="13.5" customHeight="1">
      <c r="A459" s="257"/>
    </row>
    <row r="460" spans="1:1" ht="13.5" customHeight="1">
      <c r="A460" s="257"/>
    </row>
    <row r="461" spans="1:1" ht="13.5" customHeight="1">
      <c r="A461" s="257"/>
    </row>
    <row r="462" spans="1:1" ht="13.5" customHeight="1">
      <c r="A462" s="257"/>
    </row>
    <row r="463" spans="1:1" ht="13.5" customHeight="1">
      <c r="A463" s="257"/>
    </row>
    <row r="464" spans="1:1" ht="13.5" customHeight="1">
      <c r="A464" s="257"/>
    </row>
    <row r="465" spans="1:1" ht="13.5" customHeight="1">
      <c r="A465" s="257"/>
    </row>
    <row r="466" spans="1:1" ht="13.5" customHeight="1">
      <c r="A466" s="257"/>
    </row>
    <row r="467" spans="1:1" ht="13.5" customHeight="1">
      <c r="A467" s="257"/>
    </row>
    <row r="468" spans="1:1" ht="13.5" customHeight="1">
      <c r="A468" s="257"/>
    </row>
    <row r="469" spans="1:1" ht="13.5" customHeight="1">
      <c r="A469" s="257"/>
    </row>
    <row r="470" spans="1:1" ht="13.5" customHeight="1">
      <c r="A470" s="257"/>
    </row>
    <row r="471" spans="1:1" ht="13.5" customHeight="1">
      <c r="A471" s="257"/>
    </row>
    <row r="472" spans="1:1" ht="13.5" customHeight="1">
      <c r="A472" s="257"/>
    </row>
    <row r="473" spans="1:1" ht="13.5" customHeight="1">
      <c r="A473" s="257"/>
    </row>
    <row r="474" spans="1:1" ht="13.5" customHeight="1">
      <c r="A474" s="257"/>
    </row>
    <row r="475" spans="1:1" ht="13.5" customHeight="1">
      <c r="A475" s="257"/>
    </row>
    <row r="476" spans="1:1" ht="13.5" customHeight="1">
      <c r="A476" s="257"/>
    </row>
    <row r="477" spans="1:1" ht="13.5" customHeight="1">
      <c r="A477" s="257"/>
    </row>
    <row r="478" spans="1:1" ht="13.5" customHeight="1">
      <c r="A478" s="257"/>
    </row>
    <row r="479" spans="1:1" ht="13.5" customHeight="1">
      <c r="A479" s="257"/>
    </row>
    <row r="480" spans="1:1" ht="13.5" customHeight="1">
      <c r="A480" s="257"/>
    </row>
    <row r="481" spans="1:1" ht="13.5" customHeight="1">
      <c r="A481" s="257"/>
    </row>
    <row r="482" spans="1:1" ht="13.5" customHeight="1">
      <c r="A482" s="257"/>
    </row>
    <row r="483" spans="1:1" ht="13.5" customHeight="1">
      <c r="A483" s="257"/>
    </row>
    <row r="484" spans="1:1" ht="13.5" customHeight="1">
      <c r="A484" s="257"/>
    </row>
    <row r="485" spans="1:1" ht="13.5" customHeight="1">
      <c r="A485" s="257"/>
    </row>
    <row r="486" spans="1:1" ht="13.5" customHeight="1">
      <c r="A486" s="257"/>
    </row>
    <row r="487" spans="1:1" ht="13.5" customHeight="1">
      <c r="A487" s="257"/>
    </row>
    <row r="488" spans="1:1" ht="13.5" customHeight="1">
      <c r="A488" s="257"/>
    </row>
    <row r="489" spans="1:1" ht="13.5" customHeight="1">
      <c r="A489" s="257"/>
    </row>
    <row r="490" spans="1:1" ht="13.5" customHeight="1">
      <c r="A490" s="257"/>
    </row>
    <row r="491" spans="1:1" ht="13.5" customHeight="1">
      <c r="A491" s="257"/>
    </row>
    <row r="492" spans="1:1" ht="13.5" customHeight="1">
      <c r="A492" s="257"/>
    </row>
    <row r="493" spans="1:1" ht="13.5" customHeight="1">
      <c r="A493" s="257"/>
    </row>
    <row r="494" spans="1:1" ht="13.5" customHeight="1">
      <c r="A494" s="257"/>
    </row>
    <row r="495" spans="1:1" ht="13.5" customHeight="1">
      <c r="A495" s="257"/>
    </row>
    <row r="496" spans="1:1" ht="13.5" customHeight="1">
      <c r="A496" s="257"/>
    </row>
    <row r="497" spans="1:1" ht="13.5" customHeight="1">
      <c r="A497" s="257"/>
    </row>
    <row r="498" spans="1:1" ht="13.5" customHeight="1">
      <c r="A498" s="257"/>
    </row>
    <row r="499" spans="1:1" ht="13.5" customHeight="1">
      <c r="A499" s="257"/>
    </row>
    <row r="500" spans="1:1" ht="13.5" customHeight="1">
      <c r="A500" s="257"/>
    </row>
    <row r="501" spans="1:1" ht="13.5" customHeight="1">
      <c r="A501" s="257"/>
    </row>
    <row r="502" spans="1:1" ht="13.5" customHeight="1">
      <c r="A502" s="257"/>
    </row>
    <row r="503" spans="1:1" ht="13.5" customHeight="1">
      <c r="A503" s="257"/>
    </row>
    <row r="504" spans="1:1" ht="13.5" customHeight="1">
      <c r="A504" s="257"/>
    </row>
    <row r="505" spans="1:1" ht="13.5" customHeight="1">
      <c r="A505" s="257"/>
    </row>
    <row r="506" spans="1:1" ht="13.5" customHeight="1">
      <c r="A506" s="257"/>
    </row>
    <row r="507" spans="1:1" ht="13.5" customHeight="1">
      <c r="A507" s="257"/>
    </row>
    <row r="508" spans="1:1" ht="13.5" customHeight="1">
      <c r="A508" s="257"/>
    </row>
    <row r="509" spans="1:1" ht="13.5" customHeight="1">
      <c r="A509" s="257"/>
    </row>
    <row r="510" spans="1:1" ht="13.5" customHeight="1">
      <c r="A510" s="257"/>
    </row>
    <row r="511" spans="1:1" ht="13.5" customHeight="1">
      <c r="A511" s="257"/>
    </row>
    <row r="512" spans="1:1" ht="13.5" customHeight="1">
      <c r="A512" s="257"/>
    </row>
    <row r="513" spans="1:1" ht="13.5" customHeight="1">
      <c r="A513" s="257"/>
    </row>
    <row r="514" spans="1:1" ht="13.5" customHeight="1">
      <c r="A514" s="257"/>
    </row>
    <row r="515" spans="1:1" ht="13.5" customHeight="1">
      <c r="A515" s="257"/>
    </row>
    <row r="516" spans="1:1" ht="13.5" customHeight="1">
      <c r="A516" s="257"/>
    </row>
    <row r="517" spans="1:1" ht="13.5" customHeight="1">
      <c r="A517" s="257"/>
    </row>
    <row r="518" spans="1:1" ht="13.5" customHeight="1">
      <c r="A518" s="257"/>
    </row>
    <row r="519" spans="1:1" ht="13.5" customHeight="1">
      <c r="A519" s="257"/>
    </row>
    <row r="520" spans="1:1" ht="13.5" customHeight="1">
      <c r="A520" s="257"/>
    </row>
    <row r="521" spans="1:1" ht="13.5" customHeight="1">
      <c r="A521" s="257"/>
    </row>
    <row r="522" spans="1:1" ht="13.5" customHeight="1">
      <c r="A522" s="257"/>
    </row>
    <row r="523" spans="1:1" ht="13.5" customHeight="1">
      <c r="A523" s="257"/>
    </row>
    <row r="524" spans="1:1" ht="13.5" customHeight="1">
      <c r="A524" s="257"/>
    </row>
    <row r="525" spans="1:1" ht="13.5" customHeight="1">
      <c r="A525" s="257"/>
    </row>
    <row r="526" spans="1:1" ht="13.5" customHeight="1">
      <c r="A526" s="257"/>
    </row>
    <row r="527" spans="1:1" ht="13.5" customHeight="1">
      <c r="A527" s="257"/>
    </row>
    <row r="528" spans="1:1" ht="13.5" customHeight="1">
      <c r="A528" s="257"/>
    </row>
    <row r="529" spans="1:1" ht="13.5" customHeight="1">
      <c r="A529" s="257"/>
    </row>
    <row r="530" spans="1:1" ht="13.5" customHeight="1">
      <c r="A530" s="257"/>
    </row>
    <row r="531" spans="1:1" ht="13.5" customHeight="1">
      <c r="A531" s="257"/>
    </row>
    <row r="532" spans="1:1" ht="13.5" customHeight="1">
      <c r="A532" s="257"/>
    </row>
    <row r="533" spans="1:1" ht="13.5" customHeight="1">
      <c r="A533" s="257"/>
    </row>
    <row r="534" spans="1:1" ht="13.5" customHeight="1">
      <c r="A534" s="257"/>
    </row>
    <row r="535" spans="1:1" ht="13.5" customHeight="1">
      <c r="A535" s="257"/>
    </row>
    <row r="536" spans="1:1" ht="13.5" customHeight="1">
      <c r="A536" s="257"/>
    </row>
    <row r="537" spans="1:1" ht="13.5" customHeight="1">
      <c r="A537" s="257"/>
    </row>
    <row r="538" spans="1:1" ht="13.5" customHeight="1">
      <c r="A538" s="257"/>
    </row>
    <row r="539" spans="1:1" ht="13.5" customHeight="1">
      <c r="A539" s="257"/>
    </row>
    <row r="540" spans="1:1" ht="13.5" customHeight="1">
      <c r="A540" s="257"/>
    </row>
    <row r="541" spans="1:1" ht="13.5" customHeight="1">
      <c r="A541" s="257"/>
    </row>
    <row r="542" spans="1:1" ht="13.5" customHeight="1">
      <c r="A542" s="257"/>
    </row>
    <row r="543" spans="1:1" ht="13.5" customHeight="1">
      <c r="A543" s="257"/>
    </row>
    <row r="544" spans="1:1" ht="13.5" customHeight="1">
      <c r="A544" s="257"/>
    </row>
    <row r="545" spans="1:1" ht="13.5" customHeight="1">
      <c r="A545" s="257"/>
    </row>
    <row r="546" spans="1:1" ht="13.5" customHeight="1">
      <c r="A546" s="257"/>
    </row>
    <row r="547" spans="1:1" ht="13.5" customHeight="1">
      <c r="A547" s="257"/>
    </row>
    <row r="548" spans="1:1" ht="13.5" customHeight="1">
      <c r="A548" s="257"/>
    </row>
    <row r="549" spans="1:1" ht="13.5" customHeight="1">
      <c r="A549" s="257"/>
    </row>
    <row r="550" spans="1:1" ht="13.5" customHeight="1">
      <c r="A550" s="257"/>
    </row>
    <row r="551" spans="1:1" ht="13.5" customHeight="1">
      <c r="A551" s="257"/>
    </row>
    <row r="552" spans="1:1" ht="13.5" customHeight="1">
      <c r="A552" s="257"/>
    </row>
    <row r="553" spans="1:1" ht="13.5" customHeight="1">
      <c r="A553" s="257"/>
    </row>
    <row r="554" spans="1:1" ht="13.5" customHeight="1">
      <c r="A554" s="257"/>
    </row>
    <row r="555" spans="1:1" ht="13.5" customHeight="1">
      <c r="A555" s="257"/>
    </row>
    <row r="556" spans="1:1" ht="13.5" customHeight="1">
      <c r="A556" s="257"/>
    </row>
    <row r="557" spans="1:1" ht="13.5" customHeight="1">
      <c r="A557" s="257"/>
    </row>
    <row r="558" spans="1:1" ht="13.5" customHeight="1">
      <c r="A558" s="257"/>
    </row>
    <row r="559" spans="1:1" ht="13.5" customHeight="1">
      <c r="A559" s="257"/>
    </row>
    <row r="560" spans="1:1" ht="13.5" customHeight="1">
      <c r="A560" s="257"/>
    </row>
    <row r="561" spans="1:1" ht="13.5" customHeight="1">
      <c r="A561" s="257"/>
    </row>
    <row r="562" spans="1:1" ht="13.5" customHeight="1">
      <c r="A562" s="257"/>
    </row>
    <row r="563" spans="1:1" ht="13.5" customHeight="1">
      <c r="A563" s="257"/>
    </row>
    <row r="564" spans="1:1" ht="13.5" customHeight="1">
      <c r="A564" s="257"/>
    </row>
    <row r="565" spans="1:1" ht="13.5" customHeight="1">
      <c r="A565" s="257"/>
    </row>
    <row r="566" spans="1:1" ht="13.5" customHeight="1">
      <c r="A566" s="257"/>
    </row>
    <row r="567" spans="1:1" ht="13.5" customHeight="1">
      <c r="A567" s="257"/>
    </row>
    <row r="568" spans="1:1" ht="13.5" customHeight="1">
      <c r="A568" s="257"/>
    </row>
    <row r="569" spans="1:1" ht="13.5" customHeight="1">
      <c r="A569" s="257"/>
    </row>
    <row r="570" spans="1:1" ht="13.5" customHeight="1">
      <c r="A570" s="257"/>
    </row>
    <row r="571" spans="1:1" ht="13.5" customHeight="1">
      <c r="A571" s="257"/>
    </row>
    <row r="572" spans="1:1" ht="13.5" customHeight="1">
      <c r="A572" s="257"/>
    </row>
    <row r="573" spans="1:1" ht="13.5" customHeight="1">
      <c r="A573" s="257"/>
    </row>
    <row r="574" spans="1:1" ht="13.5" customHeight="1">
      <c r="A574" s="257"/>
    </row>
    <row r="575" spans="1:1" ht="13.5" customHeight="1">
      <c r="A575" s="257"/>
    </row>
    <row r="576" spans="1:1" ht="13.5" customHeight="1">
      <c r="A576" s="257"/>
    </row>
    <row r="577" spans="1:1" ht="13.5" customHeight="1">
      <c r="A577" s="257"/>
    </row>
    <row r="578" spans="1:1" ht="13.5" customHeight="1">
      <c r="A578" s="257"/>
    </row>
    <row r="579" spans="1:1" ht="13.5" customHeight="1">
      <c r="A579" s="257"/>
    </row>
    <row r="580" spans="1:1" ht="13.5" customHeight="1">
      <c r="A580" s="257"/>
    </row>
    <row r="581" spans="1:1" ht="13.5" customHeight="1">
      <c r="A581" s="257"/>
    </row>
    <row r="582" spans="1:1" ht="13.5" customHeight="1">
      <c r="A582" s="257"/>
    </row>
    <row r="583" spans="1:1" ht="13.5" customHeight="1">
      <c r="A583" s="257"/>
    </row>
    <row r="584" spans="1:1" ht="13.5" customHeight="1">
      <c r="A584" s="257"/>
    </row>
    <row r="585" spans="1:1" ht="13.5" customHeight="1">
      <c r="A585" s="257"/>
    </row>
    <row r="586" spans="1:1" ht="13.5" customHeight="1">
      <c r="A586" s="257"/>
    </row>
    <row r="587" spans="1:1" ht="13.5" customHeight="1">
      <c r="A587" s="257"/>
    </row>
    <row r="588" spans="1:1" ht="13.5" customHeight="1">
      <c r="A588" s="257"/>
    </row>
    <row r="589" spans="1:1" ht="13.5" customHeight="1">
      <c r="A589" s="257"/>
    </row>
    <row r="590" spans="1:1" ht="13.5" customHeight="1">
      <c r="A590" s="257"/>
    </row>
    <row r="591" spans="1:1" ht="13.5" customHeight="1">
      <c r="A591" s="257"/>
    </row>
    <row r="592" spans="1:1" ht="13.5" customHeight="1">
      <c r="A592" s="257"/>
    </row>
    <row r="593" spans="1:1" ht="13.5" customHeight="1">
      <c r="A593" s="257"/>
    </row>
    <row r="594" spans="1:1" ht="13.5" customHeight="1">
      <c r="A594" s="257"/>
    </row>
    <row r="595" spans="1:1" ht="13.5" customHeight="1">
      <c r="A595" s="257"/>
    </row>
    <row r="596" spans="1:1" ht="13.5" customHeight="1">
      <c r="A596" s="257"/>
    </row>
    <row r="597" spans="1:1" ht="13.5" customHeight="1">
      <c r="A597" s="257"/>
    </row>
    <row r="598" spans="1:1" ht="13.5" customHeight="1">
      <c r="A598" s="257"/>
    </row>
    <row r="599" spans="1:1" ht="13.5" customHeight="1">
      <c r="A599" s="257"/>
    </row>
    <row r="600" spans="1:1" ht="13.5" customHeight="1">
      <c r="A600" s="257"/>
    </row>
    <row r="601" spans="1:1" ht="13.5" customHeight="1">
      <c r="A601" s="257"/>
    </row>
    <row r="602" spans="1:1" ht="13.5" customHeight="1">
      <c r="A602" s="257"/>
    </row>
    <row r="603" spans="1:1" ht="13.5" customHeight="1">
      <c r="A603" s="257"/>
    </row>
    <row r="604" spans="1:1" ht="13.5" customHeight="1">
      <c r="A604" s="257"/>
    </row>
    <row r="605" spans="1:1" ht="13.5" customHeight="1">
      <c r="A605" s="257"/>
    </row>
    <row r="606" spans="1:1" ht="13.5" customHeight="1">
      <c r="A606" s="257"/>
    </row>
    <row r="607" spans="1:1" ht="13.5" customHeight="1">
      <c r="A607" s="257"/>
    </row>
    <row r="608" spans="1:1" ht="13.5" customHeight="1">
      <c r="A608" s="257"/>
    </row>
    <row r="609" spans="1:1" ht="13.5" customHeight="1">
      <c r="A609" s="257"/>
    </row>
    <row r="610" spans="1:1" ht="13.5" customHeight="1">
      <c r="A610" s="257"/>
    </row>
    <row r="611" spans="1:1" ht="13.5" customHeight="1">
      <c r="A611" s="257"/>
    </row>
    <row r="612" spans="1:1" ht="13.5" customHeight="1">
      <c r="A612" s="257"/>
    </row>
    <row r="613" spans="1:1" ht="13.5" customHeight="1">
      <c r="A613" s="257"/>
    </row>
    <row r="614" spans="1:1" ht="13.5" customHeight="1">
      <c r="A614" s="257"/>
    </row>
    <row r="615" spans="1:1" ht="13.5" customHeight="1">
      <c r="A615" s="257"/>
    </row>
    <row r="616" spans="1:1" ht="13.5" customHeight="1">
      <c r="A616" s="257"/>
    </row>
    <row r="617" spans="1:1" ht="13.5" customHeight="1">
      <c r="A617" s="257"/>
    </row>
    <row r="618" spans="1:1" ht="13.5" customHeight="1">
      <c r="A618" s="257"/>
    </row>
    <row r="619" spans="1:1" ht="13.5" customHeight="1">
      <c r="A619" s="257"/>
    </row>
    <row r="620" spans="1:1" ht="13.5" customHeight="1">
      <c r="A620" s="257"/>
    </row>
    <row r="621" spans="1:1" ht="13.5" customHeight="1">
      <c r="A621" s="257"/>
    </row>
    <row r="622" spans="1:1" ht="13.5" customHeight="1">
      <c r="A622" s="257"/>
    </row>
    <row r="623" spans="1:1" ht="13.5" customHeight="1">
      <c r="A623" s="257"/>
    </row>
    <row r="624" spans="1:1" ht="13.5" customHeight="1">
      <c r="A624" s="257"/>
    </row>
    <row r="625" spans="1:1" ht="13.5" customHeight="1">
      <c r="A625" s="257"/>
    </row>
    <row r="626" spans="1:1" ht="13.5" customHeight="1">
      <c r="A626" s="257"/>
    </row>
    <row r="627" spans="1:1" ht="13.5" customHeight="1">
      <c r="A627" s="257"/>
    </row>
    <row r="628" spans="1:1" ht="13.5" customHeight="1">
      <c r="A628" s="257"/>
    </row>
    <row r="629" spans="1:1" ht="13.5" customHeight="1">
      <c r="A629" s="257"/>
    </row>
    <row r="630" spans="1:1" ht="13.5" customHeight="1">
      <c r="A630" s="257"/>
    </row>
    <row r="631" spans="1:1" ht="13.5" customHeight="1">
      <c r="A631" s="257"/>
    </row>
    <row r="632" spans="1:1" ht="13.5" customHeight="1">
      <c r="A632" s="257"/>
    </row>
    <row r="633" spans="1:1" ht="13.5" customHeight="1">
      <c r="A633" s="257"/>
    </row>
    <row r="634" spans="1:1" ht="13.5" customHeight="1">
      <c r="A634" s="257"/>
    </row>
    <row r="635" spans="1:1" ht="13.5" customHeight="1">
      <c r="A635" s="257"/>
    </row>
    <row r="636" spans="1:1" ht="13.5" customHeight="1">
      <c r="A636" s="257"/>
    </row>
    <row r="637" spans="1:1" ht="13.5" customHeight="1">
      <c r="A637" s="257"/>
    </row>
    <row r="638" spans="1:1" ht="13.5" customHeight="1">
      <c r="A638" s="257"/>
    </row>
    <row r="639" spans="1:1" ht="13.5" customHeight="1">
      <c r="A639" s="257"/>
    </row>
    <row r="640" spans="1:1" ht="13.5" customHeight="1">
      <c r="A640" s="257"/>
    </row>
    <row r="641" spans="1:1" ht="13.5" customHeight="1">
      <c r="A641" s="257"/>
    </row>
    <row r="642" spans="1:1" ht="13.5" customHeight="1">
      <c r="A642" s="257"/>
    </row>
    <row r="643" spans="1:1" ht="13.5" customHeight="1">
      <c r="A643" s="257"/>
    </row>
    <row r="644" spans="1:1" ht="13.5" customHeight="1">
      <c r="A644" s="257"/>
    </row>
    <row r="645" spans="1:1" ht="13.5" customHeight="1">
      <c r="A645" s="257"/>
    </row>
    <row r="646" spans="1:1" ht="13.5" customHeight="1">
      <c r="A646" s="257"/>
    </row>
    <row r="647" spans="1:1" ht="13.5" customHeight="1">
      <c r="A647" s="257"/>
    </row>
    <row r="648" spans="1:1" ht="13.5" customHeight="1">
      <c r="A648" s="257"/>
    </row>
    <row r="649" spans="1:1" ht="13.5" customHeight="1">
      <c r="A649" s="257"/>
    </row>
    <row r="650" spans="1:1" ht="13.5" customHeight="1">
      <c r="A650" s="257"/>
    </row>
    <row r="651" spans="1:1" ht="13.5" customHeight="1">
      <c r="A651" s="257"/>
    </row>
    <row r="652" spans="1:1" ht="13.5" customHeight="1">
      <c r="A652" s="257"/>
    </row>
    <row r="653" spans="1:1" ht="13.5" customHeight="1">
      <c r="A653" s="257"/>
    </row>
    <row r="654" spans="1:1" ht="13.5" customHeight="1">
      <c r="A654" s="257"/>
    </row>
    <row r="655" spans="1:1" ht="13.5" customHeight="1">
      <c r="A655" s="257"/>
    </row>
    <row r="656" spans="1:1" ht="13.5" customHeight="1">
      <c r="A656" s="257"/>
    </row>
    <row r="657" spans="1:1" ht="13.5" customHeight="1">
      <c r="A657" s="257"/>
    </row>
    <row r="658" spans="1:1" ht="13.5" customHeight="1">
      <c r="A658" s="257"/>
    </row>
    <row r="659" spans="1:1" ht="13.5" customHeight="1">
      <c r="A659" s="257"/>
    </row>
    <row r="660" spans="1:1" ht="13.5" customHeight="1">
      <c r="A660" s="257"/>
    </row>
    <row r="661" spans="1:1" ht="13.5" customHeight="1">
      <c r="A661" s="257"/>
    </row>
    <row r="662" spans="1:1" ht="13.5" customHeight="1">
      <c r="A662" s="257"/>
    </row>
    <row r="663" spans="1:1" ht="13.5" customHeight="1">
      <c r="A663" s="257"/>
    </row>
    <row r="664" spans="1:1" ht="13.5" customHeight="1">
      <c r="A664" s="257"/>
    </row>
    <row r="665" spans="1:1" ht="13.5" customHeight="1">
      <c r="A665" s="257"/>
    </row>
    <row r="666" spans="1:1" ht="13.5" customHeight="1">
      <c r="A666" s="257"/>
    </row>
    <row r="667" spans="1:1" ht="13.5" customHeight="1">
      <c r="A667" s="257"/>
    </row>
    <row r="668" spans="1:1" ht="13.5" customHeight="1">
      <c r="A668" s="257"/>
    </row>
    <row r="669" spans="1:1" ht="13.5" customHeight="1">
      <c r="A669" s="257"/>
    </row>
    <row r="670" spans="1:1" ht="13.5" customHeight="1">
      <c r="A670" s="257"/>
    </row>
    <row r="671" spans="1:1" ht="13.5" customHeight="1">
      <c r="A671" s="257"/>
    </row>
    <row r="672" spans="1:1" ht="13.5" customHeight="1">
      <c r="A672" s="257"/>
    </row>
    <row r="673" spans="1:1" ht="13.5" customHeight="1">
      <c r="A673" s="257"/>
    </row>
    <row r="674" spans="1:1" ht="13.5" customHeight="1">
      <c r="A674" s="257"/>
    </row>
    <row r="675" spans="1:1" ht="13.5" customHeight="1">
      <c r="A675" s="257"/>
    </row>
    <row r="676" spans="1:1" ht="13.5" customHeight="1">
      <c r="A676" s="257"/>
    </row>
    <row r="677" spans="1:1" ht="13.5" customHeight="1">
      <c r="A677" s="257"/>
    </row>
    <row r="678" spans="1:1" ht="13.5" customHeight="1">
      <c r="A678" s="257"/>
    </row>
    <row r="679" spans="1:1" ht="13.5" customHeight="1">
      <c r="A679" s="257"/>
    </row>
    <row r="680" spans="1:1" ht="13.5" customHeight="1">
      <c r="A680" s="257"/>
    </row>
    <row r="681" spans="1:1" ht="13.5" customHeight="1">
      <c r="A681" s="257"/>
    </row>
    <row r="682" spans="1:1" ht="13.5" customHeight="1">
      <c r="A682" s="257"/>
    </row>
    <row r="683" spans="1:1" ht="13.5" customHeight="1">
      <c r="A683" s="257"/>
    </row>
    <row r="684" spans="1:1" ht="13.5" customHeight="1">
      <c r="A684" s="257"/>
    </row>
    <row r="685" spans="1:1" ht="13.5" customHeight="1">
      <c r="A685" s="257"/>
    </row>
    <row r="686" spans="1:1" ht="13.5" customHeight="1">
      <c r="A686" s="257"/>
    </row>
    <row r="687" spans="1:1" ht="13.5" customHeight="1">
      <c r="A687" s="257"/>
    </row>
    <row r="688" spans="1:1" ht="13.5" customHeight="1">
      <c r="A688" s="257"/>
    </row>
    <row r="689" spans="1:1" ht="13.5" customHeight="1">
      <c r="A689" s="257"/>
    </row>
    <row r="690" spans="1:1" ht="13.5" customHeight="1">
      <c r="A690" s="257"/>
    </row>
    <row r="691" spans="1:1" ht="13.5" customHeight="1">
      <c r="A691" s="257"/>
    </row>
    <row r="692" spans="1:1" ht="13.5" customHeight="1">
      <c r="A692" s="257"/>
    </row>
    <row r="693" spans="1:1" ht="13.5" customHeight="1">
      <c r="A693" s="257"/>
    </row>
    <row r="694" spans="1:1" ht="13.5" customHeight="1">
      <c r="A694" s="257"/>
    </row>
    <row r="695" spans="1:1" ht="13.5" customHeight="1">
      <c r="A695" s="257"/>
    </row>
    <row r="696" spans="1:1" ht="13.5" customHeight="1">
      <c r="A696" s="257"/>
    </row>
    <row r="697" spans="1:1" ht="13.5" customHeight="1">
      <c r="A697" s="257"/>
    </row>
    <row r="698" spans="1:1" ht="13.5" customHeight="1">
      <c r="A698" s="257"/>
    </row>
    <row r="699" spans="1:1" ht="13.5" customHeight="1">
      <c r="A699" s="257"/>
    </row>
    <row r="700" spans="1:1" ht="13.5" customHeight="1">
      <c r="A700" s="257"/>
    </row>
    <row r="701" spans="1:1" ht="13.5" customHeight="1">
      <c r="A701" s="257"/>
    </row>
    <row r="702" spans="1:1" ht="13.5" customHeight="1">
      <c r="A702" s="257"/>
    </row>
    <row r="703" spans="1:1" ht="13.5" customHeight="1">
      <c r="A703" s="257"/>
    </row>
    <row r="704" spans="1:1" ht="13.5" customHeight="1">
      <c r="A704" s="257"/>
    </row>
    <row r="705" spans="1:1" ht="13.5" customHeight="1">
      <c r="A705" s="257"/>
    </row>
    <row r="706" spans="1:1" ht="13.5" customHeight="1">
      <c r="A706" s="257"/>
    </row>
    <row r="707" spans="1:1" ht="13.5" customHeight="1">
      <c r="A707" s="257"/>
    </row>
    <row r="708" spans="1:1" ht="13.5" customHeight="1">
      <c r="A708" s="257"/>
    </row>
    <row r="709" spans="1:1" ht="13.5" customHeight="1">
      <c r="A709" s="257"/>
    </row>
    <row r="710" spans="1:1" ht="13.5" customHeight="1">
      <c r="A710" s="257"/>
    </row>
    <row r="711" spans="1:1" ht="13.5" customHeight="1">
      <c r="A711" s="257"/>
    </row>
    <row r="712" spans="1:1" ht="13.5" customHeight="1">
      <c r="A712" s="257"/>
    </row>
    <row r="713" spans="1:1" ht="13.5" customHeight="1">
      <c r="A713" s="257"/>
    </row>
    <row r="714" spans="1:1" ht="13.5" customHeight="1">
      <c r="A714" s="257"/>
    </row>
    <row r="715" spans="1:1" ht="13.5" customHeight="1">
      <c r="A715" s="257"/>
    </row>
    <row r="716" spans="1:1" ht="13.5" customHeight="1">
      <c r="A716" s="257"/>
    </row>
    <row r="717" spans="1:1" ht="13.5" customHeight="1">
      <c r="A717" s="257"/>
    </row>
    <row r="718" spans="1:1" ht="13.5" customHeight="1">
      <c r="A718" s="257"/>
    </row>
    <row r="719" spans="1:1" ht="13.5" customHeight="1">
      <c r="A719" s="257"/>
    </row>
    <row r="720" spans="1:1" ht="13.5" customHeight="1">
      <c r="A720" s="257"/>
    </row>
    <row r="721" spans="1:1" ht="13.5" customHeight="1">
      <c r="A721" s="257"/>
    </row>
    <row r="722" spans="1:1" ht="13.5" customHeight="1">
      <c r="A722" s="257"/>
    </row>
    <row r="723" spans="1:1" ht="13.5" customHeight="1">
      <c r="A723" s="257"/>
    </row>
    <row r="724" spans="1:1" ht="13.5" customHeight="1">
      <c r="A724" s="257"/>
    </row>
    <row r="725" spans="1:1" ht="13.5" customHeight="1">
      <c r="A725" s="257"/>
    </row>
    <row r="726" spans="1:1" ht="13.5" customHeight="1">
      <c r="A726" s="257"/>
    </row>
    <row r="727" spans="1:1" ht="13.5" customHeight="1">
      <c r="A727" s="257"/>
    </row>
    <row r="728" spans="1:1" ht="13.5" customHeight="1">
      <c r="A728" s="257"/>
    </row>
    <row r="729" spans="1:1" ht="13.5" customHeight="1">
      <c r="A729" s="257"/>
    </row>
    <row r="730" spans="1:1" ht="13.5" customHeight="1">
      <c r="A730" s="257"/>
    </row>
    <row r="731" spans="1:1" ht="13.5" customHeight="1">
      <c r="A731" s="257"/>
    </row>
    <row r="732" spans="1:1" ht="13.5" customHeight="1">
      <c r="A732" s="257"/>
    </row>
    <row r="733" spans="1:1" ht="13.5" customHeight="1">
      <c r="A733" s="257"/>
    </row>
    <row r="734" spans="1:1" ht="13.5" customHeight="1">
      <c r="A734" s="257"/>
    </row>
    <row r="735" spans="1:1" ht="13.5" customHeight="1">
      <c r="A735" s="257"/>
    </row>
    <row r="736" spans="1:1" ht="13.5" customHeight="1">
      <c r="A736" s="257"/>
    </row>
    <row r="737" spans="1:1" ht="13.5" customHeight="1">
      <c r="A737" s="257"/>
    </row>
    <row r="738" spans="1:1" ht="13.5" customHeight="1">
      <c r="A738" s="257"/>
    </row>
    <row r="739" spans="1:1" ht="13.5" customHeight="1">
      <c r="A739" s="257"/>
    </row>
    <row r="740" spans="1:1" ht="13.5" customHeight="1">
      <c r="A740" s="257"/>
    </row>
    <row r="741" spans="1:1" ht="13.5" customHeight="1">
      <c r="A741" s="257"/>
    </row>
    <row r="742" spans="1:1" ht="13.5" customHeight="1">
      <c r="A742" s="257"/>
    </row>
    <row r="743" spans="1:1" ht="13.5" customHeight="1">
      <c r="A743" s="257"/>
    </row>
    <row r="744" spans="1:1" ht="13.5" customHeight="1">
      <c r="A744" s="257"/>
    </row>
    <row r="745" spans="1:1" ht="13.5" customHeight="1">
      <c r="A745" s="257"/>
    </row>
    <row r="746" spans="1:1" ht="13.5" customHeight="1">
      <c r="A746" s="257"/>
    </row>
    <row r="747" spans="1:1" ht="13.5" customHeight="1">
      <c r="A747" s="257"/>
    </row>
    <row r="748" spans="1:1" ht="13.5" customHeight="1">
      <c r="A748" s="257"/>
    </row>
    <row r="749" spans="1:1" ht="13.5" customHeight="1">
      <c r="A749" s="257"/>
    </row>
    <row r="750" spans="1:1" ht="13.5" customHeight="1">
      <c r="A750" s="257"/>
    </row>
    <row r="751" spans="1:1" ht="13.5" customHeight="1">
      <c r="A751" s="257"/>
    </row>
    <row r="752" spans="1:1" ht="13.5" customHeight="1">
      <c r="A752" s="257"/>
    </row>
    <row r="753" spans="1:1" ht="13.5" customHeight="1">
      <c r="A753" s="257"/>
    </row>
    <row r="754" spans="1:1" ht="13.5" customHeight="1">
      <c r="A754" s="257"/>
    </row>
    <row r="755" spans="1:1" ht="13.5" customHeight="1">
      <c r="A755" s="257"/>
    </row>
    <row r="756" spans="1:1" ht="13.5" customHeight="1">
      <c r="A756" s="257"/>
    </row>
    <row r="757" spans="1:1" ht="13.5" customHeight="1">
      <c r="A757" s="257"/>
    </row>
    <row r="758" spans="1:1" ht="13.5" customHeight="1">
      <c r="A758" s="257"/>
    </row>
    <row r="759" spans="1:1" ht="13.5" customHeight="1">
      <c r="A759" s="257"/>
    </row>
    <row r="760" spans="1:1" ht="13.5" customHeight="1">
      <c r="A760" s="257"/>
    </row>
    <row r="761" spans="1:1" ht="13.5" customHeight="1">
      <c r="A761" s="257"/>
    </row>
    <row r="762" spans="1:1" ht="13.5" customHeight="1">
      <c r="A762" s="257"/>
    </row>
    <row r="763" spans="1:1" ht="13.5" customHeight="1">
      <c r="A763" s="257"/>
    </row>
    <row r="764" spans="1:1" ht="13.5" customHeight="1">
      <c r="A764" s="257"/>
    </row>
    <row r="765" spans="1:1" ht="13.5" customHeight="1">
      <c r="A765" s="257"/>
    </row>
    <row r="766" spans="1:1" ht="13.5" customHeight="1">
      <c r="A766" s="257"/>
    </row>
    <row r="767" spans="1:1" ht="13.5" customHeight="1">
      <c r="A767" s="257"/>
    </row>
    <row r="768" spans="1:1" ht="13.5" customHeight="1">
      <c r="A768" s="257"/>
    </row>
    <row r="769" spans="1:1" ht="13.5" customHeight="1">
      <c r="A769" s="257"/>
    </row>
    <row r="770" spans="1:1" ht="13.5" customHeight="1">
      <c r="A770" s="257"/>
    </row>
    <row r="771" spans="1:1" ht="13.5" customHeight="1">
      <c r="A771" s="257"/>
    </row>
    <row r="772" spans="1:1" ht="13.5" customHeight="1">
      <c r="A772" s="257"/>
    </row>
    <row r="773" spans="1:1" ht="13.5" customHeight="1">
      <c r="A773" s="257"/>
    </row>
    <row r="774" spans="1:1" ht="13.5" customHeight="1">
      <c r="A774" s="257"/>
    </row>
    <row r="775" spans="1:1" ht="13.5" customHeight="1">
      <c r="A775" s="257"/>
    </row>
    <row r="776" spans="1:1" ht="13.5" customHeight="1">
      <c r="A776" s="257"/>
    </row>
    <row r="777" spans="1:1" ht="13.5" customHeight="1">
      <c r="A777" s="257"/>
    </row>
    <row r="778" spans="1:1" ht="13.5" customHeight="1">
      <c r="A778" s="257"/>
    </row>
    <row r="779" spans="1:1" ht="13.5" customHeight="1">
      <c r="A779" s="257"/>
    </row>
    <row r="780" spans="1:1" ht="13.5" customHeight="1">
      <c r="A780" s="257"/>
    </row>
    <row r="781" spans="1:1" ht="13.5" customHeight="1">
      <c r="A781" s="257"/>
    </row>
    <row r="782" spans="1:1" ht="13.5" customHeight="1">
      <c r="A782" s="257"/>
    </row>
    <row r="783" spans="1:1" ht="13.5" customHeight="1">
      <c r="A783" s="257"/>
    </row>
    <row r="784" spans="1:1" ht="13.5" customHeight="1">
      <c r="A784" s="257"/>
    </row>
    <row r="785" spans="1:1" ht="13.5" customHeight="1">
      <c r="A785" s="257"/>
    </row>
    <row r="786" spans="1:1" ht="13.5" customHeight="1">
      <c r="A786" s="257"/>
    </row>
    <row r="787" spans="1:1" ht="13.5" customHeight="1">
      <c r="A787" s="257"/>
    </row>
    <row r="788" spans="1:1" ht="13.5" customHeight="1">
      <c r="A788" s="257"/>
    </row>
    <row r="789" spans="1:1" ht="13.5" customHeight="1">
      <c r="A789" s="257"/>
    </row>
    <row r="790" spans="1:1" ht="13.5" customHeight="1">
      <c r="A790" s="257"/>
    </row>
    <row r="791" spans="1:1" ht="13.5" customHeight="1">
      <c r="A791" s="257"/>
    </row>
    <row r="792" spans="1:1" ht="13.5" customHeight="1">
      <c r="A792" s="257"/>
    </row>
    <row r="793" spans="1:1" ht="13.5" customHeight="1">
      <c r="A793" s="257"/>
    </row>
    <row r="794" spans="1:1" ht="13.5" customHeight="1">
      <c r="A794" s="257"/>
    </row>
    <row r="795" spans="1:1" ht="13.5" customHeight="1">
      <c r="A795" s="257"/>
    </row>
    <row r="796" spans="1:1" ht="13.5" customHeight="1">
      <c r="A796" s="257"/>
    </row>
    <row r="797" spans="1:1" ht="13.5" customHeight="1">
      <c r="A797" s="257"/>
    </row>
    <row r="798" spans="1:1" ht="13.5" customHeight="1">
      <c r="A798" s="257"/>
    </row>
    <row r="799" spans="1:1" ht="13.5" customHeight="1">
      <c r="A799" s="257"/>
    </row>
    <row r="800" spans="1:1" ht="13.5" customHeight="1">
      <c r="A800" s="257"/>
    </row>
    <row r="801" spans="1:1" ht="13.5" customHeight="1">
      <c r="A801" s="257"/>
    </row>
    <row r="802" spans="1:1" ht="13.5" customHeight="1">
      <c r="A802" s="257"/>
    </row>
    <row r="803" spans="1:1" ht="13.5" customHeight="1">
      <c r="A803" s="257"/>
    </row>
    <row r="804" spans="1:1" ht="13.5" customHeight="1">
      <c r="A804" s="257"/>
    </row>
    <row r="805" spans="1:1" ht="13.5" customHeight="1">
      <c r="A805" s="257"/>
    </row>
    <row r="806" spans="1:1" ht="13.5" customHeight="1">
      <c r="A806" s="257"/>
    </row>
    <row r="807" spans="1:1" ht="13.5" customHeight="1">
      <c r="A807" s="257"/>
    </row>
    <row r="808" spans="1:1" ht="13.5" customHeight="1">
      <c r="A808" s="257"/>
    </row>
    <row r="809" spans="1:1" ht="13.5" customHeight="1">
      <c r="A809" s="257"/>
    </row>
    <row r="810" spans="1:1" ht="13.5" customHeight="1">
      <c r="A810" s="257"/>
    </row>
    <row r="811" spans="1:1" ht="13.5" customHeight="1">
      <c r="A811" s="257"/>
    </row>
    <row r="812" spans="1:1" ht="13.5" customHeight="1">
      <c r="A812" s="257"/>
    </row>
    <row r="813" spans="1:1" ht="13.5" customHeight="1">
      <c r="A813" s="257"/>
    </row>
    <row r="814" spans="1:1" ht="13.5" customHeight="1">
      <c r="A814" s="257"/>
    </row>
    <row r="815" spans="1:1" ht="13.5" customHeight="1">
      <c r="A815" s="257"/>
    </row>
    <row r="816" spans="1:1" ht="13.5" customHeight="1">
      <c r="A816" s="257"/>
    </row>
    <row r="817" spans="1:1" ht="13.5" customHeight="1">
      <c r="A817" s="257"/>
    </row>
    <row r="818" spans="1:1" ht="13.5" customHeight="1">
      <c r="A818" s="257"/>
    </row>
    <row r="819" spans="1:1" ht="13.5" customHeight="1">
      <c r="A819" s="257"/>
    </row>
    <row r="820" spans="1:1" ht="13.5" customHeight="1">
      <c r="A820" s="257"/>
    </row>
    <row r="821" spans="1:1" ht="13.5" customHeight="1">
      <c r="A821" s="257"/>
    </row>
    <row r="822" spans="1:1" ht="13.5" customHeight="1">
      <c r="A822" s="257"/>
    </row>
    <row r="823" spans="1:1" ht="13.5" customHeight="1">
      <c r="A823" s="257"/>
    </row>
    <row r="824" spans="1:1" ht="13.5" customHeight="1">
      <c r="A824" s="257"/>
    </row>
    <row r="825" spans="1:1" ht="13.5" customHeight="1">
      <c r="A825" s="257"/>
    </row>
    <row r="826" spans="1:1" ht="13.5" customHeight="1">
      <c r="A826" s="257"/>
    </row>
    <row r="827" spans="1:1" ht="13.5" customHeight="1">
      <c r="A827" s="257"/>
    </row>
    <row r="828" spans="1:1" ht="13.5" customHeight="1">
      <c r="A828" s="257"/>
    </row>
    <row r="829" spans="1:1" ht="13.5" customHeight="1">
      <c r="A829" s="257"/>
    </row>
    <row r="830" spans="1:1" ht="13.5" customHeight="1">
      <c r="A830" s="257"/>
    </row>
    <row r="831" spans="1:1" ht="13.5" customHeight="1">
      <c r="A831" s="257"/>
    </row>
    <row r="832" spans="1:1" ht="13.5" customHeight="1">
      <c r="A832" s="257"/>
    </row>
    <row r="833" spans="1:1" ht="13.5" customHeight="1">
      <c r="A833" s="257"/>
    </row>
    <row r="834" spans="1:1" ht="13.5" customHeight="1">
      <c r="A834" s="257"/>
    </row>
    <row r="835" spans="1:1" ht="13.5" customHeight="1">
      <c r="A835" s="257"/>
    </row>
    <row r="836" spans="1:1" ht="13.5" customHeight="1">
      <c r="A836" s="257"/>
    </row>
    <row r="837" spans="1:1" ht="13.5" customHeight="1">
      <c r="A837" s="257"/>
    </row>
    <row r="838" spans="1:1" ht="13.5" customHeight="1">
      <c r="A838" s="257"/>
    </row>
    <row r="839" spans="1:1" ht="13.5" customHeight="1">
      <c r="A839" s="257"/>
    </row>
    <row r="840" spans="1:1" ht="13.5" customHeight="1">
      <c r="A840" s="257"/>
    </row>
    <row r="841" spans="1:1" ht="13.5" customHeight="1">
      <c r="A841" s="257"/>
    </row>
    <row r="842" spans="1:1" ht="13.5" customHeight="1">
      <c r="A842" s="257"/>
    </row>
    <row r="843" spans="1:1" ht="13.5" customHeight="1">
      <c r="A843" s="257"/>
    </row>
    <row r="844" spans="1:1" ht="13.5" customHeight="1">
      <c r="A844" s="257"/>
    </row>
    <row r="845" spans="1:1" ht="13.5" customHeight="1">
      <c r="A845" s="257"/>
    </row>
    <row r="846" spans="1:1" ht="13.5" customHeight="1">
      <c r="A846" s="257"/>
    </row>
    <row r="847" spans="1:1" ht="13.5" customHeight="1">
      <c r="A847" s="257"/>
    </row>
    <row r="848" spans="1:1" ht="13.5" customHeight="1">
      <c r="A848" s="257"/>
    </row>
    <row r="849" spans="1:1" ht="13.5" customHeight="1">
      <c r="A849" s="257"/>
    </row>
    <row r="850" spans="1:1" ht="13.5" customHeight="1">
      <c r="A850" s="257"/>
    </row>
    <row r="851" spans="1:1" ht="13.5" customHeight="1">
      <c r="A851" s="257"/>
    </row>
    <row r="852" spans="1:1" ht="13.5" customHeight="1">
      <c r="A852" s="257"/>
    </row>
    <row r="853" spans="1:1" ht="13.5" customHeight="1">
      <c r="A853" s="257"/>
    </row>
    <row r="854" spans="1:1" ht="13.5" customHeight="1">
      <c r="A854" s="257"/>
    </row>
    <row r="855" spans="1:1" ht="13.5" customHeight="1">
      <c r="A855" s="257"/>
    </row>
    <row r="856" spans="1:1" ht="13.5" customHeight="1">
      <c r="A856" s="257"/>
    </row>
    <row r="857" spans="1:1" ht="13.5" customHeight="1">
      <c r="A857" s="257"/>
    </row>
    <row r="858" spans="1:1" ht="13.5" customHeight="1">
      <c r="A858" s="257"/>
    </row>
    <row r="859" spans="1:1" ht="13.5" customHeight="1">
      <c r="A859" s="257"/>
    </row>
    <row r="860" spans="1:1" ht="13.5" customHeight="1">
      <c r="A860" s="257"/>
    </row>
    <row r="861" spans="1:1" ht="13.5" customHeight="1">
      <c r="A861" s="257"/>
    </row>
    <row r="862" spans="1:1" ht="13.5" customHeight="1">
      <c r="A862" s="257"/>
    </row>
    <row r="863" spans="1:1" ht="13.5" customHeight="1">
      <c r="A863" s="257"/>
    </row>
    <row r="864" spans="1:1" ht="13.5" customHeight="1">
      <c r="A864" s="257"/>
    </row>
    <row r="865" spans="1:1" ht="13.5" customHeight="1">
      <c r="A865" s="257"/>
    </row>
    <row r="866" spans="1:1" ht="13.5" customHeight="1">
      <c r="A866" s="257"/>
    </row>
    <row r="867" spans="1:1" ht="13.5" customHeight="1">
      <c r="A867" s="257"/>
    </row>
    <row r="868" spans="1:1" ht="13.5" customHeight="1">
      <c r="A868" s="257"/>
    </row>
    <row r="869" spans="1:1" ht="13.5" customHeight="1">
      <c r="A869" s="257"/>
    </row>
    <row r="870" spans="1:1" ht="13.5" customHeight="1">
      <c r="A870" s="257"/>
    </row>
    <row r="871" spans="1:1" ht="13.5" customHeight="1">
      <c r="A871" s="257"/>
    </row>
    <row r="872" spans="1:1" ht="13.5" customHeight="1">
      <c r="A872" s="257"/>
    </row>
    <row r="873" spans="1:1" ht="13.5" customHeight="1">
      <c r="A873" s="257"/>
    </row>
    <row r="874" spans="1:1" ht="13.5" customHeight="1">
      <c r="A874" s="257"/>
    </row>
    <row r="875" spans="1:1" ht="13.5" customHeight="1">
      <c r="A875" s="257"/>
    </row>
    <row r="876" spans="1:1" ht="13.5" customHeight="1">
      <c r="A876" s="257"/>
    </row>
    <row r="877" spans="1:1" ht="13.5" customHeight="1">
      <c r="A877" s="257"/>
    </row>
    <row r="878" spans="1:1" ht="13.5" customHeight="1">
      <c r="A878" s="257"/>
    </row>
    <row r="879" spans="1:1" ht="13.5" customHeight="1">
      <c r="A879" s="257"/>
    </row>
    <row r="880" spans="1:1" ht="13.5" customHeight="1">
      <c r="A880" s="257"/>
    </row>
    <row r="881" spans="1:1" ht="13.5" customHeight="1">
      <c r="A881" s="257"/>
    </row>
    <row r="882" spans="1:1" ht="13.5" customHeight="1">
      <c r="A882" s="257"/>
    </row>
    <row r="883" spans="1:1" ht="13.5" customHeight="1">
      <c r="A883" s="257"/>
    </row>
    <row r="884" spans="1:1" ht="13.5" customHeight="1">
      <c r="A884" s="257"/>
    </row>
    <row r="885" spans="1:1" ht="13.5" customHeight="1">
      <c r="A885" s="257"/>
    </row>
    <row r="886" spans="1:1" ht="13.5" customHeight="1">
      <c r="A886" s="257"/>
    </row>
    <row r="887" spans="1:1" ht="13.5" customHeight="1">
      <c r="A887" s="257"/>
    </row>
    <row r="888" spans="1:1" ht="13.5" customHeight="1">
      <c r="A888" s="257"/>
    </row>
    <row r="889" spans="1:1" ht="13.5" customHeight="1">
      <c r="A889" s="257"/>
    </row>
    <row r="890" spans="1:1" ht="13.5" customHeight="1">
      <c r="A890" s="257"/>
    </row>
    <row r="891" spans="1:1" ht="13.5" customHeight="1">
      <c r="A891" s="257"/>
    </row>
    <row r="892" spans="1:1" ht="13.5" customHeight="1">
      <c r="A892" s="257"/>
    </row>
    <row r="893" spans="1:1" ht="13.5" customHeight="1">
      <c r="A893" s="257"/>
    </row>
    <row r="894" spans="1:1" ht="13.5" customHeight="1">
      <c r="A894" s="257"/>
    </row>
    <row r="895" spans="1:1" ht="13.5" customHeight="1">
      <c r="A895" s="257"/>
    </row>
    <row r="896" spans="1:1" ht="13.5" customHeight="1">
      <c r="A896" s="257"/>
    </row>
    <row r="897" spans="1:1" ht="13.5" customHeight="1">
      <c r="A897" s="257"/>
    </row>
    <row r="898" spans="1:1" ht="13.5" customHeight="1">
      <c r="A898" s="257"/>
    </row>
    <row r="899" spans="1:1" ht="13.5" customHeight="1">
      <c r="A899" s="257"/>
    </row>
    <row r="900" spans="1:1" ht="13.5" customHeight="1">
      <c r="A900" s="257"/>
    </row>
    <row r="901" spans="1:1" ht="13.5" customHeight="1">
      <c r="A901" s="257"/>
    </row>
    <row r="902" spans="1:1" ht="13.5" customHeight="1">
      <c r="A902" s="257"/>
    </row>
    <row r="903" spans="1:1" ht="13.5" customHeight="1">
      <c r="A903" s="257"/>
    </row>
    <row r="904" spans="1:1" ht="13.5" customHeight="1">
      <c r="A904" s="257"/>
    </row>
    <row r="905" spans="1:1" ht="13.5" customHeight="1">
      <c r="A905" s="257"/>
    </row>
    <row r="906" spans="1:1" ht="13.5" customHeight="1">
      <c r="A906" s="257"/>
    </row>
    <row r="907" spans="1:1" ht="13.5" customHeight="1">
      <c r="A907" s="257"/>
    </row>
    <row r="908" spans="1:1" ht="13.5" customHeight="1">
      <c r="A908" s="257"/>
    </row>
    <row r="909" spans="1:1" ht="13.5" customHeight="1">
      <c r="A909" s="257"/>
    </row>
    <row r="910" spans="1:1" ht="13.5" customHeight="1">
      <c r="A910" s="257"/>
    </row>
    <row r="911" spans="1:1" ht="13.5" customHeight="1">
      <c r="A911" s="257"/>
    </row>
    <row r="912" spans="1:1" ht="13.5" customHeight="1">
      <c r="A912" s="257"/>
    </row>
    <row r="913" spans="1:1" ht="13.5" customHeight="1">
      <c r="A913" s="257"/>
    </row>
    <row r="914" spans="1:1" ht="13.5" customHeight="1">
      <c r="A914" s="257"/>
    </row>
    <row r="915" spans="1:1" ht="13.5" customHeight="1">
      <c r="A915" s="257"/>
    </row>
    <row r="916" spans="1:1" ht="13.5" customHeight="1">
      <c r="A916" s="257"/>
    </row>
    <row r="917" spans="1:1" ht="13.5" customHeight="1">
      <c r="A917" s="257"/>
    </row>
    <row r="918" spans="1:1" ht="13.5" customHeight="1">
      <c r="A918" s="257"/>
    </row>
    <row r="919" spans="1:1" ht="13.5" customHeight="1">
      <c r="A919" s="257"/>
    </row>
    <row r="920" spans="1:1" ht="13.5" customHeight="1">
      <c r="A920" s="257"/>
    </row>
    <row r="921" spans="1:1" ht="13.5" customHeight="1">
      <c r="A921" s="257"/>
    </row>
    <row r="922" spans="1:1" ht="13.5" customHeight="1">
      <c r="A922" s="257"/>
    </row>
    <row r="923" spans="1:1" ht="13.5" customHeight="1">
      <c r="A923" s="257"/>
    </row>
    <row r="924" spans="1:1" ht="13.5" customHeight="1">
      <c r="A924" s="257"/>
    </row>
    <row r="925" spans="1:1" ht="13.5" customHeight="1">
      <c r="A925" s="257"/>
    </row>
    <row r="926" spans="1:1" ht="13.5" customHeight="1">
      <c r="A926" s="257"/>
    </row>
    <row r="927" spans="1:1" ht="13.5" customHeight="1">
      <c r="A927" s="257"/>
    </row>
    <row r="928" spans="1:1" ht="13.5" customHeight="1">
      <c r="A928" s="257"/>
    </row>
    <row r="929" spans="1:1" ht="13.5" customHeight="1">
      <c r="A929" s="257"/>
    </row>
    <row r="930" spans="1:1" ht="13.5" customHeight="1">
      <c r="A930" s="257"/>
    </row>
    <row r="931" spans="1:1" ht="13.5" customHeight="1">
      <c r="A931" s="257"/>
    </row>
    <row r="932" spans="1:1" ht="13.5" customHeight="1">
      <c r="A932" s="257"/>
    </row>
    <row r="933" spans="1:1" ht="13.5" customHeight="1">
      <c r="A933" s="257"/>
    </row>
    <row r="934" spans="1:1" ht="13.5" customHeight="1">
      <c r="A934" s="257"/>
    </row>
    <row r="935" spans="1:1" ht="13.5" customHeight="1">
      <c r="A935" s="257"/>
    </row>
    <row r="936" spans="1:1" ht="13.5" customHeight="1">
      <c r="A936" s="257"/>
    </row>
    <row r="937" spans="1:1" ht="13.5" customHeight="1">
      <c r="A937" s="257"/>
    </row>
    <row r="938" spans="1:1" ht="13.5" customHeight="1">
      <c r="A938" s="257"/>
    </row>
    <row r="939" spans="1:1" ht="13.5" customHeight="1">
      <c r="A939" s="257"/>
    </row>
    <row r="940" spans="1:1" ht="13.5" customHeight="1">
      <c r="A940" s="257"/>
    </row>
    <row r="941" spans="1:1" ht="13.5" customHeight="1">
      <c r="A941" s="257"/>
    </row>
    <row r="942" spans="1:1" ht="13.5" customHeight="1">
      <c r="A942" s="257"/>
    </row>
    <row r="943" spans="1:1" ht="13.5" customHeight="1">
      <c r="A943" s="257"/>
    </row>
    <row r="944" spans="1:1" ht="13.5" customHeight="1">
      <c r="A944" s="257"/>
    </row>
    <row r="945" spans="1:1" ht="13.5" customHeight="1">
      <c r="A945" s="257"/>
    </row>
    <row r="946" spans="1:1" ht="13.5" customHeight="1">
      <c r="A946" s="257"/>
    </row>
    <row r="947" spans="1:1" ht="13.5" customHeight="1">
      <c r="A947" s="257"/>
    </row>
    <row r="948" spans="1:1" ht="13.5" customHeight="1">
      <c r="A948" s="257"/>
    </row>
    <row r="949" spans="1:1" ht="13.5" customHeight="1">
      <c r="A949" s="257"/>
    </row>
    <row r="950" spans="1:1" ht="13.5" customHeight="1">
      <c r="A950" s="257"/>
    </row>
    <row r="951" spans="1:1" ht="13.5" customHeight="1">
      <c r="A951" s="257"/>
    </row>
    <row r="952" spans="1:1" ht="13.5" customHeight="1">
      <c r="A952" s="257"/>
    </row>
    <row r="953" spans="1:1" ht="13.5" customHeight="1">
      <c r="A953" s="257"/>
    </row>
    <row r="954" spans="1:1" ht="13.5" customHeight="1">
      <c r="A954" s="257"/>
    </row>
    <row r="955" spans="1:1" ht="13.5" customHeight="1">
      <c r="A955" s="257"/>
    </row>
    <row r="956" spans="1:1" ht="13.5" customHeight="1">
      <c r="A956" s="257"/>
    </row>
    <row r="957" spans="1:1" ht="13.5" customHeight="1">
      <c r="A957" s="257"/>
    </row>
    <row r="958" spans="1:1" ht="13.5" customHeight="1">
      <c r="A958" s="257"/>
    </row>
    <row r="959" spans="1:1" ht="13.5" customHeight="1">
      <c r="A959" s="257"/>
    </row>
    <row r="960" spans="1:1" ht="13.5" customHeight="1">
      <c r="A960" s="257"/>
    </row>
    <row r="961" spans="1:1" ht="13.5" customHeight="1">
      <c r="A961" s="257"/>
    </row>
    <row r="962" spans="1:1" ht="13.5" customHeight="1">
      <c r="A962" s="257"/>
    </row>
    <row r="963" spans="1:1" ht="13.5" customHeight="1">
      <c r="A963" s="257"/>
    </row>
    <row r="964" spans="1:1" ht="13.5" customHeight="1">
      <c r="A964" s="257"/>
    </row>
    <row r="965" spans="1:1" ht="13.5" customHeight="1">
      <c r="A965" s="257"/>
    </row>
    <row r="966" spans="1:1" ht="13.5" customHeight="1">
      <c r="A966" s="257"/>
    </row>
    <row r="967" spans="1:1" ht="13.5" customHeight="1">
      <c r="A967" s="257"/>
    </row>
    <row r="968" spans="1:1" ht="13.5" customHeight="1">
      <c r="A968" s="257"/>
    </row>
    <row r="969" spans="1:1" ht="13.5" customHeight="1">
      <c r="A969" s="257"/>
    </row>
    <row r="970" spans="1:1" ht="13.5" customHeight="1">
      <c r="A970" s="257"/>
    </row>
    <row r="971" spans="1:1" ht="13.5" customHeight="1">
      <c r="A971" s="257"/>
    </row>
    <row r="972" spans="1:1" ht="13.5" customHeight="1">
      <c r="A972" s="257"/>
    </row>
    <row r="973" spans="1:1" ht="13.5" customHeight="1">
      <c r="A973" s="257"/>
    </row>
    <row r="974" spans="1:1" ht="13.5" customHeight="1">
      <c r="A974" s="257"/>
    </row>
    <row r="975" spans="1:1" ht="13.5" customHeight="1">
      <c r="A975" s="257"/>
    </row>
    <row r="976" spans="1:1" ht="13.5" customHeight="1">
      <c r="A976" s="257"/>
    </row>
    <row r="977" spans="1:1" ht="13.5" customHeight="1">
      <c r="A977" s="257"/>
    </row>
    <row r="978" spans="1:1" ht="13.5" customHeight="1">
      <c r="A978" s="257"/>
    </row>
    <row r="979" spans="1:1" ht="13.5" customHeight="1">
      <c r="A979" s="257"/>
    </row>
    <row r="980" spans="1:1" ht="13.5" customHeight="1">
      <c r="A980" s="257"/>
    </row>
    <row r="981" spans="1:1" ht="13.5" customHeight="1">
      <c r="A981" s="257"/>
    </row>
    <row r="982" spans="1:1" ht="13.5" customHeight="1">
      <c r="A982" s="257"/>
    </row>
    <row r="983" spans="1:1" ht="13.5" customHeight="1">
      <c r="A983" s="257"/>
    </row>
    <row r="984" spans="1:1" ht="13.5" customHeight="1">
      <c r="A984" s="257"/>
    </row>
    <row r="985" spans="1:1" ht="13.5" customHeight="1">
      <c r="A985" s="257"/>
    </row>
    <row r="986" spans="1:1" ht="13.5" customHeight="1">
      <c r="A986" s="257"/>
    </row>
    <row r="987" spans="1:1" ht="13.5" customHeight="1">
      <c r="A987" s="257"/>
    </row>
    <row r="988" spans="1:1" ht="13.5" customHeight="1">
      <c r="A988" s="257"/>
    </row>
    <row r="989" spans="1:1" ht="13.5" customHeight="1">
      <c r="A989" s="257"/>
    </row>
    <row r="990" spans="1:1" ht="13.5" customHeight="1">
      <c r="A990" s="257"/>
    </row>
    <row r="991" spans="1:1" ht="13.5" customHeight="1">
      <c r="A991" s="257"/>
    </row>
    <row r="992" spans="1:1" ht="13.5" customHeight="1">
      <c r="A992" s="257"/>
    </row>
    <row r="993" spans="1:1" ht="13.5" customHeight="1">
      <c r="A993" s="257"/>
    </row>
    <row r="994" spans="1:1" ht="13.5" customHeight="1">
      <c r="A994" s="257"/>
    </row>
    <row r="995" spans="1:1" ht="13.5" customHeight="1">
      <c r="A995" s="257"/>
    </row>
    <row r="996" spans="1:1" ht="13.5" customHeight="1">
      <c r="A996" s="257"/>
    </row>
    <row r="997" spans="1:1" ht="13.5" customHeight="1">
      <c r="A997" s="257"/>
    </row>
    <row r="998" spans="1:1" ht="13.5" customHeight="1">
      <c r="A998" s="257"/>
    </row>
    <row r="999" spans="1:1" ht="13.5" customHeight="1">
      <c r="A999" s="257"/>
    </row>
    <row r="1000" spans="1:1" ht="13.5" customHeight="1">
      <c r="A1000" s="257"/>
    </row>
    <row r="1001" spans="1:1" ht="13.5" customHeight="1">
      <c r="A1001" s="257"/>
    </row>
  </sheetData>
  <conditionalFormatting sqref="C28:AG61">
    <cfRule type="expression" dxfId="128" priority="5">
      <formula>$C$5="Report"</formula>
    </cfRule>
  </conditionalFormatting>
  <conditionalFormatting sqref="C76:AG106">
    <cfRule type="expression" dxfId="127" priority="6">
      <formula>$C$5="Report"</formula>
    </cfRule>
  </conditionalFormatting>
  <conditionalFormatting sqref="C122:AG159 C219:C220">
    <cfRule type="expression" dxfId="126" priority="2">
      <formula>$C$5="Report"</formula>
    </cfRule>
  </conditionalFormatting>
  <conditionalFormatting sqref="V20:AG20">
    <cfRule type="expression" dxfId="125" priority="1">
      <formula>$C$5="Report"</formula>
    </cfRule>
  </conditionalFormatting>
  <dataValidations disablePrompts="1" count="3">
    <dataValidation type="list" allowBlank="1" showErrorMessage="1" sqref="C5" xr:uid="{00000000-0002-0000-0700-000000000000}">
      <formula1>"Report,Working"</formula1>
    </dataValidation>
    <dataValidation type="list" allowBlank="1" showErrorMessage="1" sqref="C8:C9" xr:uid="{00000000-0002-0000-0700-000001000000}">
      <formula1>"On,Off"</formula1>
    </dataValidation>
    <dataValidation type="list" allowBlank="1" showErrorMessage="1" sqref="C34" xr:uid="{00000000-0002-0000-0700-000002000000}">
      <formula1>"Depreciation &amp; Amortization (incl. in SG&amp;A),Depreciation &amp; Amortization"</formula1>
    </dataValidation>
  </dataValidations>
  <pageMargins left="0.7" right="0.7" top="0.75" bottom="0.75" header="0" footer="0"/>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355F"/>
  </sheetPr>
  <dimension ref="A1:AG990"/>
  <sheetViews>
    <sheetView showGridLines="0" zoomScale="80" zoomScaleNormal="80" workbookViewId="0"/>
  </sheetViews>
  <sheetFormatPr defaultColWidth="14.44140625" defaultRowHeight="15" customHeight="1" outlineLevelRow="2" outlineLevelCol="1"/>
  <cols>
    <col min="1" max="2" width="1.6640625" customWidth="1"/>
    <col min="3" max="3" width="51.33203125" customWidth="1"/>
    <col min="4" max="5" width="1.6640625" customWidth="1"/>
    <col min="6" max="9" width="12.6640625" hidden="1" customWidth="1" outlineLevel="1"/>
    <col min="10" max="10" width="12.88671875" customWidth="1" collapsed="1"/>
    <col min="11" max="14" width="12.6640625" hidden="1" customWidth="1" outlineLevel="1"/>
    <col min="15" max="15" width="12.88671875" customWidth="1" collapsed="1"/>
    <col min="16" max="19" width="12.6640625" hidden="1" customWidth="1" outlineLevel="1"/>
    <col min="20" max="20" width="13.44140625" customWidth="1" collapsed="1"/>
    <col min="21" max="24" width="12.6640625" hidden="1" customWidth="1" outlineLevel="1"/>
    <col min="25" max="25" width="13.44140625" customWidth="1" collapsed="1"/>
    <col min="26" max="29" width="12.6640625" hidden="1" customWidth="1" outlineLevel="1"/>
    <col min="30" max="30" width="13.44140625" customWidth="1" collapsed="1"/>
    <col min="31" max="33" width="13.44140625" customWidth="1"/>
  </cols>
  <sheetData>
    <row r="1" spans="1:33" ht="14.25" customHeight="1">
      <c r="A1" s="256"/>
      <c r="B1" s="4"/>
      <c r="C1" s="5" t="str">
        <f ca="1">Company_Name&amp;" - "&amp;MID(CELL("filename",A1),FIND("]",CELL("filename",A1))+1,255)&amp;": "&amp;Case_Scenario&amp;" Case"</f>
        <v>Hamilton Lane Inc. - Segment Analysis: Base Case</v>
      </c>
      <c r="D1" s="4"/>
      <c r="E1" s="4"/>
      <c r="F1" s="4"/>
      <c r="G1" s="4"/>
      <c r="H1" s="4"/>
      <c r="I1" s="4"/>
      <c r="J1" s="4"/>
      <c r="K1" s="4"/>
      <c r="L1" s="4"/>
      <c r="M1" s="4"/>
      <c r="N1" s="4"/>
      <c r="O1" s="4"/>
      <c r="P1" s="4"/>
      <c r="Q1" s="4"/>
      <c r="R1" s="4"/>
      <c r="S1" s="4"/>
      <c r="T1" s="4"/>
      <c r="U1" s="4"/>
      <c r="V1" s="4"/>
      <c r="W1" s="4"/>
      <c r="X1" s="4"/>
      <c r="Y1" s="4"/>
      <c r="Z1" s="4"/>
      <c r="AA1" s="4"/>
      <c r="AB1" s="4"/>
      <c r="AC1" s="4"/>
      <c r="AD1" s="4"/>
      <c r="AE1" s="4"/>
      <c r="AF1" s="4"/>
      <c r="AG1" s="4"/>
    </row>
    <row r="2" spans="1:33" ht="14.25" customHeight="1">
      <c r="A2" s="257"/>
      <c r="B2" s="2"/>
      <c r="C2" s="7" t="str">
        <f>Cover!C2</f>
        <v>$ in Millions Except Per Share Data</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spans="1:33" ht="14.25" customHeight="1">
      <c r="A3" s="257"/>
      <c r="B3" s="2"/>
      <c r="C3" s="216"/>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spans="1:33" ht="14.25" customHeight="1">
      <c r="A4" s="257"/>
      <c r="B4" s="2"/>
      <c r="C4" s="216"/>
      <c r="D4" s="2"/>
      <c r="E4" s="2"/>
      <c r="F4" s="2"/>
      <c r="G4" s="2"/>
      <c r="H4" s="2"/>
      <c r="I4" s="2"/>
      <c r="J4" s="2"/>
      <c r="K4" s="2"/>
      <c r="L4" s="2"/>
      <c r="M4" s="2"/>
      <c r="N4" s="2"/>
      <c r="O4" s="2"/>
      <c r="P4" s="2"/>
      <c r="Q4" s="2"/>
      <c r="R4" s="2"/>
      <c r="S4" s="2"/>
      <c r="T4" s="2"/>
      <c r="U4" s="2"/>
      <c r="V4" s="2"/>
      <c r="W4" s="2"/>
      <c r="X4" s="2"/>
      <c r="Y4" s="2"/>
      <c r="Z4" s="2"/>
      <c r="AA4" s="2"/>
      <c r="AB4" s="2"/>
      <c r="AC4" s="2"/>
      <c r="AD4" s="2"/>
      <c r="AE4" s="2"/>
      <c r="AF4" s="2"/>
      <c r="AG4" s="2"/>
    </row>
    <row r="5" spans="1:33" ht="14.25" customHeight="1">
      <c r="C5" s="263" t="s">
        <v>39</v>
      </c>
      <c r="D5" s="286"/>
      <c r="E5" s="286"/>
      <c r="F5" s="264" t="str">
        <f>Model!F63</f>
        <v>1Q23</v>
      </c>
      <c r="G5" s="264" t="str">
        <f>Model!G63</f>
        <v>2Q23</v>
      </c>
      <c r="H5" s="264" t="str">
        <f>Model!H63</f>
        <v>3Q23</v>
      </c>
      <c r="I5" s="264" t="str">
        <f>Model!I63</f>
        <v>4Q23</v>
      </c>
      <c r="J5" s="264">
        <f>Model!J63</f>
        <v>2023</v>
      </c>
      <c r="K5" s="264" t="str">
        <f>Model!K63</f>
        <v>1Q24</v>
      </c>
      <c r="L5" s="264" t="str">
        <f>Model!L63</f>
        <v>2Q24</v>
      </c>
      <c r="M5" s="264" t="str">
        <f>Model!M63</f>
        <v>3Q24</v>
      </c>
      <c r="N5" s="264" t="str">
        <f>Model!N63</f>
        <v>4Q24</v>
      </c>
      <c r="O5" s="264">
        <f>Model!O63</f>
        <v>2024</v>
      </c>
      <c r="P5" s="264" t="str">
        <f>Model!P63</f>
        <v>1Q25</v>
      </c>
      <c r="Q5" s="264" t="str">
        <f>Model!Q63</f>
        <v>2Q25</v>
      </c>
      <c r="R5" s="264" t="str">
        <f>Model!R63</f>
        <v>3Q25</v>
      </c>
      <c r="S5" s="264" t="str">
        <f>Model!S63</f>
        <v>4Q25</v>
      </c>
      <c r="T5" s="264">
        <f>Model!T63</f>
        <v>2025</v>
      </c>
      <c r="U5" s="264" t="str">
        <f>Model!U63</f>
        <v>1Q26</v>
      </c>
      <c r="V5" s="264" t="str">
        <f>Model!V63</f>
        <v>2Q26e</v>
      </c>
      <c r="W5" s="264" t="str">
        <f>Model!W63</f>
        <v>3Q26e</v>
      </c>
      <c r="X5" s="264" t="str">
        <f>Model!X63</f>
        <v>4Q26e</v>
      </c>
      <c r="Y5" s="264" t="str">
        <f>Model!Y63</f>
        <v>2026e</v>
      </c>
      <c r="Z5" s="264" t="str">
        <f>Model!Z63</f>
        <v>1Q27e</v>
      </c>
      <c r="AA5" s="264" t="str">
        <f>Model!AA63</f>
        <v>2Q27e</v>
      </c>
      <c r="AB5" s="264" t="str">
        <f>Model!AB63</f>
        <v>3Q27e</v>
      </c>
      <c r="AC5" s="264" t="str">
        <f>Model!AC63</f>
        <v>4Q27e</v>
      </c>
      <c r="AD5" s="264" t="str">
        <f>Model!AD63</f>
        <v>2027e</v>
      </c>
      <c r="AE5" s="264" t="str">
        <f>Model!AE63</f>
        <v>2028e</v>
      </c>
      <c r="AF5" s="264" t="str">
        <f>Model!AF63</f>
        <v>2029e</v>
      </c>
      <c r="AG5" s="264" t="str">
        <f>Model!AG63</f>
        <v>2030e</v>
      </c>
    </row>
    <row r="6" spans="1:33" ht="14.25" customHeight="1">
      <c r="C6" s="33" t="s">
        <v>41</v>
      </c>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09"/>
    </row>
    <row r="7" spans="1:33" ht="14.25" customHeight="1">
      <c r="C7" s="9" t="s">
        <v>241</v>
      </c>
      <c r="D7" s="9"/>
      <c r="E7" s="9"/>
      <c r="F7" s="230">
        <f>SUM(F8:F13)</f>
        <v>135.50900000000001</v>
      </c>
      <c r="G7" s="230">
        <f>SUM(G8:G13)</f>
        <v>153.38200000000001</v>
      </c>
      <c r="H7" s="230">
        <f>SUM(H8:H13)</f>
        <v>127.07399999999998</v>
      </c>
      <c r="I7" s="230">
        <f>SUM(I8:I13)</f>
        <v>112.788</v>
      </c>
      <c r="J7" s="202">
        <f t="shared" ref="J7:J13" si="0">SUM(F7:I7)</f>
        <v>528.75300000000004</v>
      </c>
      <c r="K7" s="230">
        <f>SUM(K8:K13)</f>
        <v>125.03700000000001</v>
      </c>
      <c r="L7" s="230">
        <f>SUM(L8:L13)</f>
        <v>126.876</v>
      </c>
      <c r="M7" s="230">
        <f>SUM(M8:M13)</f>
        <v>125.26400000000001</v>
      </c>
      <c r="N7" s="230">
        <f>SUM(N8:N13)</f>
        <v>176.66499999999999</v>
      </c>
      <c r="O7" s="202">
        <f t="shared" ref="O7:O13" si="1">SUM(K7:N7)</f>
        <v>553.84199999999998</v>
      </c>
      <c r="P7" s="230">
        <f>SUM(P8:P13)</f>
        <v>196.73099999999999</v>
      </c>
      <c r="Q7" s="230">
        <f>SUM(Q8:Q13)</f>
        <v>149.999</v>
      </c>
      <c r="R7" s="230">
        <f>SUM(R8:R13)</f>
        <v>168.261</v>
      </c>
      <c r="S7" s="230">
        <f>SUM(S8:S13)</f>
        <v>197.97300000000001</v>
      </c>
      <c r="T7" s="202">
        <f t="shared" ref="T7:T13" si="2">SUM(P7:S7)</f>
        <v>712.96399999999994</v>
      </c>
      <c r="U7" s="230">
        <f>SUM(U8:U13)</f>
        <v>175.958</v>
      </c>
      <c r="V7" s="201">
        <f>SUM(V8:V13)</f>
        <v>183.91066000000001</v>
      </c>
      <c r="W7" s="201">
        <f>SUM(W8:W13)</f>
        <v>195.211905</v>
      </c>
      <c r="X7" s="201">
        <f>SUM(X8:X13)</f>
        <v>211.57638516</v>
      </c>
      <c r="Y7" s="202">
        <f t="shared" ref="Y7:Y13" si="3">SUM(U7:X7)</f>
        <v>766.65695015999995</v>
      </c>
      <c r="Z7" s="201">
        <f>SUM(Z8:Z13)</f>
        <v>224.5177825758</v>
      </c>
      <c r="AA7" s="201">
        <f>SUM(AA8:AA13)</f>
        <v>237.98884953034801</v>
      </c>
      <c r="AB7" s="201">
        <f>SUM(AB8:AB13)</f>
        <v>249.25560509975202</v>
      </c>
      <c r="AC7" s="201">
        <f>SUM(AC8:AC13)</f>
        <v>260.7660605763748</v>
      </c>
      <c r="AD7" s="202">
        <f t="shared" ref="AD7:AD13" si="4">SUM(Z7:AC7)</f>
        <v>972.52829778227476</v>
      </c>
      <c r="AE7" s="202">
        <f>SUM(AE8:AE13)</f>
        <v>1040.6052786270343</v>
      </c>
      <c r="AF7" s="202">
        <f>SUM(AF8:AF13)</f>
        <v>1097.838568951521</v>
      </c>
      <c r="AG7" s="202">
        <f>SUM(AG8:AG13)</f>
        <v>1169.5212445076716</v>
      </c>
    </row>
    <row r="8" spans="1:33" ht="14.25" customHeight="1">
      <c r="C8" s="103" t="s">
        <v>841</v>
      </c>
      <c r="D8" s="9"/>
      <c r="E8" s="9"/>
      <c r="F8" s="372">
        <v>85.945999999999998</v>
      </c>
      <c r="G8" s="372">
        <v>92.88</v>
      </c>
      <c r="H8" s="372">
        <v>97.35499999999999</v>
      </c>
      <c r="I8" s="372">
        <v>95.691999999999993</v>
      </c>
      <c r="J8" s="373">
        <f t="shared" si="0"/>
        <v>371.87299999999999</v>
      </c>
      <c r="K8" s="372">
        <v>105.407</v>
      </c>
      <c r="L8" s="372">
        <v>109.184</v>
      </c>
      <c r="M8" s="372">
        <v>113.64100000000001</v>
      </c>
      <c r="N8" s="372">
        <v>123.70399999999999</v>
      </c>
      <c r="O8" s="373">
        <f t="shared" si="1"/>
        <v>451.93600000000004</v>
      </c>
      <c r="P8" s="372">
        <v>139.96199999999999</v>
      </c>
      <c r="Q8" s="372">
        <v>119.78299999999999</v>
      </c>
      <c r="R8" s="372">
        <v>126.282</v>
      </c>
      <c r="S8" s="372">
        <v>127.83800000000001</v>
      </c>
      <c r="T8" s="373">
        <f t="shared" si="2"/>
        <v>513.86500000000001</v>
      </c>
      <c r="U8" s="372">
        <v>133.696</v>
      </c>
      <c r="V8" s="374">
        <f>'Revenue Build'!V32</f>
        <v>140.38079999999999</v>
      </c>
      <c r="W8" s="374">
        <f>'Revenue Build'!W32</f>
        <v>149.50555199999999</v>
      </c>
      <c r="X8" s="374">
        <f>'Revenue Build'!X32</f>
        <v>162.21352392</v>
      </c>
      <c r="Y8" s="373">
        <f t="shared" si="3"/>
        <v>585.79587592000007</v>
      </c>
      <c r="Z8" s="374">
        <f>'Revenue Build'!Z32</f>
        <v>171.94633535520001</v>
      </c>
      <c r="AA8" s="374">
        <f>'Revenue Build'!AA32</f>
        <v>182.26311547651201</v>
      </c>
      <c r="AB8" s="374">
        <f>'Revenue Build'!AB32</f>
        <v>190.46495567295503</v>
      </c>
      <c r="AC8" s="374">
        <f>'Revenue Build'!AC32</f>
        <v>199.03587867823799</v>
      </c>
      <c r="AD8" s="373">
        <f t="shared" si="4"/>
        <v>743.71028518290507</v>
      </c>
      <c r="AE8" s="375">
        <f>'Revenue Build'!AE32</f>
        <v>795.77000514570852</v>
      </c>
      <c r="AF8" s="375">
        <f>'Revenue Build'!AF32</f>
        <v>839.53735542872244</v>
      </c>
      <c r="AG8" s="375">
        <f>'Revenue Build'!AG32</f>
        <v>898.304970308733</v>
      </c>
    </row>
    <row r="9" spans="1:33" ht="14.25" customHeight="1">
      <c r="C9" s="103" t="s">
        <v>842</v>
      </c>
      <c r="D9" s="9"/>
      <c r="E9" s="9"/>
      <c r="F9" s="372">
        <f>(495.24+0.39)/10</f>
        <v>49.563000000000002</v>
      </c>
      <c r="G9" s="372">
        <f>(592.37+12.65)/10</f>
        <v>60.501999999999995</v>
      </c>
      <c r="H9" s="372">
        <f>(56.44+240.75)/10</f>
        <v>29.719000000000001</v>
      </c>
      <c r="I9" s="372">
        <f>(170.96)/10</f>
        <v>17.096</v>
      </c>
      <c r="J9" s="373">
        <f t="shared" si="0"/>
        <v>156.88</v>
      </c>
      <c r="K9" s="372">
        <v>19.630000000000003</v>
      </c>
      <c r="L9" s="372">
        <v>17.692</v>
      </c>
      <c r="M9" s="372">
        <v>11.623000000000001</v>
      </c>
      <c r="N9" s="372">
        <v>52.960999999999999</v>
      </c>
      <c r="O9" s="373">
        <f t="shared" si="1"/>
        <v>101.90600000000001</v>
      </c>
      <c r="P9" s="372">
        <v>56.769000000000005</v>
      </c>
      <c r="Q9" s="372">
        <v>30.216000000000001</v>
      </c>
      <c r="R9" s="372">
        <v>41.978999999999999</v>
      </c>
      <c r="S9" s="372">
        <v>70.135000000000005</v>
      </c>
      <c r="T9" s="373">
        <f t="shared" si="2"/>
        <v>199.09899999999999</v>
      </c>
      <c r="U9" s="372">
        <v>42.262</v>
      </c>
      <c r="V9" s="374">
        <f>'Revenue Build'!V35</f>
        <v>43.529859999999999</v>
      </c>
      <c r="W9" s="374">
        <f>'Revenue Build'!W35</f>
        <v>45.706353</v>
      </c>
      <c r="X9" s="374">
        <f>'Revenue Build'!X35</f>
        <v>49.362861240000001</v>
      </c>
      <c r="Y9" s="373">
        <f t="shared" si="3"/>
        <v>180.86107423999999</v>
      </c>
      <c r="Z9" s="374">
        <f>'Revenue Build'!Z35</f>
        <v>52.5714472206</v>
      </c>
      <c r="AA9" s="374">
        <f>'Revenue Build'!AA35</f>
        <v>55.725734053836</v>
      </c>
      <c r="AB9" s="374">
        <f>'Revenue Build'!AB35</f>
        <v>58.790649426796975</v>
      </c>
      <c r="AC9" s="374">
        <f>'Revenue Build'!AC35</f>
        <v>61.730181898136827</v>
      </c>
      <c r="AD9" s="373">
        <f t="shared" si="4"/>
        <v>228.81801259936981</v>
      </c>
      <c r="AE9" s="375">
        <f>'Revenue Build'!AE35</f>
        <v>244.83527348132571</v>
      </c>
      <c r="AF9" s="375">
        <f>'Revenue Build'!AF35</f>
        <v>258.30121352279861</v>
      </c>
      <c r="AG9" s="375">
        <f>'Revenue Build'!AG35</f>
        <v>271.21627419893855</v>
      </c>
    </row>
    <row r="10" spans="1:33" ht="14.25" hidden="1" customHeight="1" outlineLevel="1">
      <c r="C10" s="103" t="str">
        <f>C18&amp;" Revenue"</f>
        <v>Segment 3 Revenue</v>
      </c>
      <c r="D10" s="9"/>
      <c r="E10" s="9"/>
      <c r="F10" s="372">
        <v>0</v>
      </c>
      <c r="G10" s="372">
        <v>0</v>
      </c>
      <c r="H10" s="372">
        <v>0</v>
      </c>
      <c r="I10" s="372">
        <v>0</v>
      </c>
      <c r="J10" s="373">
        <f t="shared" si="0"/>
        <v>0</v>
      </c>
      <c r="K10" s="372">
        <v>0</v>
      </c>
      <c r="L10" s="372">
        <v>0</v>
      </c>
      <c r="M10" s="372">
        <v>0</v>
      </c>
      <c r="N10" s="372">
        <v>0</v>
      </c>
      <c r="O10" s="373">
        <f t="shared" si="1"/>
        <v>0</v>
      </c>
      <c r="P10" s="372">
        <v>0</v>
      </c>
      <c r="Q10" s="372">
        <v>0</v>
      </c>
      <c r="R10" s="372">
        <v>0</v>
      </c>
      <c r="S10" s="372">
        <v>0</v>
      </c>
      <c r="T10" s="373">
        <f t="shared" si="2"/>
        <v>0</v>
      </c>
      <c r="U10" s="372">
        <v>0</v>
      </c>
      <c r="V10" s="374">
        <f>'Revenue Build'!V38</f>
        <v>0</v>
      </c>
      <c r="W10" s="374">
        <f>'Revenue Build'!W38</f>
        <v>0</v>
      </c>
      <c r="X10" s="374">
        <f>'Revenue Build'!X38</f>
        <v>0</v>
      </c>
      <c r="Y10" s="373">
        <f t="shared" si="3"/>
        <v>0</v>
      </c>
      <c r="Z10" s="374">
        <f>'Revenue Build'!Z38</f>
        <v>0</v>
      </c>
      <c r="AA10" s="374">
        <f>'Revenue Build'!AA38</f>
        <v>0</v>
      </c>
      <c r="AB10" s="374">
        <f>'Revenue Build'!AB38</f>
        <v>0</v>
      </c>
      <c r="AC10" s="374">
        <f>'Revenue Build'!AC38</f>
        <v>0</v>
      </c>
      <c r="AD10" s="373">
        <f t="shared" si="4"/>
        <v>0</v>
      </c>
      <c r="AE10" s="375">
        <f>'Revenue Build'!AE38</f>
        <v>0</v>
      </c>
      <c r="AF10" s="375">
        <f>'Revenue Build'!AF38</f>
        <v>0</v>
      </c>
      <c r="AG10" s="375">
        <f>'Revenue Build'!AG38</f>
        <v>0</v>
      </c>
    </row>
    <row r="11" spans="1:33" ht="14.25" hidden="1" customHeight="1" outlineLevel="1">
      <c r="C11" s="103" t="str">
        <f>C19&amp;" Revenue"</f>
        <v>Segment 4 Revenue</v>
      </c>
      <c r="D11" s="9"/>
      <c r="E11" s="9"/>
      <c r="F11" s="372">
        <v>0</v>
      </c>
      <c r="G11" s="372">
        <v>0</v>
      </c>
      <c r="H11" s="372">
        <v>0</v>
      </c>
      <c r="I11" s="372">
        <v>0</v>
      </c>
      <c r="J11" s="373">
        <f t="shared" si="0"/>
        <v>0</v>
      </c>
      <c r="K11" s="372">
        <v>0</v>
      </c>
      <c r="L11" s="372">
        <v>0</v>
      </c>
      <c r="M11" s="372">
        <v>0</v>
      </c>
      <c r="N11" s="372">
        <v>0</v>
      </c>
      <c r="O11" s="373">
        <f t="shared" si="1"/>
        <v>0</v>
      </c>
      <c r="P11" s="372">
        <v>0</v>
      </c>
      <c r="Q11" s="372">
        <v>0</v>
      </c>
      <c r="R11" s="372">
        <v>0</v>
      </c>
      <c r="S11" s="372">
        <v>0</v>
      </c>
      <c r="T11" s="373">
        <f t="shared" si="2"/>
        <v>0</v>
      </c>
      <c r="U11" s="372">
        <v>0</v>
      </c>
      <c r="V11" s="374">
        <f>'Revenue Build'!V41</f>
        <v>0</v>
      </c>
      <c r="W11" s="374">
        <f>'Revenue Build'!W41</f>
        <v>0</v>
      </c>
      <c r="X11" s="374">
        <f>'Revenue Build'!X41</f>
        <v>0</v>
      </c>
      <c r="Y11" s="373">
        <f t="shared" si="3"/>
        <v>0</v>
      </c>
      <c r="Z11" s="374">
        <f>'Revenue Build'!Z41</f>
        <v>0</v>
      </c>
      <c r="AA11" s="374">
        <f>'Revenue Build'!AA41</f>
        <v>0</v>
      </c>
      <c r="AB11" s="374">
        <f>'Revenue Build'!AB41</f>
        <v>0</v>
      </c>
      <c r="AC11" s="374">
        <f>'Revenue Build'!AC41</f>
        <v>0</v>
      </c>
      <c r="AD11" s="373">
        <f t="shared" si="4"/>
        <v>0</v>
      </c>
      <c r="AE11" s="375">
        <f>'Revenue Build'!AE41</f>
        <v>0</v>
      </c>
      <c r="AF11" s="375">
        <f>'Revenue Build'!AF41</f>
        <v>0</v>
      </c>
      <c r="AG11" s="375">
        <f>'Revenue Build'!AG41</f>
        <v>0</v>
      </c>
    </row>
    <row r="12" spans="1:33" ht="14.25" hidden="1" customHeight="1" outlineLevel="1">
      <c r="C12" s="103" t="str">
        <f>C20&amp;" Revenue"</f>
        <v>Segment 5 Revenue</v>
      </c>
      <c r="D12" s="9"/>
      <c r="E12" s="9"/>
      <c r="F12" s="372">
        <v>0</v>
      </c>
      <c r="G12" s="372">
        <v>0</v>
      </c>
      <c r="H12" s="372">
        <v>0</v>
      </c>
      <c r="I12" s="372">
        <v>0</v>
      </c>
      <c r="J12" s="373">
        <f t="shared" si="0"/>
        <v>0</v>
      </c>
      <c r="K12" s="372">
        <v>0</v>
      </c>
      <c r="L12" s="372">
        <v>0</v>
      </c>
      <c r="M12" s="372">
        <v>0</v>
      </c>
      <c r="N12" s="372">
        <v>0</v>
      </c>
      <c r="O12" s="373">
        <f t="shared" si="1"/>
        <v>0</v>
      </c>
      <c r="P12" s="372">
        <v>0</v>
      </c>
      <c r="Q12" s="372">
        <v>0</v>
      </c>
      <c r="R12" s="372">
        <v>0</v>
      </c>
      <c r="S12" s="372">
        <v>0</v>
      </c>
      <c r="T12" s="373">
        <f t="shared" si="2"/>
        <v>0</v>
      </c>
      <c r="U12" s="372">
        <v>0</v>
      </c>
      <c r="V12" s="374">
        <f>'Revenue Build'!V44</f>
        <v>0</v>
      </c>
      <c r="W12" s="374">
        <f>'Revenue Build'!W44</f>
        <v>0</v>
      </c>
      <c r="X12" s="374">
        <f>'Revenue Build'!X44</f>
        <v>0</v>
      </c>
      <c r="Y12" s="373">
        <f t="shared" si="3"/>
        <v>0</v>
      </c>
      <c r="Z12" s="374">
        <f>'Revenue Build'!Z44</f>
        <v>0</v>
      </c>
      <c r="AA12" s="374">
        <f>'Revenue Build'!AA44</f>
        <v>0</v>
      </c>
      <c r="AB12" s="374">
        <f>'Revenue Build'!AB44</f>
        <v>0</v>
      </c>
      <c r="AC12" s="374">
        <f>'Revenue Build'!AC44</f>
        <v>0</v>
      </c>
      <c r="AD12" s="373">
        <f t="shared" si="4"/>
        <v>0</v>
      </c>
      <c r="AE12" s="375">
        <f>'Revenue Build'!AE44</f>
        <v>0</v>
      </c>
      <c r="AF12" s="375">
        <f>'Revenue Build'!AF44</f>
        <v>0</v>
      </c>
      <c r="AG12" s="375">
        <f>'Revenue Build'!AG44</f>
        <v>0</v>
      </c>
    </row>
    <row r="13" spans="1:33" ht="14.25" hidden="1" customHeight="1" outlineLevel="1">
      <c r="C13" s="103" t="str">
        <f>C21&amp;" Revenue"</f>
        <v>Segment 6 Revenue</v>
      </c>
      <c r="D13" s="9"/>
      <c r="E13" s="9"/>
      <c r="F13" s="372">
        <v>0</v>
      </c>
      <c r="G13" s="372">
        <v>0</v>
      </c>
      <c r="H13" s="372">
        <v>0</v>
      </c>
      <c r="I13" s="372">
        <v>0</v>
      </c>
      <c r="J13" s="373">
        <f t="shared" si="0"/>
        <v>0</v>
      </c>
      <c r="K13" s="372">
        <v>0</v>
      </c>
      <c r="L13" s="372">
        <v>0</v>
      </c>
      <c r="M13" s="372">
        <v>0</v>
      </c>
      <c r="N13" s="372">
        <v>0</v>
      </c>
      <c r="O13" s="373">
        <f t="shared" si="1"/>
        <v>0</v>
      </c>
      <c r="P13" s="372">
        <v>0</v>
      </c>
      <c r="Q13" s="372">
        <v>0</v>
      </c>
      <c r="R13" s="372">
        <v>0</v>
      </c>
      <c r="S13" s="372">
        <v>0</v>
      </c>
      <c r="T13" s="373">
        <f t="shared" si="2"/>
        <v>0</v>
      </c>
      <c r="U13" s="372">
        <v>0</v>
      </c>
      <c r="V13" s="374">
        <f>'Revenue Build'!V47</f>
        <v>0</v>
      </c>
      <c r="W13" s="374">
        <f>'Revenue Build'!W47</f>
        <v>0</v>
      </c>
      <c r="X13" s="374">
        <f>'Revenue Build'!X47</f>
        <v>0</v>
      </c>
      <c r="Y13" s="373">
        <f t="shared" si="3"/>
        <v>0</v>
      </c>
      <c r="Z13" s="374">
        <f>'Revenue Build'!Z47</f>
        <v>0</v>
      </c>
      <c r="AA13" s="374">
        <f>'Revenue Build'!AA47</f>
        <v>0</v>
      </c>
      <c r="AB13" s="374">
        <f>'Revenue Build'!AB47</f>
        <v>0</v>
      </c>
      <c r="AC13" s="374">
        <f>'Revenue Build'!AC47</f>
        <v>0</v>
      </c>
      <c r="AD13" s="373">
        <f t="shared" si="4"/>
        <v>0</v>
      </c>
      <c r="AE13" s="375">
        <f>'Revenue Build'!AE47</f>
        <v>0</v>
      </c>
      <c r="AF13" s="375">
        <f>'Revenue Build'!AF47</f>
        <v>0</v>
      </c>
      <c r="AG13" s="375">
        <f>'Revenue Build'!AG47</f>
        <v>0</v>
      </c>
    </row>
    <row r="14" spans="1:33" ht="14.25" customHeight="1" collapsed="1">
      <c r="C14" s="9"/>
      <c r="D14" s="9"/>
      <c r="E14" s="9"/>
      <c r="F14" s="232"/>
      <c r="G14" s="232"/>
      <c r="H14" s="232"/>
      <c r="I14" s="232"/>
      <c r="J14" s="132"/>
      <c r="K14" s="232"/>
      <c r="L14" s="232"/>
      <c r="M14" s="376"/>
      <c r="N14" s="232"/>
      <c r="O14" s="132"/>
      <c r="P14" s="232"/>
      <c r="Q14" s="232"/>
      <c r="R14" s="232"/>
      <c r="S14" s="232"/>
      <c r="T14" s="132"/>
      <c r="U14" s="232"/>
      <c r="V14" s="235"/>
      <c r="W14" s="235"/>
      <c r="X14" s="235"/>
      <c r="Y14" s="132"/>
      <c r="Z14" s="235"/>
      <c r="AA14" s="235"/>
      <c r="AB14" s="235"/>
      <c r="AC14" s="235"/>
      <c r="AD14" s="132"/>
      <c r="AE14" s="132"/>
      <c r="AF14" s="132"/>
      <c r="AG14" s="132"/>
    </row>
    <row r="15" spans="1:33" ht="14.25" customHeight="1">
      <c r="C15" s="9" t="s">
        <v>424</v>
      </c>
      <c r="D15" s="9"/>
      <c r="E15" s="9"/>
      <c r="F15" s="377"/>
      <c r="G15" s="377"/>
      <c r="H15" s="377"/>
      <c r="I15" s="377"/>
      <c r="J15" s="132"/>
      <c r="K15" s="377"/>
      <c r="L15" s="377"/>
      <c r="M15" s="376"/>
      <c r="N15" s="377"/>
      <c r="O15" s="132"/>
      <c r="P15" s="377"/>
      <c r="Q15" s="377"/>
      <c r="R15" s="377"/>
      <c r="S15" s="377"/>
      <c r="T15" s="132"/>
      <c r="U15" s="377"/>
      <c r="V15" s="378"/>
      <c r="W15" s="378"/>
      <c r="X15" s="378"/>
      <c r="Y15" s="132"/>
      <c r="Z15" s="378"/>
      <c r="AA15" s="378"/>
      <c r="AB15" s="378"/>
      <c r="AC15" s="378"/>
      <c r="AD15" s="132"/>
      <c r="AE15" s="132"/>
      <c r="AF15" s="132"/>
      <c r="AG15" s="132"/>
    </row>
    <row r="16" spans="1:33" ht="14.25" customHeight="1">
      <c r="C16" s="379" t="str">
        <f>C8</f>
        <v>Management &amp; Advisory Fees</v>
      </c>
      <c r="D16" s="9"/>
      <c r="E16" s="9"/>
      <c r="F16" s="290">
        <f t="shared" ref="F16:AG16" si="5">IFERROR(F8/F$7,"N/A")</f>
        <v>0.63424569585783963</v>
      </c>
      <c r="G16" s="290">
        <f t="shared" si="5"/>
        <v>0.60554693510320634</v>
      </c>
      <c r="H16" s="290">
        <f t="shared" si="5"/>
        <v>0.7661283976265798</v>
      </c>
      <c r="I16" s="290">
        <f t="shared" si="5"/>
        <v>0.84842359116218036</v>
      </c>
      <c r="J16" s="291">
        <f t="shared" si="5"/>
        <v>0.70330191979998213</v>
      </c>
      <c r="K16" s="290">
        <f t="shared" si="5"/>
        <v>0.84300647008485485</v>
      </c>
      <c r="L16" s="290">
        <f t="shared" si="5"/>
        <v>0.86055676408461801</v>
      </c>
      <c r="M16" s="290">
        <f t="shared" si="5"/>
        <v>0.90721196832290196</v>
      </c>
      <c r="N16" s="290">
        <f t="shared" si="5"/>
        <v>0.700217926584213</v>
      </c>
      <c r="O16" s="291">
        <f t="shared" si="5"/>
        <v>0.81600167556812242</v>
      </c>
      <c r="P16" s="290">
        <f t="shared" si="5"/>
        <v>0.71143846165576341</v>
      </c>
      <c r="Q16" s="290">
        <f t="shared" si="5"/>
        <v>0.79855865705771367</v>
      </c>
      <c r="R16" s="290">
        <f t="shared" si="5"/>
        <v>0.75051259650186319</v>
      </c>
      <c r="S16" s="290">
        <f t="shared" si="5"/>
        <v>0.64573451935364923</v>
      </c>
      <c r="T16" s="291">
        <f t="shared" si="5"/>
        <v>0.72074466592983666</v>
      </c>
      <c r="U16" s="290">
        <f t="shared" si="5"/>
        <v>0.75981768376544401</v>
      </c>
      <c r="V16" s="292">
        <f t="shared" ref="V16:W21" si="6">IFERROR(V8/V$7,"N/A")</f>
        <v>0.76330975050603367</v>
      </c>
      <c r="W16" s="292">
        <f t="shared" si="6"/>
        <v>0.76586288115983492</v>
      </c>
      <c r="X16" s="292">
        <f t="shared" si="5"/>
        <v>0.76669011901932993</v>
      </c>
      <c r="Y16" s="291">
        <f t="shared" si="5"/>
        <v>0.7640912611536953</v>
      </c>
      <c r="Z16" s="292">
        <f t="shared" si="5"/>
        <v>0.76584729005662966</v>
      </c>
      <c r="AA16" s="292">
        <f t="shared" si="5"/>
        <v>0.76584729005662966</v>
      </c>
      <c r="AB16" s="292">
        <f t="shared" si="5"/>
        <v>0.76413509576537308</v>
      </c>
      <c r="AC16" s="292">
        <f t="shared" si="5"/>
        <v>0.76327371069036465</v>
      </c>
      <c r="AD16" s="291">
        <f t="shared" si="5"/>
        <v>0.76471840138620173</v>
      </c>
      <c r="AE16" s="291">
        <f t="shared" si="5"/>
        <v>0.76471840138620151</v>
      </c>
      <c r="AF16" s="291">
        <f t="shared" si="5"/>
        <v>0.76471840138620162</v>
      </c>
      <c r="AG16" s="291">
        <f t="shared" si="5"/>
        <v>0.76809632533600425</v>
      </c>
    </row>
    <row r="17" spans="3:33" ht="14.25" customHeight="1">
      <c r="C17" s="379" t="str">
        <f>C9</f>
        <v>Incentive Fees</v>
      </c>
      <c r="D17" s="9"/>
      <c r="E17" s="9"/>
      <c r="F17" s="290">
        <f t="shared" ref="F17:AG17" si="7">IFERROR(F9/F$7,"N/A")</f>
        <v>0.36575430414216026</v>
      </c>
      <c r="G17" s="290">
        <f t="shared" si="7"/>
        <v>0.3944530648967936</v>
      </c>
      <c r="H17" s="290">
        <f t="shared" si="7"/>
        <v>0.23387160237342025</v>
      </c>
      <c r="I17" s="290">
        <f t="shared" si="7"/>
        <v>0.15157640883781964</v>
      </c>
      <c r="J17" s="291">
        <f t="shared" si="7"/>
        <v>0.29669808020001776</v>
      </c>
      <c r="K17" s="290">
        <f t="shared" si="7"/>
        <v>0.15699352991514512</v>
      </c>
      <c r="L17" s="290">
        <f t="shared" si="7"/>
        <v>0.13944323591538194</v>
      </c>
      <c r="M17" s="290">
        <f t="shared" si="7"/>
        <v>9.2788031677097968E-2</v>
      </c>
      <c r="N17" s="290">
        <f t="shared" si="7"/>
        <v>0.29978207341578694</v>
      </c>
      <c r="O17" s="291">
        <f t="shared" si="7"/>
        <v>0.18399832443187769</v>
      </c>
      <c r="P17" s="290">
        <f t="shared" si="7"/>
        <v>0.28856153834423659</v>
      </c>
      <c r="Q17" s="290">
        <f t="shared" si="7"/>
        <v>0.2014413429422863</v>
      </c>
      <c r="R17" s="290">
        <f t="shared" si="7"/>
        <v>0.24948740349813683</v>
      </c>
      <c r="S17" s="290">
        <f t="shared" si="7"/>
        <v>0.35426548064635077</v>
      </c>
      <c r="T17" s="291">
        <f t="shared" si="7"/>
        <v>0.27925533407016345</v>
      </c>
      <c r="U17" s="290">
        <f t="shared" si="7"/>
        <v>0.24018231623455596</v>
      </c>
      <c r="V17" s="292">
        <f t="shared" si="6"/>
        <v>0.23669024949396625</v>
      </c>
      <c r="W17" s="292">
        <f t="shared" si="6"/>
        <v>0.234137118840165</v>
      </c>
      <c r="X17" s="292">
        <f t="shared" si="7"/>
        <v>0.23330988098067004</v>
      </c>
      <c r="Y17" s="291">
        <f t="shared" si="7"/>
        <v>0.23590873884630487</v>
      </c>
      <c r="Z17" s="292">
        <f t="shared" si="7"/>
        <v>0.2341527099433704</v>
      </c>
      <c r="AA17" s="292">
        <f t="shared" si="7"/>
        <v>0.2341527099433704</v>
      </c>
      <c r="AB17" s="292">
        <f t="shared" si="7"/>
        <v>0.23586490423462683</v>
      </c>
      <c r="AC17" s="292">
        <f t="shared" si="7"/>
        <v>0.23672628930963546</v>
      </c>
      <c r="AD17" s="291">
        <f t="shared" si="7"/>
        <v>0.23528159861379844</v>
      </c>
      <c r="AE17" s="291">
        <f t="shared" si="7"/>
        <v>0.23528159861379838</v>
      </c>
      <c r="AF17" s="291">
        <f t="shared" si="7"/>
        <v>0.23528159861379841</v>
      </c>
      <c r="AG17" s="291">
        <f t="shared" si="7"/>
        <v>0.23190367466399581</v>
      </c>
    </row>
    <row r="18" spans="3:33" ht="14.25" hidden="1" customHeight="1" outlineLevel="1">
      <c r="C18" s="379" t="s">
        <v>425</v>
      </c>
      <c r="D18" s="9"/>
      <c r="E18" s="9"/>
      <c r="F18" s="290">
        <f t="shared" ref="F18:AG18" si="8">IFERROR(F10/F$7,"N/A")</f>
        <v>0</v>
      </c>
      <c r="G18" s="290">
        <f t="shared" si="8"/>
        <v>0</v>
      </c>
      <c r="H18" s="290">
        <f t="shared" si="8"/>
        <v>0</v>
      </c>
      <c r="I18" s="290">
        <f t="shared" si="8"/>
        <v>0</v>
      </c>
      <c r="J18" s="291">
        <f t="shared" si="8"/>
        <v>0</v>
      </c>
      <c r="K18" s="290">
        <f t="shared" si="8"/>
        <v>0</v>
      </c>
      <c r="L18" s="290">
        <f t="shared" si="8"/>
        <v>0</v>
      </c>
      <c r="M18" s="290">
        <f t="shared" si="8"/>
        <v>0</v>
      </c>
      <c r="N18" s="290">
        <f t="shared" si="8"/>
        <v>0</v>
      </c>
      <c r="O18" s="291">
        <f t="shared" si="8"/>
        <v>0</v>
      </c>
      <c r="P18" s="290">
        <f t="shared" si="8"/>
        <v>0</v>
      </c>
      <c r="Q18" s="290">
        <f t="shared" si="8"/>
        <v>0</v>
      </c>
      <c r="R18" s="290">
        <f t="shared" si="8"/>
        <v>0</v>
      </c>
      <c r="S18" s="290">
        <f t="shared" si="8"/>
        <v>0</v>
      </c>
      <c r="T18" s="291">
        <f t="shared" si="8"/>
        <v>0</v>
      </c>
      <c r="U18" s="290">
        <f t="shared" si="8"/>
        <v>0</v>
      </c>
      <c r="V18" s="292">
        <f t="shared" si="6"/>
        <v>0</v>
      </c>
      <c r="W18" s="292">
        <f t="shared" si="6"/>
        <v>0</v>
      </c>
      <c r="X18" s="292">
        <f t="shared" si="8"/>
        <v>0</v>
      </c>
      <c r="Y18" s="291">
        <f t="shared" si="8"/>
        <v>0</v>
      </c>
      <c r="Z18" s="292">
        <f t="shared" si="8"/>
        <v>0</v>
      </c>
      <c r="AA18" s="292">
        <f t="shared" si="8"/>
        <v>0</v>
      </c>
      <c r="AB18" s="292">
        <f t="shared" si="8"/>
        <v>0</v>
      </c>
      <c r="AC18" s="292">
        <f t="shared" si="8"/>
        <v>0</v>
      </c>
      <c r="AD18" s="291">
        <f t="shared" si="8"/>
        <v>0</v>
      </c>
      <c r="AE18" s="291">
        <f t="shared" si="8"/>
        <v>0</v>
      </c>
      <c r="AF18" s="291">
        <f t="shared" si="8"/>
        <v>0</v>
      </c>
      <c r="AG18" s="291">
        <f t="shared" si="8"/>
        <v>0</v>
      </c>
    </row>
    <row r="19" spans="3:33" ht="14.25" hidden="1" customHeight="1" outlineLevel="1">
      <c r="C19" s="379" t="s">
        <v>426</v>
      </c>
      <c r="D19" s="9"/>
      <c r="E19" s="9"/>
      <c r="F19" s="290">
        <f t="shared" ref="F19:AG19" si="9">IFERROR(F11/F$7,"N/A")</f>
        <v>0</v>
      </c>
      <c r="G19" s="290">
        <f t="shared" si="9"/>
        <v>0</v>
      </c>
      <c r="H19" s="290">
        <f t="shared" si="9"/>
        <v>0</v>
      </c>
      <c r="I19" s="290">
        <f t="shared" si="9"/>
        <v>0</v>
      </c>
      <c r="J19" s="291">
        <f t="shared" si="9"/>
        <v>0</v>
      </c>
      <c r="K19" s="290">
        <f t="shared" si="9"/>
        <v>0</v>
      </c>
      <c r="L19" s="290">
        <f t="shared" si="9"/>
        <v>0</v>
      </c>
      <c r="M19" s="290">
        <f t="shared" si="9"/>
        <v>0</v>
      </c>
      <c r="N19" s="290">
        <f t="shared" si="9"/>
        <v>0</v>
      </c>
      <c r="O19" s="291">
        <f t="shared" si="9"/>
        <v>0</v>
      </c>
      <c r="P19" s="290">
        <f t="shared" si="9"/>
        <v>0</v>
      </c>
      <c r="Q19" s="290">
        <f t="shared" si="9"/>
        <v>0</v>
      </c>
      <c r="R19" s="290">
        <f t="shared" si="9"/>
        <v>0</v>
      </c>
      <c r="S19" s="290">
        <f t="shared" si="9"/>
        <v>0</v>
      </c>
      <c r="T19" s="291">
        <f t="shared" si="9"/>
        <v>0</v>
      </c>
      <c r="U19" s="290">
        <f t="shared" si="9"/>
        <v>0</v>
      </c>
      <c r="V19" s="292">
        <f t="shared" si="6"/>
        <v>0</v>
      </c>
      <c r="W19" s="292">
        <f t="shared" si="6"/>
        <v>0</v>
      </c>
      <c r="X19" s="292">
        <f t="shared" si="9"/>
        <v>0</v>
      </c>
      <c r="Y19" s="291">
        <f t="shared" si="9"/>
        <v>0</v>
      </c>
      <c r="Z19" s="292">
        <f t="shared" si="9"/>
        <v>0</v>
      </c>
      <c r="AA19" s="292">
        <f t="shared" si="9"/>
        <v>0</v>
      </c>
      <c r="AB19" s="292">
        <f t="shared" si="9"/>
        <v>0</v>
      </c>
      <c r="AC19" s="292">
        <f t="shared" si="9"/>
        <v>0</v>
      </c>
      <c r="AD19" s="291">
        <f t="shared" si="9"/>
        <v>0</v>
      </c>
      <c r="AE19" s="291">
        <f t="shared" si="9"/>
        <v>0</v>
      </c>
      <c r="AF19" s="291">
        <f t="shared" si="9"/>
        <v>0</v>
      </c>
      <c r="AG19" s="291">
        <f t="shared" si="9"/>
        <v>0</v>
      </c>
    </row>
    <row r="20" spans="3:33" ht="14.25" hidden="1" customHeight="1" outlineLevel="1">
      <c r="C20" s="379" t="s">
        <v>427</v>
      </c>
      <c r="D20" s="9"/>
      <c r="E20" s="9"/>
      <c r="F20" s="290">
        <f t="shared" ref="F20:AG20" si="10">IFERROR(F12/F$7,"N/A")</f>
        <v>0</v>
      </c>
      <c r="G20" s="290">
        <f t="shared" si="10"/>
        <v>0</v>
      </c>
      <c r="H20" s="290">
        <f t="shared" si="10"/>
        <v>0</v>
      </c>
      <c r="I20" s="290">
        <f t="shared" si="10"/>
        <v>0</v>
      </c>
      <c r="J20" s="291">
        <f t="shared" si="10"/>
        <v>0</v>
      </c>
      <c r="K20" s="290">
        <f t="shared" si="10"/>
        <v>0</v>
      </c>
      <c r="L20" s="290">
        <f t="shared" si="10"/>
        <v>0</v>
      </c>
      <c r="M20" s="290">
        <f t="shared" si="10"/>
        <v>0</v>
      </c>
      <c r="N20" s="290">
        <f t="shared" si="10"/>
        <v>0</v>
      </c>
      <c r="O20" s="291">
        <f t="shared" si="10"/>
        <v>0</v>
      </c>
      <c r="P20" s="290">
        <f t="shared" si="10"/>
        <v>0</v>
      </c>
      <c r="Q20" s="290">
        <f t="shared" si="10"/>
        <v>0</v>
      </c>
      <c r="R20" s="290">
        <f t="shared" si="10"/>
        <v>0</v>
      </c>
      <c r="S20" s="290">
        <f t="shared" si="10"/>
        <v>0</v>
      </c>
      <c r="T20" s="291">
        <f t="shared" si="10"/>
        <v>0</v>
      </c>
      <c r="U20" s="290">
        <f t="shared" si="10"/>
        <v>0</v>
      </c>
      <c r="V20" s="292">
        <f t="shared" si="6"/>
        <v>0</v>
      </c>
      <c r="W20" s="292">
        <f t="shared" si="6"/>
        <v>0</v>
      </c>
      <c r="X20" s="292">
        <f t="shared" si="10"/>
        <v>0</v>
      </c>
      <c r="Y20" s="291">
        <f t="shared" si="10"/>
        <v>0</v>
      </c>
      <c r="Z20" s="292">
        <f t="shared" si="10"/>
        <v>0</v>
      </c>
      <c r="AA20" s="292">
        <f t="shared" si="10"/>
        <v>0</v>
      </c>
      <c r="AB20" s="292">
        <f t="shared" si="10"/>
        <v>0</v>
      </c>
      <c r="AC20" s="292">
        <f t="shared" si="10"/>
        <v>0</v>
      </c>
      <c r="AD20" s="291">
        <f t="shared" si="10"/>
        <v>0</v>
      </c>
      <c r="AE20" s="291">
        <f t="shared" si="10"/>
        <v>0</v>
      </c>
      <c r="AF20" s="291">
        <f t="shared" si="10"/>
        <v>0</v>
      </c>
      <c r="AG20" s="291">
        <f t="shared" si="10"/>
        <v>0</v>
      </c>
    </row>
    <row r="21" spans="3:33" ht="14.25" hidden="1" customHeight="1" outlineLevel="2">
      <c r="C21" s="379" t="s">
        <v>428</v>
      </c>
      <c r="D21" s="9"/>
      <c r="E21" s="9"/>
      <c r="F21" s="290">
        <f t="shared" ref="F21:AG21" si="11">IFERROR(F13/F$7,"N/A")</f>
        <v>0</v>
      </c>
      <c r="G21" s="290">
        <f t="shared" si="11"/>
        <v>0</v>
      </c>
      <c r="H21" s="290">
        <f t="shared" si="11"/>
        <v>0</v>
      </c>
      <c r="I21" s="290">
        <f t="shared" si="11"/>
        <v>0</v>
      </c>
      <c r="J21" s="291">
        <f t="shared" si="11"/>
        <v>0</v>
      </c>
      <c r="K21" s="290">
        <f t="shared" si="11"/>
        <v>0</v>
      </c>
      <c r="L21" s="290">
        <f t="shared" si="11"/>
        <v>0</v>
      </c>
      <c r="M21" s="290">
        <f t="shared" si="11"/>
        <v>0</v>
      </c>
      <c r="N21" s="290">
        <f t="shared" si="11"/>
        <v>0</v>
      </c>
      <c r="O21" s="291">
        <f t="shared" si="11"/>
        <v>0</v>
      </c>
      <c r="P21" s="290">
        <f t="shared" si="11"/>
        <v>0</v>
      </c>
      <c r="Q21" s="290">
        <f t="shared" si="11"/>
        <v>0</v>
      </c>
      <c r="R21" s="290">
        <f t="shared" si="11"/>
        <v>0</v>
      </c>
      <c r="S21" s="290">
        <f t="shared" si="11"/>
        <v>0</v>
      </c>
      <c r="T21" s="291">
        <f t="shared" si="11"/>
        <v>0</v>
      </c>
      <c r="U21" s="290">
        <f t="shared" si="11"/>
        <v>0</v>
      </c>
      <c r="V21" s="292">
        <f t="shared" si="6"/>
        <v>0</v>
      </c>
      <c r="W21" s="292">
        <f t="shared" si="6"/>
        <v>0</v>
      </c>
      <c r="X21" s="292">
        <f t="shared" si="11"/>
        <v>0</v>
      </c>
      <c r="Y21" s="291">
        <f t="shared" si="11"/>
        <v>0</v>
      </c>
      <c r="Z21" s="292">
        <f t="shared" si="11"/>
        <v>0</v>
      </c>
      <c r="AA21" s="292">
        <f t="shared" si="11"/>
        <v>0</v>
      </c>
      <c r="AB21" s="292">
        <f t="shared" si="11"/>
        <v>0</v>
      </c>
      <c r="AC21" s="292">
        <f t="shared" si="11"/>
        <v>0</v>
      </c>
      <c r="AD21" s="291">
        <f t="shared" si="11"/>
        <v>0</v>
      </c>
      <c r="AE21" s="291">
        <f t="shared" si="11"/>
        <v>0</v>
      </c>
      <c r="AF21" s="291">
        <f t="shared" si="11"/>
        <v>0</v>
      </c>
      <c r="AG21" s="291">
        <f t="shared" si="11"/>
        <v>0</v>
      </c>
    </row>
    <row r="22" spans="3:33" ht="14.25" customHeight="1" collapsed="1">
      <c r="C22" s="9"/>
      <c r="D22" s="9"/>
      <c r="E22" s="9"/>
      <c r="F22" s="232"/>
      <c r="G22" s="232"/>
      <c r="H22" s="232"/>
      <c r="I22" s="232"/>
      <c r="J22" s="132"/>
      <c r="K22" s="232"/>
      <c r="L22" s="232"/>
      <c r="M22" s="232"/>
      <c r="N22" s="232"/>
      <c r="O22" s="132"/>
      <c r="P22" s="232"/>
      <c r="Q22" s="232"/>
      <c r="R22" s="232"/>
      <c r="S22" s="232"/>
      <c r="T22" s="132"/>
      <c r="U22" s="232"/>
      <c r="V22" s="235"/>
      <c r="W22" s="235"/>
      <c r="X22" s="235"/>
      <c r="Y22" s="132"/>
      <c r="Z22" s="235"/>
      <c r="AA22" s="235"/>
      <c r="AB22" s="235"/>
      <c r="AC22" s="235"/>
      <c r="AD22" s="132"/>
      <c r="AE22" s="132"/>
      <c r="AF22" s="132"/>
      <c r="AG22" s="132"/>
    </row>
    <row r="23" spans="3:33" ht="14.25" customHeight="1">
      <c r="C23" s="9" t="s">
        <v>430</v>
      </c>
      <c r="D23" s="9"/>
      <c r="E23" s="9"/>
      <c r="F23" s="230">
        <f>SUM(F24:F29)</f>
        <v>67.614000000000004</v>
      </c>
      <c r="G23" s="230">
        <f>SUM(G24:G29)</f>
        <v>73.227999999999994</v>
      </c>
      <c r="H23" s="230">
        <f>SUM(H24:H29)</f>
        <v>33.671999999999997</v>
      </c>
      <c r="I23" s="230">
        <f>SUM(I24:I29)</f>
        <v>68.093999999999994</v>
      </c>
      <c r="J23" s="202">
        <f t="shared" ref="J23:J29" si="12">SUM(F23:I23)</f>
        <v>242.60799999999998</v>
      </c>
      <c r="K23" s="230">
        <f>SUM(K24:K29)</f>
        <v>67.744</v>
      </c>
      <c r="L23" s="230">
        <f>SUM(L24:L29)</f>
        <v>66.358999999999995</v>
      </c>
      <c r="M23" s="230">
        <f>SUM(M24:M29)</f>
        <v>50.332000000000001</v>
      </c>
      <c r="N23" s="230">
        <f>SUM(N24:N29)</f>
        <v>97.224000000000004</v>
      </c>
      <c r="O23" s="202">
        <f t="shared" ref="O23:O29" si="13">SUM(K23:N23)</f>
        <v>281.65899999999999</v>
      </c>
      <c r="P23" s="230">
        <f>SUM(P24:P29)</f>
        <v>106.774</v>
      </c>
      <c r="Q23" s="230">
        <f>SUM(Q24:Q29)</f>
        <v>77.093999999999994</v>
      </c>
      <c r="R23" s="230">
        <f>R24</f>
        <v>90.150999999999996</v>
      </c>
      <c r="S23" s="230">
        <f>SUM(S24:S29)</f>
        <v>88.257999999999996</v>
      </c>
      <c r="T23" s="202">
        <f t="shared" ref="T23:T29" si="14">SUM(P23:S23)</f>
        <v>362.27699999999999</v>
      </c>
      <c r="U23" s="230">
        <f>SUM(U24:U29)</f>
        <v>95.448999999999998</v>
      </c>
      <c r="V23" s="201">
        <f>SUM(V24:V29)</f>
        <v>140.38079999999999</v>
      </c>
      <c r="W23" s="201">
        <f>SUM(W24:W29)</f>
        <v>149.50555199999999</v>
      </c>
      <c r="X23" s="201">
        <f>SUM(X24:X29)</f>
        <v>162.21352392</v>
      </c>
      <c r="Y23" s="202">
        <f t="shared" ref="Y23:Y29" si="15">SUM(U23:X23)</f>
        <v>547.54887592</v>
      </c>
      <c r="Z23" s="201">
        <f>SUM(Z24:Z29)</f>
        <v>171.94633535520001</v>
      </c>
      <c r="AA23" s="201">
        <f>SUM(AA24:AA29)</f>
        <v>182.26311547651201</v>
      </c>
      <c r="AB23" s="201">
        <f>SUM(AB24:AB29)</f>
        <v>190.46495567295503</v>
      </c>
      <c r="AC23" s="201">
        <f>SUM(AC24:AC29)</f>
        <v>199.03587867823799</v>
      </c>
      <c r="AD23" s="202">
        <f t="shared" ref="AD23:AD29" si="16">SUM(Z23:AC23)</f>
        <v>743.71028518290507</v>
      </c>
      <c r="AE23" s="202">
        <f>SUM(AE24:AE29)</f>
        <v>795.77000514570852</v>
      </c>
      <c r="AF23" s="202">
        <f>SUM(AF24:AF29)</f>
        <v>839.53735542872244</v>
      </c>
      <c r="AG23" s="202">
        <f>SUM(AG24:AG29)</f>
        <v>898.304970308733</v>
      </c>
    </row>
    <row r="24" spans="3:33" ht="14.25" customHeight="1">
      <c r="C24" s="103" t="s">
        <v>844</v>
      </c>
      <c r="D24" s="9"/>
      <c r="E24" s="9"/>
      <c r="F24" s="372">
        <v>67.614000000000004</v>
      </c>
      <c r="G24" s="372">
        <v>73.227999999999994</v>
      </c>
      <c r="H24" s="372">
        <v>33.671999999999997</v>
      </c>
      <c r="I24" s="372">
        <v>68.093999999999994</v>
      </c>
      <c r="J24" s="373">
        <f t="shared" si="12"/>
        <v>242.60799999999998</v>
      </c>
      <c r="K24" s="372">
        <v>67.744</v>
      </c>
      <c r="L24" s="372">
        <v>66.358999999999995</v>
      </c>
      <c r="M24" s="372">
        <v>50.332000000000001</v>
      </c>
      <c r="N24" s="372">
        <v>97.224000000000004</v>
      </c>
      <c r="O24" s="373">
        <f t="shared" si="13"/>
        <v>281.65899999999999</v>
      </c>
      <c r="P24" s="372">
        <v>106.774</v>
      </c>
      <c r="Q24" s="372">
        <v>77.093999999999994</v>
      </c>
      <c r="R24" s="372">
        <v>90.150999999999996</v>
      </c>
      <c r="S24" s="372">
        <v>88.257999999999996</v>
      </c>
      <c r="T24" s="373">
        <f t="shared" si="14"/>
        <v>362.27699999999999</v>
      </c>
      <c r="U24" s="372">
        <v>95.448999999999998</v>
      </c>
      <c r="V24" s="383">
        <f>V8*Drivers!V$7</f>
        <v>140.38079999999999</v>
      </c>
      <c r="W24" s="383">
        <f>W8*Drivers!W$7</f>
        <v>149.50555199999999</v>
      </c>
      <c r="X24" s="383">
        <f>X8*Drivers!X$7</f>
        <v>162.21352392</v>
      </c>
      <c r="Y24" s="373">
        <f t="shared" si="15"/>
        <v>547.54887592</v>
      </c>
      <c r="Z24" s="383">
        <f>Z8*Drivers!Z$7</f>
        <v>171.94633535520001</v>
      </c>
      <c r="AA24" s="383">
        <f>AA8*Drivers!AA$7</f>
        <v>182.26311547651201</v>
      </c>
      <c r="AB24" s="383">
        <f>AB8*Drivers!AB$7</f>
        <v>190.46495567295503</v>
      </c>
      <c r="AC24" s="383">
        <f>AC8*Drivers!AC$7</f>
        <v>199.03587867823799</v>
      </c>
      <c r="AD24" s="373">
        <f t="shared" si="16"/>
        <v>743.71028518290507</v>
      </c>
      <c r="AE24" s="373">
        <f>AE8*Drivers!AE$7</f>
        <v>795.77000514570852</v>
      </c>
      <c r="AF24" s="373">
        <f>AF8*Drivers!AF$7</f>
        <v>839.53735542872244</v>
      </c>
      <c r="AG24" s="373">
        <f>AG8*Drivers!AG$7</f>
        <v>898.304970308733</v>
      </c>
    </row>
    <row r="25" spans="3:33" ht="14.25" hidden="1" customHeight="1" outlineLevel="1">
      <c r="C25" s="103" t="s">
        <v>845</v>
      </c>
      <c r="D25" s="9"/>
      <c r="E25" s="9"/>
      <c r="F25" s="372">
        <v>0</v>
      </c>
      <c r="G25" s="372">
        <v>0</v>
      </c>
      <c r="H25" s="372">
        <v>0</v>
      </c>
      <c r="I25" s="372">
        <v>0</v>
      </c>
      <c r="J25" s="373">
        <f t="shared" si="12"/>
        <v>0</v>
      </c>
      <c r="K25" s="372">
        <v>0</v>
      </c>
      <c r="L25" s="372">
        <v>0</v>
      </c>
      <c r="M25" s="372">
        <v>0</v>
      </c>
      <c r="N25" s="372">
        <v>0</v>
      </c>
      <c r="O25" s="373">
        <f t="shared" si="13"/>
        <v>0</v>
      </c>
      <c r="P25" s="372">
        <v>0</v>
      </c>
      <c r="Q25" s="372">
        <v>0</v>
      </c>
      <c r="R25" s="372">
        <v>0</v>
      </c>
      <c r="S25" s="372">
        <v>0</v>
      </c>
      <c r="T25" s="373">
        <f t="shared" si="14"/>
        <v>0</v>
      </c>
      <c r="U25" s="372">
        <v>0</v>
      </c>
      <c r="V25" s="383">
        <f>V9*Drivers!V$12</f>
        <v>0</v>
      </c>
      <c r="W25" s="383">
        <f>W9*Drivers!W$12</f>
        <v>0</v>
      </c>
      <c r="X25" s="383">
        <f>X9*Drivers!X$12</f>
        <v>0</v>
      </c>
      <c r="Y25" s="373">
        <f t="shared" si="15"/>
        <v>0</v>
      </c>
      <c r="Z25" s="383">
        <f>Z9*Drivers!Z$12</f>
        <v>0</v>
      </c>
      <c r="AA25" s="383">
        <f>AA9*Drivers!AA$12</f>
        <v>0</v>
      </c>
      <c r="AB25" s="383">
        <f>AB9*Drivers!AB$12</f>
        <v>0</v>
      </c>
      <c r="AC25" s="383">
        <f>AC9*Drivers!AC$12</f>
        <v>0</v>
      </c>
      <c r="AD25" s="373">
        <f t="shared" si="16"/>
        <v>0</v>
      </c>
      <c r="AE25" s="373">
        <f>AE9*Drivers!AE$12</f>
        <v>0</v>
      </c>
      <c r="AF25" s="373">
        <f>AF9*Drivers!AF$12</f>
        <v>0</v>
      </c>
      <c r="AG25" s="373">
        <f>AG9*Drivers!AG$12</f>
        <v>0</v>
      </c>
    </row>
    <row r="26" spans="3:33" ht="14.25" hidden="1" customHeight="1" outlineLevel="1">
      <c r="C26" s="103" t="s">
        <v>845</v>
      </c>
      <c r="D26" s="9"/>
      <c r="E26" s="9"/>
      <c r="F26" s="372">
        <v>0</v>
      </c>
      <c r="G26" s="372">
        <v>0</v>
      </c>
      <c r="H26" s="372">
        <v>0</v>
      </c>
      <c r="I26" s="372">
        <v>0</v>
      </c>
      <c r="J26" s="373">
        <f t="shared" si="12"/>
        <v>0</v>
      </c>
      <c r="K26" s="372">
        <v>0</v>
      </c>
      <c r="L26" s="372">
        <v>0</v>
      </c>
      <c r="M26" s="372">
        <v>0</v>
      </c>
      <c r="N26" s="372">
        <v>0</v>
      </c>
      <c r="O26" s="373">
        <f t="shared" si="13"/>
        <v>0</v>
      </c>
      <c r="P26" s="372">
        <v>0</v>
      </c>
      <c r="Q26" s="372">
        <v>0</v>
      </c>
      <c r="R26" s="372">
        <v>0</v>
      </c>
      <c r="S26" s="372">
        <v>0</v>
      </c>
      <c r="T26" s="373">
        <f t="shared" si="14"/>
        <v>0</v>
      </c>
      <c r="U26" s="372">
        <v>0</v>
      </c>
      <c r="V26" s="383">
        <f>V10*Drivers!V$17</f>
        <v>0</v>
      </c>
      <c r="W26" s="383">
        <f>W10*Drivers!W$17</f>
        <v>0</v>
      </c>
      <c r="X26" s="383">
        <f>X10*Drivers!X17</f>
        <v>0</v>
      </c>
      <c r="Y26" s="373">
        <f t="shared" si="15"/>
        <v>0</v>
      </c>
      <c r="Z26" s="383">
        <f>Z10*Drivers!Z$17</f>
        <v>0</v>
      </c>
      <c r="AA26" s="383">
        <f>AA10*Drivers!AA$17</f>
        <v>0</v>
      </c>
      <c r="AB26" s="383">
        <f>AB10*Drivers!AB$17</f>
        <v>0</v>
      </c>
      <c r="AC26" s="383">
        <f>AC10*Drivers!AC$17</f>
        <v>0</v>
      </c>
      <c r="AD26" s="373">
        <f t="shared" si="16"/>
        <v>0</v>
      </c>
      <c r="AE26" s="373">
        <f>AE10*Drivers!AE$17</f>
        <v>0</v>
      </c>
      <c r="AF26" s="373">
        <f>AF10*Drivers!AF$17</f>
        <v>0</v>
      </c>
      <c r="AG26" s="373">
        <f>AG10*Drivers!AG$17</f>
        <v>0</v>
      </c>
    </row>
    <row r="27" spans="3:33" ht="14.25" hidden="1" customHeight="1" outlineLevel="1">
      <c r="C27" s="103" t="s">
        <v>845</v>
      </c>
      <c r="D27" s="9"/>
      <c r="E27" s="9"/>
      <c r="F27" s="372">
        <v>0</v>
      </c>
      <c r="G27" s="372">
        <v>0</v>
      </c>
      <c r="H27" s="372">
        <v>0</v>
      </c>
      <c r="I27" s="372">
        <v>0</v>
      </c>
      <c r="J27" s="373">
        <f t="shared" si="12"/>
        <v>0</v>
      </c>
      <c r="K27" s="372">
        <v>0</v>
      </c>
      <c r="L27" s="372">
        <v>0</v>
      </c>
      <c r="M27" s="372">
        <v>0</v>
      </c>
      <c r="N27" s="372">
        <v>0</v>
      </c>
      <c r="O27" s="373">
        <f t="shared" si="13"/>
        <v>0</v>
      </c>
      <c r="P27" s="372">
        <v>0</v>
      </c>
      <c r="Q27" s="372">
        <v>0</v>
      </c>
      <c r="R27" s="372">
        <v>0</v>
      </c>
      <c r="S27" s="372">
        <v>0</v>
      </c>
      <c r="T27" s="373">
        <f t="shared" si="14"/>
        <v>0</v>
      </c>
      <c r="U27" s="372">
        <v>0</v>
      </c>
      <c r="V27" s="383">
        <f>V11*Drivers!V$22</f>
        <v>0</v>
      </c>
      <c r="W27" s="383">
        <f>W11*Drivers!W$22</f>
        <v>0</v>
      </c>
      <c r="X27" s="383">
        <f>X11*Drivers!X$22</f>
        <v>0</v>
      </c>
      <c r="Y27" s="373">
        <f t="shared" si="15"/>
        <v>0</v>
      </c>
      <c r="Z27" s="383">
        <f>Z11*Drivers!Z$22</f>
        <v>0</v>
      </c>
      <c r="AA27" s="383">
        <f>AA11*Drivers!AA$22</f>
        <v>0</v>
      </c>
      <c r="AB27" s="383">
        <f>AB11*Drivers!AB$22</f>
        <v>0</v>
      </c>
      <c r="AC27" s="383">
        <f>AC11*Drivers!AC$22</f>
        <v>0</v>
      </c>
      <c r="AD27" s="373">
        <f t="shared" si="16"/>
        <v>0</v>
      </c>
      <c r="AE27" s="373">
        <f>AE11*Drivers!AE$22</f>
        <v>0</v>
      </c>
      <c r="AF27" s="373">
        <f>AF11*Drivers!AF$22</f>
        <v>0</v>
      </c>
      <c r="AG27" s="373">
        <f>AG11*Drivers!AG$22</f>
        <v>0</v>
      </c>
    </row>
    <row r="28" spans="3:33" ht="14.25" hidden="1" customHeight="1" outlineLevel="1">
      <c r="C28" s="103" t="s">
        <v>845</v>
      </c>
      <c r="D28" s="9"/>
      <c r="E28" s="9"/>
      <c r="F28" s="372">
        <v>0</v>
      </c>
      <c r="G28" s="372">
        <v>0</v>
      </c>
      <c r="H28" s="372">
        <v>0</v>
      </c>
      <c r="I28" s="372">
        <v>0</v>
      </c>
      <c r="J28" s="373">
        <f t="shared" si="12"/>
        <v>0</v>
      </c>
      <c r="K28" s="372">
        <v>0</v>
      </c>
      <c r="L28" s="372">
        <v>0</v>
      </c>
      <c r="M28" s="372">
        <v>0</v>
      </c>
      <c r="N28" s="372">
        <v>0</v>
      </c>
      <c r="O28" s="373">
        <f t="shared" si="13"/>
        <v>0</v>
      </c>
      <c r="P28" s="372">
        <v>0</v>
      </c>
      <c r="Q28" s="372">
        <v>0</v>
      </c>
      <c r="R28" s="372">
        <v>0</v>
      </c>
      <c r="S28" s="372">
        <v>0</v>
      </c>
      <c r="T28" s="373">
        <f t="shared" si="14"/>
        <v>0</v>
      </c>
      <c r="U28" s="372">
        <v>0</v>
      </c>
      <c r="V28" s="383">
        <f>V12*Drivers!V$27</f>
        <v>0</v>
      </c>
      <c r="W28" s="383">
        <f>W12*Drivers!W$27</f>
        <v>0</v>
      </c>
      <c r="X28" s="383">
        <f>X12*Drivers!X$27</f>
        <v>0</v>
      </c>
      <c r="Y28" s="373">
        <f t="shared" si="15"/>
        <v>0</v>
      </c>
      <c r="Z28" s="383">
        <f>Z12*Drivers!Z$27</f>
        <v>0</v>
      </c>
      <c r="AA28" s="383">
        <f>AA12*Drivers!AA$27</f>
        <v>0</v>
      </c>
      <c r="AB28" s="383">
        <f>AB12*Drivers!AB$27</f>
        <v>0</v>
      </c>
      <c r="AC28" s="383">
        <f>AC12*Drivers!AC$27</f>
        <v>0</v>
      </c>
      <c r="AD28" s="373">
        <f t="shared" si="16"/>
        <v>0</v>
      </c>
      <c r="AE28" s="373">
        <f>AE12*Drivers!AE$27</f>
        <v>0</v>
      </c>
      <c r="AF28" s="373">
        <f>AF12*Drivers!AF$27</f>
        <v>0</v>
      </c>
      <c r="AG28" s="373">
        <f>AG12*Drivers!AG$27</f>
        <v>0</v>
      </c>
    </row>
    <row r="29" spans="3:33" ht="14.25" hidden="1" customHeight="1" outlineLevel="1">
      <c r="C29" s="103" t="s">
        <v>845</v>
      </c>
      <c r="D29" s="9"/>
      <c r="E29" s="9"/>
      <c r="F29" s="372">
        <v>0</v>
      </c>
      <c r="G29" s="372">
        <v>0</v>
      </c>
      <c r="H29" s="372">
        <v>0</v>
      </c>
      <c r="I29" s="372">
        <v>0</v>
      </c>
      <c r="J29" s="373">
        <f t="shared" si="12"/>
        <v>0</v>
      </c>
      <c r="K29" s="372">
        <v>0</v>
      </c>
      <c r="L29" s="372">
        <v>0</v>
      </c>
      <c r="M29" s="372">
        <v>0</v>
      </c>
      <c r="N29" s="372">
        <v>0</v>
      </c>
      <c r="O29" s="373">
        <f t="shared" si="13"/>
        <v>0</v>
      </c>
      <c r="P29" s="372">
        <v>0</v>
      </c>
      <c r="Q29" s="372">
        <v>0</v>
      </c>
      <c r="R29" s="372">
        <v>0</v>
      </c>
      <c r="S29" s="372">
        <v>0</v>
      </c>
      <c r="T29" s="373">
        <f t="shared" si="14"/>
        <v>0</v>
      </c>
      <c r="U29" s="372">
        <v>0</v>
      </c>
      <c r="V29" s="383">
        <f>V13*Drivers!V$32</f>
        <v>0</v>
      </c>
      <c r="W29" s="383">
        <f>W13*Drivers!W$32</f>
        <v>0</v>
      </c>
      <c r="X29" s="383">
        <f>X13*Drivers!X$32</f>
        <v>0</v>
      </c>
      <c r="Y29" s="373">
        <f t="shared" si="15"/>
        <v>0</v>
      </c>
      <c r="Z29" s="383">
        <f>Z13*Drivers!Z$32</f>
        <v>0</v>
      </c>
      <c r="AA29" s="383">
        <f>AA13*Drivers!AA$32</f>
        <v>0</v>
      </c>
      <c r="AB29" s="383">
        <f>AB13*Drivers!AB$32</f>
        <v>0</v>
      </c>
      <c r="AC29" s="383">
        <f>AC13*Drivers!AC$32</f>
        <v>0</v>
      </c>
      <c r="AD29" s="373">
        <f t="shared" si="16"/>
        <v>0</v>
      </c>
      <c r="AE29" s="373">
        <f>AE13*Drivers!AE$32</f>
        <v>0</v>
      </c>
      <c r="AF29" s="373">
        <f>AF13*Drivers!AF$32</f>
        <v>0</v>
      </c>
      <c r="AG29" s="373">
        <f>AG13*Drivers!AG$32</f>
        <v>0</v>
      </c>
    </row>
    <row r="30" spans="3:33" ht="14.25" customHeight="1" collapsed="1">
      <c r="C30" s="103"/>
      <c r="D30" s="9"/>
      <c r="E30" s="9"/>
      <c r="F30" s="384"/>
      <c r="G30" s="384"/>
      <c r="H30" s="384"/>
      <c r="I30" s="384"/>
      <c r="J30" s="132"/>
      <c r="K30" s="384"/>
      <c r="L30" s="384"/>
      <c r="M30" s="384"/>
      <c r="N30" s="384"/>
      <c r="O30" s="132"/>
      <c r="P30" s="384"/>
      <c r="Q30" s="384"/>
      <c r="R30" s="384"/>
      <c r="S30" s="384"/>
      <c r="T30" s="132"/>
      <c r="U30" s="384"/>
      <c r="V30" s="385"/>
      <c r="W30" s="385"/>
      <c r="X30" s="385"/>
      <c r="Y30" s="132"/>
      <c r="Z30" s="385"/>
      <c r="AA30" s="385"/>
      <c r="AB30" s="385"/>
      <c r="AC30" s="385"/>
      <c r="AD30" s="132"/>
      <c r="AE30" s="132"/>
      <c r="AF30" s="132"/>
      <c r="AG30" s="132"/>
    </row>
    <row r="31" spans="3:33" ht="14.25" customHeight="1">
      <c r="C31" s="84" t="s">
        <v>431</v>
      </c>
      <c r="D31" s="9"/>
      <c r="E31" s="9"/>
      <c r="F31" s="386">
        <f t="shared" ref="F31:AG31" si="17">F23-SUM(F24:F29)</f>
        <v>0</v>
      </c>
      <c r="G31" s="386">
        <f t="shared" si="17"/>
        <v>0</v>
      </c>
      <c r="H31" s="386">
        <f t="shared" si="17"/>
        <v>0</v>
      </c>
      <c r="I31" s="386">
        <f t="shared" si="17"/>
        <v>0</v>
      </c>
      <c r="J31" s="387">
        <f t="shared" si="17"/>
        <v>0</v>
      </c>
      <c r="K31" s="386">
        <f t="shared" si="17"/>
        <v>0</v>
      </c>
      <c r="L31" s="386">
        <f t="shared" si="17"/>
        <v>0</v>
      </c>
      <c r="M31" s="386">
        <f t="shared" si="17"/>
        <v>0</v>
      </c>
      <c r="N31" s="386">
        <f t="shared" si="17"/>
        <v>0</v>
      </c>
      <c r="O31" s="387">
        <f t="shared" si="17"/>
        <v>0</v>
      </c>
      <c r="P31" s="386">
        <f t="shared" si="17"/>
        <v>0</v>
      </c>
      <c r="Q31" s="386">
        <f t="shared" si="17"/>
        <v>0</v>
      </c>
      <c r="R31" s="386">
        <f t="shared" si="17"/>
        <v>0</v>
      </c>
      <c r="S31" s="386">
        <f t="shared" si="17"/>
        <v>0</v>
      </c>
      <c r="T31" s="387">
        <f t="shared" si="17"/>
        <v>0</v>
      </c>
      <c r="U31" s="386">
        <f t="shared" si="17"/>
        <v>0</v>
      </c>
      <c r="V31" s="388">
        <f>V23-SUM(V24:V29)</f>
        <v>0</v>
      </c>
      <c r="W31" s="388">
        <f>W23-SUM(W24:W29)</f>
        <v>0</v>
      </c>
      <c r="X31" s="388">
        <f t="shared" si="17"/>
        <v>0</v>
      </c>
      <c r="Y31" s="387">
        <f t="shared" si="17"/>
        <v>0</v>
      </c>
      <c r="Z31" s="388">
        <f t="shared" si="17"/>
        <v>0</v>
      </c>
      <c r="AA31" s="388">
        <f t="shared" si="17"/>
        <v>0</v>
      </c>
      <c r="AB31" s="388">
        <f t="shared" si="17"/>
        <v>0</v>
      </c>
      <c r="AC31" s="388">
        <f t="shared" si="17"/>
        <v>0</v>
      </c>
      <c r="AD31" s="387">
        <f t="shared" si="17"/>
        <v>0</v>
      </c>
      <c r="AE31" s="387">
        <f t="shared" si="17"/>
        <v>0</v>
      </c>
      <c r="AF31" s="387">
        <f t="shared" si="17"/>
        <v>0</v>
      </c>
      <c r="AG31" s="387">
        <f t="shared" si="17"/>
        <v>0</v>
      </c>
    </row>
    <row r="32" spans="3:33" ht="14.25" customHeight="1">
      <c r="C32" s="9"/>
      <c r="D32" s="9"/>
      <c r="E32" s="9"/>
      <c r="F32" s="232"/>
      <c r="G32" s="232"/>
      <c r="H32" s="232"/>
      <c r="I32" s="232"/>
      <c r="J32" s="132"/>
      <c r="K32" s="232"/>
      <c r="L32" s="232"/>
      <c r="M32" s="232"/>
      <c r="N32" s="232"/>
      <c r="O32" s="132"/>
      <c r="P32" s="232"/>
      <c r="Q32" s="232"/>
      <c r="R32" s="232"/>
      <c r="S32" s="232"/>
      <c r="T32" s="132"/>
      <c r="U32" s="232"/>
      <c r="V32" s="235"/>
      <c r="W32" s="235"/>
      <c r="X32" s="235"/>
      <c r="Y32" s="132"/>
      <c r="Z32" s="235"/>
      <c r="AA32" s="235"/>
      <c r="AB32" s="235"/>
      <c r="AC32" s="235"/>
      <c r="AD32" s="132"/>
      <c r="AE32" s="132"/>
      <c r="AF32" s="132"/>
      <c r="AG32" s="132"/>
    </row>
    <row r="33" spans="3:33" ht="14.25" customHeight="1">
      <c r="C33" s="9" t="s">
        <v>432</v>
      </c>
      <c r="D33" s="9"/>
      <c r="E33" s="9"/>
      <c r="F33" s="377"/>
      <c r="G33" s="377"/>
      <c r="H33" s="377"/>
      <c r="I33" s="377"/>
      <c r="J33" s="132"/>
      <c r="K33" s="377"/>
      <c r="L33" s="377"/>
      <c r="M33" s="377"/>
      <c r="N33" s="377"/>
      <c r="O33" s="132"/>
      <c r="P33" s="377"/>
      <c r="Q33" s="377"/>
      <c r="R33" s="377"/>
      <c r="S33" s="377"/>
      <c r="T33" s="132"/>
      <c r="U33" s="377"/>
      <c r="V33" s="378"/>
      <c r="W33" s="378"/>
      <c r="X33" s="378"/>
      <c r="Y33" s="132"/>
      <c r="Z33" s="378"/>
      <c r="AA33" s="378"/>
      <c r="AB33" s="378"/>
      <c r="AC33" s="378"/>
      <c r="AD33" s="132"/>
      <c r="AE33" s="132"/>
      <c r="AF33" s="132"/>
      <c r="AG33" s="132"/>
    </row>
    <row r="34" spans="3:33" ht="14.25" customHeight="1">
      <c r="C34" s="103" t="s">
        <v>844</v>
      </c>
      <c r="D34" s="9"/>
      <c r="E34" s="9"/>
      <c r="F34" s="290">
        <f t="shared" ref="F34:AG34" si="18">IFERROR(F24/F$23,"N/A")</f>
        <v>1</v>
      </c>
      <c r="G34" s="290">
        <f t="shared" si="18"/>
        <v>1</v>
      </c>
      <c r="H34" s="290">
        <f t="shared" si="18"/>
        <v>1</v>
      </c>
      <c r="I34" s="290">
        <f t="shared" si="18"/>
        <v>1</v>
      </c>
      <c r="J34" s="291">
        <f t="shared" si="18"/>
        <v>1</v>
      </c>
      <c r="K34" s="290">
        <f t="shared" si="18"/>
        <v>1</v>
      </c>
      <c r="L34" s="290">
        <f t="shared" si="18"/>
        <v>1</v>
      </c>
      <c r="M34" s="290">
        <f t="shared" si="18"/>
        <v>1</v>
      </c>
      <c r="N34" s="290">
        <f t="shared" si="18"/>
        <v>1</v>
      </c>
      <c r="O34" s="291">
        <f t="shared" si="18"/>
        <v>1</v>
      </c>
      <c r="P34" s="290">
        <f t="shared" si="18"/>
        <v>1</v>
      </c>
      <c r="Q34" s="290">
        <f t="shared" si="18"/>
        <v>1</v>
      </c>
      <c r="R34" s="290">
        <f t="shared" si="18"/>
        <v>1</v>
      </c>
      <c r="S34" s="290">
        <f t="shared" si="18"/>
        <v>1</v>
      </c>
      <c r="T34" s="291">
        <f t="shared" si="18"/>
        <v>1</v>
      </c>
      <c r="U34" s="290">
        <f t="shared" si="18"/>
        <v>1</v>
      </c>
      <c r="V34" s="292">
        <f t="shared" ref="V34:W39" si="19">IFERROR(V24/V$23,"N/A")</f>
        <v>1</v>
      </c>
      <c r="W34" s="292">
        <f t="shared" si="19"/>
        <v>1</v>
      </c>
      <c r="X34" s="292">
        <f t="shared" si="18"/>
        <v>1</v>
      </c>
      <c r="Y34" s="291">
        <f t="shared" si="18"/>
        <v>1</v>
      </c>
      <c r="Z34" s="292">
        <f t="shared" si="18"/>
        <v>1</v>
      </c>
      <c r="AA34" s="292">
        <f t="shared" si="18"/>
        <v>1</v>
      </c>
      <c r="AB34" s="292">
        <f t="shared" si="18"/>
        <v>1</v>
      </c>
      <c r="AC34" s="292">
        <f t="shared" si="18"/>
        <v>1</v>
      </c>
      <c r="AD34" s="291">
        <f t="shared" si="18"/>
        <v>1</v>
      </c>
      <c r="AE34" s="291">
        <f t="shared" si="18"/>
        <v>1</v>
      </c>
      <c r="AF34" s="291">
        <f t="shared" si="18"/>
        <v>1</v>
      </c>
      <c r="AG34" s="291">
        <f t="shared" si="18"/>
        <v>1</v>
      </c>
    </row>
    <row r="35" spans="3:33" ht="14.25" hidden="1" customHeight="1">
      <c r="C35" s="103" t="str">
        <f t="shared" ref="C35:C39" si="20">C17</f>
        <v>Incentive Fees</v>
      </c>
      <c r="D35" s="9"/>
      <c r="E35" s="9"/>
      <c r="F35" s="290">
        <f t="shared" ref="F35:AG35" si="21">IFERROR(F25/F$23,"N/A")</f>
        <v>0</v>
      </c>
      <c r="G35" s="290">
        <f t="shared" si="21"/>
        <v>0</v>
      </c>
      <c r="H35" s="290">
        <f t="shared" si="21"/>
        <v>0</v>
      </c>
      <c r="I35" s="290">
        <f t="shared" si="21"/>
        <v>0</v>
      </c>
      <c r="J35" s="291">
        <f t="shared" si="21"/>
        <v>0</v>
      </c>
      <c r="K35" s="290">
        <f t="shared" si="21"/>
        <v>0</v>
      </c>
      <c r="L35" s="290">
        <f t="shared" si="21"/>
        <v>0</v>
      </c>
      <c r="M35" s="290">
        <f t="shared" si="21"/>
        <v>0</v>
      </c>
      <c r="N35" s="290">
        <f t="shared" si="21"/>
        <v>0</v>
      </c>
      <c r="O35" s="291">
        <f t="shared" si="21"/>
        <v>0</v>
      </c>
      <c r="P35" s="290">
        <f t="shared" si="21"/>
        <v>0</v>
      </c>
      <c r="Q35" s="290">
        <f t="shared" si="21"/>
        <v>0</v>
      </c>
      <c r="R35" s="290">
        <f t="shared" si="21"/>
        <v>0</v>
      </c>
      <c r="S35" s="290">
        <f t="shared" si="21"/>
        <v>0</v>
      </c>
      <c r="T35" s="291">
        <f t="shared" si="21"/>
        <v>0</v>
      </c>
      <c r="U35" s="290">
        <f t="shared" si="21"/>
        <v>0</v>
      </c>
      <c r="V35" s="292">
        <f t="shared" si="19"/>
        <v>0</v>
      </c>
      <c r="W35" s="292">
        <f t="shared" si="19"/>
        <v>0</v>
      </c>
      <c r="X35" s="292">
        <f t="shared" si="21"/>
        <v>0</v>
      </c>
      <c r="Y35" s="291">
        <f t="shared" si="21"/>
        <v>0</v>
      </c>
      <c r="Z35" s="292">
        <f t="shared" si="21"/>
        <v>0</v>
      </c>
      <c r="AA35" s="292">
        <f t="shared" si="21"/>
        <v>0</v>
      </c>
      <c r="AB35" s="292">
        <f t="shared" si="21"/>
        <v>0</v>
      </c>
      <c r="AC35" s="292">
        <f t="shared" si="21"/>
        <v>0</v>
      </c>
      <c r="AD35" s="291">
        <f t="shared" si="21"/>
        <v>0</v>
      </c>
      <c r="AE35" s="291">
        <f t="shared" si="21"/>
        <v>0</v>
      </c>
      <c r="AF35" s="291">
        <f t="shared" si="21"/>
        <v>0</v>
      </c>
      <c r="AG35" s="291">
        <f t="shared" si="21"/>
        <v>0</v>
      </c>
    </row>
    <row r="36" spans="3:33" ht="14.25" hidden="1" customHeight="1" outlineLevel="1">
      <c r="C36" s="103" t="str">
        <f t="shared" si="20"/>
        <v>Segment 3</v>
      </c>
      <c r="D36" s="9"/>
      <c r="E36" s="9"/>
      <c r="F36" s="290">
        <f t="shared" ref="F36:AG36" si="22">IFERROR(F26/F$23,"N/A")</f>
        <v>0</v>
      </c>
      <c r="G36" s="290">
        <f t="shared" si="22"/>
        <v>0</v>
      </c>
      <c r="H36" s="290">
        <f t="shared" si="22"/>
        <v>0</v>
      </c>
      <c r="I36" s="290">
        <f t="shared" si="22"/>
        <v>0</v>
      </c>
      <c r="J36" s="291">
        <f t="shared" si="22"/>
        <v>0</v>
      </c>
      <c r="K36" s="290">
        <f t="shared" si="22"/>
        <v>0</v>
      </c>
      <c r="L36" s="290">
        <f t="shared" si="22"/>
        <v>0</v>
      </c>
      <c r="M36" s="290">
        <f t="shared" si="22"/>
        <v>0</v>
      </c>
      <c r="N36" s="290">
        <f t="shared" si="22"/>
        <v>0</v>
      </c>
      <c r="O36" s="291">
        <f t="shared" si="22"/>
        <v>0</v>
      </c>
      <c r="P36" s="290">
        <f t="shared" si="22"/>
        <v>0</v>
      </c>
      <c r="Q36" s="290">
        <f t="shared" si="22"/>
        <v>0</v>
      </c>
      <c r="R36" s="290">
        <f t="shared" si="22"/>
        <v>0</v>
      </c>
      <c r="S36" s="290">
        <f t="shared" si="22"/>
        <v>0</v>
      </c>
      <c r="T36" s="291">
        <f t="shared" si="22"/>
        <v>0</v>
      </c>
      <c r="U36" s="290">
        <f t="shared" si="22"/>
        <v>0</v>
      </c>
      <c r="V36" s="292">
        <f t="shared" si="19"/>
        <v>0</v>
      </c>
      <c r="W36" s="292">
        <f t="shared" si="19"/>
        <v>0</v>
      </c>
      <c r="X36" s="292">
        <f t="shared" si="22"/>
        <v>0</v>
      </c>
      <c r="Y36" s="291">
        <f t="shared" si="22"/>
        <v>0</v>
      </c>
      <c r="Z36" s="292">
        <f t="shared" si="22"/>
        <v>0</v>
      </c>
      <c r="AA36" s="292">
        <f t="shared" si="22"/>
        <v>0</v>
      </c>
      <c r="AB36" s="292">
        <f t="shared" si="22"/>
        <v>0</v>
      </c>
      <c r="AC36" s="292">
        <f t="shared" si="22"/>
        <v>0</v>
      </c>
      <c r="AD36" s="291">
        <f t="shared" si="22"/>
        <v>0</v>
      </c>
      <c r="AE36" s="291">
        <f t="shared" si="22"/>
        <v>0</v>
      </c>
      <c r="AF36" s="291">
        <f t="shared" si="22"/>
        <v>0</v>
      </c>
      <c r="AG36" s="291">
        <f t="shared" si="22"/>
        <v>0</v>
      </c>
    </row>
    <row r="37" spans="3:33" ht="14.25" hidden="1" customHeight="1" outlineLevel="1">
      <c r="C37" s="103" t="str">
        <f t="shared" si="20"/>
        <v>Segment 4</v>
      </c>
      <c r="D37" s="9"/>
      <c r="E37" s="9"/>
      <c r="F37" s="290">
        <f t="shared" ref="F37:AG37" si="23">IFERROR(F27/F$23,"N/A")</f>
        <v>0</v>
      </c>
      <c r="G37" s="290">
        <f t="shared" si="23"/>
        <v>0</v>
      </c>
      <c r="H37" s="290">
        <f t="shared" si="23"/>
        <v>0</v>
      </c>
      <c r="I37" s="290">
        <f t="shared" si="23"/>
        <v>0</v>
      </c>
      <c r="J37" s="291">
        <f t="shared" si="23"/>
        <v>0</v>
      </c>
      <c r="K37" s="290">
        <f t="shared" si="23"/>
        <v>0</v>
      </c>
      <c r="L37" s="290">
        <f t="shared" si="23"/>
        <v>0</v>
      </c>
      <c r="M37" s="290">
        <f t="shared" si="23"/>
        <v>0</v>
      </c>
      <c r="N37" s="290">
        <f t="shared" si="23"/>
        <v>0</v>
      </c>
      <c r="O37" s="291">
        <f t="shared" si="23"/>
        <v>0</v>
      </c>
      <c r="P37" s="290">
        <f t="shared" si="23"/>
        <v>0</v>
      </c>
      <c r="Q37" s="290">
        <f t="shared" si="23"/>
        <v>0</v>
      </c>
      <c r="R37" s="290">
        <f t="shared" si="23"/>
        <v>0</v>
      </c>
      <c r="S37" s="290">
        <f t="shared" si="23"/>
        <v>0</v>
      </c>
      <c r="T37" s="291">
        <f t="shared" si="23"/>
        <v>0</v>
      </c>
      <c r="U37" s="290">
        <f t="shared" si="23"/>
        <v>0</v>
      </c>
      <c r="V37" s="292">
        <f t="shared" si="19"/>
        <v>0</v>
      </c>
      <c r="W37" s="292">
        <f t="shared" si="19"/>
        <v>0</v>
      </c>
      <c r="X37" s="292">
        <f t="shared" si="23"/>
        <v>0</v>
      </c>
      <c r="Y37" s="291">
        <f t="shared" si="23"/>
        <v>0</v>
      </c>
      <c r="Z37" s="292">
        <f t="shared" si="23"/>
        <v>0</v>
      </c>
      <c r="AA37" s="292">
        <f t="shared" si="23"/>
        <v>0</v>
      </c>
      <c r="AB37" s="292">
        <f t="shared" si="23"/>
        <v>0</v>
      </c>
      <c r="AC37" s="292">
        <f t="shared" si="23"/>
        <v>0</v>
      </c>
      <c r="AD37" s="291">
        <f t="shared" si="23"/>
        <v>0</v>
      </c>
      <c r="AE37" s="291">
        <f t="shared" si="23"/>
        <v>0</v>
      </c>
      <c r="AF37" s="291">
        <f t="shared" si="23"/>
        <v>0</v>
      </c>
      <c r="AG37" s="291">
        <f t="shared" si="23"/>
        <v>0</v>
      </c>
    </row>
    <row r="38" spans="3:33" ht="14.25" hidden="1" customHeight="1" outlineLevel="1">
      <c r="C38" s="103" t="str">
        <f t="shared" si="20"/>
        <v>Segment 5</v>
      </c>
      <c r="D38" s="9"/>
      <c r="E38" s="9"/>
      <c r="F38" s="290">
        <f t="shared" ref="F38:AG38" si="24">IFERROR(F28/F$23,"N/A")</f>
        <v>0</v>
      </c>
      <c r="G38" s="290">
        <f t="shared" si="24"/>
        <v>0</v>
      </c>
      <c r="H38" s="290">
        <f t="shared" si="24"/>
        <v>0</v>
      </c>
      <c r="I38" s="290">
        <f t="shared" si="24"/>
        <v>0</v>
      </c>
      <c r="J38" s="291">
        <f t="shared" si="24"/>
        <v>0</v>
      </c>
      <c r="K38" s="290">
        <f t="shared" si="24"/>
        <v>0</v>
      </c>
      <c r="L38" s="290">
        <f t="shared" si="24"/>
        <v>0</v>
      </c>
      <c r="M38" s="290">
        <f t="shared" si="24"/>
        <v>0</v>
      </c>
      <c r="N38" s="290">
        <f t="shared" si="24"/>
        <v>0</v>
      </c>
      <c r="O38" s="291">
        <f t="shared" si="24"/>
        <v>0</v>
      </c>
      <c r="P38" s="290">
        <f t="shared" si="24"/>
        <v>0</v>
      </c>
      <c r="Q38" s="290">
        <f t="shared" si="24"/>
        <v>0</v>
      </c>
      <c r="R38" s="290">
        <f t="shared" si="24"/>
        <v>0</v>
      </c>
      <c r="S38" s="290">
        <f t="shared" si="24"/>
        <v>0</v>
      </c>
      <c r="T38" s="291">
        <f t="shared" si="24"/>
        <v>0</v>
      </c>
      <c r="U38" s="290">
        <f t="shared" si="24"/>
        <v>0</v>
      </c>
      <c r="V38" s="292">
        <f t="shared" si="19"/>
        <v>0</v>
      </c>
      <c r="W38" s="292">
        <f t="shared" si="19"/>
        <v>0</v>
      </c>
      <c r="X38" s="292">
        <f t="shared" si="24"/>
        <v>0</v>
      </c>
      <c r="Y38" s="291">
        <f t="shared" si="24"/>
        <v>0</v>
      </c>
      <c r="Z38" s="292">
        <f t="shared" si="24"/>
        <v>0</v>
      </c>
      <c r="AA38" s="292">
        <f t="shared" si="24"/>
        <v>0</v>
      </c>
      <c r="AB38" s="292">
        <f t="shared" si="24"/>
        <v>0</v>
      </c>
      <c r="AC38" s="292">
        <f t="shared" si="24"/>
        <v>0</v>
      </c>
      <c r="AD38" s="291">
        <f t="shared" si="24"/>
        <v>0</v>
      </c>
      <c r="AE38" s="291">
        <f t="shared" si="24"/>
        <v>0</v>
      </c>
      <c r="AF38" s="291">
        <f t="shared" si="24"/>
        <v>0</v>
      </c>
      <c r="AG38" s="291">
        <f t="shared" si="24"/>
        <v>0</v>
      </c>
    </row>
    <row r="39" spans="3:33" ht="14.25" hidden="1" customHeight="1" outlineLevel="1">
      <c r="C39" s="103" t="str">
        <f t="shared" si="20"/>
        <v>Segment 6</v>
      </c>
      <c r="D39" s="9"/>
      <c r="E39" s="9"/>
      <c r="F39" s="290">
        <f t="shared" ref="F39:AG39" si="25">IFERROR(F29/F$23,"N/A")</f>
        <v>0</v>
      </c>
      <c r="G39" s="290">
        <f t="shared" si="25"/>
        <v>0</v>
      </c>
      <c r="H39" s="290">
        <f t="shared" si="25"/>
        <v>0</v>
      </c>
      <c r="I39" s="290">
        <f t="shared" si="25"/>
        <v>0</v>
      </c>
      <c r="J39" s="291">
        <f t="shared" si="25"/>
        <v>0</v>
      </c>
      <c r="K39" s="290">
        <f t="shared" si="25"/>
        <v>0</v>
      </c>
      <c r="L39" s="290">
        <f t="shared" si="25"/>
        <v>0</v>
      </c>
      <c r="M39" s="290">
        <f t="shared" si="25"/>
        <v>0</v>
      </c>
      <c r="N39" s="290">
        <f t="shared" si="25"/>
        <v>0</v>
      </c>
      <c r="O39" s="291">
        <f t="shared" si="25"/>
        <v>0</v>
      </c>
      <c r="P39" s="290">
        <f t="shared" si="25"/>
        <v>0</v>
      </c>
      <c r="Q39" s="290">
        <f t="shared" si="25"/>
        <v>0</v>
      </c>
      <c r="R39" s="290">
        <f t="shared" si="25"/>
        <v>0</v>
      </c>
      <c r="S39" s="290">
        <f t="shared" si="25"/>
        <v>0</v>
      </c>
      <c r="T39" s="291">
        <f t="shared" si="25"/>
        <v>0</v>
      </c>
      <c r="U39" s="290">
        <f t="shared" si="25"/>
        <v>0</v>
      </c>
      <c r="V39" s="292">
        <f t="shared" si="19"/>
        <v>0</v>
      </c>
      <c r="W39" s="292">
        <f t="shared" si="19"/>
        <v>0</v>
      </c>
      <c r="X39" s="292">
        <f t="shared" si="25"/>
        <v>0</v>
      </c>
      <c r="Y39" s="291">
        <f t="shared" si="25"/>
        <v>0</v>
      </c>
      <c r="Z39" s="292">
        <f t="shared" si="25"/>
        <v>0</v>
      </c>
      <c r="AA39" s="292">
        <f t="shared" si="25"/>
        <v>0</v>
      </c>
      <c r="AB39" s="292">
        <f t="shared" si="25"/>
        <v>0</v>
      </c>
      <c r="AC39" s="292">
        <f t="shared" si="25"/>
        <v>0</v>
      </c>
      <c r="AD39" s="291">
        <f t="shared" si="25"/>
        <v>0</v>
      </c>
      <c r="AE39" s="291">
        <f t="shared" si="25"/>
        <v>0</v>
      </c>
      <c r="AF39" s="291">
        <f t="shared" si="25"/>
        <v>0</v>
      </c>
      <c r="AG39" s="291">
        <f t="shared" si="25"/>
        <v>0</v>
      </c>
    </row>
    <row r="40" spans="3:33" ht="14.25" hidden="1" customHeight="1" collapsed="1">
      <c r="C40" s="103"/>
      <c r="D40" s="9"/>
      <c r="E40" s="9"/>
      <c r="F40" s="290"/>
      <c r="G40" s="290"/>
      <c r="H40" s="290"/>
      <c r="I40" s="290"/>
      <c r="J40" s="291"/>
      <c r="K40" s="290"/>
      <c r="L40" s="290"/>
      <c r="M40" s="290"/>
      <c r="N40" s="290"/>
      <c r="O40" s="291"/>
      <c r="P40" s="290"/>
      <c r="Q40" s="290"/>
      <c r="R40" s="290"/>
      <c r="S40" s="290"/>
      <c r="T40" s="291"/>
      <c r="U40" s="290"/>
      <c r="V40" s="292"/>
      <c r="W40" s="292"/>
      <c r="X40" s="292"/>
      <c r="Y40" s="291"/>
      <c r="Z40" s="292"/>
      <c r="AA40" s="292"/>
      <c r="AB40" s="292"/>
      <c r="AC40" s="292"/>
      <c r="AD40" s="291"/>
      <c r="AE40" s="291"/>
      <c r="AF40" s="291"/>
      <c r="AG40" s="291"/>
    </row>
    <row r="41" spans="3:33" ht="14.25" hidden="1" customHeight="1">
      <c r="C41" s="9" t="s">
        <v>433</v>
      </c>
      <c r="D41" s="9"/>
      <c r="E41" s="9"/>
      <c r="F41" s="230">
        <f t="shared" ref="F41:U41" si="26">SUM(F42:F47)</f>
        <v>0</v>
      </c>
      <c r="G41" s="230">
        <f t="shared" si="26"/>
        <v>0</v>
      </c>
      <c r="H41" s="230">
        <f t="shared" si="26"/>
        <v>0</v>
      </c>
      <c r="I41" s="230">
        <f t="shared" si="26"/>
        <v>0</v>
      </c>
      <c r="J41" s="202">
        <f t="shared" si="26"/>
        <v>0</v>
      </c>
      <c r="K41" s="230">
        <f t="shared" si="26"/>
        <v>0</v>
      </c>
      <c r="L41" s="230">
        <f t="shared" si="26"/>
        <v>0</v>
      </c>
      <c r="M41" s="230">
        <f t="shared" si="26"/>
        <v>0</v>
      </c>
      <c r="N41" s="230">
        <f t="shared" si="26"/>
        <v>0</v>
      </c>
      <c r="O41" s="202">
        <f t="shared" si="26"/>
        <v>0</v>
      </c>
      <c r="P41" s="230">
        <f t="shared" si="26"/>
        <v>0</v>
      </c>
      <c r="Q41" s="230">
        <f t="shared" si="26"/>
        <v>0</v>
      </c>
      <c r="R41" s="230">
        <f t="shared" si="26"/>
        <v>0</v>
      </c>
      <c r="S41" s="230">
        <f t="shared" si="26"/>
        <v>0</v>
      </c>
      <c r="T41" s="202">
        <f t="shared" si="26"/>
        <v>0</v>
      </c>
      <c r="U41" s="376">
        <f t="shared" si="26"/>
        <v>0</v>
      </c>
      <c r="V41" s="389">
        <f>Model!V77</f>
        <v>0</v>
      </c>
      <c r="W41" s="389">
        <f>Model!W77</f>
        <v>0</v>
      </c>
      <c r="X41" s="389">
        <f>Model!X77</f>
        <v>0</v>
      </c>
      <c r="Y41" s="202">
        <f>SUM(Y42:Y47)</f>
        <v>0</v>
      </c>
      <c r="Z41" s="389">
        <f>Model!Z77</f>
        <v>0</v>
      </c>
      <c r="AA41" s="389">
        <f>Model!AA77</f>
        <v>0</v>
      </c>
      <c r="AB41" s="389">
        <f>Model!AB77</f>
        <v>0</v>
      </c>
      <c r="AC41" s="389">
        <f>Model!AC77</f>
        <v>0</v>
      </c>
      <c r="AD41" s="202">
        <f>SUM(AD42:AD47)</f>
        <v>0</v>
      </c>
      <c r="AE41" s="200">
        <f>Model!AE77</f>
        <v>0</v>
      </c>
      <c r="AF41" s="200">
        <f>Model!AF77</f>
        <v>0</v>
      </c>
      <c r="AG41" s="200">
        <f>Model!AG77</f>
        <v>0</v>
      </c>
    </row>
    <row r="42" spans="3:33" ht="14.25" hidden="1" customHeight="1">
      <c r="C42" s="103" t="s">
        <v>1154</v>
      </c>
      <c r="D42" s="9"/>
      <c r="E42" s="9"/>
      <c r="F42" s="372">
        <v>0</v>
      </c>
      <c r="G42" s="372">
        <v>0</v>
      </c>
      <c r="H42" s="372">
        <v>0</v>
      </c>
      <c r="I42" s="372">
        <v>0</v>
      </c>
      <c r="J42" s="390">
        <f t="shared" ref="J42:J47" si="27">SUM(F42:I42)</f>
        <v>0</v>
      </c>
      <c r="K42" s="372">
        <v>0</v>
      </c>
      <c r="L42" s="372">
        <v>0</v>
      </c>
      <c r="M42" s="372">
        <v>0</v>
      </c>
      <c r="N42" s="372">
        <v>0</v>
      </c>
      <c r="O42" s="390">
        <f t="shared" ref="O42:O47" si="28">SUM(K42:N42)</f>
        <v>0</v>
      </c>
      <c r="P42" s="372">
        <v>0</v>
      </c>
      <c r="Q42" s="372">
        <v>0</v>
      </c>
      <c r="R42" s="372">
        <v>0</v>
      </c>
      <c r="S42" s="372">
        <v>0</v>
      </c>
      <c r="T42" s="390">
        <f t="shared" ref="T42:T47" si="29">SUM(P42:S42)</f>
        <v>0</v>
      </c>
      <c r="U42" s="372">
        <v>0</v>
      </c>
      <c r="V42" s="391">
        <f t="shared" ref="V42:W47" si="30">V52*V$41</f>
        <v>0</v>
      </c>
      <c r="W42" s="391">
        <f t="shared" si="30"/>
        <v>0</v>
      </c>
      <c r="X42" s="391">
        <f t="shared" ref="X42:X47" si="31">X52*X$41</f>
        <v>0</v>
      </c>
      <c r="Y42" s="373">
        <f t="shared" ref="Y42:Y47" si="32">SUM(U42:X42)</f>
        <v>0</v>
      </c>
      <c r="Z42" s="391">
        <f t="shared" ref="Z42:AC47" si="33">Z52*Z$41</f>
        <v>0</v>
      </c>
      <c r="AA42" s="391">
        <f t="shared" si="33"/>
        <v>0</v>
      </c>
      <c r="AB42" s="391">
        <f t="shared" si="33"/>
        <v>0</v>
      </c>
      <c r="AC42" s="391">
        <f t="shared" si="33"/>
        <v>0</v>
      </c>
      <c r="AD42" s="373">
        <f t="shared" ref="AD42:AD47" si="34">SUM(Z42:AC42)</f>
        <v>0</v>
      </c>
      <c r="AE42" s="373">
        <f t="shared" ref="AE42:AG47" si="35">AE52*AE$41</f>
        <v>0</v>
      </c>
      <c r="AF42" s="373">
        <f t="shared" si="35"/>
        <v>0</v>
      </c>
      <c r="AG42" s="373">
        <f t="shared" si="35"/>
        <v>0</v>
      </c>
    </row>
    <row r="43" spans="3:33" ht="14.25" hidden="1" customHeight="1">
      <c r="C43" s="103" t="str">
        <f t="shared" ref="C43:C47" si="36">C17&amp;" D&amp;A"</f>
        <v>Incentive Fees D&amp;A</v>
      </c>
      <c r="D43" s="9"/>
      <c r="E43" s="9"/>
      <c r="F43" s="372">
        <v>0</v>
      </c>
      <c r="G43" s="372">
        <v>0</v>
      </c>
      <c r="H43" s="372">
        <v>0</v>
      </c>
      <c r="I43" s="372">
        <v>0</v>
      </c>
      <c r="J43" s="390">
        <f t="shared" si="27"/>
        <v>0</v>
      </c>
      <c r="K43" s="372">
        <v>0</v>
      </c>
      <c r="L43" s="372">
        <v>0</v>
      </c>
      <c r="M43" s="372">
        <v>0</v>
      </c>
      <c r="N43" s="372">
        <v>0</v>
      </c>
      <c r="O43" s="390">
        <f t="shared" si="28"/>
        <v>0</v>
      </c>
      <c r="P43" s="372">
        <v>0</v>
      </c>
      <c r="Q43" s="372">
        <v>0</v>
      </c>
      <c r="R43" s="372">
        <v>0</v>
      </c>
      <c r="S43" s="372">
        <v>0</v>
      </c>
      <c r="T43" s="390">
        <f t="shared" si="29"/>
        <v>0</v>
      </c>
      <c r="U43" s="372">
        <v>0</v>
      </c>
      <c r="V43" s="391">
        <f t="shared" si="30"/>
        <v>0</v>
      </c>
      <c r="W43" s="391">
        <f t="shared" si="30"/>
        <v>0</v>
      </c>
      <c r="X43" s="391">
        <f t="shared" si="31"/>
        <v>0</v>
      </c>
      <c r="Y43" s="373">
        <f t="shared" si="32"/>
        <v>0</v>
      </c>
      <c r="Z43" s="391">
        <f t="shared" si="33"/>
        <v>0</v>
      </c>
      <c r="AA43" s="391">
        <f t="shared" si="33"/>
        <v>0</v>
      </c>
      <c r="AB43" s="391">
        <f t="shared" si="33"/>
        <v>0</v>
      </c>
      <c r="AC43" s="391">
        <f t="shared" si="33"/>
        <v>0</v>
      </c>
      <c r="AD43" s="373">
        <f t="shared" si="34"/>
        <v>0</v>
      </c>
      <c r="AE43" s="373">
        <f t="shared" si="35"/>
        <v>0</v>
      </c>
      <c r="AF43" s="373">
        <f t="shared" si="35"/>
        <v>0</v>
      </c>
      <c r="AG43" s="373">
        <f t="shared" si="35"/>
        <v>0</v>
      </c>
    </row>
    <row r="44" spans="3:33" ht="14.25" hidden="1" customHeight="1">
      <c r="C44" s="103" t="str">
        <f t="shared" si="36"/>
        <v>Segment 3 D&amp;A</v>
      </c>
      <c r="D44" s="9"/>
      <c r="E44" s="9"/>
      <c r="F44" s="372">
        <v>0</v>
      </c>
      <c r="G44" s="372">
        <v>0</v>
      </c>
      <c r="H44" s="372">
        <v>0</v>
      </c>
      <c r="I44" s="372">
        <v>0</v>
      </c>
      <c r="J44" s="390">
        <f t="shared" si="27"/>
        <v>0</v>
      </c>
      <c r="K44" s="372">
        <v>0</v>
      </c>
      <c r="L44" s="372">
        <v>0</v>
      </c>
      <c r="M44" s="372">
        <v>0</v>
      </c>
      <c r="N44" s="372">
        <v>0</v>
      </c>
      <c r="O44" s="390">
        <f t="shared" si="28"/>
        <v>0</v>
      </c>
      <c r="P44" s="372">
        <v>0</v>
      </c>
      <c r="Q44" s="372">
        <v>0</v>
      </c>
      <c r="R44" s="372">
        <v>0</v>
      </c>
      <c r="S44" s="372">
        <v>0</v>
      </c>
      <c r="T44" s="390">
        <f t="shared" si="29"/>
        <v>0</v>
      </c>
      <c r="U44" s="372">
        <v>0</v>
      </c>
      <c r="V44" s="391">
        <f t="shared" si="30"/>
        <v>0</v>
      </c>
      <c r="W44" s="391">
        <f t="shared" si="30"/>
        <v>0</v>
      </c>
      <c r="X44" s="391">
        <f t="shared" si="31"/>
        <v>0</v>
      </c>
      <c r="Y44" s="373">
        <f t="shared" si="32"/>
        <v>0</v>
      </c>
      <c r="Z44" s="391">
        <f t="shared" si="33"/>
        <v>0</v>
      </c>
      <c r="AA44" s="391">
        <f t="shared" si="33"/>
        <v>0</v>
      </c>
      <c r="AB44" s="391">
        <f t="shared" si="33"/>
        <v>0</v>
      </c>
      <c r="AC44" s="391">
        <f t="shared" si="33"/>
        <v>0</v>
      </c>
      <c r="AD44" s="373">
        <f t="shared" si="34"/>
        <v>0</v>
      </c>
      <c r="AE44" s="373">
        <f t="shared" si="35"/>
        <v>0</v>
      </c>
      <c r="AF44" s="373">
        <f t="shared" si="35"/>
        <v>0</v>
      </c>
      <c r="AG44" s="373">
        <f t="shared" si="35"/>
        <v>0</v>
      </c>
    </row>
    <row r="45" spans="3:33" ht="14.25" hidden="1" customHeight="1">
      <c r="C45" s="103" t="str">
        <f t="shared" si="36"/>
        <v>Segment 4 D&amp;A</v>
      </c>
      <c r="D45" s="9"/>
      <c r="E45" s="9"/>
      <c r="F45" s="372">
        <v>0</v>
      </c>
      <c r="G45" s="372">
        <v>0</v>
      </c>
      <c r="H45" s="372">
        <v>0</v>
      </c>
      <c r="I45" s="372">
        <v>0</v>
      </c>
      <c r="J45" s="390">
        <f t="shared" si="27"/>
        <v>0</v>
      </c>
      <c r="K45" s="372">
        <v>0</v>
      </c>
      <c r="L45" s="372">
        <v>0</v>
      </c>
      <c r="M45" s="372">
        <v>0</v>
      </c>
      <c r="N45" s="372">
        <v>0</v>
      </c>
      <c r="O45" s="390">
        <f t="shared" si="28"/>
        <v>0</v>
      </c>
      <c r="P45" s="372">
        <v>0</v>
      </c>
      <c r="Q45" s="372">
        <v>0</v>
      </c>
      <c r="R45" s="372">
        <v>0</v>
      </c>
      <c r="S45" s="372">
        <v>0</v>
      </c>
      <c r="T45" s="390">
        <f t="shared" si="29"/>
        <v>0</v>
      </c>
      <c r="U45" s="372">
        <v>0</v>
      </c>
      <c r="V45" s="391">
        <f t="shared" si="30"/>
        <v>0</v>
      </c>
      <c r="W45" s="391">
        <f t="shared" si="30"/>
        <v>0</v>
      </c>
      <c r="X45" s="391">
        <f t="shared" si="31"/>
        <v>0</v>
      </c>
      <c r="Y45" s="373">
        <f t="shared" si="32"/>
        <v>0</v>
      </c>
      <c r="Z45" s="391">
        <f t="shared" si="33"/>
        <v>0</v>
      </c>
      <c r="AA45" s="391">
        <f t="shared" si="33"/>
        <v>0</v>
      </c>
      <c r="AB45" s="391">
        <f t="shared" si="33"/>
        <v>0</v>
      </c>
      <c r="AC45" s="391">
        <f t="shared" si="33"/>
        <v>0</v>
      </c>
      <c r="AD45" s="373">
        <f t="shared" si="34"/>
        <v>0</v>
      </c>
      <c r="AE45" s="373">
        <f t="shared" si="35"/>
        <v>0</v>
      </c>
      <c r="AF45" s="373">
        <f t="shared" si="35"/>
        <v>0</v>
      </c>
      <c r="AG45" s="373">
        <f t="shared" si="35"/>
        <v>0</v>
      </c>
    </row>
    <row r="46" spans="3:33" ht="14.25" hidden="1" customHeight="1" outlineLevel="1">
      <c r="C46" s="103" t="str">
        <f t="shared" si="36"/>
        <v>Segment 5 D&amp;A</v>
      </c>
      <c r="D46" s="9"/>
      <c r="E46" s="9"/>
      <c r="F46" s="372">
        <v>0</v>
      </c>
      <c r="G46" s="372">
        <v>0</v>
      </c>
      <c r="H46" s="372">
        <v>0</v>
      </c>
      <c r="I46" s="372">
        <v>0</v>
      </c>
      <c r="J46" s="390">
        <f t="shared" si="27"/>
        <v>0</v>
      </c>
      <c r="K46" s="372">
        <v>0</v>
      </c>
      <c r="L46" s="372">
        <v>0</v>
      </c>
      <c r="M46" s="372">
        <v>0</v>
      </c>
      <c r="N46" s="372">
        <v>0</v>
      </c>
      <c r="O46" s="390">
        <f t="shared" si="28"/>
        <v>0</v>
      </c>
      <c r="P46" s="372">
        <v>0</v>
      </c>
      <c r="Q46" s="372">
        <v>0</v>
      </c>
      <c r="R46" s="372">
        <v>0</v>
      </c>
      <c r="S46" s="372">
        <v>0</v>
      </c>
      <c r="T46" s="390">
        <f t="shared" si="29"/>
        <v>0</v>
      </c>
      <c r="U46" s="372">
        <v>0</v>
      </c>
      <c r="V46" s="391">
        <f t="shared" si="30"/>
        <v>0</v>
      </c>
      <c r="W46" s="391">
        <f t="shared" si="30"/>
        <v>0</v>
      </c>
      <c r="X46" s="391">
        <f t="shared" si="31"/>
        <v>0</v>
      </c>
      <c r="Y46" s="373">
        <f t="shared" si="32"/>
        <v>0</v>
      </c>
      <c r="Z46" s="391">
        <f t="shared" si="33"/>
        <v>0</v>
      </c>
      <c r="AA46" s="391">
        <f t="shared" si="33"/>
        <v>0</v>
      </c>
      <c r="AB46" s="391">
        <f t="shared" si="33"/>
        <v>0</v>
      </c>
      <c r="AC46" s="391">
        <f t="shared" si="33"/>
        <v>0</v>
      </c>
      <c r="AD46" s="373">
        <f t="shared" si="34"/>
        <v>0</v>
      </c>
      <c r="AE46" s="373">
        <f t="shared" si="35"/>
        <v>0</v>
      </c>
      <c r="AF46" s="373">
        <f t="shared" si="35"/>
        <v>0</v>
      </c>
      <c r="AG46" s="373">
        <f t="shared" si="35"/>
        <v>0</v>
      </c>
    </row>
    <row r="47" spans="3:33" ht="14.25" hidden="1" customHeight="1" outlineLevel="1">
      <c r="C47" s="103" t="str">
        <f t="shared" si="36"/>
        <v>Segment 6 D&amp;A</v>
      </c>
      <c r="D47" s="9"/>
      <c r="E47" s="9"/>
      <c r="F47" s="372">
        <v>0</v>
      </c>
      <c r="G47" s="372">
        <v>0</v>
      </c>
      <c r="H47" s="372">
        <v>0</v>
      </c>
      <c r="I47" s="372">
        <v>0</v>
      </c>
      <c r="J47" s="390">
        <f t="shared" si="27"/>
        <v>0</v>
      </c>
      <c r="K47" s="372">
        <v>0</v>
      </c>
      <c r="L47" s="372">
        <v>0</v>
      </c>
      <c r="M47" s="372">
        <v>0</v>
      </c>
      <c r="N47" s="372">
        <v>0</v>
      </c>
      <c r="O47" s="390">
        <f t="shared" si="28"/>
        <v>0</v>
      </c>
      <c r="P47" s="372">
        <v>0</v>
      </c>
      <c r="Q47" s="372">
        <v>0</v>
      </c>
      <c r="R47" s="372">
        <v>0</v>
      </c>
      <c r="S47" s="372">
        <v>0</v>
      </c>
      <c r="T47" s="390">
        <f t="shared" si="29"/>
        <v>0</v>
      </c>
      <c r="U47" s="372">
        <v>0</v>
      </c>
      <c r="V47" s="391">
        <f t="shared" si="30"/>
        <v>0</v>
      </c>
      <c r="W47" s="391">
        <f t="shared" si="30"/>
        <v>0</v>
      </c>
      <c r="X47" s="391">
        <f t="shared" si="31"/>
        <v>0</v>
      </c>
      <c r="Y47" s="373">
        <f t="shared" si="32"/>
        <v>0</v>
      </c>
      <c r="Z47" s="391">
        <f t="shared" si="33"/>
        <v>0</v>
      </c>
      <c r="AA47" s="391">
        <f t="shared" si="33"/>
        <v>0</v>
      </c>
      <c r="AB47" s="391">
        <f t="shared" si="33"/>
        <v>0</v>
      </c>
      <c r="AC47" s="391">
        <f t="shared" si="33"/>
        <v>0</v>
      </c>
      <c r="AD47" s="373">
        <f t="shared" si="34"/>
        <v>0</v>
      </c>
      <c r="AE47" s="373">
        <f t="shared" si="35"/>
        <v>0</v>
      </c>
      <c r="AF47" s="373">
        <f t="shared" si="35"/>
        <v>0</v>
      </c>
      <c r="AG47" s="373">
        <f t="shared" si="35"/>
        <v>0</v>
      </c>
    </row>
    <row r="48" spans="3:33" ht="14.25" hidden="1" customHeight="1" collapsed="1">
      <c r="C48" s="103"/>
      <c r="D48" s="9"/>
      <c r="E48" s="9"/>
      <c r="F48" s="376"/>
      <c r="G48" s="376"/>
      <c r="H48" s="376"/>
      <c r="I48" s="376"/>
      <c r="J48" s="381"/>
      <c r="K48" s="376"/>
      <c r="L48" s="376"/>
      <c r="M48" s="376"/>
      <c r="N48" s="376"/>
      <c r="O48" s="373"/>
      <c r="P48" s="376"/>
      <c r="Q48" s="376"/>
      <c r="R48" s="376"/>
      <c r="S48" s="386"/>
      <c r="T48" s="291"/>
      <c r="U48" s="386"/>
      <c r="V48" s="388"/>
      <c r="W48" s="388"/>
      <c r="X48" s="383"/>
      <c r="Y48" s="373"/>
      <c r="Z48" s="388"/>
      <c r="AA48" s="388"/>
      <c r="AB48" s="388"/>
      <c r="AC48" s="292"/>
      <c r="AD48" s="291"/>
      <c r="AE48" s="291"/>
      <c r="AF48" s="291"/>
      <c r="AG48" s="291"/>
    </row>
    <row r="49" spans="3:33" ht="14.25" hidden="1" customHeight="1">
      <c r="C49" s="84" t="s">
        <v>434</v>
      </c>
      <c r="D49" s="9"/>
      <c r="E49" s="9"/>
      <c r="F49" s="392">
        <f>F41-Model!F60</f>
        <v>0</v>
      </c>
      <c r="G49" s="392">
        <f>G41-Model!G60</f>
        <v>0</v>
      </c>
      <c r="H49" s="392">
        <f>H41-Model!H60</f>
        <v>0</v>
      </c>
      <c r="I49" s="392">
        <f>I41-Model!I60</f>
        <v>0</v>
      </c>
      <c r="J49" s="387">
        <f>J41-Model!J60</f>
        <v>0</v>
      </c>
      <c r="K49" s="392">
        <f>K41-Model!K60</f>
        <v>0</v>
      </c>
      <c r="L49" s="392">
        <f>L41-Model!L60</f>
        <v>0</v>
      </c>
      <c r="M49" s="392">
        <f>M41-Model!M60</f>
        <v>0</v>
      </c>
      <c r="N49" s="392">
        <f>N41-Model!N60</f>
        <v>0</v>
      </c>
      <c r="O49" s="387">
        <f>O41-Model!O60</f>
        <v>0</v>
      </c>
      <c r="P49" s="392">
        <f>P41-Model!P60</f>
        <v>0</v>
      </c>
      <c r="Q49" s="392">
        <f>Q41-Model!Q60</f>
        <v>0</v>
      </c>
      <c r="R49" s="392">
        <f>R41-Model!R60</f>
        <v>0</v>
      </c>
      <c r="S49" s="392">
        <f>S41-Model!S60</f>
        <v>0</v>
      </c>
      <c r="T49" s="387">
        <f>T41-Model!T60</f>
        <v>0</v>
      </c>
      <c r="U49" s="392">
        <f>U41-Model!U60</f>
        <v>0</v>
      </c>
      <c r="V49" s="393">
        <f>V41-SUM(V42:V47)</f>
        <v>0</v>
      </c>
      <c r="W49" s="393">
        <f>W41-SUM(W42:W47)</f>
        <v>0</v>
      </c>
      <c r="X49" s="393">
        <f t="shared" ref="X49:AG49" si="37">X41-SUM(X42:X47)</f>
        <v>0</v>
      </c>
      <c r="Y49" s="387">
        <f t="shared" si="37"/>
        <v>0</v>
      </c>
      <c r="Z49" s="393">
        <f t="shared" si="37"/>
        <v>0</v>
      </c>
      <c r="AA49" s="393">
        <f t="shared" si="37"/>
        <v>0</v>
      </c>
      <c r="AB49" s="393">
        <f t="shared" si="37"/>
        <v>0</v>
      </c>
      <c r="AC49" s="393">
        <f t="shared" si="37"/>
        <v>0</v>
      </c>
      <c r="AD49" s="387">
        <f t="shared" si="37"/>
        <v>0</v>
      </c>
      <c r="AE49" s="387">
        <f t="shared" si="37"/>
        <v>0</v>
      </c>
      <c r="AF49" s="387">
        <f t="shared" si="37"/>
        <v>0</v>
      </c>
      <c r="AG49" s="387">
        <f t="shared" si="37"/>
        <v>0</v>
      </c>
    </row>
    <row r="50" spans="3:33" ht="14.25" hidden="1" customHeight="1">
      <c r="C50" s="103"/>
      <c r="D50" s="9"/>
      <c r="E50" s="9"/>
      <c r="F50" s="376"/>
      <c r="G50" s="376"/>
      <c r="H50" s="376"/>
      <c r="I50" s="376"/>
      <c r="J50" s="381"/>
      <c r="K50" s="376"/>
      <c r="L50" s="376"/>
      <c r="M50" s="376"/>
      <c r="N50" s="376"/>
      <c r="O50" s="373"/>
      <c r="P50" s="376"/>
      <c r="Q50" s="376"/>
      <c r="R50" s="376"/>
      <c r="S50" s="386"/>
      <c r="T50" s="291"/>
      <c r="U50" s="386"/>
      <c r="V50" s="388"/>
      <c r="W50" s="388"/>
      <c r="X50" s="383"/>
      <c r="Y50" s="373"/>
      <c r="Z50" s="388"/>
      <c r="AA50" s="388"/>
      <c r="AB50" s="388"/>
      <c r="AC50" s="292"/>
      <c r="AD50" s="291"/>
      <c r="AE50" s="291"/>
      <c r="AF50" s="291"/>
      <c r="AG50" s="291"/>
    </row>
    <row r="51" spans="3:33" ht="15" hidden="1" customHeight="1">
      <c r="C51" s="3" t="s">
        <v>435</v>
      </c>
      <c r="D51" s="9"/>
      <c r="E51" s="9"/>
      <c r="F51" s="290"/>
      <c r="G51" s="290"/>
      <c r="H51" s="290"/>
      <c r="I51" s="290"/>
      <c r="J51" s="202"/>
      <c r="K51" s="230"/>
      <c r="L51" s="230"/>
      <c r="M51" s="230"/>
      <c r="N51" s="230"/>
      <c r="O51" s="202"/>
      <c r="P51" s="230"/>
      <c r="Q51" s="230"/>
      <c r="R51" s="230"/>
      <c r="S51" s="230"/>
      <c r="T51" s="202"/>
      <c r="U51" s="376"/>
      <c r="V51" s="201"/>
      <c r="W51" s="201"/>
      <c r="X51" s="201"/>
      <c r="Y51" s="202"/>
      <c r="Z51" s="201"/>
      <c r="AA51" s="201"/>
      <c r="AB51" s="201"/>
      <c r="AC51" s="201"/>
      <c r="AD51" s="202"/>
      <c r="AE51" s="202"/>
      <c r="AF51" s="202"/>
      <c r="AG51" s="202"/>
    </row>
    <row r="52" spans="3:33" ht="15" hidden="1" customHeight="1">
      <c r="C52" s="103" t="s">
        <v>1154</v>
      </c>
      <c r="D52" s="9"/>
      <c r="E52" s="9"/>
      <c r="F52" s="290" t="str">
        <f t="shared" ref="F52:U52" si="38">IFERROR(F42/F$41,"N/A")</f>
        <v>N/A</v>
      </c>
      <c r="G52" s="290" t="str">
        <f t="shared" si="38"/>
        <v>N/A</v>
      </c>
      <c r="H52" s="290" t="str">
        <f t="shared" si="38"/>
        <v>N/A</v>
      </c>
      <c r="I52" s="290" t="str">
        <f t="shared" si="38"/>
        <v>N/A</v>
      </c>
      <c r="J52" s="291" t="str">
        <f t="shared" si="38"/>
        <v>N/A</v>
      </c>
      <c r="K52" s="290" t="str">
        <f t="shared" si="38"/>
        <v>N/A</v>
      </c>
      <c r="L52" s="290" t="str">
        <f t="shared" si="38"/>
        <v>N/A</v>
      </c>
      <c r="M52" s="290" t="str">
        <f t="shared" si="38"/>
        <v>N/A</v>
      </c>
      <c r="N52" s="290" t="str">
        <f t="shared" si="38"/>
        <v>N/A</v>
      </c>
      <c r="O52" s="291" t="str">
        <f t="shared" si="38"/>
        <v>N/A</v>
      </c>
      <c r="P52" s="290" t="str">
        <f t="shared" si="38"/>
        <v>N/A</v>
      </c>
      <c r="Q52" s="290" t="str">
        <f t="shared" si="38"/>
        <v>N/A</v>
      </c>
      <c r="R52" s="290" t="str">
        <f t="shared" si="38"/>
        <v>N/A</v>
      </c>
      <c r="S52" s="290" t="str">
        <f t="shared" si="38"/>
        <v>N/A</v>
      </c>
      <c r="T52" s="291" t="str">
        <f t="shared" si="38"/>
        <v>N/A</v>
      </c>
      <c r="U52" s="290" t="str">
        <f t="shared" si="38"/>
        <v>N/A</v>
      </c>
      <c r="V52" s="293">
        <f>Drivers!V86</f>
        <v>1</v>
      </c>
      <c r="W52" s="293">
        <f>Drivers!W86</f>
        <v>1</v>
      </c>
      <c r="X52" s="293">
        <f>Drivers!X86</f>
        <v>1</v>
      </c>
      <c r="Y52" s="814" t="e">
        <f t="shared" ref="Y52:Y57" si="39">Y42/Y$41</f>
        <v>#DIV/0!</v>
      </c>
      <c r="Z52" s="293">
        <f>Drivers!Z86</f>
        <v>1</v>
      </c>
      <c r="AA52" s="293">
        <f>Drivers!AA86</f>
        <v>1</v>
      </c>
      <c r="AB52" s="293">
        <f>Drivers!AB86</f>
        <v>1</v>
      </c>
      <c r="AC52" s="293">
        <f>Drivers!AC86</f>
        <v>1</v>
      </c>
      <c r="AD52" s="395" t="e">
        <f t="shared" ref="AD52:AD57" si="40">AD42/AD$41</f>
        <v>#DIV/0!</v>
      </c>
      <c r="AE52" s="294">
        <f>Drivers!AE86</f>
        <v>1</v>
      </c>
      <c r="AF52" s="294">
        <f>Drivers!AF86</f>
        <v>1</v>
      </c>
      <c r="AG52" s="294">
        <f>Drivers!AG86</f>
        <v>1</v>
      </c>
    </row>
    <row r="53" spans="3:33" ht="14.25" hidden="1" customHeight="1">
      <c r="C53" s="394" t="str">
        <f t="shared" ref="C53:C57" si="41">C17</f>
        <v>Incentive Fees</v>
      </c>
      <c r="D53" s="9"/>
      <c r="E53" s="9"/>
      <c r="F53" s="290" t="str">
        <f t="shared" ref="F53:U53" si="42">IFERROR(F43/F$41,"N/A")</f>
        <v>N/A</v>
      </c>
      <c r="G53" s="290" t="str">
        <f t="shared" si="42"/>
        <v>N/A</v>
      </c>
      <c r="H53" s="290" t="str">
        <f t="shared" si="42"/>
        <v>N/A</v>
      </c>
      <c r="I53" s="290" t="str">
        <f t="shared" si="42"/>
        <v>N/A</v>
      </c>
      <c r="J53" s="291" t="str">
        <f t="shared" si="42"/>
        <v>N/A</v>
      </c>
      <c r="K53" s="290" t="str">
        <f t="shared" si="42"/>
        <v>N/A</v>
      </c>
      <c r="L53" s="290" t="str">
        <f t="shared" si="42"/>
        <v>N/A</v>
      </c>
      <c r="M53" s="290" t="str">
        <f t="shared" si="42"/>
        <v>N/A</v>
      </c>
      <c r="N53" s="290" t="str">
        <f t="shared" si="42"/>
        <v>N/A</v>
      </c>
      <c r="O53" s="291" t="str">
        <f t="shared" si="42"/>
        <v>N/A</v>
      </c>
      <c r="P53" s="290" t="str">
        <f t="shared" si="42"/>
        <v>N/A</v>
      </c>
      <c r="Q53" s="290" t="str">
        <f t="shared" si="42"/>
        <v>N/A</v>
      </c>
      <c r="R53" s="290" t="str">
        <f t="shared" si="42"/>
        <v>N/A</v>
      </c>
      <c r="S53" s="290" t="str">
        <f t="shared" si="42"/>
        <v>N/A</v>
      </c>
      <c r="T53" s="291" t="str">
        <f t="shared" si="42"/>
        <v>N/A</v>
      </c>
      <c r="U53" s="290" t="str">
        <f t="shared" si="42"/>
        <v>N/A</v>
      </c>
      <c r="V53" s="293">
        <f>Drivers!V87</f>
        <v>0</v>
      </c>
      <c r="W53" s="293">
        <f>Drivers!W87</f>
        <v>0</v>
      </c>
      <c r="X53" s="293">
        <f>Drivers!X87</f>
        <v>0</v>
      </c>
      <c r="Y53" s="814" t="e">
        <f t="shared" si="39"/>
        <v>#DIV/0!</v>
      </c>
      <c r="Z53" s="293">
        <f>Drivers!Z87</f>
        <v>0</v>
      </c>
      <c r="AA53" s="293">
        <f>Drivers!AA87</f>
        <v>0</v>
      </c>
      <c r="AB53" s="293">
        <f>Drivers!AB87</f>
        <v>0</v>
      </c>
      <c r="AC53" s="293">
        <f>Drivers!AC87</f>
        <v>0</v>
      </c>
      <c r="AD53" s="395" t="e">
        <f t="shared" si="40"/>
        <v>#DIV/0!</v>
      </c>
      <c r="AE53" s="294">
        <f>Drivers!AE87</f>
        <v>0</v>
      </c>
      <c r="AF53" s="294">
        <f>Drivers!AF87</f>
        <v>0</v>
      </c>
      <c r="AG53" s="294">
        <f>Drivers!AG87</f>
        <v>0</v>
      </c>
    </row>
    <row r="54" spans="3:33" ht="14.25" hidden="1" customHeight="1">
      <c r="C54" s="394" t="str">
        <f t="shared" si="41"/>
        <v>Segment 3</v>
      </c>
      <c r="D54" s="9"/>
      <c r="E54" s="9"/>
      <c r="F54" s="290" t="str">
        <f t="shared" ref="F54:U54" si="43">IFERROR(F44/F$41,"N/A")</f>
        <v>N/A</v>
      </c>
      <c r="G54" s="290" t="str">
        <f t="shared" si="43"/>
        <v>N/A</v>
      </c>
      <c r="H54" s="290" t="str">
        <f t="shared" si="43"/>
        <v>N/A</v>
      </c>
      <c r="I54" s="290" t="str">
        <f t="shared" si="43"/>
        <v>N/A</v>
      </c>
      <c r="J54" s="291" t="str">
        <f t="shared" si="43"/>
        <v>N/A</v>
      </c>
      <c r="K54" s="290" t="str">
        <f t="shared" si="43"/>
        <v>N/A</v>
      </c>
      <c r="L54" s="290" t="str">
        <f t="shared" si="43"/>
        <v>N/A</v>
      </c>
      <c r="M54" s="290" t="str">
        <f t="shared" si="43"/>
        <v>N/A</v>
      </c>
      <c r="N54" s="290" t="str">
        <f t="shared" si="43"/>
        <v>N/A</v>
      </c>
      <c r="O54" s="291" t="str">
        <f t="shared" si="43"/>
        <v>N/A</v>
      </c>
      <c r="P54" s="290" t="str">
        <f t="shared" si="43"/>
        <v>N/A</v>
      </c>
      <c r="Q54" s="290" t="str">
        <f t="shared" si="43"/>
        <v>N/A</v>
      </c>
      <c r="R54" s="290" t="str">
        <f t="shared" si="43"/>
        <v>N/A</v>
      </c>
      <c r="S54" s="290" t="str">
        <f t="shared" si="43"/>
        <v>N/A</v>
      </c>
      <c r="T54" s="291" t="str">
        <f t="shared" si="43"/>
        <v>N/A</v>
      </c>
      <c r="U54" s="290" t="str">
        <f t="shared" si="43"/>
        <v>N/A</v>
      </c>
      <c r="V54" s="293">
        <f>Drivers!V88</f>
        <v>0</v>
      </c>
      <c r="W54" s="293">
        <f>Drivers!W88</f>
        <v>0</v>
      </c>
      <c r="X54" s="293">
        <f>Drivers!X88</f>
        <v>0</v>
      </c>
      <c r="Y54" s="395" t="e">
        <f t="shared" si="39"/>
        <v>#DIV/0!</v>
      </c>
      <c r="Z54" s="293">
        <f>Drivers!Z88</f>
        <v>0</v>
      </c>
      <c r="AA54" s="293">
        <f>Drivers!AA88</f>
        <v>0</v>
      </c>
      <c r="AB54" s="293">
        <f>Drivers!AB88</f>
        <v>0</v>
      </c>
      <c r="AC54" s="293">
        <f>Drivers!AC88</f>
        <v>0</v>
      </c>
      <c r="AD54" s="395" t="e">
        <f t="shared" si="40"/>
        <v>#DIV/0!</v>
      </c>
      <c r="AE54" s="294">
        <f>Drivers!AE88</f>
        <v>0</v>
      </c>
      <c r="AF54" s="294">
        <f>Drivers!AF88</f>
        <v>0</v>
      </c>
      <c r="AG54" s="294">
        <f>Drivers!AG88</f>
        <v>0</v>
      </c>
    </row>
    <row r="55" spans="3:33" ht="14.25" hidden="1" customHeight="1">
      <c r="C55" s="394" t="str">
        <f t="shared" si="41"/>
        <v>Segment 4</v>
      </c>
      <c r="D55" s="9"/>
      <c r="E55" s="9"/>
      <c r="F55" s="290" t="str">
        <f t="shared" ref="F55:U55" si="44">IFERROR(F45/F$41,"N/A")</f>
        <v>N/A</v>
      </c>
      <c r="G55" s="290" t="str">
        <f t="shared" si="44"/>
        <v>N/A</v>
      </c>
      <c r="H55" s="290" t="str">
        <f t="shared" si="44"/>
        <v>N/A</v>
      </c>
      <c r="I55" s="290" t="str">
        <f t="shared" si="44"/>
        <v>N/A</v>
      </c>
      <c r="J55" s="291" t="str">
        <f t="shared" si="44"/>
        <v>N/A</v>
      </c>
      <c r="K55" s="290" t="str">
        <f t="shared" si="44"/>
        <v>N/A</v>
      </c>
      <c r="L55" s="290" t="str">
        <f t="shared" si="44"/>
        <v>N/A</v>
      </c>
      <c r="M55" s="290" t="str">
        <f t="shared" si="44"/>
        <v>N/A</v>
      </c>
      <c r="N55" s="290" t="str">
        <f t="shared" si="44"/>
        <v>N/A</v>
      </c>
      <c r="O55" s="291" t="str">
        <f t="shared" si="44"/>
        <v>N/A</v>
      </c>
      <c r="P55" s="290" t="str">
        <f t="shared" si="44"/>
        <v>N/A</v>
      </c>
      <c r="Q55" s="290" t="str">
        <f t="shared" si="44"/>
        <v>N/A</v>
      </c>
      <c r="R55" s="290" t="str">
        <f t="shared" si="44"/>
        <v>N/A</v>
      </c>
      <c r="S55" s="290" t="str">
        <f t="shared" si="44"/>
        <v>N/A</v>
      </c>
      <c r="T55" s="291" t="str">
        <f t="shared" si="44"/>
        <v>N/A</v>
      </c>
      <c r="U55" s="290" t="str">
        <f t="shared" si="44"/>
        <v>N/A</v>
      </c>
      <c r="V55" s="293">
        <f>Drivers!V89</f>
        <v>0</v>
      </c>
      <c r="W55" s="293">
        <f>Drivers!W89</f>
        <v>0</v>
      </c>
      <c r="X55" s="293">
        <f>Drivers!X89</f>
        <v>0</v>
      </c>
      <c r="Y55" s="395" t="e">
        <f t="shared" si="39"/>
        <v>#DIV/0!</v>
      </c>
      <c r="Z55" s="293">
        <f>Drivers!Z89</f>
        <v>0</v>
      </c>
      <c r="AA55" s="293">
        <f>Drivers!AA89</f>
        <v>0</v>
      </c>
      <c r="AB55" s="293">
        <f>Drivers!AB89</f>
        <v>0</v>
      </c>
      <c r="AC55" s="293">
        <f>Drivers!AC89</f>
        <v>0</v>
      </c>
      <c r="AD55" s="395" t="e">
        <f t="shared" si="40"/>
        <v>#DIV/0!</v>
      </c>
      <c r="AE55" s="294">
        <f>Drivers!AE89</f>
        <v>0</v>
      </c>
      <c r="AF55" s="294">
        <f>Drivers!AF89</f>
        <v>0</v>
      </c>
      <c r="AG55" s="294">
        <f>Drivers!AG89</f>
        <v>0</v>
      </c>
    </row>
    <row r="56" spans="3:33" ht="14.25" hidden="1" customHeight="1" outlineLevel="1">
      <c r="C56" s="394" t="str">
        <f t="shared" si="41"/>
        <v>Segment 5</v>
      </c>
      <c r="D56" s="9"/>
      <c r="E56" s="9"/>
      <c r="F56" s="290" t="str">
        <f t="shared" ref="F56:U56" si="45">IFERROR(F46/F$41,"N/A")</f>
        <v>N/A</v>
      </c>
      <c r="G56" s="290" t="str">
        <f t="shared" si="45"/>
        <v>N/A</v>
      </c>
      <c r="H56" s="290" t="str">
        <f t="shared" si="45"/>
        <v>N/A</v>
      </c>
      <c r="I56" s="290" t="str">
        <f t="shared" si="45"/>
        <v>N/A</v>
      </c>
      <c r="J56" s="291" t="str">
        <f t="shared" si="45"/>
        <v>N/A</v>
      </c>
      <c r="K56" s="290" t="str">
        <f t="shared" si="45"/>
        <v>N/A</v>
      </c>
      <c r="L56" s="290" t="str">
        <f t="shared" si="45"/>
        <v>N/A</v>
      </c>
      <c r="M56" s="290" t="str">
        <f t="shared" si="45"/>
        <v>N/A</v>
      </c>
      <c r="N56" s="290" t="str">
        <f t="shared" si="45"/>
        <v>N/A</v>
      </c>
      <c r="O56" s="291" t="str">
        <f t="shared" si="45"/>
        <v>N/A</v>
      </c>
      <c r="P56" s="290" t="str">
        <f t="shared" si="45"/>
        <v>N/A</v>
      </c>
      <c r="Q56" s="290" t="str">
        <f t="shared" si="45"/>
        <v>N/A</v>
      </c>
      <c r="R56" s="290" t="str">
        <f t="shared" si="45"/>
        <v>N/A</v>
      </c>
      <c r="S56" s="290" t="str">
        <f t="shared" si="45"/>
        <v>N/A</v>
      </c>
      <c r="T56" s="291" t="str">
        <f t="shared" si="45"/>
        <v>N/A</v>
      </c>
      <c r="U56" s="290" t="str">
        <f t="shared" si="45"/>
        <v>N/A</v>
      </c>
      <c r="V56" s="293">
        <f>Drivers!V90</f>
        <v>0</v>
      </c>
      <c r="W56" s="293">
        <f>Drivers!W90</f>
        <v>0</v>
      </c>
      <c r="X56" s="293">
        <f>Drivers!X90</f>
        <v>0</v>
      </c>
      <c r="Y56" s="395" t="e">
        <f t="shared" si="39"/>
        <v>#DIV/0!</v>
      </c>
      <c r="Z56" s="293">
        <f>Drivers!Z90</f>
        <v>0</v>
      </c>
      <c r="AA56" s="293">
        <f>Drivers!AA90</f>
        <v>0</v>
      </c>
      <c r="AB56" s="293">
        <f>Drivers!AB90</f>
        <v>0</v>
      </c>
      <c r="AC56" s="293">
        <f>Drivers!AC90</f>
        <v>0</v>
      </c>
      <c r="AD56" s="395" t="e">
        <f t="shared" si="40"/>
        <v>#DIV/0!</v>
      </c>
      <c r="AE56" s="294">
        <f>Drivers!AE90</f>
        <v>0</v>
      </c>
      <c r="AF56" s="294">
        <f>Drivers!AF90</f>
        <v>0</v>
      </c>
      <c r="AG56" s="294">
        <f>Drivers!AG90</f>
        <v>0</v>
      </c>
    </row>
    <row r="57" spans="3:33" ht="14.25" hidden="1" customHeight="1" outlineLevel="1">
      <c r="C57" s="394" t="str">
        <f t="shared" si="41"/>
        <v>Segment 6</v>
      </c>
      <c r="D57" s="9"/>
      <c r="E57" s="9"/>
      <c r="F57" s="290" t="str">
        <f t="shared" ref="F57:U57" si="46">IFERROR(F47/F$41,"N/A")</f>
        <v>N/A</v>
      </c>
      <c r="G57" s="290" t="str">
        <f t="shared" si="46"/>
        <v>N/A</v>
      </c>
      <c r="H57" s="290" t="str">
        <f t="shared" si="46"/>
        <v>N/A</v>
      </c>
      <c r="I57" s="290" t="str">
        <f t="shared" si="46"/>
        <v>N/A</v>
      </c>
      <c r="J57" s="291" t="str">
        <f t="shared" si="46"/>
        <v>N/A</v>
      </c>
      <c r="K57" s="290" t="str">
        <f t="shared" si="46"/>
        <v>N/A</v>
      </c>
      <c r="L57" s="290" t="str">
        <f t="shared" si="46"/>
        <v>N/A</v>
      </c>
      <c r="M57" s="290" t="str">
        <f t="shared" si="46"/>
        <v>N/A</v>
      </c>
      <c r="N57" s="290" t="str">
        <f t="shared" si="46"/>
        <v>N/A</v>
      </c>
      <c r="O57" s="291" t="str">
        <f t="shared" si="46"/>
        <v>N/A</v>
      </c>
      <c r="P57" s="290" t="str">
        <f t="shared" si="46"/>
        <v>N/A</v>
      </c>
      <c r="Q57" s="290" t="str">
        <f t="shared" si="46"/>
        <v>N/A</v>
      </c>
      <c r="R57" s="290" t="str">
        <f t="shared" si="46"/>
        <v>N/A</v>
      </c>
      <c r="S57" s="290" t="str">
        <f t="shared" si="46"/>
        <v>N/A</v>
      </c>
      <c r="T57" s="291" t="str">
        <f t="shared" si="46"/>
        <v>N/A</v>
      </c>
      <c r="U57" s="290" t="str">
        <f t="shared" si="46"/>
        <v>N/A</v>
      </c>
      <c r="V57" s="293">
        <f>Drivers!V91</f>
        <v>0</v>
      </c>
      <c r="W57" s="293">
        <f>Drivers!W91</f>
        <v>0</v>
      </c>
      <c r="X57" s="293">
        <f>Drivers!X91</f>
        <v>0</v>
      </c>
      <c r="Y57" s="395" t="e">
        <f t="shared" si="39"/>
        <v>#DIV/0!</v>
      </c>
      <c r="Z57" s="293">
        <f>Drivers!Z91</f>
        <v>0</v>
      </c>
      <c r="AA57" s="293">
        <f>Drivers!AA91</f>
        <v>0</v>
      </c>
      <c r="AB57" s="293">
        <f>Drivers!AB91</f>
        <v>0</v>
      </c>
      <c r="AC57" s="293">
        <f>Drivers!AC91</f>
        <v>0</v>
      </c>
      <c r="AD57" s="395" t="e">
        <f t="shared" si="40"/>
        <v>#DIV/0!</v>
      </c>
      <c r="AE57" s="294">
        <f>Drivers!AE91</f>
        <v>0</v>
      </c>
      <c r="AF57" s="294">
        <f>Drivers!AF91</f>
        <v>0</v>
      </c>
      <c r="AG57" s="294">
        <f>Drivers!AG91</f>
        <v>0</v>
      </c>
    </row>
    <row r="58" spans="3:33" ht="14.25" customHeight="1" collapsed="1">
      <c r="C58" s="9"/>
      <c r="D58" s="9"/>
      <c r="E58" s="9"/>
      <c r="F58" s="232"/>
      <c r="G58" s="232"/>
      <c r="H58" s="232"/>
      <c r="I58" s="232"/>
      <c r="J58" s="132"/>
      <c r="K58" s="232"/>
      <c r="L58" s="232"/>
      <c r="M58" s="232"/>
      <c r="N58" s="232"/>
      <c r="O58" s="132"/>
      <c r="P58" s="232"/>
      <c r="Q58" s="232"/>
      <c r="R58" s="232"/>
      <c r="S58" s="230"/>
      <c r="T58" s="291"/>
      <c r="U58" s="230"/>
      <c r="V58" s="201"/>
      <c r="W58" s="201"/>
      <c r="X58" s="235"/>
      <c r="Y58" s="132"/>
      <c r="Z58" s="201"/>
      <c r="AA58" s="201"/>
      <c r="AB58" s="201"/>
      <c r="AC58" s="292"/>
      <c r="AD58" s="291"/>
      <c r="AE58" s="291"/>
      <c r="AF58" s="291"/>
      <c r="AG58" s="291"/>
    </row>
    <row r="59" spans="3:33" ht="14.25" customHeight="1">
      <c r="C59" s="9" t="s">
        <v>436</v>
      </c>
      <c r="D59" s="9"/>
      <c r="E59" s="9"/>
      <c r="F59" s="230">
        <f t="shared" ref="F59:AG59" si="47">F41+F23</f>
        <v>67.614000000000004</v>
      </c>
      <c r="G59" s="230">
        <f t="shared" si="47"/>
        <v>73.227999999999994</v>
      </c>
      <c r="H59" s="230">
        <f t="shared" si="47"/>
        <v>33.671999999999997</v>
      </c>
      <c r="I59" s="230">
        <f t="shared" si="47"/>
        <v>68.093999999999994</v>
      </c>
      <c r="J59" s="202">
        <f t="shared" si="47"/>
        <v>242.60799999999998</v>
      </c>
      <c r="K59" s="230">
        <f t="shared" si="47"/>
        <v>67.744</v>
      </c>
      <c r="L59" s="230">
        <f t="shared" si="47"/>
        <v>66.358999999999995</v>
      </c>
      <c r="M59" s="230">
        <f t="shared" si="47"/>
        <v>50.332000000000001</v>
      </c>
      <c r="N59" s="230">
        <f t="shared" si="47"/>
        <v>97.224000000000004</v>
      </c>
      <c r="O59" s="202">
        <f t="shared" si="47"/>
        <v>281.65899999999999</v>
      </c>
      <c r="P59" s="230">
        <f t="shared" si="47"/>
        <v>106.774</v>
      </c>
      <c r="Q59" s="230">
        <f t="shared" si="47"/>
        <v>77.093999999999994</v>
      </c>
      <c r="R59" s="230">
        <f t="shared" si="47"/>
        <v>90.150999999999996</v>
      </c>
      <c r="S59" s="230">
        <f t="shared" si="47"/>
        <v>88.257999999999996</v>
      </c>
      <c r="T59" s="202">
        <f t="shared" si="47"/>
        <v>362.27699999999999</v>
      </c>
      <c r="U59" s="230">
        <f t="shared" si="47"/>
        <v>95.448999999999998</v>
      </c>
      <c r="V59" s="396">
        <f t="shared" ref="V59:W65" si="48">V41+V23</f>
        <v>140.38079999999999</v>
      </c>
      <c r="W59" s="396">
        <f t="shared" si="48"/>
        <v>149.50555199999999</v>
      </c>
      <c r="X59" s="396">
        <f t="shared" si="47"/>
        <v>162.21352392</v>
      </c>
      <c r="Y59" s="202">
        <f t="shared" si="47"/>
        <v>547.54887592</v>
      </c>
      <c r="Z59" s="396">
        <f t="shared" si="47"/>
        <v>171.94633535520001</v>
      </c>
      <c r="AA59" s="396">
        <f t="shared" si="47"/>
        <v>182.26311547651201</v>
      </c>
      <c r="AB59" s="396">
        <f t="shared" si="47"/>
        <v>190.46495567295503</v>
      </c>
      <c r="AC59" s="396">
        <f t="shared" si="47"/>
        <v>199.03587867823799</v>
      </c>
      <c r="AD59" s="202">
        <f t="shared" si="47"/>
        <v>743.71028518290507</v>
      </c>
      <c r="AE59" s="202">
        <f t="shared" si="47"/>
        <v>795.77000514570852</v>
      </c>
      <c r="AF59" s="202">
        <f t="shared" si="47"/>
        <v>839.53735542872244</v>
      </c>
      <c r="AG59" s="202">
        <f t="shared" si="47"/>
        <v>898.304970308733</v>
      </c>
    </row>
    <row r="60" spans="3:33" ht="14.25" customHeight="1">
      <c r="C60" s="103" t="s">
        <v>1155</v>
      </c>
      <c r="D60" s="9"/>
      <c r="E60" s="9"/>
      <c r="F60" s="230">
        <f t="shared" ref="F60:AG60" si="49">F42+F24</f>
        <v>67.614000000000004</v>
      </c>
      <c r="G60" s="230">
        <f t="shared" si="49"/>
        <v>73.227999999999994</v>
      </c>
      <c r="H60" s="230">
        <f t="shared" si="49"/>
        <v>33.671999999999997</v>
      </c>
      <c r="I60" s="230">
        <f t="shared" si="49"/>
        <v>68.093999999999994</v>
      </c>
      <c r="J60" s="397">
        <f t="shared" si="49"/>
        <v>242.60799999999998</v>
      </c>
      <c r="K60" s="230">
        <f t="shared" si="49"/>
        <v>67.744</v>
      </c>
      <c r="L60" s="230">
        <f t="shared" si="49"/>
        <v>66.358999999999995</v>
      </c>
      <c r="M60" s="230">
        <f t="shared" si="49"/>
        <v>50.332000000000001</v>
      </c>
      <c r="N60" s="230">
        <f t="shared" si="49"/>
        <v>97.224000000000004</v>
      </c>
      <c r="O60" s="397">
        <f t="shared" si="49"/>
        <v>281.65899999999999</v>
      </c>
      <c r="P60" s="230">
        <f t="shared" si="49"/>
        <v>106.774</v>
      </c>
      <c r="Q60" s="230">
        <f t="shared" si="49"/>
        <v>77.093999999999994</v>
      </c>
      <c r="R60" s="230">
        <f t="shared" si="49"/>
        <v>90.150999999999996</v>
      </c>
      <c r="S60" s="230">
        <f t="shared" si="49"/>
        <v>88.257999999999996</v>
      </c>
      <c r="T60" s="397">
        <f t="shared" si="49"/>
        <v>362.27699999999999</v>
      </c>
      <c r="U60" s="230">
        <f t="shared" si="49"/>
        <v>95.448999999999998</v>
      </c>
      <c r="V60" s="396">
        <f t="shared" si="48"/>
        <v>140.38079999999999</v>
      </c>
      <c r="W60" s="396">
        <f t="shared" si="48"/>
        <v>149.50555199999999</v>
      </c>
      <c r="X60" s="396">
        <f t="shared" si="49"/>
        <v>162.21352392</v>
      </c>
      <c r="Y60" s="397">
        <f t="shared" si="49"/>
        <v>547.54887592</v>
      </c>
      <c r="Z60" s="396">
        <f t="shared" si="49"/>
        <v>171.94633535520001</v>
      </c>
      <c r="AA60" s="396">
        <f t="shared" si="49"/>
        <v>182.26311547651201</v>
      </c>
      <c r="AB60" s="396">
        <f t="shared" si="49"/>
        <v>190.46495567295503</v>
      </c>
      <c r="AC60" s="396">
        <f t="shared" si="49"/>
        <v>199.03587867823799</v>
      </c>
      <c r="AD60" s="397">
        <f t="shared" si="49"/>
        <v>743.71028518290507</v>
      </c>
      <c r="AE60" s="397">
        <f t="shared" si="49"/>
        <v>795.77000514570852</v>
      </c>
      <c r="AF60" s="397">
        <f t="shared" si="49"/>
        <v>839.53735542872244</v>
      </c>
      <c r="AG60" s="397">
        <f t="shared" si="49"/>
        <v>898.304970308733</v>
      </c>
    </row>
    <row r="61" spans="3:33" ht="14.25" hidden="1" customHeight="1">
      <c r="C61" s="103" t="str">
        <f t="shared" ref="C61:C65" si="50">C17&amp;" EBITDA"</f>
        <v>Incentive Fees EBITDA</v>
      </c>
      <c r="D61" s="9"/>
      <c r="E61" s="9"/>
      <c r="F61" s="230">
        <f t="shared" ref="F61:AG61" si="51">F43+F25</f>
        <v>0</v>
      </c>
      <c r="G61" s="230">
        <f t="shared" si="51"/>
        <v>0</v>
      </c>
      <c r="H61" s="230">
        <f t="shared" si="51"/>
        <v>0</v>
      </c>
      <c r="I61" s="230">
        <f t="shared" si="51"/>
        <v>0</v>
      </c>
      <c r="J61" s="397">
        <f t="shared" si="51"/>
        <v>0</v>
      </c>
      <c r="K61" s="230">
        <f t="shared" si="51"/>
        <v>0</v>
      </c>
      <c r="L61" s="230">
        <f t="shared" si="51"/>
        <v>0</v>
      </c>
      <c r="M61" s="230">
        <f t="shared" si="51"/>
        <v>0</v>
      </c>
      <c r="N61" s="230">
        <f t="shared" si="51"/>
        <v>0</v>
      </c>
      <c r="O61" s="397">
        <f t="shared" si="51"/>
        <v>0</v>
      </c>
      <c r="P61" s="230">
        <f t="shared" si="51"/>
        <v>0</v>
      </c>
      <c r="Q61" s="230">
        <f t="shared" si="51"/>
        <v>0</v>
      </c>
      <c r="R61" s="230">
        <f t="shared" si="51"/>
        <v>0</v>
      </c>
      <c r="S61" s="230">
        <f t="shared" si="51"/>
        <v>0</v>
      </c>
      <c r="T61" s="397">
        <f t="shared" si="51"/>
        <v>0</v>
      </c>
      <c r="U61" s="230">
        <f t="shared" si="51"/>
        <v>0</v>
      </c>
      <c r="V61" s="396">
        <f t="shared" si="48"/>
        <v>0</v>
      </c>
      <c r="W61" s="396">
        <f t="shared" si="48"/>
        <v>0</v>
      </c>
      <c r="X61" s="396">
        <f t="shared" si="51"/>
        <v>0</v>
      </c>
      <c r="Y61" s="397">
        <f t="shared" si="51"/>
        <v>0</v>
      </c>
      <c r="Z61" s="396">
        <f t="shared" si="51"/>
        <v>0</v>
      </c>
      <c r="AA61" s="396">
        <f t="shared" si="51"/>
        <v>0</v>
      </c>
      <c r="AB61" s="396">
        <f t="shared" si="51"/>
        <v>0</v>
      </c>
      <c r="AC61" s="396">
        <f t="shared" si="51"/>
        <v>0</v>
      </c>
      <c r="AD61" s="397">
        <f t="shared" si="51"/>
        <v>0</v>
      </c>
      <c r="AE61" s="397">
        <f t="shared" si="51"/>
        <v>0</v>
      </c>
      <c r="AF61" s="397">
        <f t="shared" si="51"/>
        <v>0</v>
      </c>
      <c r="AG61" s="397">
        <f t="shared" si="51"/>
        <v>0</v>
      </c>
    </row>
    <row r="62" spans="3:33" ht="14.25" hidden="1" customHeight="1">
      <c r="C62" s="103" t="str">
        <f t="shared" si="50"/>
        <v>Segment 3 EBITDA</v>
      </c>
      <c r="D62" s="9"/>
      <c r="E62" s="9"/>
      <c r="F62" s="230">
        <f t="shared" ref="F62:AG62" si="52">F44+F26</f>
        <v>0</v>
      </c>
      <c r="G62" s="230">
        <f t="shared" si="52"/>
        <v>0</v>
      </c>
      <c r="H62" s="230">
        <f t="shared" si="52"/>
        <v>0</v>
      </c>
      <c r="I62" s="230">
        <f t="shared" si="52"/>
        <v>0</v>
      </c>
      <c r="J62" s="397">
        <f t="shared" si="52"/>
        <v>0</v>
      </c>
      <c r="K62" s="230">
        <f t="shared" si="52"/>
        <v>0</v>
      </c>
      <c r="L62" s="230">
        <f t="shared" si="52"/>
        <v>0</v>
      </c>
      <c r="M62" s="230">
        <f t="shared" si="52"/>
        <v>0</v>
      </c>
      <c r="N62" s="230">
        <f t="shared" si="52"/>
        <v>0</v>
      </c>
      <c r="O62" s="397">
        <f t="shared" si="52"/>
        <v>0</v>
      </c>
      <c r="P62" s="230">
        <f t="shared" si="52"/>
        <v>0</v>
      </c>
      <c r="Q62" s="230">
        <f t="shared" si="52"/>
        <v>0</v>
      </c>
      <c r="R62" s="230">
        <f t="shared" si="52"/>
        <v>0</v>
      </c>
      <c r="S62" s="230">
        <f t="shared" si="52"/>
        <v>0</v>
      </c>
      <c r="T62" s="397">
        <f t="shared" si="52"/>
        <v>0</v>
      </c>
      <c r="U62" s="230">
        <f t="shared" si="52"/>
        <v>0</v>
      </c>
      <c r="V62" s="396">
        <f t="shared" si="48"/>
        <v>0</v>
      </c>
      <c r="W62" s="396">
        <f t="shared" si="48"/>
        <v>0</v>
      </c>
      <c r="X62" s="396">
        <f t="shared" si="52"/>
        <v>0</v>
      </c>
      <c r="Y62" s="397">
        <f t="shared" si="52"/>
        <v>0</v>
      </c>
      <c r="Z62" s="396">
        <f t="shared" si="52"/>
        <v>0</v>
      </c>
      <c r="AA62" s="396">
        <f t="shared" si="52"/>
        <v>0</v>
      </c>
      <c r="AB62" s="396">
        <f t="shared" si="52"/>
        <v>0</v>
      </c>
      <c r="AC62" s="396">
        <f t="shared" si="52"/>
        <v>0</v>
      </c>
      <c r="AD62" s="397">
        <f t="shared" si="52"/>
        <v>0</v>
      </c>
      <c r="AE62" s="397">
        <f t="shared" si="52"/>
        <v>0</v>
      </c>
      <c r="AF62" s="397">
        <f t="shared" si="52"/>
        <v>0</v>
      </c>
      <c r="AG62" s="397">
        <f t="shared" si="52"/>
        <v>0</v>
      </c>
    </row>
    <row r="63" spans="3:33" ht="14.25" hidden="1" customHeight="1">
      <c r="C63" s="103" t="str">
        <f t="shared" si="50"/>
        <v>Segment 4 EBITDA</v>
      </c>
      <c r="D63" s="9"/>
      <c r="E63" s="9"/>
      <c r="F63" s="230">
        <f t="shared" ref="F63:AG63" si="53">F45+F27</f>
        <v>0</v>
      </c>
      <c r="G63" s="230">
        <f t="shared" si="53"/>
        <v>0</v>
      </c>
      <c r="H63" s="230">
        <f t="shared" si="53"/>
        <v>0</v>
      </c>
      <c r="I63" s="230">
        <f t="shared" si="53"/>
        <v>0</v>
      </c>
      <c r="J63" s="397">
        <f t="shared" si="53"/>
        <v>0</v>
      </c>
      <c r="K63" s="230">
        <f t="shared" si="53"/>
        <v>0</v>
      </c>
      <c r="L63" s="230">
        <f t="shared" si="53"/>
        <v>0</v>
      </c>
      <c r="M63" s="230">
        <f t="shared" si="53"/>
        <v>0</v>
      </c>
      <c r="N63" s="230">
        <f t="shared" si="53"/>
        <v>0</v>
      </c>
      <c r="O63" s="397">
        <f t="shared" si="53"/>
        <v>0</v>
      </c>
      <c r="P63" s="230">
        <f t="shared" si="53"/>
        <v>0</v>
      </c>
      <c r="Q63" s="230">
        <f t="shared" si="53"/>
        <v>0</v>
      </c>
      <c r="R63" s="230">
        <f t="shared" si="53"/>
        <v>0</v>
      </c>
      <c r="S63" s="230">
        <f t="shared" si="53"/>
        <v>0</v>
      </c>
      <c r="T63" s="397">
        <f t="shared" si="53"/>
        <v>0</v>
      </c>
      <c r="U63" s="230">
        <f t="shared" si="53"/>
        <v>0</v>
      </c>
      <c r="V63" s="396">
        <f t="shared" si="48"/>
        <v>0</v>
      </c>
      <c r="W63" s="396">
        <f t="shared" si="48"/>
        <v>0</v>
      </c>
      <c r="X63" s="396">
        <f t="shared" si="53"/>
        <v>0</v>
      </c>
      <c r="Y63" s="397">
        <f t="shared" si="53"/>
        <v>0</v>
      </c>
      <c r="Z63" s="396">
        <f t="shared" si="53"/>
        <v>0</v>
      </c>
      <c r="AA63" s="396">
        <f t="shared" si="53"/>
        <v>0</v>
      </c>
      <c r="AB63" s="396">
        <f t="shared" si="53"/>
        <v>0</v>
      </c>
      <c r="AC63" s="396">
        <f t="shared" si="53"/>
        <v>0</v>
      </c>
      <c r="AD63" s="397">
        <f t="shared" si="53"/>
        <v>0</v>
      </c>
      <c r="AE63" s="397">
        <f t="shared" si="53"/>
        <v>0</v>
      </c>
      <c r="AF63" s="397">
        <f t="shared" si="53"/>
        <v>0</v>
      </c>
      <c r="AG63" s="397">
        <f t="shared" si="53"/>
        <v>0</v>
      </c>
    </row>
    <row r="64" spans="3:33" ht="14.25" hidden="1" customHeight="1" outlineLevel="1">
      <c r="C64" s="103" t="str">
        <f t="shared" si="50"/>
        <v>Segment 5 EBITDA</v>
      </c>
      <c r="D64" s="9"/>
      <c r="E64" s="9"/>
      <c r="F64" s="230">
        <f t="shared" ref="F64:AG64" si="54">F46+F28</f>
        <v>0</v>
      </c>
      <c r="G64" s="230">
        <f t="shared" si="54"/>
        <v>0</v>
      </c>
      <c r="H64" s="230">
        <f t="shared" si="54"/>
        <v>0</v>
      </c>
      <c r="I64" s="230">
        <f t="shared" si="54"/>
        <v>0</v>
      </c>
      <c r="J64" s="397">
        <f t="shared" si="54"/>
        <v>0</v>
      </c>
      <c r="K64" s="230">
        <f t="shared" si="54"/>
        <v>0</v>
      </c>
      <c r="L64" s="230">
        <f t="shared" si="54"/>
        <v>0</v>
      </c>
      <c r="M64" s="230">
        <f t="shared" si="54"/>
        <v>0</v>
      </c>
      <c r="N64" s="230">
        <f t="shared" si="54"/>
        <v>0</v>
      </c>
      <c r="O64" s="397">
        <f t="shared" si="54"/>
        <v>0</v>
      </c>
      <c r="P64" s="230">
        <f t="shared" si="54"/>
        <v>0</v>
      </c>
      <c r="Q64" s="230">
        <f t="shared" si="54"/>
        <v>0</v>
      </c>
      <c r="R64" s="230">
        <f t="shared" si="54"/>
        <v>0</v>
      </c>
      <c r="S64" s="230">
        <f t="shared" si="54"/>
        <v>0</v>
      </c>
      <c r="T64" s="397">
        <f t="shared" si="54"/>
        <v>0</v>
      </c>
      <c r="U64" s="230">
        <f t="shared" si="54"/>
        <v>0</v>
      </c>
      <c r="V64" s="396">
        <f t="shared" si="48"/>
        <v>0</v>
      </c>
      <c r="W64" s="396">
        <f t="shared" si="48"/>
        <v>0</v>
      </c>
      <c r="X64" s="396">
        <f t="shared" si="54"/>
        <v>0</v>
      </c>
      <c r="Y64" s="397">
        <f t="shared" si="54"/>
        <v>0</v>
      </c>
      <c r="Z64" s="396">
        <f t="shared" si="54"/>
        <v>0</v>
      </c>
      <c r="AA64" s="396">
        <f t="shared" si="54"/>
        <v>0</v>
      </c>
      <c r="AB64" s="396">
        <f t="shared" si="54"/>
        <v>0</v>
      </c>
      <c r="AC64" s="396">
        <f t="shared" si="54"/>
        <v>0</v>
      </c>
      <c r="AD64" s="397">
        <f t="shared" si="54"/>
        <v>0</v>
      </c>
      <c r="AE64" s="397">
        <f t="shared" si="54"/>
        <v>0</v>
      </c>
      <c r="AF64" s="397">
        <f t="shared" si="54"/>
        <v>0</v>
      </c>
      <c r="AG64" s="397">
        <f t="shared" si="54"/>
        <v>0</v>
      </c>
    </row>
    <row r="65" spans="3:33" ht="14.25" hidden="1" customHeight="1" outlineLevel="1">
      <c r="C65" s="103" t="str">
        <f t="shared" si="50"/>
        <v>Segment 6 EBITDA</v>
      </c>
      <c r="D65" s="9"/>
      <c r="E65" s="9"/>
      <c r="F65" s="230">
        <f t="shared" ref="F65:AG65" si="55">F47+F29</f>
        <v>0</v>
      </c>
      <c r="G65" s="230">
        <f t="shared" si="55"/>
        <v>0</v>
      </c>
      <c r="H65" s="230">
        <f t="shared" si="55"/>
        <v>0</v>
      </c>
      <c r="I65" s="230">
        <f t="shared" si="55"/>
        <v>0</v>
      </c>
      <c r="J65" s="397">
        <f t="shared" si="55"/>
        <v>0</v>
      </c>
      <c r="K65" s="230">
        <f t="shared" si="55"/>
        <v>0</v>
      </c>
      <c r="L65" s="230">
        <f t="shared" si="55"/>
        <v>0</v>
      </c>
      <c r="M65" s="230">
        <f t="shared" si="55"/>
        <v>0</v>
      </c>
      <c r="N65" s="230">
        <f t="shared" si="55"/>
        <v>0</v>
      </c>
      <c r="O65" s="397">
        <f t="shared" si="55"/>
        <v>0</v>
      </c>
      <c r="P65" s="230">
        <f t="shared" si="55"/>
        <v>0</v>
      </c>
      <c r="Q65" s="230">
        <f t="shared" si="55"/>
        <v>0</v>
      </c>
      <c r="R65" s="230">
        <f t="shared" si="55"/>
        <v>0</v>
      </c>
      <c r="S65" s="230">
        <f t="shared" si="55"/>
        <v>0</v>
      </c>
      <c r="T65" s="397">
        <f t="shared" si="55"/>
        <v>0</v>
      </c>
      <c r="U65" s="230">
        <f t="shared" si="55"/>
        <v>0</v>
      </c>
      <c r="V65" s="396">
        <f t="shared" si="48"/>
        <v>0</v>
      </c>
      <c r="W65" s="396">
        <f t="shared" si="48"/>
        <v>0</v>
      </c>
      <c r="X65" s="396">
        <f t="shared" si="55"/>
        <v>0</v>
      </c>
      <c r="Y65" s="397">
        <f t="shared" si="55"/>
        <v>0</v>
      </c>
      <c r="Z65" s="396">
        <f t="shared" si="55"/>
        <v>0</v>
      </c>
      <c r="AA65" s="396">
        <f t="shared" si="55"/>
        <v>0</v>
      </c>
      <c r="AB65" s="396">
        <f t="shared" si="55"/>
        <v>0</v>
      </c>
      <c r="AC65" s="396">
        <f t="shared" si="55"/>
        <v>0</v>
      </c>
      <c r="AD65" s="397">
        <f t="shared" si="55"/>
        <v>0</v>
      </c>
      <c r="AE65" s="397">
        <f t="shared" si="55"/>
        <v>0</v>
      </c>
      <c r="AF65" s="397">
        <f t="shared" si="55"/>
        <v>0</v>
      </c>
      <c r="AG65" s="397">
        <f t="shared" si="55"/>
        <v>0</v>
      </c>
    </row>
    <row r="66" spans="3:33" ht="14.25" customHeight="1" collapsed="1">
      <c r="C66" s="9"/>
      <c r="D66" s="9"/>
      <c r="E66" s="9"/>
      <c r="F66" s="232"/>
      <c r="G66" s="232"/>
      <c r="H66" s="232"/>
      <c r="I66" s="232"/>
      <c r="J66" s="132"/>
      <c r="K66" s="232"/>
      <c r="L66" s="232"/>
      <c r="M66" s="232"/>
      <c r="N66" s="232"/>
      <c r="O66" s="132"/>
      <c r="P66" s="232"/>
      <c r="Q66" s="232"/>
      <c r="R66" s="232"/>
      <c r="S66" s="377"/>
      <c r="T66" s="291"/>
      <c r="U66" s="377"/>
      <c r="V66" s="378"/>
      <c r="W66" s="378"/>
      <c r="X66" s="235"/>
      <c r="Y66" s="132"/>
      <c r="Z66" s="378"/>
      <c r="AA66" s="378"/>
      <c r="AB66" s="378"/>
      <c r="AC66" s="292"/>
      <c r="AD66" s="291"/>
      <c r="AE66" s="291"/>
      <c r="AF66" s="291"/>
      <c r="AG66" s="291"/>
    </row>
    <row r="67" spans="3:33" ht="14.25" customHeight="1">
      <c r="C67" s="9" t="s">
        <v>437</v>
      </c>
      <c r="D67" s="9"/>
      <c r="E67" s="9"/>
      <c r="F67" s="377"/>
      <c r="G67" s="377"/>
      <c r="H67" s="377"/>
      <c r="I67" s="377"/>
      <c r="J67" s="132"/>
      <c r="K67" s="377"/>
      <c r="L67" s="377"/>
      <c r="M67" s="377"/>
      <c r="N67" s="377"/>
      <c r="O67" s="132"/>
      <c r="P67" s="377"/>
      <c r="Q67" s="377"/>
      <c r="R67" s="377"/>
      <c r="S67" s="290"/>
      <c r="T67" s="291"/>
      <c r="U67" s="290"/>
      <c r="V67" s="292"/>
      <c r="W67" s="292"/>
      <c r="X67" s="378"/>
      <c r="Y67" s="132"/>
      <c r="Z67" s="292"/>
      <c r="AA67" s="292"/>
      <c r="AB67" s="292"/>
      <c r="AC67" s="292"/>
      <c r="AD67" s="291"/>
      <c r="AE67" s="291"/>
      <c r="AF67" s="291"/>
      <c r="AG67" s="291"/>
    </row>
    <row r="68" spans="3:33" ht="14.25" customHeight="1">
      <c r="C68" s="103" t="s">
        <v>1156</v>
      </c>
      <c r="D68" s="9"/>
      <c r="E68" s="9"/>
      <c r="F68" s="290">
        <f t="shared" ref="F68:AG68" si="56">IFERROR(F60/F$59,"N/A")</f>
        <v>1</v>
      </c>
      <c r="G68" s="290">
        <f t="shared" si="56"/>
        <v>1</v>
      </c>
      <c r="H68" s="290">
        <f t="shared" si="56"/>
        <v>1</v>
      </c>
      <c r="I68" s="290">
        <f t="shared" si="56"/>
        <v>1</v>
      </c>
      <c r="J68" s="291">
        <f t="shared" si="56"/>
        <v>1</v>
      </c>
      <c r="K68" s="290">
        <f t="shared" si="56"/>
        <v>1</v>
      </c>
      <c r="L68" s="290">
        <f t="shared" si="56"/>
        <v>1</v>
      </c>
      <c r="M68" s="290">
        <f t="shared" si="56"/>
        <v>1</v>
      </c>
      <c r="N68" s="290">
        <f t="shared" si="56"/>
        <v>1</v>
      </c>
      <c r="O68" s="291">
        <f t="shared" si="56"/>
        <v>1</v>
      </c>
      <c r="P68" s="290">
        <f t="shared" si="56"/>
        <v>1</v>
      </c>
      <c r="Q68" s="290">
        <f t="shared" si="56"/>
        <v>1</v>
      </c>
      <c r="R68" s="290">
        <f t="shared" si="56"/>
        <v>1</v>
      </c>
      <c r="S68" s="290">
        <f t="shared" si="56"/>
        <v>1</v>
      </c>
      <c r="T68" s="291">
        <f t="shared" si="56"/>
        <v>1</v>
      </c>
      <c r="U68" s="290">
        <f t="shared" si="56"/>
        <v>1</v>
      </c>
      <c r="V68" s="292">
        <f t="shared" ref="V68:W73" si="57">IFERROR(V60/V$59,"N/A")</f>
        <v>1</v>
      </c>
      <c r="W68" s="292">
        <f t="shared" si="57"/>
        <v>1</v>
      </c>
      <c r="X68" s="292">
        <f t="shared" si="56"/>
        <v>1</v>
      </c>
      <c r="Y68" s="291">
        <f t="shared" si="56"/>
        <v>1</v>
      </c>
      <c r="Z68" s="292">
        <f t="shared" si="56"/>
        <v>1</v>
      </c>
      <c r="AA68" s="292">
        <f t="shared" si="56"/>
        <v>1</v>
      </c>
      <c r="AB68" s="292">
        <f t="shared" si="56"/>
        <v>1</v>
      </c>
      <c r="AC68" s="292">
        <f t="shared" si="56"/>
        <v>1</v>
      </c>
      <c r="AD68" s="291">
        <f t="shared" si="56"/>
        <v>1</v>
      </c>
      <c r="AE68" s="291">
        <f t="shared" si="56"/>
        <v>1</v>
      </c>
      <c r="AF68" s="291">
        <f t="shared" si="56"/>
        <v>1</v>
      </c>
      <c r="AG68" s="291">
        <f t="shared" si="56"/>
        <v>1</v>
      </c>
    </row>
    <row r="69" spans="3:33" ht="14.25" hidden="1" customHeight="1">
      <c r="C69" s="103" t="str">
        <f t="shared" ref="C69:C73" si="58">C17</f>
        <v>Incentive Fees</v>
      </c>
      <c r="D69" s="9"/>
      <c r="E69" s="9"/>
      <c r="F69" s="290">
        <f t="shared" ref="F69:AG69" si="59">IFERROR(F61/F$59,"N/A")</f>
        <v>0</v>
      </c>
      <c r="G69" s="290">
        <f t="shared" si="59"/>
        <v>0</v>
      </c>
      <c r="H69" s="290">
        <f t="shared" si="59"/>
        <v>0</v>
      </c>
      <c r="I69" s="290">
        <f t="shared" si="59"/>
        <v>0</v>
      </c>
      <c r="J69" s="291">
        <f t="shared" si="59"/>
        <v>0</v>
      </c>
      <c r="K69" s="290">
        <f t="shared" si="59"/>
        <v>0</v>
      </c>
      <c r="L69" s="290">
        <f t="shared" si="59"/>
        <v>0</v>
      </c>
      <c r="M69" s="290">
        <f t="shared" si="59"/>
        <v>0</v>
      </c>
      <c r="N69" s="290">
        <f t="shared" si="59"/>
        <v>0</v>
      </c>
      <c r="O69" s="291">
        <f t="shared" si="59"/>
        <v>0</v>
      </c>
      <c r="P69" s="290">
        <f t="shared" si="59"/>
        <v>0</v>
      </c>
      <c r="Q69" s="290">
        <f t="shared" si="59"/>
        <v>0</v>
      </c>
      <c r="R69" s="290">
        <f t="shared" si="59"/>
        <v>0</v>
      </c>
      <c r="S69" s="290">
        <f t="shared" si="59"/>
        <v>0</v>
      </c>
      <c r="T69" s="291">
        <f t="shared" si="59"/>
        <v>0</v>
      </c>
      <c r="U69" s="290">
        <f t="shared" si="59"/>
        <v>0</v>
      </c>
      <c r="V69" s="292">
        <f t="shared" si="57"/>
        <v>0</v>
      </c>
      <c r="W69" s="292">
        <f t="shared" si="57"/>
        <v>0</v>
      </c>
      <c r="X69" s="292">
        <f t="shared" si="59"/>
        <v>0</v>
      </c>
      <c r="Y69" s="291">
        <f t="shared" si="59"/>
        <v>0</v>
      </c>
      <c r="Z69" s="292">
        <f t="shared" si="59"/>
        <v>0</v>
      </c>
      <c r="AA69" s="292">
        <f t="shared" si="59"/>
        <v>0</v>
      </c>
      <c r="AB69" s="292">
        <f t="shared" si="59"/>
        <v>0</v>
      </c>
      <c r="AC69" s="292">
        <f t="shared" si="59"/>
        <v>0</v>
      </c>
      <c r="AD69" s="291">
        <f t="shared" si="59"/>
        <v>0</v>
      </c>
      <c r="AE69" s="291">
        <f t="shared" si="59"/>
        <v>0</v>
      </c>
      <c r="AF69" s="291">
        <f t="shared" si="59"/>
        <v>0</v>
      </c>
      <c r="AG69" s="291">
        <f t="shared" si="59"/>
        <v>0</v>
      </c>
    </row>
    <row r="70" spans="3:33" ht="14.25" hidden="1" customHeight="1">
      <c r="C70" s="103" t="str">
        <f t="shared" si="58"/>
        <v>Segment 3</v>
      </c>
      <c r="D70" s="9"/>
      <c r="E70" s="9"/>
      <c r="F70" s="290">
        <f t="shared" ref="F70:AG70" si="60">IFERROR(F62/F$59,"N/A")</f>
        <v>0</v>
      </c>
      <c r="G70" s="290">
        <f t="shared" si="60"/>
        <v>0</v>
      </c>
      <c r="H70" s="290">
        <f t="shared" si="60"/>
        <v>0</v>
      </c>
      <c r="I70" s="290">
        <f t="shared" si="60"/>
        <v>0</v>
      </c>
      <c r="J70" s="291">
        <f t="shared" si="60"/>
        <v>0</v>
      </c>
      <c r="K70" s="290">
        <f t="shared" si="60"/>
        <v>0</v>
      </c>
      <c r="L70" s="290">
        <f t="shared" si="60"/>
        <v>0</v>
      </c>
      <c r="M70" s="290">
        <f t="shared" si="60"/>
        <v>0</v>
      </c>
      <c r="N70" s="290">
        <f t="shared" si="60"/>
        <v>0</v>
      </c>
      <c r="O70" s="291">
        <f t="shared" si="60"/>
        <v>0</v>
      </c>
      <c r="P70" s="290">
        <f t="shared" si="60"/>
        <v>0</v>
      </c>
      <c r="Q70" s="290">
        <f t="shared" si="60"/>
        <v>0</v>
      </c>
      <c r="R70" s="290">
        <f t="shared" si="60"/>
        <v>0</v>
      </c>
      <c r="S70" s="290">
        <f t="shared" si="60"/>
        <v>0</v>
      </c>
      <c r="T70" s="291">
        <f t="shared" si="60"/>
        <v>0</v>
      </c>
      <c r="U70" s="290">
        <f t="shared" si="60"/>
        <v>0</v>
      </c>
      <c r="V70" s="292">
        <f t="shared" si="57"/>
        <v>0</v>
      </c>
      <c r="W70" s="292">
        <f t="shared" si="57"/>
        <v>0</v>
      </c>
      <c r="X70" s="292">
        <f t="shared" si="60"/>
        <v>0</v>
      </c>
      <c r="Y70" s="291">
        <f t="shared" si="60"/>
        <v>0</v>
      </c>
      <c r="Z70" s="292">
        <f t="shared" si="60"/>
        <v>0</v>
      </c>
      <c r="AA70" s="292">
        <f t="shared" si="60"/>
        <v>0</v>
      </c>
      <c r="AB70" s="292">
        <f t="shared" si="60"/>
        <v>0</v>
      </c>
      <c r="AC70" s="292">
        <f t="shared" si="60"/>
        <v>0</v>
      </c>
      <c r="AD70" s="291">
        <f t="shared" si="60"/>
        <v>0</v>
      </c>
      <c r="AE70" s="291">
        <f t="shared" si="60"/>
        <v>0</v>
      </c>
      <c r="AF70" s="291">
        <f t="shared" si="60"/>
        <v>0</v>
      </c>
      <c r="AG70" s="291">
        <f t="shared" si="60"/>
        <v>0</v>
      </c>
    </row>
    <row r="71" spans="3:33" ht="14.25" hidden="1" customHeight="1">
      <c r="C71" s="103" t="str">
        <f t="shared" si="58"/>
        <v>Segment 4</v>
      </c>
      <c r="D71" s="9"/>
      <c r="E71" s="9"/>
      <c r="F71" s="290">
        <f t="shared" ref="F71:AG71" si="61">IFERROR(F63/F$59,"N/A")</f>
        <v>0</v>
      </c>
      <c r="G71" s="290">
        <f t="shared" si="61"/>
        <v>0</v>
      </c>
      <c r="H71" s="290">
        <f t="shared" si="61"/>
        <v>0</v>
      </c>
      <c r="I71" s="290">
        <f t="shared" si="61"/>
        <v>0</v>
      </c>
      <c r="J71" s="291">
        <f t="shared" si="61"/>
        <v>0</v>
      </c>
      <c r="K71" s="290">
        <f t="shared" si="61"/>
        <v>0</v>
      </c>
      <c r="L71" s="290">
        <f t="shared" si="61"/>
        <v>0</v>
      </c>
      <c r="M71" s="290">
        <f t="shared" si="61"/>
        <v>0</v>
      </c>
      <c r="N71" s="290">
        <f t="shared" si="61"/>
        <v>0</v>
      </c>
      <c r="O71" s="291">
        <f t="shared" si="61"/>
        <v>0</v>
      </c>
      <c r="P71" s="290">
        <f t="shared" si="61"/>
        <v>0</v>
      </c>
      <c r="Q71" s="290">
        <f t="shared" si="61"/>
        <v>0</v>
      </c>
      <c r="R71" s="290">
        <f t="shared" si="61"/>
        <v>0</v>
      </c>
      <c r="S71" s="290">
        <f t="shared" si="61"/>
        <v>0</v>
      </c>
      <c r="T71" s="291">
        <f t="shared" si="61"/>
        <v>0</v>
      </c>
      <c r="U71" s="290">
        <f t="shared" si="61"/>
        <v>0</v>
      </c>
      <c r="V71" s="292">
        <f t="shared" si="57"/>
        <v>0</v>
      </c>
      <c r="W71" s="292">
        <f t="shared" si="57"/>
        <v>0</v>
      </c>
      <c r="X71" s="292">
        <f t="shared" si="61"/>
        <v>0</v>
      </c>
      <c r="Y71" s="291">
        <f t="shared" si="61"/>
        <v>0</v>
      </c>
      <c r="Z71" s="292">
        <f t="shared" si="61"/>
        <v>0</v>
      </c>
      <c r="AA71" s="292">
        <f t="shared" si="61"/>
        <v>0</v>
      </c>
      <c r="AB71" s="292">
        <f t="shared" si="61"/>
        <v>0</v>
      </c>
      <c r="AC71" s="292">
        <f t="shared" si="61"/>
        <v>0</v>
      </c>
      <c r="AD71" s="291">
        <f t="shared" si="61"/>
        <v>0</v>
      </c>
      <c r="AE71" s="291">
        <f t="shared" si="61"/>
        <v>0</v>
      </c>
      <c r="AF71" s="291">
        <f t="shared" si="61"/>
        <v>0</v>
      </c>
      <c r="AG71" s="291">
        <f t="shared" si="61"/>
        <v>0</v>
      </c>
    </row>
    <row r="72" spans="3:33" ht="14.25" hidden="1" customHeight="1" outlineLevel="1">
      <c r="C72" s="103" t="str">
        <f t="shared" si="58"/>
        <v>Segment 5</v>
      </c>
      <c r="D72" s="9"/>
      <c r="E72" s="9"/>
      <c r="F72" s="290">
        <f t="shared" ref="F72:AG72" si="62">IFERROR(F64/F$59,"N/A")</f>
        <v>0</v>
      </c>
      <c r="G72" s="290">
        <f t="shared" si="62"/>
        <v>0</v>
      </c>
      <c r="H72" s="290">
        <f t="shared" si="62"/>
        <v>0</v>
      </c>
      <c r="I72" s="290">
        <f t="shared" si="62"/>
        <v>0</v>
      </c>
      <c r="J72" s="291">
        <f t="shared" si="62"/>
        <v>0</v>
      </c>
      <c r="K72" s="290">
        <f t="shared" si="62"/>
        <v>0</v>
      </c>
      <c r="L72" s="290">
        <f t="shared" si="62"/>
        <v>0</v>
      </c>
      <c r="M72" s="290">
        <f t="shared" si="62"/>
        <v>0</v>
      </c>
      <c r="N72" s="290">
        <f t="shared" si="62"/>
        <v>0</v>
      </c>
      <c r="O72" s="291">
        <f t="shared" si="62"/>
        <v>0</v>
      </c>
      <c r="P72" s="290">
        <f t="shared" si="62"/>
        <v>0</v>
      </c>
      <c r="Q72" s="290">
        <f t="shared" si="62"/>
        <v>0</v>
      </c>
      <c r="R72" s="290">
        <f t="shared" si="62"/>
        <v>0</v>
      </c>
      <c r="S72" s="290">
        <f t="shared" si="62"/>
        <v>0</v>
      </c>
      <c r="T72" s="291">
        <f t="shared" si="62"/>
        <v>0</v>
      </c>
      <c r="U72" s="290">
        <f t="shared" si="62"/>
        <v>0</v>
      </c>
      <c r="V72" s="292">
        <f t="shared" si="57"/>
        <v>0</v>
      </c>
      <c r="W72" s="292">
        <f t="shared" si="57"/>
        <v>0</v>
      </c>
      <c r="X72" s="292">
        <f t="shared" si="62"/>
        <v>0</v>
      </c>
      <c r="Y72" s="291">
        <f t="shared" si="62"/>
        <v>0</v>
      </c>
      <c r="Z72" s="292">
        <f t="shared" si="62"/>
        <v>0</v>
      </c>
      <c r="AA72" s="292">
        <f t="shared" si="62"/>
        <v>0</v>
      </c>
      <c r="AB72" s="292">
        <f t="shared" si="62"/>
        <v>0</v>
      </c>
      <c r="AC72" s="292">
        <f t="shared" si="62"/>
        <v>0</v>
      </c>
      <c r="AD72" s="291">
        <f t="shared" si="62"/>
        <v>0</v>
      </c>
      <c r="AE72" s="291">
        <f t="shared" si="62"/>
        <v>0</v>
      </c>
      <c r="AF72" s="291">
        <f t="shared" si="62"/>
        <v>0</v>
      </c>
      <c r="AG72" s="291">
        <f t="shared" si="62"/>
        <v>0</v>
      </c>
    </row>
    <row r="73" spans="3:33" ht="14.25" hidden="1" customHeight="1" outlineLevel="1">
      <c r="C73" s="103" t="str">
        <f t="shared" si="58"/>
        <v>Segment 6</v>
      </c>
      <c r="D73" s="9"/>
      <c r="E73" s="9"/>
      <c r="F73" s="290">
        <f t="shared" ref="F73:AG73" si="63">IFERROR(F65/F$59,"N/A")</f>
        <v>0</v>
      </c>
      <c r="G73" s="290">
        <f t="shared" si="63"/>
        <v>0</v>
      </c>
      <c r="H73" s="290">
        <f t="shared" si="63"/>
        <v>0</v>
      </c>
      <c r="I73" s="290">
        <f t="shared" si="63"/>
        <v>0</v>
      </c>
      <c r="J73" s="291">
        <f t="shared" si="63"/>
        <v>0</v>
      </c>
      <c r="K73" s="290">
        <f t="shared" si="63"/>
        <v>0</v>
      </c>
      <c r="L73" s="290">
        <f t="shared" si="63"/>
        <v>0</v>
      </c>
      <c r="M73" s="290">
        <f t="shared" si="63"/>
        <v>0</v>
      </c>
      <c r="N73" s="290">
        <f t="shared" si="63"/>
        <v>0</v>
      </c>
      <c r="O73" s="291">
        <f t="shared" si="63"/>
        <v>0</v>
      </c>
      <c r="P73" s="290">
        <f t="shared" si="63"/>
        <v>0</v>
      </c>
      <c r="Q73" s="290">
        <f t="shared" si="63"/>
        <v>0</v>
      </c>
      <c r="R73" s="290">
        <f t="shared" si="63"/>
        <v>0</v>
      </c>
      <c r="S73" s="290">
        <f t="shared" si="63"/>
        <v>0</v>
      </c>
      <c r="T73" s="291">
        <f t="shared" si="63"/>
        <v>0</v>
      </c>
      <c r="U73" s="290">
        <f t="shared" si="63"/>
        <v>0</v>
      </c>
      <c r="V73" s="292">
        <f t="shared" si="57"/>
        <v>0</v>
      </c>
      <c r="W73" s="292">
        <f t="shared" si="57"/>
        <v>0</v>
      </c>
      <c r="X73" s="292">
        <f t="shared" si="63"/>
        <v>0</v>
      </c>
      <c r="Y73" s="291">
        <f t="shared" si="63"/>
        <v>0</v>
      </c>
      <c r="Z73" s="292">
        <f t="shared" si="63"/>
        <v>0</v>
      </c>
      <c r="AA73" s="292">
        <f t="shared" si="63"/>
        <v>0</v>
      </c>
      <c r="AB73" s="292">
        <f t="shared" si="63"/>
        <v>0</v>
      </c>
      <c r="AC73" s="292">
        <f t="shared" si="63"/>
        <v>0</v>
      </c>
      <c r="AD73" s="291">
        <f t="shared" si="63"/>
        <v>0</v>
      </c>
      <c r="AE73" s="291">
        <f t="shared" si="63"/>
        <v>0</v>
      </c>
      <c r="AF73" s="291">
        <f t="shared" si="63"/>
        <v>0</v>
      </c>
      <c r="AG73" s="291">
        <f t="shared" si="63"/>
        <v>0</v>
      </c>
    </row>
    <row r="74" spans="3:33" ht="14.25" customHeight="1" collapsed="1">
      <c r="C74" s="103"/>
      <c r="D74" s="9"/>
      <c r="E74" s="9"/>
      <c r="F74" s="290"/>
      <c r="G74" s="290"/>
      <c r="H74" s="290"/>
      <c r="I74" s="290"/>
      <c r="J74" s="291"/>
      <c r="K74" s="290"/>
      <c r="L74" s="290"/>
      <c r="M74" s="290"/>
      <c r="N74" s="290"/>
      <c r="O74" s="291"/>
      <c r="P74" s="290"/>
      <c r="Q74" s="290"/>
      <c r="R74" s="290"/>
      <c r="S74" s="290"/>
      <c r="T74" s="291"/>
      <c r="U74" s="290"/>
      <c r="V74" s="292"/>
      <c r="W74" s="292"/>
      <c r="X74" s="292"/>
      <c r="Y74" s="291"/>
      <c r="Z74" s="292"/>
      <c r="AA74" s="292"/>
      <c r="AB74" s="292"/>
      <c r="AC74" s="292"/>
      <c r="AD74" s="291"/>
      <c r="AE74" s="291"/>
      <c r="AF74" s="291"/>
      <c r="AG74" s="291"/>
    </row>
    <row r="75" spans="3:33" ht="14.25" customHeight="1">
      <c r="C75" s="9"/>
      <c r="D75" s="9"/>
      <c r="E75" s="9"/>
      <c r="F75" s="232"/>
      <c r="G75" s="232"/>
      <c r="H75" s="232"/>
      <c r="I75" s="232"/>
      <c r="J75" s="132"/>
      <c r="K75" s="232"/>
      <c r="L75" s="232"/>
      <c r="M75" s="232"/>
      <c r="N75" s="232"/>
      <c r="O75" s="132"/>
      <c r="P75" s="232"/>
      <c r="Q75" s="232"/>
      <c r="R75" s="232"/>
      <c r="S75" s="232"/>
      <c r="T75" s="132"/>
      <c r="U75" s="232"/>
      <c r="V75" s="235"/>
      <c r="W75" s="235"/>
      <c r="X75" s="235"/>
      <c r="Y75" s="132"/>
      <c r="Z75" s="235"/>
      <c r="AA75" s="235"/>
      <c r="AB75" s="235"/>
      <c r="AC75" s="235"/>
      <c r="AD75" s="132"/>
      <c r="AE75" s="132"/>
      <c r="AF75" s="132"/>
      <c r="AG75" s="132"/>
    </row>
    <row r="76" spans="3:33" ht="14.25" customHeight="1">
      <c r="C76" s="33" t="s">
        <v>438</v>
      </c>
      <c r="D76" s="34"/>
      <c r="E76" s="34"/>
      <c r="F76" s="398"/>
      <c r="G76" s="398"/>
      <c r="H76" s="398"/>
      <c r="I76" s="398"/>
      <c r="J76" s="398"/>
      <c r="K76" s="398"/>
      <c r="L76" s="398"/>
      <c r="M76" s="398"/>
      <c r="N76" s="398"/>
      <c r="O76" s="398"/>
      <c r="P76" s="398"/>
      <c r="Q76" s="398"/>
      <c r="R76" s="398"/>
      <c r="S76" s="398"/>
      <c r="T76" s="398"/>
      <c r="U76" s="398"/>
      <c r="V76" s="398"/>
      <c r="W76" s="398"/>
      <c r="X76" s="398"/>
      <c r="Y76" s="398"/>
      <c r="Z76" s="398"/>
      <c r="AA76" s="398"/>
      <c r="AB76" s="398"/>
      <c r="AC76" s="398"/>
      <c r="AD76" s="398"/>
      <c r="AE76" s="398"/>
      <c r="AF76" s="398"/>
      <c r="AG76" s="399"/>
    </row>
    <row r="77" spans="3:33" ht="14.25" customHeight="1">
      <c r="C77" s="9"/>
      <c r="D77" s="9"/>
      <c r="E77" s="9"/>
      <c r="F77" s="232"/>
      <c r="G77" s="232"/>
      <c r="H77" s="232"/>
      <c r="I77" s="232"/>
      <c r="J77" s="132"/>
      <c r="K77" s="232"/>
      <c r="L77" s="232"/>
      <c r="M77" s="232"/>
      <c r="N77" s="232"/>
      <c r="O77" s="132"/>
      <c r="P77" s="232"/>
      <c r="Q77" s="232"/>
      <c r="R77" s="232"/>
      <c r="S77" s="232"/>
      <c r="T77" s="132"/>
      <c r="U77" s="232"/>
      <c r="V77" s="235"/>
      <c r="W77" s="235"/>
      <c r="X77" s="235"/>
      <c r="Y77" s="132"/>
      <c r="Z77" s="235"/>
      <c r="AA77" s="235"/>
      <c r="AB77" s="235"/>
      <c r="AC77" s="235"/>
      <c r="AD77" s="132"/>
      <c r="AE77" s="132"/>
      <c r="AF77" s="132"/>
      <c r="AG77" s="132"/>
    </row>
    <row r="78" spans="3:33" ht="14.25" hidden="1" customHeight="1" outlineLevel="1">
      <c r="C78" s="9" t="s">
        <v>241</v>
      </c>
      <c r="D78" s="9"/>
      <c r="E78" s="9"/>
      <c r="F78" s="400">
        <f>SUM(F79:F83)</f>
        <v>0</v>
      </c>
      <c r="G78" s="400">
        <f>SUM(G79:G83)</f>
        <v>0</v>
      </c>
      <c r="H78" s="400">
        <f>SUM(H79:H83)</f>
        <v>0</v>
      </c>
      <c r="I78" s="400">
        <f>SUM(I79:I83)</f>
        <v>0</v>
      </c>
      <c r="J78" s="202">
        <f t="shared" ref="J78:J83" si="64">SUM(F78:I78)</f>
        <v>0</v>
      </c>
      <c r="K78" s="400">
        <f>SUM(K79:K83)</f>
        <v>0</v>
      </c>
      <c r="L78" s="400">
        <f>SUM(L79:L83)</f>
        <v>0</v>
      </c>
      <c r="M78" s="400">
        <f>SUM(M79:M83)</f>
        <v>0</v>
      </c>
      <c r="N78" s="400">
        <f>SUM(N79:N83)</f>
        <v>0</v>
      </c>
      <c r="O78" s="202">
        <f t="shared" ref="O78:O83" si="65">SUM(K78:N78)</f>
        <v>0</v>
      </c>
      <c r="P78" s="400">
        <f>SUM(P79:P83)</f>
        <v>0</v>
      </c>
      <c r="Q78" s="400">
        <f>SUM(Q79:Q83)</f>
        <v>0</v>
      </c>
      <c r="R78" s="400">
        <f>SUM(R79:R83)</f>
        <v>0</v>
      </c>
      <c r="S78" s="400">
        <f>SUM(S79:S83)</f>
        <v>0</v>
      </c>
      <c r="T78" s="202">
        <f t="shared" ref="T78:T83" si="66">SUM(P78:S78)</f>
        <v>0</v>
      </c>
      <c r="U78" s="400">
        <f>SUM(U79:U83)</f>
        <v>0</v>
      </c>
      <c r="V78" s="401">
        <f>SUM(V79:V83)</f>
        <v>0</v>
      </c>
      <c r="W78" s="401">
        <f>SUM(W79:W83)</f>
        <v>0</v>
      </c>
      <c r="X78" s="401">
        <f>SUM(X79:X83)</f>
        <v>0</v>
      </c>
      <c r="Y78" s="202">
        <f t="shared" ref="Y78:Y83" si="67">SUM(U78:X78)</f>
        <v>0</v>
      </c>
      <c r="Z78" s="401">
        <f>SUM(Z79:Z83)</f>
        <v>0</v>
      </c>
      <c r="AA78" s="401">
        <f>SUM(AA79:AA83)</f>
        <v>0</v>
      </c>
      <c r="AB78" s="401">
        <f>SUM(AB79:AB83)</f>
        <v>0</v>
      </c>
      <c r="AC78" s="401">
        <f>SUM(AC79:AC83)</f>
        <v>0</v>
      </c>
      <c r="AD78" s="202">
        <f t="shared" ref="AD78:AD83" si="68">SUM(Z78:AC78)</f>
        <v>0</v>
      </c>
      <c r="AE78" s="402">
        <f>SUM(AE79:AE83)</f>
        <v>0</v>
      </c>
      <c r="AF78" s="402">
        <f>SUM(AF79:AF83)</f>
        <v>0</v>
      </c>
      <c r="AG78" s="402">
        <f>SUM(AG79:AG83)</f>
        <v>0</v>
      </c>
    </row>
    <row r="79" spans="3:33" ht="14.25" hidden="1" customHeight="1" outlineLevel="1">
      <c r="C79" s="379" t="s">
        <v>439</v>
      </c>
      <c r="D79" s="9"/>
      <c r="E79" s="9"/>
      <c r="F79" s="372">
        <v>0</v>
      </c>
      <c r="G79" s="372">
        <v>0</v>
      </c>
      <c r="H79" s="372">
        <v>0</v>
      </c>
      <c r="I79" s="372">
        <v>0</v>
      </c>
      <c r="J79" s="373">
        <f t="shared" si="64"/>
        <v>0</v>
      </c>
      <c r="K79" s="372">
        <v>0</v>
      </c>
      <c r="L79" s="372">
        <v>0</v>
      </c>
      <c r="M79" s="372">
        <v>0</v>
      </c>
      <c r="N79" s="372">
        <v>0</v>
      </c>
      <c r="O79" s="373">
        <f t="shared" si="65"/>
        <v>0</v>
      </c>
      <c r="P79" s="372">
        <v>0</v>
      </c>
      <c r="Q79" s="372">
        <v>0</v>
      </c>
      <c r="R79" s="372">
        <v>0</v>
      </c>
      <c r="S79" s="372">
        <v>0</v>
      </c>
      <c r="T79" s="373">
        <f t="shared" si="66"/>
        <v>0</v>
      </c>
      <c r="U79" s="372">
        <v>0</v>
      </c>
      <c r="V79" s="380">
        <v>0</v>
      </c>
      <c r="W79" s="380">
        <v>0</v>
      </c>
      <c r="X79" s="380">
        <v>0</v>
      </c>
      <c r="Y79" s="373">
        <f t="shared" si="67"/>
        <v>0</v>
      </c>
      <c r="Z79" s="380">
        <v>0</v>
      </c>
      <c r="AA79" s="380">
        <v>0</v>
      </c>
      <c r="AB79" s="380">
        <v>0</v>
      </c>
      <c r="AC79" s="380">
        <v>0</v>
      </c>
      <c r="AD79" s="373">
        <f t="shared" si="68"/>
        <v>0</v>
      </c>
      <c r="AE79" s="381">
        <v>0</v>
      </c>
      <c r="AF79" s="381">
        <v>0</v>
      </c>
      <c r="AG79" s="381">
        <v>0</v>
      </c>
    </row>
    <row r="80" spans="3:33" ht="14.25" hidden="1" customHeight="1" outlineLevel="1">
      <c r="C80" s="379" t="s">
        <v>440</v>
      </c>
      <c r="D80" s="9"/>
      <c r="E80" s="9"/>
      <c r="F80" s="372">
        <v>0</v>
      </c>
      <c r="G80" s="372">
        <v>0</v>
      </c>
      <c r="H80" s="372">
        <v>0</v>
      </c>
      <c r="I80" s="372">
        <v>0</v>
      </c>
      <c r="J80" s="373">
        <f t="shared" si="64"/>
        <v>0</v>
      </c>
      <c r="K80" s="372">
        <v>0</v>
      </c>
      <c r="L80" s="372">
        <v>0</v>
      </c>
      <c r="M80" s="372">
        <v>0</v>
      </c>
      <c r="N80" s="372">
        <v>0</v>
      </c>
      <c r="O80" s="373">
        <f t="shared" si="65"/>
        <v>0</v>
      </c>
      <c r="P80" s="372">
        <v>0</v>
      </c>
      <c r="Q80" s="372">
        <v>0</v>
      </c>
      <c r="R80" s="372">
        <v>0</v>
      </c>
      <c r="S80" s="372">
        <v>0</v>
      </c>
      <c r="T80" s="373">
        <f t="shared" si="66"/>
        <v>0</v>
      </c>
      <c r="U80" s="372">
        <v>0</v>
      </c>
      <c r="V80" s="380">
        <v>0</v>
      </c>
      <c r="W80" s="380">
        <v>0</v>
      </c>
      <c r="X80" s="380">
        <v>0</v>
      </c>
      <c r="Y80" s="373">
        <f t="shared" si="67"/>
        <v>0</v>
      </c>
      <c r="Z80" s="380">
        <v>0</v>
      </c>
      <c r="AA80" s="380">
        <v>0</v>
      </c>
      <c r="AB80" s="380">
        <v>0</v>
      </c>
      <c r="AC80" s="380">
        <v>0</v>
      </c>
      <c r="AD80" s="373">
        <f t="shared" si="68"/>
        <v>0</v>
      </c>
      <c r="AE80" s="381">
        <v>0</v>
      </c>
      <c r="AF80" s="381">
        <v>0</v>
      </c>
      <c r="AG80" s="381">
        <v>0</v>
      </c>
    </row>
    <row r="81" spans="3:33" ht="14.25" hidden="1" customHeight="1" outlineLevel="1">
      <c r="C81" s="379" t="s">
        <v>441</v>
      </c>
      <c r="D81" s="9"/>
      <c r="E81" s="9"/>
      <c r="F81" s="372">
        <v>0</v>
      </c>
      <c r="G81" s="372">
        <v>0</v>
      </c>
      <c r="H81" s="372">
        <v>0</v>
      </c>
      <c r="I81" s="372">
        <v>0</v>
      </c>
      <c r="J81" s="373">
        <f t="shared" si="64"/>
        <v>0</v>
      </c>
      <c r="K81" s="372">
        <v>0</v>
      </c>
      <c r="L81" s="372">
        <v>0</v>
      </c>
      <c r="M81" s="372">
        <v>0</v>
      </c>
      <c r="N81" s="372">
        <v>0</v>
      </c>
      <c r="O81" s="373">
        <f t="shared" si="65"/>
        <v>0</v>
      </c>
      <c r="P81" s="372">
        <v>0</v>
      </c>
      <c r="Q81" s="372">
        <v>0</v>
      </c>
      <c r="R81" s="372">
        <v>0</v>
      </c>
      <c r="S81" s="372">
        <v>0</v>
      </c>
      <c r="T81" s="373">
        <f t="shared" si="66"/>
        <v>0</v>
      </c>
      <c r="U81" s="372">
        <v>0</v>
      </c>
      <c r="V81" s="380">
        <v>0</v>
      </c>
      <c r="W81" s="380">
        <v>0</v>
      </c>
      <c r="X81" s="380">
        <v>0</v>
      </c>
      <c r="Y81" s="373">
        <f t="shared" si="67"/>
        <v>0</v>
      </c>
      <c r="Z81" s="380">
        <v>0</v>
      </c>
      <c r="AA81" s="380">
        <v>0</v>
      </c>
      <c r="AB81" s="380">
        <v>0</v>
      </c>
      <c r="AC81" s="380">
        <v>0</v>
      </c>
      <c r="AD81" s="373">
        <f t="shared" si="68"/>
        <v>0</v>
      </c>
      <c r="AE81" s="381">
        <v>0</v>
      </c>
      <c r="AF81" s="381">
        <v>0</v>
      </c>
      <c r="AG81" s="381">
        <v>0</v>
      </c>
    </row>
    <row r="82" spans="3:33" ht="14.25" hidden="1" customHeight="1" outlineLevel="1">
      <c r="C82" s="379" t="s">
        <v>442</v>
      </c>
      <c r="D82" s="9"/>
      <c r="E82" s="9"/>
      <c r="F82" s="372">
        <v>0</v>
      </c>
      <c r="G82" s="372">
        <v>0</v>
      </c>
      <c r="H82" s="372">
        <v>0</v>
      </c>
      <c r="I82" s="372">
        <v>0</v>
      </c>
      <c r="J82" s="373">
        <f t="shared" si="64"/>
        <v>0</v>
      </c>
      <c r="K82" s="372">
        <v>0</v>
      </c>
      <c r="L82" s="372">
        <v>0</v>
      </c>
      <c r="M82" s="372">
        <v>0</v>
      </c>
      <c r="N82" s="372">
        <v>0</v>
      </c>
      <c r="O82" s="373">
        <f t="shared" si="65"/>
        <v>0</v>
      </c>
      <c r="P82" s="372">
        <v>0</v>
      </c>
      <c r="Q82" s="372">
        <v>0</v>
      </c>
      <c r="R82" s="372">
        <v>0</v>
      </c>
      <c r="S82" s="372">
        <v>0</v>
      </c>
      <c r="T82" s="373">
        <f t="shared" si="66"/>
        <v>0</v>
      </c>
      <c r="U82" s="372">
        <v>0</v>
      </c>
      <c r="V82" s="380">
        <v>0</v>
      </c>
      <c r="W82" s="380">
        <v>0</v>
      </c>
      <c r="X82" s="380">
        <v>0</v>
      </c>
      <c r="Y82" s="373">
        <f t="shared" si="67"/>
        <v>0</v>
      </c>
      <c r="Z82" s="380">
        <v>0</v>
      </c>
      <c r="AA82" s="380">
        <v>0</v>
      </c>
      <c r="AB82" s="380">
        <v>0</v>
      </c>
      <c r="AC82" s="380">
        <v>0</v>
      </c>
      <c r="AD82" s="373">
        <f t="shared" si="68"/>
        <v>0</v>
      </c>
      <c r="AE82" s="381">
        <v>0</v>
      </c>
      <c r="AF82" s="381">
        <v>0</v>
      </c>
      <c r="AG82" s="381">
        <v>0</v>
      </c>
    </row>
    <row r="83" spans="3:33" ht="14.25" hidden="1" customHeight="1" outlineLevel="1">
      <c r="C83" s="379" t="s">
        <v>443</v>
      </c>
      <c r="D83" s="9"/>
      <c r="E83" s="9"/>
      <c r="F83" s="372">
        <v>0</v>
      </c>
      <c r="G83" s="372">
        <v>0</v>
      </c>
      <c r="H83" s="372">
        <v>0</v>
      </c>
      <c r="I83" s="372">
        <v>0</v>
      </c>
      <c r="J83" s="373">
        <f t="shared" si="64"/>
        <v>0</v>
      </c>
      <c r="K83" s="372">
        <v>0</v>
      </c>
      <c r="L83" s="372">
        <v>0</v>
      </c>
      <c r="M83" s="372">
        <v>0</v>
      </c>
      <c r="N83" s="372">
        <v>0</v>
      </c>
      <c r="O83" s="373">
        <f t="shared" si="65"/>
        <v>0</v>
      </c>
      <c r="P83" s="372">
        <v>0</v>
      </c>
      <c r="Q83" s="372">
        <v>0</v>
      </c>
      <c r="R83" s="372">
        <v>0</v>
      </c>
      <c r="S83" s="372">
        <v>0</v>
      </c>
      <c r="T83" s="373">
        <f t="shared" si="66"/>
        <v>0</v>
      </c>
      <c r="U83" s="372">
        <v>0</v>
      </c>
      <c r="V83" s="380">
        <v>0</v>
      </c>
      <c r="W83" s="380">
        <v>0</v>
      </c>
      <c r="X83" s="380">
        <v>0</v>
      </c>
      <c r="Y83" s="373">
        <f t="shared" si="67"/>
        <v>0</v>
      </c>
      <c r="Z83" s="380">
        <v>0</v>
      </c>
      <c r="AA83" s="380">
        <v>0</v>
      </c>
      <c r="AB83" s="380">
        <v>0</v>
      </c>
      <c r="AC83" s="380">
        <v>0</v>
      </c>
      <c r="AD83" s="373">
        <f t="shared" si="68"/>
        <v>0</v>
      </c>
      <c r="AE83" s="381">
        <v>0</v>
      </c>
      <c r="AF83" s="381">
        <v>0</v>
      </c>
      <c r="AG83" s="381">
        <v>0</v>
      </c>
    </row>
    <row r="84" spans="3:33" ht="14.25" hidden="1" customHeight="1" outlineLevel="1">
      <c r="C84" s="9"/>
      <c r="D84" s="9"/>
      <c r="E84" s="9"/>
      <c r="F84" s="403"/>
      <c r="G84" s="403"/>
      <c r="H84" s="403"/>
      <c r="I84" s="403"/>
      <c r="J84" s="397"/>
      <c r="K84" s="403"/>
      <c r="L84" s="403"/>
      <c r="M84" s="403"/>
      <c r="N84" s="403"/>
      <c r="O84" s="397"/>
      <c r="P84" s="403"/>
      <c r="Q84" s="403"/>
      <c r="R84" s="403"/>
      <c r="S84" s="403"/>
      <c r="T84" s="397"/>
      <c r="U84" s="403"/>
      <c r="V84" s="404"/>
      <c r="W84" s="404"/>
      <c r="X84" s="404"/>
      <c r="Y84" s="397"/>
      <c r="Z84" s="404"/>
      <c r="AA84" s="404"/>
      <c r="AB84" s="404"/>
      <c r="AC84" s="404"/>
      <c r="AD84" s="397"/>
      <c r="AE84" s="405"/>
      <c r="AF84" s="405"/>
      <c r="AG84" s="405"/>
    </row>
    <row r="85" spans="3:33" ht="14.25" hidden="1" customHeight="1" outlineLevel="1">
      <c r="C85" s="9" t="s">
        <v>424</v>
      </c>
      <c r="D85" s="9"/>
      <c r="E85" s="9"/>
      <c r="F85" s="377"/>
      <c r="G85" s="377"/>
      <c r="H85" s="377"/>
      <c r="I85" s="377"/>
      <c r="J85" s="132"/>
      <c r="K85" s="377"/>
      <c r="L85" s="377"/>
      <c r="M85" s="377"/>
      <c r="N85" s="377"/>
      <c r="O85" s="132"/>
      <c r="P85" s="377"/>
      <c r="Q85" s="377"/>
      <c r="R85" s="377"/>
      <c r="S85" s="377"/>
      <c r="T85" s="132"/>
      <c r="U85" s="377"/>
      <c r="V85" s="378"/>
      <c r="W85" s="378"/>
      <c r="X85" s="378"/>
      <c r="Y85" s="132"/>
      <c r="Z85" s="378"/>
      <c r="AA85" s="378"/>
      <c r="AB85" s="378"/>
      <c r="AC85" s="378"/>
      <c r="AD85" s="132"/>
      <c r="AE85" s="382"/>
      <c r="AF85" s="382"/>
      <c r="AG85" s="382"/>
    </row>
    <row r="86" spans="3:33" ht="14.25" hidden="1" customHeight="1" outlineLevel="1">
      <c r="C86" s="103" t="str">
        <f>C$79</f>
        <v>North America</v>
      </c>
      <c r="D86" s="9"/>
      <c r="E86" s="9"/>
      <c r="F86" s="232" t="str">
        <f t="shared" ref="F86:AG86" si="69">IFERROR(F79/F$78,"N/A")</f>
        <v>N/A</v>
      </c>
      <c r="G86" s="232" t="str">
        <f t="shared" si="69"/>
        <v>N/A</v>
      </c>
      <c r="H86" s="232" t="str">
        <f t="shared" si="69"/>
        <v>N/A</v>
      </c>
      <c r="I86" s="232" t="str">
        <f t="shared" si="69"/>
        <v>N/A</v>
      </c>
      <c r="J86" s="132" t="str">
        <f t="shared" si="69"/>
        <v>N/A</v>
      </c>
      <c r="K86" s="290" t="str">
        <f t="shared" si="69"/>
        <v>N/A</v>
      </c>
      <c r="L86" s="290" t="str">
        <f t="shared" si="69"/>
        <v>N/A</v>
      </c>
      <c r="M86" s="290" t="str">
        <f t="shared" si="69"/>
        <v>N/A</v>
      </c>
      <c r="N86" s="290" t="str">
        <f t="shared" si="69"/>
        <v>N/A</v>
      </c>
      <c r="O86" s="291" t="str">
        <f t="shared" si="69"/>
        <v>N/A</v>
      </c>
      <c r="P86" s="290" t="str">
        <f t="shared" si="69"/>
        <v>N/A</v>
      </c>
      <c r="Q86" s="290" t="str">
        <f t="shared" si="69"/>
        <v>N/A</v>
      </c>
      <c r="R86" s="290" t="str">
        <f t="shared" si="69"/>
        <v>N/A</v>
      </c>
      <c r="S86" s="290" t="str">
        <f t="shared" si="69"/>
        <v>N/A</v>
      </c>
      <c r="T86" s="291" t="str">
        <f t="shared" si="69"/>
        <v>N/A</v>
      </c>
      <c r="U86" s="290" t="str">
        <f t="shared" si="69"/>
        <v>N/A</v>
      </c>
      <c r="V86" s="292" t="str">
        <f t="shared" ref="V86:W90" si="70">IFERROR(V79/V$78,"N/A")</f>
        <v>N/A</v>
      </c>
      <c r="W86" s="292" t="str">
        <f t="shared" si="70"/>
        <v>N/A</v>
      </c>
      <c r="X86" s="292" t="str">
        <f t="shared" si="69"/>
        <v>N/A</v>
      </c>
      <c r="Y86" s="291" t="str">
        <f t="shared" si="69"/>
        <v>N/A</v>
      </c>
      <c r="Z86" s="292" t="str">
        <f t="shared" si="69"/>
        <v>N/A</v>
      </c>
      <c r="AA86" s="292" t="str">
        <f t="shared" si="69"/>
        <v>N/A</v>
      </c>
      <c r="AB86" s="292" t="str">
        <f t="shared" si="69"/>
        <v>N/A</v>
      </c>
      <c r="AC86" s="292" t="str">
        <f t="shared" si="69"/>
        <v>N/A</v>
      </c>
      <c r="AD86" s="291" t="str">
        <f t="shared" si="69"/>
        <v>N/A</v>
      </c>
      <c r="AE86" s="291" t="str">
        <f t="shared" si="69"/>
        <v>N/A</v>
      </c>
      <c r="AF86" s="291" t="str">
        <f t="shared" si="69"/>
        <v>N/A</v>
      </c>
      <c r="AG86" s="291" t="str">
        <f t="shared" si="69"/>
        <v>N/A</v>
      </c>
    </row>
    <row r="87" spans="3:33" ht="14.25" hidden="1" customHeight="1" outlineLevel="1">
      <c r="C87" s="103" t="str">
        <f>C$80</f>
        <v>Europe</v>
      </c>
      <c r="D87" s="9"/>
      <c r="E87" s="9"/>
      <c r="F87" s="232" t="str">
        <f t="shared" ref="F87:AG87" si="71">IFERROR(F80/F$78,"N/A")</f>
        <v>N/A</v>
      </c>
      <c r="G87" s="232" t="str">
        <f t="shared" si="71"/>
        <v>N/A</v>
      </c>
      <c r="H87" s="232" t="str">
        <f t="shared" si="71"/>
        <v>N/A</v>
      </c>
      <c r="I87" s="232" t="str">
        <f t="shared" si="71"/>
        <v>N/A</v>
      </c>
      <c r="J87" s="132" t="str">
        <f t="shared" si="71"/>
        <v>N/A</v>
      </c>
      <c r="K87" s="290" t="str">
        <f t="shared" si="71"/>
        <v>N/A</v>
      </c>
      <c r="L87" s="290" t="str">
        <f t="shared" si="71"/>
        <v>N/A</v>
      </c>
      <c r="M87" s="290" t="str">
        <f t="shared" si="71"/>
        <v>N/A</v>
      </c>
      <c r="N87" s="290" t="str">
        <f t="shared" si="71"/>
        <v>N/A</v>
      </c>
      <c r="O87" s="291" t="str">
        <f t="shared" si="71"/>
        <v>N/A</v>
      </c>
      <c r="P87" s="290" t="str">
        <f t="shared" si="71"/>
        <v>N/A</v>
      </c>
      <c r="Q87" s="290" t="str">
        <f t="shared" si="71"/>
        <v>N/A</v>
      </c>
      <c r="R87" s="290" t="str">
        <f t="shared" si="71"/>
        <v>N/A</v>
      </c>
      <c r="S87" s="290" t="str">
        <f t="shared" si="71"/>
        <v>N/A</v>
      </c>
      <c r="T87" s="291" t="str">
        <f t="shared" si="71"/>
        <v>N/A</v>
      </c>
      <c r="U87" s="290" t="str">
        <f t="shared" si="71"/>
        <v>N/A</v>
      </c>
      <c r="V87" s="292" t="str">
        <f t="shared" si="70"/>
        <v>N/A</v>
      </c>
      <c r="W87" s="292" t="str">
        <f t="shared" si="70"/>
        <v>N/A</v>
      </c>
      <c r="X87" s="292" t="str">
        <f t="shared" si="71"/>
        <v>N/A</v>
      </c>
      <c r="Y87" s="291" t="str">
        <f t="shared" si="71"/>
        <v>N/A</v>
      </c>
      <c r="Z87" s="292" t="str">
        <f t="shared" si="71"/>
        <v>N/A</v>
      </c>
      <c r="AA87" s="292" t="str">
        <f t="shared" si="71"/>
        <v>N/A</v>
      </c>
      <c r="AB87" s="292" t="str">
        <f t="shared" si="71"/>
        <v>N/A</v>
      </c>
      <c r="AC87" s="292" t="str">
        <f t="shared" si="71"/>
        <v>N/A</v>
      </c>
      <c r="AD87" s="291" t="str">
        <f t="shared" si="71"/>
        <v>N/A</v>
      </c>
      <c r="AE87" s="291" t="str">
        <f t="shared" si="71"/>
        <v>N/A</v>
      </c>
      <c r="AF87" s="291" t="str">
        <f t="shared" si="71"/>
        <v>N/A</v>
      </c>
      <c r="AG87" s="291" t="str">
        <f t="shared" si="71"/>
        <v>N/A</v>
      </c>
    </row>
    <row r="88" spans="3:33" ht="14.25" hidden="1" customHeight="1" outlineLevel="1">
      <c r="C88" s="103" t="str">
        <f>C$81</f>
        <v>South America</v>
      </c>
      <c r="D88" s="9"/>
      <c r="E88" s="9"/>
      <c r="F88" s="232" t="str">
        <f t="shared" ref="F88:AG88" si="72">IFERROR(F81/F$78,"N/A")</f>
        <v>N/A</v>
      </c>
      <c r="G88" s="232" t="str">
        <f t="shared" si="72"/>
        <v>N/A</v>
      </c>
      <c r="H88" s="232" t="str">
        <f t="shared" si="72"/>
        <v>N/A</v>
      </c>
      <c r="I88" s="232" t="str">
        <f t="shared" si="72"/>
        <v>N/A</v>
      </c>
      <c r="J88" s="132" t="str">
        <f t="shared" si="72"/>
        <v>N/A</v>
      </c>
      <c r="K88" s="290" t="str">
        <f t="shared" si="72"/>
        <v>N/A</v>
      </c>
      <c r="L88" s="290" t="str">
        <f t="shared" si="72"/>
        <v>N/A</v>
      </c>
      <c r="M88" s="290" t="str">
        <f t="shared" si="72"/>
        <v>N/A</v>
      </c>
      <c r="N88" s="290" t="str">
        <f t="shared" si="72"/>
        <v>N/A</v>
      </c>
      <c r="O88" s="291" t="str">
        <f t="shared" si="72"/>
        <v>N/A</v>
      </c>
      <c r="P88" s="290" t="str">
        <f t="shared" si="72"/>
        <v>N/A</v>
      </c>
      <c r="Q88" s="290" t="str">
        <f t="shared" si="72"/>
        <v>N/A</v>
      </c>
      <c r="R88" s="290" t="str">
        <f t="shared" si="72"/>
        <v>N/A</v>
      </c>
      <c r="S88" s="290" t="str">
        <f t="shared" si="72"/>
        <v>N/A</v>
      </c>
      <c r="T88" s="291" t="str">
        <f t="shared" si="72"/>
        <v>N/A</v>
      </c>
      <c r="U88" s="290" t="str">
        <f t="shared" si="72"/>
        <v>N/A</v>
      </c>
      <c r="V88" s="292" t="str">
        <f t="shared" si="70"/>
        <v>N/A</v>
      </c>
      <c r="W88" s="292" t="str">
        <f t="shared" si="70"/>
        <v>N/A</v>
      </c>
      <c r="X88" s="292" t="str">
        <f t="shared" si="72"/>
        <v>N/A</v>
      </c>
      <c r="Y88" s="291" t="str">
        <f t="shared" si="72"/>
        <v>N/A</v>
      </c>
      <c r="Z88" s="292" t="str">
        <f t="shared" si="72"/>
        <v>N/A</v>
      </c>
      <c r="AA88" s="292" t="str">
        <f t="shared" si="72"/>
        <v>N/A</v>
      </c>
      <c r="AB88" s="292" t="str">
        <f t="shared" si="72"/>
        <v>N/A</v>
      </c>
      <c r="AC88" s="292" t="str">
        <f t="shared" si="72"/>
        <v>N/A</v>
      </c>
      <c r="AD88" s="291" t="str">
        <f t="shared" si="72"/>
        <v>N/A</v>
      </c>
      <c r="AE88" s="291" t="str">
        <f t="shared" si="72"/>
        <v>N/A</v>
      </c>
      <c r="AF88" s="291" t="str">
        <f t="shared" si="72"/>
        <v>N/A</v>
      </c>
      <c r="AG88" s="291" t="str">
        <f t="shared" si="72"/>
        <v>N/A</v>
      </c>
    </row>
    <row r="89" spans="3:33" ht="14.25" hidden="1" customHeight="1" outlineLevel="1">
      <c r="C89" s="103" t="str">
        <f>C$82</f>
        <v>Middle East &amp; Africa</v>
      </c>
      <c r="D89" s="9"/>
      <c r="E89" s="9"/>
      <c r="F89" s="232" t="str">
        <f t="shared" ref="F89:AG89" si="73">IFERROR(F82/F$78,"N/A")</f>
        <v>N/A</v>
      </c>
      <c r="G89" s="232" t="str">
        <f t="shared" si="73"/>
        <v>N/A</v>
      </c>
      <c r="H89" s="232" t="str">
        <f t="shared" si="73"/>
        <v>N/A</v>
      </c>
      <c r="I89" s="232" t="str">
        <f t="shared" si="73"/>
        <v>N/A</v>
      </c>
      <c r="J89" s="132" t="str">
        <f t="shared" si="73"/>
        <v>N/A</v>
      </c>
      <c r="K89" s="290" t="str">
        <f t="shared" si="73"/>
        <v>N/A</v>
      </c>
      <c r="L89" s="290" t="str">
        <f t="shared" si="73"/>
        <v>N/A</v>
      </c>
      <c r="M89" s="290" t="str">
        <f t="shared" si="73"/>
        <v>N/A</v>
      </c>
      <c r="N89" s="290" t="str">
        <f t="shared" si="73"/>
        <v>N/A</v>
      </c>
      <c r="O89" s="291" t="str">
        <f t="shared" si="73"/>
        <v>N/A</v>
      </c>
      <c r="P89" s="290" t="str">
        <f t="shared" si="73"/>
        <v>N/A</v>
      </c>
      <c r="Q89" s="290" t="str">
        <f t="shared" si="73"/>
        <v>N/A</v>
      </c>
      <c r="R89" s="290" t="str">
        <f t="shared" si="73"/>
        <v>N/A</v>
      </c>
      <c r="S89" s="290" t="str">
        <f t="shared" si="73"/>
        <v>N/A</v>
      </c>
      <c r="T89" s="291" t="str">
        <f t="shared" si="73"/>
        <v>N/A</v>
      </c>
      <c r="U89" s="290" t="str">
        <f t="shared" si="73"/>
        <v>N/A</v>
      </c>
      <c r="V89" s="292" t="str">
        <f t="shared" si="70"/>
        <v>N/A</v>
      </c>
      <c r="W89" s="292" t="str">
        <f t="shared" si="70"/>
        <v>N/A</v>
      </c>
      <c r="X89" s="292" t="str">
        <f t="shared" si="73"/>
        <v>N/A</v>
      </c>
      <c r="Y89" s="291" t="str">
        <f t="shared" si="73"/>
        <v>N/A</v>
      </c>
      <c r="Z89" s="292" t="str">
        <f t="shared" si="73"/>
        <v>N/A</v>
      </c>
      <c r="AA89" s="292" t="str">
        <f t="shared" si="73"/>
        <v>N/A</v>
      </c>
      <c r="AB89" s="292" t="str">
        <f t="shared" si="73"/>
        <v>N/A</v>
      </c>
      <c r="AC89" s="292" t="str">
        <f t="shared" si="73"/>
        <v>N/A</v>
      </c>
      <c r="AD89" s="291" t="str">
        <f t="shared" si="73"/>
        <v>N/A</v>
      </c>
      <c r="AE89" s="291" t="str">
        <f t="shared" si="73"/>
        <v>N/A</v>
      </c>
      <c r="AF89" s="291" t="str">
        <f t="shared" si="73"/>
        <v>N/A</v>
      </c>
      <c r="AG89" s="291" t="str">
        <f t="shared" si="73"/>
        <v>N/A</v>
      </c>
    </row>
    <row r="90" spans="3:33" ht="14.25" hidden="1" customHeight="1" outlineLevel="1">
      <c r="C90" s="103" t="str">
        <f>C$83</f>
        <v>Asia Pacific</v>
      </c>
      <c r="D90" s="9"/>
      <c r="E90" s="9"/>
      <c r="F90" s="232" t="str">
        <f t="shared" ref="F90:AG90" si="74">IFERROR(F83/F$78,"N/A")</f>
        <v>N/A</v>
      </c>
      <c r="G90" s="232" t="str">
        <f t="shared" si="74"/>
        <v>N/A</v>
      </c>
      <c r="H90" s="232" t="str">
        <f t="shared" si="74"/>
        <v>N/A</v>
      </c>
      <c r="I90" s="232" t="str">
        <f t="shared" si="74"/>
        <v>N/A</v>
      </c>
      <c r="J90" s="132" t="str">
        <f t="shared" si="74"/>
        <v>N/A</v>
      </c>
      <c r="K90" s="290" t="str">
        <f t="shared" si="74"/>
        <v>N/A</v>
      </c>
      <c r="L90" s="290" t="str">
        <f t="shared" si="74"/>
        <v>N/A</v>
      </c>
      <c r="M90" s="290" t="str">
        <f t="shared" si="74"/>
        <v>N/A</v>
      </c>
      <c r="N90" s="290" t="str">
        <f t="shared" si="74"/>
        <v>N/A</v>
      </c>
      <c r="O90" s="291" t="str">
        <f t="shared" si="74"/>
        <v>N/A</v>
      </c>
      <c r="P90" s="290" t="str">
        <f t="shared" si="74"/>
        <v>N/A</v>
      </c>
      <c r="Q90" s="290" t="str">
        <f t="shared" si="74"/>
        <v>N/A</v>
      </c>
      <c r="R90" s="290" t="str">
        <f t="shared" si="74"/>
        <v>N/A</v>
      </c>
      <c r="S90" s="290" t="str">
        <f t="shared" si="74"/>
        <v>N/A</v>
      </c>
      <c r="T90" s="291" t="str">
        <f t="shared" si="74"/>
        <v>N/A</v>
      </c>
      <c r="U90" s="290" t="str">
        <f t="shared" si="74"/>
        <v>N/A</v>
      </c>
      <c r="V90" s="292" t="str">
        <f t="shared" si="70"/>
        <v>N/A</v>
      </c>
      <c r="W90" s="292" t="str">
        <f t="shared" si="70"/>
        <v>N/A</v>
      </c>
      <c r="X90" s="292" t="str">
        <f t="shared" si="74"/>
        <v>N/A</v>
      </c>
      <c r="Y90" s="291" t="str">
        <f t="shared" si="74"/>
        <v>N/A</v>
      </c>
      <c r="Z90" s="292" t="str">
        <f t="shared" si="74"/>
        <v>N/A</v>
      </c>
      <c r="AA90" s="292" t="str">
        <f t="shared" si="74"/>
        <v>N/A</v>
      </c>
      <c r="AB90" s="292" t="str">
        <f t="shared" si="74"/>
        <v>N/A</v>
      </c>
      <c r="AC90" s="292" t="str">
        <f t="shared" si="74"/>
        <v>N/A</v>
      </c>
      <c r="AD90" s="291" t="str">
        <f t="shared" si="74"/>
        <v>N/A</v>
      </c>
      <c r="AE90" s="291" t="str">
        <f t="shared" si="74"/>
        <v>N/A</v>
      </c>
      <c r="AF90" s="291" t="str">
        <f t="shared" si="74"/>
        <v>N/A</v>
      </c>
      <c r="AG90" s="291" t="str">
        <f t="shared" si="74"/>
        <v>N/A</v>
      </c>
    </row>
    <row r="91" spans="3:33" ht="14.25" hidden="1" customHeight="1" outlineLevel="1">
      <c r="C91" s="9"/>
      <c r="D91" s="9"/>
      <c r="E91" s="9"/>
      <c r="F91" s="377"/>
      <c r="G91" s="377"/>
      <c r="H91" s="377"/>
      <c r="I91" s="377"/>
      <c r="J91" s="132"/>
      <c r="K91" s="377"/>
      <c r="L91" s="377"/>
      <c r="M91" s="377"/>
      <c r="N91" s="377"/>
      <c r="O91" s="132"/>
      <c r="P91" s="377"/>
      <c r="Q91" s="377"/>
      <c r="R91" s="377"/>
      <c r="S91" s="377"/>
      <c r="T91" s="132"/>
      <c r="U91" s="377"/>
      <c r="V91" s="378"/>
      <c r="W91" s="378"/>
      <c r="X91" s="378"/>
      <c r="Y91" s="132"/>
      <c r="Z91" s="378"/>
      <c r="AA91" s="378"/>
      <c r="AB91" s="378"/>
      <c r="AC91" s="378"/>
      <c r="AD91" s="132"/>
      <c r="AE91" s="382"/>
      <c r="AF91" s="382"/>
      <c r="AG91" s="382"/>
    </row>
    <row r="92" spans="3:33" ht="14.25" hidden="1" customHeight="1" outlineLevel="1">
      <c r="C92" s="9" t="str">
        <f>'Segment Analysis'!C9</f>
        <v>Incentive Fees</v>
      </c>
      <c r="D92" s="9"/>
      <c r="E92" s="9"/>
      <c r="F92" s="232"/>
      <c r="G92" s="232"/>
      <c r="H92" s="232"/>
      <c r="I92" s="232"/>
      <c r="J92" s="132"/>
      <c r="K92" s="232"/>
      <c r="L92" s="232"/>
      <c r="M92" s="232"/>
      <c r="N92" s="232"/>
      <c r="O92" s="132"/>
      <c r="P92" s="232"/>
      <c r="Q92" s="232"/>
      <c r="R92" s="232"/>
      <c r="S92" s="232"/>
      <c r="T92" s="132"/>
      <c r="U92" s="232"/>
      <c r="V92" s="235"/>
      <c r="W92" s="235"/>
      <c r="X92" s="235"/>
      <c r="Y92" s="132"/>
      <c r="Z92" s="235"/>
      <c r="AA92" s="235"/>
      <c r="AB92" s="235"/>
      <c r="AC92" s="235"/>
      <c r="AD92" s="132"/>
      <c r="AE92" s="132"/>
      <c r="AF92" s="132"/>
      <c r="AG92" s="132"/>
    </row>
    <row r="93" spans="3:33" ht="14.25" hidden="1" customHeight="1" outlineLevel="1">
      <c r="C93" s="103" t="str">
        <f>C$79</f>
        <v>North America</v>
      </c>
      <c r="D93" s="9"/>
      <c r="E93" s="9"/>
      <c r="F93" s="372">
        <v>0</v>
      </c>
      <c r="G93" s="372">
        <v>0</v>
      </c>
      <c r="H93" s="372">
        <v>0</v>
      </c>
      <c r="I93" s="372">
        <v>0</v>
      </c>
      <c r="J93" s="373">
        <f>SUM(F93:I93)</f>
        <v>0</v>
      </c>
      <c r="K93" s="372">
        <v>0</v>
      </c>
      <c r="L93" s="372">
        <v>0</v>
      </c>
      <c r="M93" s="372">
        <v>0</v>
      </c>
      <c r="N93" s="372">
        <v>0</v>
      </c>
      <c r="O93" s="373">
        <f>SUM(K93:N93)</f>
        <v>0</v>
      </c>
      <c r="P93" s="372">
        <v>0</v>
      </c>
      <c r="Q93" s="372">
        <v>0</v>
      </c>
      <c r="R93" s="372">
        <v>0</v>
      </c>
      <c r="S93" s="372">
        <v>0</v>
      </c>
      <c r="T93" s="373">
        <f>SUM(P93:S93)</f>
        <v>0</v>
      </c>
      <c r="U93" s="372">
        <v>0</v>
      </c>
      <c r="V93" s="380">
        <v>0</v>
      </c>
      <c r="W93" s="380">
        <v>0</v>
      </c>
      <c r="X93" s="380">
        <v>0</v>
      </c>
      <c r="Y93" s="373">
        <f>SUM(U93:X93)</f>
        <v>0</v>
      </c>
      <c r="Z93" s="380">
        <v>0</v>
      </c>
      <c r="AA93" s="380">
        <v>0</v>
      </c>
      <c r="AB93" s="380">
        <v>0</v>
      </c>
      <c r="AC93" s="380">
        <v>0</v>
      </c>
      <c r="AD93" s="373">
        <f>SUM(Z93:AC93)</f>
        <v>0</v>
      </c>
      <c r="AE93" s="381">
        <v>0</v>
      </c>
      <c r="AF93" s="381">
        <v>0</v>
      </c>
      <c r="AG93" s="381">
        <v>0</v>
      </c>
    </row>
    <row r="94" spans="3:33" ht="14.25" hidden="1" customHeight="1" outlineLevel="1">
      <c r="C94" s="103" t="str">
        <f>C$80</f>
        <v>Europe</v>
      </c>
      <c r="D94" s="9"/>
      <c r="E94" s="9"/>
      <c r="F94" s="372">
        <v>0</v>
      </c>
      <c r="G94" s="372">
        <v>0</v>
      </c>
      <c r="H94" s="372">
        <v>0</v>
      </c>
      <c r="I94" s="372">
        <v>0</v>
      </c>
      <c r="J94" s="373">
        <f>SUM(F94:I94)</f>
        <v>0</v>
      </c>
      <c r="K94" s="372">
        <v>0</v>
      </c>
      <c r="L94" s="372">
        <v>0</v>
      </c>
      <c r="M94" s="372">
        <v>0</v>
      </c>
      <c r="N94" s="372">
        <v>0</v>
      </c>
      <c r="O94" s="373">
        <f>SUM(K94:N94)</f>
        <v>0</v>
      </c>
      <c r="P94" s="372">
        <v>0</v>
      </c>
      <c r="Q94" s="372">
        <v>0</v>
      </c>
      <c r="R94" s="372">
        <v>0</v>
      </c>
      <c r="S94" s="372">
        <v>0</v>
      </c>
      <c r="T94" s="373">
        <f>SUM(P94:S94)</f>
        <v>0</v>
      </c>
      <c r="U94" s="372">
        <v>0</v>
      </c>
      <c r="V94" s="380">
        <v>0</v>
      </c>
      <c r="W94" s="380">
        <v>0</v>
      </c>
      <c r="X94" s="380">
        <v>0</v>
      </c>
      <c r="Y94" s="373">
        <f>SUM(U94:X94)</f>
        <v>0</v>
      </c>
      <c r="Z94" s="380">
        <v>0</v>
      </c>
      <c r="AA94" s="380">
        <v>0</v>
      </c>
      <c r="AB94" s="380">
        <v>0</v>
      </c>
      <c r="AC94" s="380">
        <v>0</v>
      </c>
      <c r="AD94" s="373">
        <f>SUM(Z94:AC94)</f>
        <v>0</v>
      </c>
      <c r="AE94" s="381">
        <v>0</v>
      </c>
      <c r="AF94" s="381">
        <v>0</v>
      </c>
      <c r="AG94" s="381">
        <v>0</v>
      </c>
    </row>
    <row r="95" spans="3:33" ht="14.25" hidden="1" customHeight="1" outlineLevel="1">
      <c r="C95" s="103" t="str">
        <f>C$81</f>
        <v>South America</v>
      </c>
      <c r="D95" s="9"/>
      <c r="E95" s="9"/>
      <c r="F95" s="372">
        <v>0</v>
      </c>
      <c r="G95" s="372">
        <v>0</v>
      </c>
      <c r="H95" s="372">
        <v>0</v>
      </c>
      <c r="I95" s="372">
        <v>0</v>
      </c>
      <c r="J95" s="373">
        <f>SUM(F95:I95)</f>
        <v>0</v>
      </c>
      <c r="K95" s="372">
        <v>0</v>
      </c>
      <c r="L95" s="372">
        <v>0</v>
      </c>
      <c r="M95" s="372">
        <v>0</v>
      </c>
      <c r="N95" s="372">
        <v>0</v>
      </c>
      <c r="O95" s="373">
        <f>SUM(K95:N95)</f>
        <v>0</v>
      </c>
      <c r="P95" s="372">
        <v>0</v>
      </c>
      <c r="Q95" s="372">
        <v>0</v>
      </c>
      <c r="R95" s="372">
        <v>0</v>
      </c>
      <c r="S95" s="372">
        <v>0</v>
      </c>
      <c r="T95" s="373">
        <f>SUM(P95:S95)</f>
        <v>0</v>
      </c>
      <c r="U95" s="372">
        <v>0</v>
      </c>
      <c r="V95" s="380">
        <v>0</v>
      </c>
      <c r="W95" s="380">
        <v>0</v>
      </c>
      <c r="X95" s="380">
        <v>0</v>
      </c>
      <c r="Y95" s="373">
        <f>SUM(U95:X95)</f>
        <v>0</v>
      </c>
      <c r="Z95" s="380">
        <v>0</v>
      </c>
      <c r="AA95" s="380">
        <v>0</v>
      </c>
      <c r="AB95" s="380">
        <v>0</v>
      </c>
      <c r="AC95" s="380">
        <v>0</v>
      </c>
      <c r="AD95" s="373">
        <f>SUM(Z95:AC95)</f>
        <v>0</v>
      </c>
      <c r="AE95" s="381">
        <v>0</v>
      </c>
      <c r="AF95" s="381">
        <v>0</v>
      </c>
      <c r="AG95" s="381">
        <v>0</v>
      </c>
    </row>
    <row r="96" spans="3:33" ht="14.25" hidden="1" customHeight="1" outlineLevel="1">
      <c r="C96" s="103" t="str">
        <f>C$82</f>
        <v>Middle East &amp; Africa</v>
      </c>
      <c r="D96" s="9"/>
      <c r="E96" s="9"/>
      <c r="F96" s="372">
        <v>0</v>
      </c>
      <c r="G96" s="372">
        <v>0</v>
      </c>
      <c r="H96" s="372">
        <v>0</v>
      </c>
      <c r="I96" s="372">
        <v>0</v>
      </c>
      <c r="J96" s="373">
        <f>SUM(F96:I96)</f>
        <v>0</v>
      </c>
      <c r="K96" s="372">
        <v>0</v>
      </c>
      <c r="L96" s="372">
        <v>0</v>
      </c>
      <c r="M96" s="372">
        <v>0</v>
      </c>
      <c r="N96" s="372">
        <v>0</v>
      </c>
      <c r="O96" s="373">
        <f>SUM(K96:N96)</f>
        <v>0</v>
      </c>
      <c r="P96" s="372">
        <v>0</v>
      </c>
      <c r="Q96" s="372">
        <v>0</v>
      </c>
      <c r="R96" s="372">
        <v>0</v>
      </c>
      <c r="S96" s="372">
        <v>0</v>
      </c>
      <c r="T96" s="373">
        <f>SUM(P96:S96)</f>
        <v>0</v>
      </c>
      <c r="U96" s="372">
        <v>0</v>
      </c>
      <c r="V96" s="380">
        <v>0</v>
      </c>
      <c r="W96" s="380">
        <v>0</v>
      </c>
      <c r="X96" s="380">
        <v>0</v>
      </c>
      <c r="Y96" s="373">
        <f>SUM(U96:X96)</f>
        <v>0</v>
      </c>
      <c r="Z96" s="380">
        <v>0</v>
      </c>
      <c r="AA96" s="380">
        <v>0</v>
      </c>
      <c r="AB96" s="380">
        <v>0</v>
      </c>
      <c r="AC96" s="380">
        <v>0</v>
      </c>
      <c r="AD96" s="373">
        <f>SUM(Z96:AC96)</f>
        <v>0</v>
      </c>
      <c r="AE96" s="381">
        <v>0</v>
      </c>
      <c r="AF96" s="381">
        <v>0</v>
      </c>
      <c r="AG96" s="381">
        <v>0</v>
      </c>
    </row>
    <row r="97" spans="3:33" ht="14.25" hidden="1" customHeight="1" outlineLevel="1">
      <c r="C97" s="103" t="str">
        <f>C$83</f>
        <v>Asia Pacific</v>
      </c>
      <c r="D97" s="9"/>
      <c r="E97" s="9"/>
      <c r="F97" s="372">
        <v>0</v>
      </c>
      <c r="G97" s="372">
        <v>0</v>
      </c>
      <c r="H97" s="372">
        <v>0</v>
      </c>
      <c r="I97" s="372">
        <v>0</v>
      </c>
      <c r="J97" s="373">
        <f>SUM(F97:I97)</f>
        <v>0</v>
      </c>
      <c r="K97" s="372">
        <v>0</v>
      </c>
      <c r="L97" s="372">
        <v>0</v>
      </c>
      <c r="M97" s="372">
        <v>0</v>
      </c>
      <c r="N97" s="372">
        <v>0</v>
      </c>
      <c r="O97" s="373">
        <f>SUM(K97:N97)</f>
        <v>0</v>
      </c>
      <c r="P97" s="372">
        <v>0</v>
      </c>
      <c r="Q97" s="372">
        <v>0</v>
      </c>
      <c r="R97" s="372">
        <v>0</v>
      </c>
      <c r="S97" s="372">
        <v>0</v>
      </c>
      <c r="T97" s="373">
        <f>SUM(P97:S97)</f>
        <v>0</v>
      </c>
      <c r="U97" s="372">
        <v>0</v>
      </c>
      <c r="V97" s="380">
        <v>0</v>
      </c>
      <c r="W97" s="380">
        <v>0</v>
      </c>
      <c r="X97" s="380">
        <v>0</v>
      </c>
      <c r="Y97" s="373">
        <f>SUM(U97:X97)</f>
        <v>0</v>
      </c>
      <c r="Z97" s="380">
        <v>0</v>
      </c>
      <c r="AA97" s="380">
        <v>0</v>
      </c>
      <c r="AB97" s="380">
        <v>0</v>
      </c>
      <c r="AC97" s="380">
        <v>0</v>
      </c>
      <c r="AD97" s="373">
        <f>SUM(Z97:AC97)</f>
        <v>0</v>
      </c>
      <c r="AE97" s="381">
        <v>0</v>
      </c>
      <c r="AF97" s="381">
        <v>0</v>
      </c>
      <c r="AG97" s="381">
        <v>0</v>
      </c>
    </row>
    <row r="98" spans="3:33" ht="14.25" hidden="1" customHeight="1" outlineLevel="1">
      <c r="C98" s="9"/>
      <c r="D98" s="9"/>
      <c r="E98" s="9"/>
      <c r="F98" s="406"/>
      <c r="G98" s="406"/>
      <c r="H98" s="406"/>
      <c r="I98" s="406"/>
      <c r="J98" s="132"/>
      <c r="K98" s="406"/>
      <c r="L98" s="406"/>
      <c r="M98" s="406"/>
      <c r="N98" s="406"/>
      <c r="O98" s="132"/>
      <c r="P98" s="406"/>
      <c r="Q98" s="406"/>
      <c r="R98" s="406"/>
      <c r="S98" s="406"/>
      <c r="T98" s="132"/>
      <c r="U98" s="406"/>
      <c r="V98" s="407"/>
      <c r="W98" s="407"/>
      <c r="X98" s="407"/>
      <c r="Y98" s="132"/>
      <c r="Z98" s="407"/>
      <c r="AA98" s="407"/>
      <c r="AB98" s="407"/>
      <c r="AC98" s="407"/>
      <c r="AD98" s="132"/>
      <c r="AE98" s="408"/>
      <c r="AF98" s="408"/>
      <c r="AG98" s="408"/>
    </row>
    <row r="99" spans="3:33" ht="14.25" hidden="1" customHeight="1" outlineLevel="1">
      <c r="C99" s="9" t="str">
        <f>'Segment Analysis'!C8</f>
        <v>Management &amp; Advisory Fees</v>
      </c>
      <c r="D99" s="9"/>
      <c r="E99" s="9"/>
      <c r="F99" s="406"/>
      <c r="G99" s="406"/>
      <c r="H99" s="406"/>
      <c r="I99" s="406"/>
      <c r="J99" s="132"/>
      <c r="K99" s="406"/>
      <c r="L99" s="406"/>
      <c r="M99" s="406"/>
      <c r="N99" s="406"/>
      <c r="O99" s="132"/>
      <c r="P99" s="406"/>
      <c r="Q99" s="406"/>
      <c r="R99" s="406"/>
      <c r="S99" s="406"/>
      <c r="T99" s="132"/>
      <c r="U99" s="406"/>
      <c r="V99" s="407"/>
      <c r="W99" s="407"/>
      <c r="X99" s="407"/>
      <c r="Y99" s="132"/>
      <c r="Z99" s="407"/>
      <c r="AA99" s="407"/>
      <c r="AB99" s="407"/>
      <c r="AC99" s="407"/>
      <c r="AD99" s="132"/>
      <c r="AE99" s="408"/>
      <c r="AF99" s="408"/>
      <c r="AG99" s="408"/>
    </row>
    <row r="100" spans="3:33" ht="14.25" hidden="1" customHeight="1" outlineLevel="1">
      <c r="C100" s="103" t="str">
        <f>C$79</f>
        <v>North America</v>
      </c>
      <c r="D100" s="9"/>
      <c r="E100" s="9"/>
      <c r="F100" s="372">
        <v>0</v>
      </c>
      <c r="G100" s="372">
        <v>0</v>
      </c>
      <c r="H100" s="372">
        <v>0</v>
      </c>
      <c r="I100" s="372">
        <v>0</v>
      </c>
      <c r="J100" s="373">
        <f>SUM(F100:I100)</f>
        <v>0</v>
      </c>
      <c r="K100" s="372">
        <v>0</v>
      </c>
      <c r="L100" s="372">
        <v>0</v>
      </c>
      <c r="M100" s="372">
        <v>0</v>
      </c>
      <c r="N100" s="372">
        <v>0</v>
      </c>
      <c r="O100" s="373">
        <f>SUM(K100:N100)</f>
        <v>0</v>
      </c>
      <c r="P100" s="372">
        <v>0</v>
      </c>
      <c r="Q100" s="372">
        <v>0</v>
      </c>
      <c r="R100" s="372">
        <v>0</v>
      </c>
      <c r="S100" s="372">
        <v>0</v>
      </c>
      <c r="T100" s="373">
        <f>SUM(P100:S100)</f>
        <v>0</v>
      </c>
      <c r="U100" s="372">
        <v>0</v>
      </c>
      <c r="V100" s="380">
        <v>0</v>
      </c>
      <c r="W100" s="380">
        <v>0</v>
      </c>
      <c r="X100" s="380">
        <v>0</v>
      </c>
      <c r="Y100" s="373">
        <f>SUM(U100:X100)</f>
        <v>0</v>
      </c>
      <c r="Z100" s="380">
        <v>0</v>
      </c>
      <c r="AA100" s="380">
        <v>0</v>
      </c>
      <c r="AB100" s="380">
        <v>0</v>
      </c>
      <c r="AC100" s="380">
        <v>0</v>
      </c>
      <c r="AD100" s="373">
        <f>SUM(Z100:AC100)</f>
        <v>0</v>
      </c>
      <c r="AE100" s="381">
        <v>0</v>
      </c>
      <c r="AF100" s="381">
        <v>0</v>
      </c>
      <c r="AG100" s="381">
        <v>0</v>
      </c>
    </row>
    <row r="101" spans="3:33" ht="14.25" hidden="1" customHeight="1" outlineLevel="1">
      <c r="C101" s="103" t="str">
        <f>C$80</f>
        <v>Europe</v>
      </c>
      <c r="D101" s="9"/>
      <c r="E101" s="9"/>
      <c r="F101" s="372">
        <v>0</v>
      </c>
      <c r="G101" s="372">
        <v>0</v>
      </c>
      <c r="H101" s="372">
        <v>0</v>
      </c>
      <c r="I101" s="372">
        <v>0</v>
      </c>
      <c r="J101" s="373">
        <f>SUM(F101:I101)</f>
        <v>0</v>
      </c>
      <c r="K101" s="372">
        <v>0</v>
      </c>
      <c r="L101" s="372">
        <v>0</v>
      </c>
      <c r="M101" s="372">
        <v>0</v>
      </c>
      <c r="N101" s="372">
        <v>0</v>
      </c>
      <c r="O101" s="373">
        <f>SUM(K101:N101)</f>
        <v>0</v>
      </c>
      <c r="P101" s="372">
        <v>0</v>
      </c>
      <c r="Q101" s="372">
        <v>0</v>
      </c>
      <c r="R101" s="372">
        <v>0</v>
      </c>
      <c r="S101" s="372">
        <v>0</v>
      </c>
      <c r="T101" s="373">
        <f>SUM(P101:S101)</f>
        <v>0</v>
      </c>
      <c r="U101" s="372">
        <v>0</v>
      </c>
      <c r="V101" s="380">
        <v>0</v>
      </c>
      <c r="W101" s="380">
        <v>0</v>
      </c>
      <c r="X101" s="380">
        <v>0</v>
      </c>
      <c r="Y101" s="373">
        <f>SUM(U101:X101)</f>
        <v>0</v>
      </c>
      <c r="Z101" s="380">
        <v>0</v>
      </c>
      <c r="AA101" s="380">
        <v>0</v>
      </c>
      <c r="AB101" s="380">
        <v>0</v>
      </c>
      <c r="AC101" s="380">
        <v>0</v>
      </c>
      <c r="AD101" s="373">
        <f>SUM(Z101:AC101)</f>
        <v>0</v>
      </c>
      <c r="AE101" s="381">
        <v>0</v>
      </c>
      <c r="AF101" s="381">
        <v>0</v>
      </c>
      <c r="AG101" s="381">
        <v>0</v>
      </c>
    </row>
    <row r="102" spans="3:33" ht="14.25" hidden="1" customHeight="1" outlineLevel="1">
      <c r="C102" s="103" t="str">
        <f>C$81</f>
        <v>South America</v>
      </c>
      <c r="D102" s="9"/>
      <c r="E102" s="9"/>
      <c r="F102" s="372">
        <v>0</v>
      </c>
      <c r="G102" s="372">
        <v>0</v>
      </c>
      <c r="H102" s="372">
        <v>0</v>
      </c>
      <c r="I102" s="372">
        <v>0</v>
      </c>
      <c r="J102" s="373">
        <f>SUM(F102:I102)</f>
        <v>0</v>
      </c>
      <c r="K102" s="372">
        <v>0</v>
      </c>
      <c r="L102" s="372">
        <v>0</v>
      </c>
      <c r="M102" s="372">
        <v>0</v>
      </c>
      <c r="N102" s="372">
        <v>0</v>
      </c>
      <c r="O102" s="373">
        <f>SUM(K102:N102)</f>
        <v>0</v>
      </c>
      <c r="P102" s="372">
        <v>0</v>
      </c>
      <c r="Q102" s="372">
        <v>0</v>
      </c>
      <c r="R102" s="372">
        <v>0</v>
      </c>
      <c r="S102" s="372">
        <v>0</v>
      </c>
      <c r="T102" s="373">
        <f>SUM(P102:S102)</f>
        <v>0</v>
      </c>
      <c r="U102" s="372">
        <v>0</v>
      </c>
      <c r="V102" s="380">
        <v>0</v>
      </c>
      <c r="W102" s="380">
        <v>0</v>
      </c>
      <c r="X102" s="380">
        <v>0</v>
      </c>
      <c r="Y102" s="373">
        <f>SUM(U102:X102)</f>
        <v>0</v>
      </c>
      <c r="Z102" s="380">
        <v>0</v>
      </c>
      <c r="AA102" s="380">
        <v>0</v>
      </c>
      <c r="AB102" s="380">
        <v>0</v>
      </c>
      <c r="AC102" s="380">
        <v>0</v>
      </c>
      <c r="AD102" s="373">
        <f>SUM(Z102:AC102)</f>
        <v>0</v>
      </c>
      <c r="AE102" s="381">
        <v>0</v>
      </c>
      <c r="AF102" s="381">
        <v>0</v>
      </c>
      <c r="AG102" s="381">
        <v>0</v>
      </c>
    </row>
    <row r="103" spans="3:33" ht="14.25" hidden="1" customHeight="1" outlineLevel="1">
      <c r="C103" s="103" t="str">
        <f>C$82</f>
        <v>Middle East &amp; Africa</v>
      </c>
      <c r="D103" s="9"/>
      <c r="E103" s="9"/>
      <c r="F103" s="372">
        <v>0</v>
      </c>
      <c r="G103" s="372">
        <v>0</v>
      </c>
      <c r="H103" s="372">
        <v>0</v>
      </c>
      <c r="I103" s="372">
        <v>0</v>
      </c>
      <c r="J103" s="373">
        <f>SUM(F103:I103)</f>
        <v>0</v>
      </c>
      <c r="K103" s="372">
        <v>0</v>
      </c>
      <c r="L103" s="372">
        <v>0</v>
      </c>
      <c r="M103" s="372">
        <v>0</v>
      </c>
      <c r="N103" s="372">
        <v>0</v>
      </c>
      <c r="O103" s="373">
        <f>SUM(K103:N103)</f>
        <v>0</v>
      </c>
      <c r="P103" s="372">
        <v>0</v>
      </c>
      <c r="Q103" s="372">
        <v>0</v>
      </c>
      <c r="R103" s="372">
        <v>0</v>
      </c>
      <c r="S103" s="372">
        <v>0</v>
      </c>
      <c r="T103" s="373">
        <f>SUM(P103:S103)</f>
        <v>0</v>
      </c>
      <c r="U103" s="372">
        <v>0</v>
      </c>
      <c r="V103" s="380">
        <v>0</v>
      </c>
      <c r="W103" s="380">
        <v>0</v>
      </c>
      <c r="X103" s="380">
        <v>0</v>
      </c>
      <c r="Y103" s="373">
        <f>SUM(U103:X103)</f>
        <v>0</v>
      </c>
      <c r="Z103" s="380">
        <v>0</v>
      </c>
      <c r="AA103" s="380">
        <v>0</v>
      </c>
      <c r="AB103" s="380">
        <v>0</v>
      </c>
      <c r="AC103" s="380">
        <v>0</v>
      </c>
      <c r="AD103" s="373">
        <f>SUM(Z103:AC103)</f>
        <v>0</v>
      </c>
      <c r="AE103" s="381">
        <v>0</v>
      </c>
      <c r="AF103" s="381">
        <v>0</v>
      </c>
      <c r="AG103" s="381">
        <v>0</v>
      </c>
    </row>
    <row r="104" spans="3:33" ht="14.25" hidden="1" customHeight="1" outlineLevel="1">
      <c r="C104" s="103" t="str">
        <f>C$83</f>
        <v>Asia Pacific</v>
      </c>
      <c r="D104" s="9"/>
      <c r="E104" s="9"/>
      <c r="F104" s="372">
        <v>0</v>
      </c>
      <c r="G104" s="372">
        <v>0</v>
      </c>
      <c r="H104" s="372">
        <v>0</v>
      </c>
      <c r="I104" s="372">
        <v>0</v>
      </c>
      <c r="J104" s="373">
        <f>SUM(F104:I104)</f>
        <v>0</v>
      </c>
      <c r="K104" s="372">
        <v>0</v>
      </c>
      <c r="L104" s="372">
        <v>0</v>
      </c>
      <c r="M104" s="372">
        <v>0</v>
      </c>
      <c r="N104" s="372">
        <v>0</v>
      </c>
      <c r="O104" s="373">
        <f>SUM(K104:N104)</f>
        <v>0</v>
      </c>
      <c r="P104" s="372">
        <v>0</v>
      </c>
      <c r="Q104" s="372">
        <v>0</v>
      </c>
      <c r="R104" s="372">
        <v>0</v>
      </c>
      <c r="S104" s="372">
        <v>0</v>
      </c>
      <c r="T104" s="373">
        <f>SUM(P104:S104)</f>
        <v>0</v>
      </c>
      <c r="U104" s="372">
        <v>0</v>
      </c>
      <c r="V104" s="380">
        <v>0</v>
      </c>
      <c r="W104" s="380">
        <v>0</v>
      </c>
      <c r="X104" s="380">
        <v>0</v>
      </c>
      <c r="Y104" s="373">
        <f>SUM(U104:X104)</f>
        <v>0</v>
      </c>
      <c r="Z104" s="380">
        <v>0</v>
      </c>
      <c r="AA104" s="380">
        <v>0</v>
      </c>
      <c r="AB104" s="380">
        <v>0</v>
      </c>
      <c r="AC104" s="380">
        <v>0</v>
      </c>
      <c r="AD104" s="373">
        <f>SUM(Z104:AC104)</f>
        <v>0</v>
      </c>
      <c r="AE104" s="381">
        <v>0</v>
      </c>
      <c r="AF104" s="381">
        <v>0</v>
      </c>
      <c r="AG104" s="381">
        <v>0</v>
      </c>
    </row>
    <row r="105" spans="3:33" ht="14.25" hidden="1" customHeight="1" outlineLevel="1">
      <c r="C105" s="103"/>
      <c r="D105" s="9"/>
      <c r="E105" s="9"/>
      <c r="F105" s="406"/>
      <c r="G105" s="406"/>
      <c r="H105" s="406"/>
      <c r="I105" s="406"/>
      <c r="J105" s="132"/>
      <c r="K105" s="406"/>
      <c r="L105" s="406"/>
      <c r="M105" s="406"/>
      <c r="N105" s="406"/>
      <c r="O105" s="132"/>
      <c r="P105" s="406"/>
      <c r="Q105" s="406"/>
      <c r="R105" s="406"/>
      <c r="S105" s="406"/>
      <c r="T105" s="132"/>
      <c r="U105" s="406"/>
      <c r="V105" s="407"/>
      <c r="W105" s="407"/>
      <c r="X105" s="407"/>
      <c r="Y105" s="132"/>
      <c r="Z105" s="407"/>
      <c r="AA105" s="407"/>
      <c r="AB105" s="407"/>
      <c r="AC105" s="407"/>
      <c r="AD105" s="132"/>
      <c r="AE105" s="408"/>
      <c r="AF105" s="408"/>
      <c r="AG105" s="408"/>
    </row>
    <row r="106" spans="3:33" ht="14.25" hidden="1" customHeight="1" outlineLevel="1">
      <c r="C106" s="9" t="str">
        <f>'Segment Analysis'!C10</f>
        <v>Segment 3 Revenue</v>
      </c>
      <c r="D106" s="9"/>
      <c r="E106" s="9"/>
      <c r="F106" s="406"/>
      <c r="G106" s="406"/>
      <c r="H106" s="406"/>
      <c r="I106" s="406"/>
      <c r="J106" s="132"/>
      <c r="K106" s="406"/>
      <c r="L106" s="406"/>
      <c r="M106" s="406"/>
      <c r="N106" s="406"/>
      <c r="O106" s="132"/>
      <c r="P106" s="406"/>
      <c r="Q106" s="406"/>
      <c r="R106" s="406"/>
      <c r="S106" s="406"/>
      <c r="T106" s="132"/>
      <c r="U106" s="406"/>
      <c r="V106" s="407"/>
      <c r="W106" s="407"/>
      <c r="X106" s="407"/>
      <c r="Y106" s="132"/>
      <c r="Z106" s="407"/>
      <c r="AA106" s="407"/>
      <c r="AB106" s="407"/>
      <c r="AC106" s="407"/>
      <c r="AD106" s="132"/>
      <c r="AE106" s="408"/>
      <c r="AF106" s="408"/>
      <c r="AG106" s="408"/>
    </row>
    <row r="107" spans="3:33" ht="14.25" hidden="1" customHeight="1" outlineLevel="1">
      <c r="C107" s="103" t="str">
        <f>C$79</f>
        <v>North America</v>
      </c>
      <c r="D107" s="9"/>
      <c r="E107" s="9"/>
      <c r="F107" s="372">
        <v>0</v>
      </c>
      <c r="G107" s="372">
        <v>0</v>
      </c>
      <c r="H107" s="372">
        <v>0</v>
      </c>
      <c r="I107" s="372">
        <v>0</v>
      </c>
      <c r="J107" s="373">
        <f>SUM(F107:I107)</f>
        <v>0</v>
      </c>
      <c r="K107" s="372">
        <v>0</v>
      </c>
      <c r="L107" s="372">
        <v>0</v>
      </c>
      <c r="M107" s="372">
        <v>0</v>
      </c>
      <c r="N107" s="372">
        <v>0</v>
      </c>
      <c r="O107" s="373">
        <f>SUM(K107:N107)</f>
        <v>0</v>
      </c>
      <c r="P107" s="372">
        <v>0</v>
      </c>
      <c r="Q107" s="372">
        <v>0</v>
      </c>
      <c r="R107" s="372">
        <v>0</v>
      </c>
      <c r="S107" s="372">
        <v>0</v>
      </c>
      <c r="T107" s="373">
        <f>SUM(P107:S107)</f>
        <v>0</v>
      </c>
      <c r="U107" s="372">
        <v>0</v>
      </c>
      <c r="V107" s="380">
        <v>0</v>
      </c>
      <c r="W107" s="380">
        <v>0</v>
      </c>
      <c r="X107" s="380">
        <v>0</v>
      </c>
      <c r="Y107" s="373">
        <f>SUM(U107:X107)</f>
        <v>0</v>
      </c>
      <c r="Z107" s="380">
        <v>0</v>
      </c>
      <c r="AA107" s="380">
        <v>0</v>
      </c>
      <c r="AB107" s="380">
        <v>0</v>
      </c>
      <c r="AC107" s="380">
        <v>0</v>
      </c>
      <c r="AD107" s="373">
        <f>SUM(Z107:AC107)</f>
        <v>0</v>
      </c>
      <c r="AE107" s="381">
        <v>0</v>
      </c>
      <c r="AF107" s="381">
        <v>0</v>
      </c>
      <c r="AG107" s="381">
        <v>0</v>
      </c>
    </row>
    <row r="108" spans="3:33" ht="14.25" hidden="1" customHeight="1" outlineLevel="1">
      <c r="C108" s="103" t="str">
        <f>C$80</f>
        <v>Europe</v>
      </c>
      <c r="D108" s="9"/>
      <c r="E108" s="9"/>
      <c r="F108" s="372">
        <v>0</v>
      </c>
      <c r="G108" s="372">
        <v>0</v>
      </c>
      <c r="H108" s="372">
        <v>0</v>
      </c>
      <c r="I108" s="372">
        <v>0</v>
      </c>
      <c r="J108" s="373">
        <f>SUM(F108:I108)</f>
        <v>0</v>
      </c>
      <c r="K108" s="372">
        <v>0</v>
      </c>
      <c r="L108" s="372">
        <v>0</v>
      </c>
      <c r="M108" s="372">
        <v>0</v>
      </c>
      <c r="N108" s="372">
        <v>0</v>
      </c>
      <c r="O108" s="373">
        <f>SUM(K108:N108)</f>
        <v>0</v>
      </c>
      <c r="P108" s="372">
        <v>0</v>
      </c>
      <c r="Q108" s="372">
        <v>0</v>
      </c>
      <c r="R108" s="372">
        <v>0</v>
      </c>
      <c r="S108" s="372">
        <v>0</v>
      </c>
      <c r="T108" s="373">
        <f>SUM(P108:S108)</f>
        <v>0</v>
      </c>
      <c r="U108" s="372">
        <v>0</v>
      </c>
      <c r="V108" s="380">
        <v>0</v>
      </c>
      <c r="W108" s="380">
        <v>0</v>
      </c>
      <c r="X108" s="380">
        <v>0</v>
      </c>
      <c r="Y108" s="373">
        <f>SUM(U108:X108)</f>
        <v>0</v>
      </c>
      <c r="Z108" s="380">
        <v>0</v>
      </c>
      <c r="AA108" s="380">
        <v>0</v>
      </c>
      <c r="AB108" s="380">
        <v>0</v>
      </c>
      <c r="AC108" s="380">
        <v>0</v>
      </c>
      <c r="AD108" s="373">
        <f>SUM(Z108:AC108)</f>
        <v>0</v>
      </c>
      <c r="AE108" s="381">
        <v>0</v>
      </c>
      <c r="AF108" s="381">
        <v>0</v>
      </c>
      <c r="AG108" s="381">
        <v>0</v>
      </c>
    </row>
    <row r="109" spans="3:33" ht="14.25" hidden="1" customHeight="1" outlineLevel="1">
      <c r="C109" s="103" t="str">
        <f>C$81</f>
        <v>South America</v>
      </c>
      <c r="D109" s="9"/>
      <c r="E109" s="9"/>
      <c r="F109" s="372">
        <v>0</v>
      </c>
      <c r="G109" s="372">
        <v>0</v>
      </c>
      <c r="H109" s="372">
        <v>0</v>
      </c>
      <c r="I109" s="372">
        <v>0</v>
      </c>
      <c r="J109" s="373">
        <f>SUM(F109:I109)</f>
        <v>0</v>
      </c>
      <c r="K109" s="372">
        <v>0</v>
      </c>
      <c r="L109" s="372">
        <v>0</v>
      </c>
      <c r="M109" s="372">
        <v>0</v>
      </c>
      <c r="N109" s="372">
        <v>0</v>
      </c>
      <c r="O109" s="373">
        <f>SUM(K109:N109)</f>
        <v>0</v>
      </c>
      <c r="P109" s="372">
        <v>0</v>
      </c>
      <c r="Q109" s="372">
        <v>0</v>
      </c>
      <c r="R109" s="372">
        <v>0</v>
      </c>
      <c r="S109" s="372">
        <v>0</v>
      </c>
      <c r="T109" s="373">
        <f>SUM(P109:S109)</f>
        <v>0</v>
      </c>
      <c r="U109" s="372">
        <v>0</v>
      </c>
      <c r="V109" s="380">
        <v>0</v>
      </c>
      <c r="W109" s="380">
        <v>0</v>
      </c>
      <c r="X109" s="380">
        <v>0</v>
      </c>
      <c r="Y109" s="373">
        <f>SUM(U109:X109)</f>
        <v>0</v>
      </c>
      <c r="Z109" s="380">
        <v>0</v>
      </c>
      <c r="AA109" s="380">
        <v>0</v>
      </c>
      <c r="AB109" s="380">
        <v>0</v>
      </c>
      <c r="AC109" s="380">
        <v>0</v>
      </c>
      <c r="AD109" s="373">
        <f>SUM(Z109:AC109)</f>
        <v>0</v>
      </c>
      <c r="AE109" s="381">
        <v>0</v>
      </c>
      <c r="AF109" s="381">
        <v>0</v>
      </c>
      <c r="AG109" s="381">
        <v>0</v>
      </c>
    </row>
    <row r="110" spans="3:33" ht="14.25" hidden="1" customHeight="1" outlineLevel="1">
      <c r="C110" s="103" t="str">
        <f>C$82</f>
        <v>Middle East &amp; Africa</v>
      </c>
      <c r="D110" s="9"/>
      <c r="E110" s="9"/>
      <c r="F110" s="372">
        <v>0</v>
      </c>
      <c r="G110" s="372">
        <v>0</v>
      </c>
      <c r="H110" s="372">
        <v>0</v>
      </c>
      <c r="I110" s="372">
        <v>0</v>
      </c>
      <c r="J110" s="373">
        <f>SUM(F110:I110)</f>
        <v>0</v>
      </c>
      <c r="K110" s="372">
        <v>0</v>
      </c>
      <c r="L110" s="372">
        <v>0</v>
      </c>
      <c r="M110" s="372">
        <v>0</v>
      </c>
      <c r="N110" s="372">
        <v>0</v>
      </c>
      <c r="O110" s="373">
        <f>SUM(K110:N110)</f>
        <v>0</v>
      </c>
      <c r="P110" s="372">
        <v>0</v>
      </c>
      <c r="Q110" s="372">
        <v>0</v>
      </c>
      <c r="R110" s="372">
        <v>0</v>
      </c>
      <c r="S110" s="372">
        <v>0</v>
      </c>
      <c r="T110" s="373">
        <f>SUM(P110:S110)</f>
        <v>0</v>
      </c>
      <c r="U110" s="372">
        <v>0</v>
      </c>
      <c r="V110" s="380">
        <v>0</v>
      </c>
      <c r="W110" s="380">
        <v>0</v>
      </c>
      <c r="X110" s="380">
        <v>0</v>
      </c>
      <c r="Y110" s="373">
        <f>SUM(U110:X110)</f>
        <v>0</v>
      </c>
      <c r="Z110" s="380">
        <v>0</v>
      </c>
      <c r="AA110" s="380">
        <v>0</v>
      </c>
      <c r="AB110" s="380">
        <v>0</v>
      </c>
      <c r="AC110" s="380">
        <v>0</v>
      </c>
      <c r="AD110" s="373">
        <f>SUM(Z110:AC110)</f>
        <v>0</v>
      </c>
      <c r="AE110" s="381">
        <v>0</v>
      </c>
      <c r="AF110" s="381">
        <v>0</v>
      </c>
      <c r="AG110" s="381">
        <v>0</v>
      </c>
    </row>
    <row r="111" spans="3:33" ht="14.25" hidden="1" customHeight="1" outlineLevel="1">
      <c r="C111" s="103" t="str">
        <f>C$83</f>
        <v>Asia Pacific</v>
      </c>
      <c r="D111" s="9"/>
      <c r="E111" s="9"/>
      <c r="F111" s="372">
        <v>0</v>
      </c>
      <c r="G111" s="372">
        <v>0</v>
      </c>
      <c r="H111" s="372">
        <v>0</v>
      </c>
      <c r="I111" s="372">
        <v>0</v>
      </c>
      <c r="J111" s="373">
        <f>SUM(F111:I111)</f>
        <v>0</v>
      </c>
      <c r="K111" s="372">
        <v>0</v>
      </c>
      <c r="L111" s="372">
        <v>0</v>
      </c>
      <c r="M111" s="372">
        <v>0</v>
      </c>
      <c r="N111" s="372">
        <v>0</v>
      </c>
      <c r="O111" s="373">
        <f>SUM(K111:N111)</f>
        <v>0</v>
      </c>
      <c r="P111" s="372">
        <v>0</v>
      </c>
      <c r="Q111" s="372">
        <v>0</v>
      </c>
      <c r="R111" s="372">
        <v>0</v>
      </c>
      <c r="S111" s="372">
        <v>0</v>
      </c>
      <c r="T111" s="373">
        <f>SUM(P111:S111)</f>
        <v>0</v>
      </c>
      <c r="U111" s="372">
        <v>0</v>
      </c>
      <c r="V111" s="380">
        <v>0</v>
      </c>
      <c r="W111" s="380">
        <v>0</v>
      </c>
      <c r="X111" s="380">
        <v>0</v>
      </c>
      <c r="Y111" s="373">
        <f>SUM(U111:X111)</f>
        <v>0</v>
      </c>
      <c r="Z111" s="380">
        <v>0</v>
      </c>
      <c r="AA111" s="380">
        <v>0</v>
      </c>
      <c r="AB111" s="380">
        <v>0</v>
      </c>
      <c r="AC111" s="380">
        <v>0</v>
      </c>
      <c r="AD111" s="373">
        <f>SUM(Z111:AC111)</f>
        <v>0</v>
      </c>
      <c r="AE111" s="381">
        <v>0</v>
      </c>
      <c r="AF111" s="381">
        <v>0</v>
      </c>
      <c r="AG111" s="381">
        <v>0</v>
      </c>
    </row>
    <row r="112" spans="3:33" ht="14.25" hidden="1" customHeight="1" outlineLevel="1">
      <c r="C112" s="9"/>
      <c r="D112" s="9"/>
      <c r="E112" s="9"/>
      <c r="F112" s="406"/>
      <c r="G112" s="406"/>
      <c r="H112" s="406"/>
      <c r="I112" s="406"/>
      <c r="J112" s="132"/>
      <c r="K112" s="406"/>
      <c r="L112" s="406"/>
      <c r="M112" s="406"/>
      <c r="N112" s="406"/>
      <c r="O112" s="132"/>
      <c r="P112" s="406"/>
      <c r="Q112" s="406"/>
      <c r="R112" s="406"/>
      <c r="S112" s="406"/>
      <c r="T112" s="132"/>
      <c r="U112" s="406"/>
      <c r="V112" s="407"/>
      <c r="W112" s="407"/>
      <c r="X112" s="407"/>
      <c r="Y112" s="132"/>
      <c r="Z112" s="407"/>
      <c r="AA112" s="407"/>
      <c r="AB112" s="407"/>
      <c r="AC112" s="407"/>
      <c r="AD112" s="132"/>
      <c r="AE112" s="408"/>
      <c r="AF112" s="408"/>
      <c r="AG112" s="408"/>
    </row>
    <row r="113" spans="3:33" ht="14.25" hidden="1" customHeight="1" outlineLevel="1">
      <c r="C113" s="9" t="str">
        <f>'Segment Analysis'!C11</f>
        <v>Segment 4 Revenue</v>
      </c>
      <c r="D113" s="9"/>
      <c r="E113" s="9"/>
      <c r="F113" s="406"/>
      <c r="G113" s="406"/>
      <c r="H113" s="406"/>
      <c r="I113" s="406"/>
      <c r="J113" s="132"/>
      <c r="K113" s="406"/>
      <c r="L113" s="406"/>
      <c r="M113" s="406"/>
      <c r="N113" s="406"/>
      <c r="O113" s="132"/>
      <c r="P113" s="406"/>
      <c r="Q113" s="406"/>
      <c r="R113" s="406"/>
      <c r="S113" s="406"/>
      <c r="T113" s="132"/>
      <c r="U113" s="406"/>
      <c r="V113" s="407"/>
      <c r="W113" s="407"/>
      <c r="X113" s="407"/>
      <c r="Y113" s="132"/>
      <c r="Z113" s="407"/>
      <c r="AA113" s="407"/>
      <c r="AB113" s="407"/>
      <c r="AC113" s="407"/>
      <c r="AD113" s="132"/>
      <c r="AE113" s="408"/>
      <c r="AF113" s="408"/>
      <c r="AG113" s="408"/>
    </row>
    <row r="114" spans="3:33" ht="14.25" hidden="1" customHeight="1" outlineLevel="1">
      <c r="C114" s="103" t="str">
        <f>C$79</f>
        <v>North America</v>
      </c>
      <c r="D114" s="9"/>
      <c r="E114" s="9"/>
      <c r="F114" s="372">
        <v>0</v>
      </c>
      <c r="G114" s="372">
        <v>0</v>
      </c>
      <c r="H114" s="372">
        <v>0</v>
      </c>
      <c r="I114" s="372">
        <v>0</v>
      </c>
      <c r="J114" s="373">
        <f>SUM(F114:I114)</f>
        <v>0</v>
      </c>
      <c r="K114" s="372">
        <v>0</v>
      </c>
      <c r="L114" s="372">
        <v>0</v>
      </c>
      <c r="M114" s="372">
        <v>0</v>
      </c>
      <c r="N114" s="372">
        <v>0</v>
      </c>
      <c r="O114" s="373">
        <f>SUM(K114:N114)</f>
        <v>0</v>
      </c>
      <c r="P114" s="372">
        <v>0</v>
      </c>
      <c r="Q114" s="372">
        <v>0</v>
      </c>
      <c r="R114" s="372">
        <v>0</v>
      </c>
      <c r="S114" s="372">
        <v>0</v>
      </c>
      <c r="T114" s="373">
        <f>SUM(P114:S114)</f>
        <v>0</v>
      </c>
      <c r="U114" s="372">
        <v>0</v>
      </c>
      <c r="V114" s="380">
        <v>0</v>
      </c>
      <c r="W114" s="380">
        <v>0</v>
      </c>
      <c r="X114" s="380">
        <v>0</v>
      </c>
      <c r="Y114" s="373">
        <f>SUM(U114:X114)</f>
        <v>0</v>
      </c>
      <c r="Z114" s="380">
        <v>0</v>
      </c>
      <c r="AA114" s="380">
        <v>0</v>
      </c>
      <c r="AB114" s="380">
        <v>0</v>
      </c>
      <c r="AC114" s="380">
        <v>0</v>
      </c>
      <c r="AD114" s="373">
        <f>SUM(Z114:AC114)</f>
        <v>0</v>
      </c>
      <c r="AE114" s="381">
        <v>0</v>
      </c>
      <c r="AF114" s="381">
        <v>0</v>
      </c>
      <c r="AG114" s="381">
        <v>0</v>
      </c>
    </row>
    <row r="115" spans="3:33" ht="14.25" hidden="1" customHeight="1" outlineLevel="1">
      <c r="C115" s="103" t="str">
        <f>C$80</f>
        <v>Europe</v>
      </c>
      <c r="D115" s="9"/>
      <c r="E115" s="9"/>
      <c r="F115" s="372">
        <v>0</v>
      </c>
      <c r="G115" s="372">
        <v>0</v>
      </c>
      <c r="H115" s="372">
        <v>0</v>
      </c>
      <c r="I115" s="372">
        <v>0</v>
      </c>
      <c r="J115" s="373">
        <f>SUM(F115:I115)</f>
        <v>0</v>
      </c>
      <c r="K115" s="372">
        <v>0</v>
      </c>
      <c r="L115" s="372">
        <v>0</v>
      </c>
      <c r="M115" s="372">
        <v>0</v>
      </c>
      <c r="N115" s="372">
        <v>0</v>
      </c>
      <c r="O115" s="373">
        <f>SUM(K115:N115)</f>
        <v>0</v>
      </c>
      <c r="P115" s="372">
        <v>0</v>
      </c>
      <c r="Q115" s="372">
        <v>0</v>
      </c>
      <c r="R115" s="372">
        <v>0</v>
      </c>
      <c r="S115" s="372">
        <v>0</v>
      </c>
      <c r="T115" s="373">
        <f>SUM(P115:S115)</f>
        <v>0</v>
      </c>
      <c r="U115" s="372">
        <v>0</v>
      </c>
      <c r="V115" s="380">
        <v>0</v>
      </c>
      <c r="W115" s="380">
        <v>0</v>
      </c>
      <c r="X115" s="380">
        <v>0</v>
      </c>
      <c r="Y115" s="373">
        <f>SUM(U115:X115)</f>
        <v>0</v>
      </c>
      <c r="Z115" s="380">
        <v>0</v>
      </c>
      <c r="AA115" s="380">
        <v>0</v>
      </c>
      <c r="AB115" s="380">
        <v>0</v>
      </c>
      <c r="AC115" s="380">
        <v>0</v>
      </c>
      <c r="AD115" s="373">
        <f>SUM(Z115:AC115)</f>
        <v>0</v>
      </c>
      <c r="AE115" s="381">
        <v>0</v>
      </c>
      <c r="AF115" s="381">
        <v>0</v>
      </c>
      <c r="AG115" s="381">
        <v>0</v>
      </c>
    </row>
    <row r="116" spans="3:33" ht="14.25" hidden="1" customHeight="1" outlineLevel="1">
      <c r="C116" s="103" t="str">
        <f>C$81</f>
        <v>South America</v>
      </c>
      <c r="D116" s="9"/>
      <c r="E116" s="9"/>
      <c r="F116" s="372">
        <v>0</v>
      </c>
      <c r="G116" s="372">
        <v>0</v>
      </c>
      <c r="H116" s="372">
        <v>0</v>
      </c>
      <c r="I116" s="372">
        <v>0</v>
      </c>
      <c r="J116" s="373">
        <f>SUM(F116:I116)</f>
        <v>0</v>
      </c>
      <c r="K116" s="372">
        <v>0</v>
      </c>
      <c r="L116" s="372">
        <v>0</v>
      </c>
      <c r="M116" s="372">
        <v>0</v>
      </c>
      <c r="N116" s="372">
        <v>0</v>
      </c>
      <c r="O116" s="373">
        <f>SUM(K116:N116)</f>
        <v>0</v>
      </c>
      <c r="P116" s="372">
        <v>0</v>
      </c>
      <c r="Q116" s="372">
        <v>0</v>
      </c>
      <c r="R116" s="372">
        <v>0</v>
      </c>
      <c r="S116" s="372">
        <v>0</v>
      </c>
      <c r="T116" s="373">
        <f>SUM(P116:S116)</f>
        <v>0</v>
      </c>
      <c r="U116" s="372">
        <v>0</v>
      </c>
      <c r="V116" s="380">
        <v>0</v>
      </c>
      <c r="W116" s="380">
        <v>0</v>
      </c>
      <c r="X116" s="380">
        <v>0</v>
      </c>
      <c r="Y116" s="373">
        <f>SUM(U116:X116)</f>
        <v>0</v>
      </c>
      <c r="Z116" s="380">
        <v>0</v>
      </c>
      <c r="AA116" s="380">
        <v>0</v>
      </c>
      <c r="AB116" s="380">
        <v>0</v>
      </c>
      <c r="AC116" s="380">
        <v>0</v>
      </c>
      <c r="AD116" s="373">
        <f>SUM(Z116:AC116)</f>
        <v>0</v>
      </c>
      <c r="AE116" s="381">
        <v>0</v>
      </c>
      <c r="AF116" s="381">
        <v>0</v>
      </c>
      <c r="AG116" s="381">
        <v>0</v>
      </c>
    </row>
    <row r="117" spans="3:33" ht="14.25" hidden="1" customHeight="1" outlineLevel="1">
      <c r="C117" s="103" t="str">
        <f>C$82</f>
        <v>Middle East &amp; Africa</v>
      </c>
      <c r="D117" s="9"/>
      <c r="E117" s="9"/>
      <c r="F117" s="372">
        <v>0</v>
      </c>
      <c r="G117" s="372">
        <v>0</v>
      </c>
      <c r="H117" s="372">
        <v>0</v>
      </c>
      <c r="I117" s="372">
        <v>0</v>
      </c>
      <c r="J117" s="373">
        <f>SUM(F117:I117)</f>
        <v>0</v>
      </c>
      <c r="K117" s="372">
        <v>0</v>
      </c>
      <c r="L117" s="372">
        <v>0</v>
      </c>
      <c r="M117" s="372">
        <v>0</v>
      </c>
      <c r="N117" s="372">
        <v>0</v>
      </c>
      <c r="O117" s="373">
        <f>SUM(K117:N117)</f>
        <v>0</v>
      </c>
      <c r="P117" s="372">
        <v>0</v>
      </c>
      <c r="Q117" s="372">
        <v>0</v>
      </c>
      <c r="R117" s="372">
        <v>0</v>
      </c>
      <c r="S117" s="372">
        <v>0</v>
      </c>
      <c r="T117" s="373">
        <f>SUM(P117:S117)</f>
        <v>0</v>
      </c>
      <c r="U117" s="372">
        <v>0</v>
      </c>
      <c r="V117" s="380">
        <v>0</v>
      </c>
      <c r="W117" s="380">
        <v>0</v>
      </c>
      <c r="X117" s="380">
        <v>0</v>
      </c>
      <c r="Y117" s="373">
        <f>SUM(U117:X117)</f>
        <v>0</v>
      </c>
      <c r="Z117" s="380">
        <v>0</v>
      </c>
      <c r="AA117" s="380">
        <v>0</v>
      </c>
      <c r="AB117" s="380">
        <v>0</v>
      </c>
      <c r="AC117" s="380">
        <v>0</v>
      </c>
      <c r="AD117" s="373">
        <f>SUM(Z117:AC117)</f>
        <v>0</v>
      </c>
      <c r="AE117" s="381">
        <v>0</v>
      </c>
      <c r="AF117" s="381">
        <v>0</v>
      </c>
      <c r="AG117" s="381">
        <v>0</v>
      </c>
    </row>
    <row r="118" spans="3:33" ht="14.25" hidden="1" customHeight="1" outlineLevel="1">
      <c r="C118" s="103" t="str">
        <f>C$83</f>
        <v>Asia Pacific</v>
      </c>
      <c r="D118" s="9"/>
      <c r="E118" s="9"/>
      <c r="F118" s="372">
        <v>0</v>
      </c>
      <c r="G118" s="372">
        <v>0</v>
      </c>
      <c r="H118" s="372">
        <v>0</v>
      </c>
      <c r="I118" s="372">
        <v>0</v>
      </c>
      <c r="J118" s="373">
        <f>SUM(F118:I118)</f>
        <v>0</v>
      </c>
      <c r="K118" s="372">
        <v>0</v>
      </c>
      <c r="L118" s="372">
        <v>0</v>
      </c>
      <c r="M118" s="372">
        <v>0</v>
      </c>
      <c r="N118" s="372">
        <v>0</v>
      </c>
      <c r="O118" s="373">
        <f>SUM(K118:N118)</f>
        <v>0</v>
      </c>
      <c r="P118" s="372">
        <v>0</v>
      </c>
      <c r="Q118" s="372">
        <v>0</v>
      </c>
      <c r="R118" s="372">
        <v>0</v>
      </c>
      <c r="S118" s="372">
        <v>0</v>
      </c>
      <c r="T118" s="373">
        <f>SUM(P118:S118)</f>
        <v>0</v>
      </c>
      <c r="U118" s="372">
        <v>0</v>
      </c>
      <c r="V118" s="380">
        <v>0</v>
      </c>
      <c r="W118" s="380">
        <v>0</v>
      </c>
      <c r="X118" s="380">
        <v>0</v>
      </c>
      <c r="Y118" s="373">
        <f>SUM(U118:X118)</f>
        <v>0</v>
      </c>
      <c r="Z118" s="380">
        <v>0</v>
      </c>
      <c r="AA118" s="380">
        <v>0</v>
      </c>
      <c r="AB118" s="380">
        <v>0</v>
      </c>
      <c r="AC118" s="380">
        <v>0</v>
      </c>
      <c r="AD118" s="373">
        <f>SUM(Z118:AC118)</f>
        <v>0</v>
      </c>
      <c r="AE118" s="381">
        <v>0</v>
      </c>
      <c r="AF118" s="381">
        <v>0</v>
      </c>
      <c r="AG118" s="381">
        <v>0</v>
      </c>
    </row>
    <row r="119" spans="3:33" ht="14.25" hidden="1" customHeight="1" outlineLevel="1">
      <c r="C119" s="9"/>
      <c r="D119" s="9"/>
      <c r="E119" s="9"/>
      <c r="F119" s="406"/>
      <c r="G119" s="406"/>
      <c r="H119" s="406"/>
      <c r="I119" s="406"/>
      <c r="J119" s="132"/>
      <c r="K119" s="406"/>
      <c r="L119" s="406"/>
      <c r="M119" s="406"/>
      <c r="N119" s="406"/>
      <c r="O119" s="132"/>
      <c r="P119" s="406"/>
      <c r="Q119" s="406"/>
      <c r="R119" s="406"/>
      <c r="S119" s="406"/>
      <c r="T119" s="132"/>
      <c r="U119" s="406"/>
      <c r="V119" s="407"/>
      <c r="W119" s="407"/>
      <c r="X119" s="407"/>
      <c r="Y119" s="132"/>
      <c r="Z119" s="407"/>
      <c r="AA119" s="407"/>
      <c r="AB119" s="407"/>
      <c r="AC119" s="407"/>
      <c r="AD119" s="132"/>
      <c r="AE119" s="408"/>
      <c r="AF119" s="408"/>
      <c r="AG119" s="408"/>
    </row>
    <row r="120" spans="3:33" ht="14.25" hidden="1" customHeight="1" outlineLevel="1">
      <c r="C120" s="9" t="str">
        <f>'Segment Analysis'!C12</f>
        <v>Segment 5 Revenue</v>
      </c>
      <c r="D120" s="9"/>
      <c r="E120" s="9"/>
      <c r="F120" s="406"/>
      <c r="G120" s="406"/>
      <c r="H120" s="406"/>
      <c r="I120" s="406"/>
      <c r="J120" s="132"/>
      <c r="K120" s="406"/>
      <c r="L120" s="406"/>
      <c r="M120" s="406"/>
      <c r="N120" s="406"/>
      <c r="O120" s="132"/>
      <c r="P120" s="406"/>
      <c r="Q120" s="406"/>
      <c r="R120" s="406"/>
      <c r="S120" s="406"/>
      <c r="T120" s="132"/>
      <c r="U120" s="406"/>
      <c r="V120" s="407"/>
      <c r="W120" s="407"/>
      <c r="X120" s="407"/>
      <c r="Y120" s="132"/>
      <c r="Z120" s="407"/>
      <c r="AA120" s="407"/>
      <c r="AB120" s="407"/>
      <c r="AC120" s="407"/>
      <c r="AD120" s="132"/>
      <c r="AE120" s="408"/>
      <c r="AF120" s="408"/>
      <c r="AG120" s="408"/>
    </row>
    <row r="121" spans="3:33" ht="14.25" hidden="1" customHeight="1" outlineLevel="1">
      <c r="C121" s="103" t="str">
        <f>C$79</f>
        <v>North America</v>
      </c>
      <c r="D121" s="9"/>
      <c r="E121" s="9"/>
      <c r="F121" s="372">
        <v>0</v>
      </c>
      <c r="G121" s="372">
        <v>0</v>
      </c>
      <c r="H121" s="372">
        <v>0</v>
      </c>
      <c r="I121" s="372">
        <v>0</v>
      </c>
      <c r="J121" s="373">
        <f>SUM(F121:I121)</f>
        <v>0</v>
      </c>
      <c r="K121" s="372">
        <v>0</v>
      </c>
      <c r="L121" s="372">
        <v>0</v>
      </c>
      <c r="M121" s="372">
        <v>0</v>
      </c>
      <c r="N121" s="372">
        <v>0</v>
      </c>
      <c r="O121" s="373">
        <f>SUM(K121:N121)</f>
        <v>0</v>
      </c>
      <c r="P121" s="372">
        <v>0</v>
      </c>
      <c r="Q121" s="372">
        <v>0</v>
      </c>
      <c r="R121" s="372">
        <v>0</v>
      </c>
      <c r="S121" s="372">
        <v>0</v>
      </c>
      <c r="T121" s="373">
        <f>SUM(P121:S121)</f>
        <v>0</v>
      </c>
      <c r="U121" s="372">
        <v>0</v>
      </c>
      <c r="V121" s="380">
        <v>0</v>
      </c>
      <c r="W121" s="380">
        <v>0</v>
      </c>
      <c r="X121" s="380">
        <v>0</v>
      </c>
      <c r="Y121" s="373">
        <f>SUM(U121:X121)</f>
        <v>0</v>
      </c>
      <c r="Z121" s="380">
        <v>0</v>
      </c>
      <c r="AA121" s="380">
        <v>0</v>
      </c>
      <c r="AB121" s="380">
        <v>0</v>
      </c>
      <c r="AC121" s="380">
        <v>0</v>
      </c>
      <c r="AD121" s="373">
        <f>SUM(Z121:AC121)</f>
        <v>0</v>
      </c>
      <c r="AE121" s="381">
        <v>0</v>
      </c>
      <c r="AF121" s="381">
        <v>0</v>
      </c>
      <c r="AG121" s="381">
        <v>0</v>
      </c>
    </row>
    <row r="122" spans="3:33" ht="14.25" hidden="1" customHeight="1" outlineLevel="1">
      <c r="C122" s="103" t="str">
        <f>C$80</f>
        <v>Europe</v>
      </c>
      <c r="D122" s="9"/>
      <c r="E122" s="9"/>
      <c r="F122" s="372">
        <v>0</v>
      </c>
      <c r="G122" s="372">
        <v>0</v>
      </c>
      <c r="H122" s="372">
        <v>0</v>
      </c>
      <c r="I122" s="372">
        <v>0</v>
      </c>
      <c r="J122" s="373">
        <f>SUM(F122:I122)</f>
        <v>0</v>
      </c>
      <c r="K122" s="372">
        <v>0</v>
      </c>
      <c r="L122" s="372">
        <v>0</v>
      </c>
      <c r="M122" s="372">
        <v>0</v>
      </c>
      <c r="N122" s="372">
        <v>0</v>
      </c>
      <c r="O122" s="373">
        <f>SUM(K122:N122)</f>
        <v>0</v>
      </c>
      <c r="P122" s="372">
        <v>0</v>
      </c>
      <c r="Q122" s="372">
        <v>0</v>
      </c>
      <c r="R122" s="372">
        <v>0</v>
      </c>
      <c r="S122" s="372">
        <v>0</v>
      </c>
      <c r="T122" s="373">
        <f>SUM(P122:S122)</f>
        <v>0</v>
      </c>
      <c r="U122" s="372">
        <v>0</v>
      </c>
      <c r="V122" s="380">
        <v>0</v>
      </c>
      <c r="W122" s="380">
        <v>0</v>
      </c>
      <c r="X122" s="380">
        <v>0</v>
      </c>
      <c r="Y122" s="373">
        <f>SUM(U122:X122)</f>
        <v>0</v>
      </c>
      <c r="Z122" s="380">
        <v>0</v>
      </c>
      <c r="AA122" s="380">
        <v>0</v>
      </c>
      <c r="AB122" s="380">
        <v>0</v>
      </c>
      <c r="AC122" s="380">
        <v>0</v>
      </c>
      <c r="AD122" s="373">
        <f>SUM(Z122:AC122)</f>
        <v>0</v>
      </c>
      <c r="AE122" s="381">
        <v>0</v>
      </c>
      <c r="AF122" s="381">
        <v>0</v>
      </c>
      <c r="AG122" s="381">
        <v>0</v>
      </c>
    </row>
    <row r="123" spans="3:33" ht="14.25" hidden="1" customHeight="1" outlineLevel="1">
      <c r="C123" s="103" t="str">
        <f>C$81</f>
        <v>South America</v>
      </c>
      <c r="D123" s="9"/>
      <c r="E123" s="9"/>
      <c r="F123" s="372">
        <v>0</v>
      </c>
      <c r="G123" s="372">
        <v>0</v>
      </c>
      <c r="H123" s="372">
        <v>0</v>
      </c>
      <c r="I123" s="372">
        <v>0</v>
      </c>
      <c r="J123" s="373">
        <f>SUM(F123:I123)</f>
        <v>0</v>
      </c>
      <c r="K123" s="372">
        <v>0</v>
      </c>
      <c r="L123" s="372">
        <v>0</v>
      </c>
      <c r="M123" s="372">
        <v>0</v>
      </c>
      <c r="N123" s="372">
        <v>0</v>
      </c>
      <c r="O123" s="373">
        <f>SUM(K123:N123)</f>
        <v>0</v>
      </c>
      <c r="P123" s="372">
        <v>0</v>
      </c>
      <c r="Q123" s="372">
        <v>0</v>
      </c>
      <c r="R123" s="372">
        <v>0</v>
      </c>
      <c r="S123" s="372">
        <v>0</v>
      </c>
      <c r="T123" s="373">
        <f>SUM(P123:S123)</f>
        <v>0</v>
      </c>
      <c r="U123" s="372">
        <v>0</v>
      </c>
      <c r="V123" s="380">
        <v>0</v>
      </c>
      <c r="W123" s="380">
        <v>0</v>
      </c>
      <c r="X123" s="380">
        <v>0</v>
      </c>
      <c r="Y123" s="373">
        <f>SUM(U123:X123)</f>
        <v>0</v>
      </c>
      <c r="Z123" s="380">
        <v>0</v>
      </c>
      <c r="AA123" s="380">
        <v>0</v>
      </c>
      <c r="AB123" s="380">
        <v>0</v>
      </c>
      <c r="AC123" s="380">
        <v>0</v>
      </c>
      <c r="AD123" s="373">
        <f>SUM(Z123:AC123)</f>
        <v>0</v>
      </c>
      <c r="AE123" s="381">
        <v>0</v>
      </c>
      <c r="AF123" s="381">
        <v>0</v>
      </c>
      <c r="AG123" s="381">
        <v>0</v>
      </c>
    </row>
    <row r="124" spans="3:33" ht="14.25" hidden="1" customHeight="1" outlineLevel="1">
      <c r="C124" s="103" t="str">
        <f>C$82</f>
        <v>Middle East &amp; Africa</v>
      </c>
      <c r="D124" s="9"/>
      <c r="E124" s="9"/>
      <c r="F124" s="372">
        <v>0</v>
      </c>
      <c r="G124" s="372">
        <v>0</v>
      </c>
      <c r="H124" s="372">
        <v>0</v>
      </c>
      <c r="I124" s="372">
        <v>0</v>
      </c>
      <c r="J124" s="373">
        <f>SUM(F124:I124)</f>
        <v>0</v>
      </c>
      <c r="K124" s="372">
        <v>0</v>
      </c>
      <c r="L124" s="372">
        <v>0</v>
      </c>
      <c r="M124" s="372">
        <v>0</v>
      </c>
      <c r="N124" s="372">
        <v>0</v>
      </c>
      <c r="O124" s="373">
        <f>SUM(K124:N124)</f>
        <v>0</v>
      </c>
      <c r="P124" s="372">
        <v>0</v>
      </c>
      <c r="Q124" s="372">
        <v>0</v>
      </c>
      <c r="R124" s="372">
        <v>0</v>
      </c>
      <c r="S124" s="372">
        <v>0</v>
      </c>
      <c r="T124" s="373">
        <f>SUM(P124:S124)</f>
        <v>0</v>
      </c>
      <c r="U124" s="372">
        <v>0</v>
      </c>
      <c r="V124" s="380">
        <v>0</v>
      </c>
      <c r="W124" s="380">
        <v>0</v>
      </c>
      <c r="X124" s="380">
        <v>0</v>
      </c>
      <c r="Y124" s="373">
        <f>SUM(U124:X124)</f>
        <v>0</v>
      </c>
      <c r="Z124" s="380">
        <v>0</v>
      </c>
      <c r="AA124" s="380">
        <v>0</v>
      </c>
      <c r="AB124" s="380">
        <v>0</v>
      </c>
      <c r="AC124" s="380">
        <v>0</v>
      </c>
      <c r="AD124" s="373">
        <f>SUM(Z124:AC124)</f>
        <v>0</v>
      </c>
      <c r="AE124" s="381">
        <v>0</v>
      </c>
      <c r="AF124" s="381">
        <v>0</v>
      </c>
      <c r="AG124" s="381">
        <v>0</v>
      </c>
    </row>
    <row r="125" spans="3:33" ht="14.25" hidden="1" customHeight="1" outlineLevel="1">
      <c r="C125" s="103" t="str">
        <f>C$83</f>
        <v>Asia Pacific</v>
      </c>
      <c r="D125" s="9"/>
      <c r="E125" s="9"/>
      <c r="F125" s="372">
        <v>0</v>
      </c>
      <c r="G125" s="372">
        <v>0</v>
      </c>
      <c r="H125" s="372">
        <v>0</v>
      </c>
      <c r="I125" s="372">
        <v>0</v>
      </c>
      <c r="J125" s="373">
        <f>SUM(F125:I125)</f>
        <v>0</v>
      </c>
      <c r="K125" s="372">
        <v>0</v>
      </c>
      <c r="L125" s="372">
        <v>0</v>
      </c>
      <c r="M125" s="372">
        <v>0</v>
      </c>
      <c r="N125" s="372">
        <v>0</v>
      </c>
      <c r="O125" s="373">
        <f>SUM(K125:N125)</f>
        <v>0</v>
      </c>
      <c r="P125" s="372">
        <v>0</v>
      </c>
      <c r="Q125" s="372">
        <v>0</v>
      </c>
      <c r="R125" s="372">
        <v>0</v>
      </c>
      <c r="S125" s="372">
        <v>0</v>
      </c>
      <c r="T125" s="373">
        <f>SUM(P125:S125)</f>
        <v>0</v>
      </c>
      <c r="U125" s="372">
        <v>0</v>
      </c>
      <c r="V125" s="380">
        <v>0</v>
      </c>
      <c r="W125" s="380">
        <v>0</v>
      </c>
      <c r="X125" s="380">
        <v>0</v>
      </c>
      <c r="Y125" s="373">
        <f>SUM(U125:X125)</f>
        <v>0</v>
      </c>
      <c r="Z125" s="380">
        <v>0</v>
      </c>
      <c r="AA125" s="380">
        <v>0</v>
      </c>
      <c r="AB125" s="380">
        <v>0</v>
      </c>
      <c r="AC125" s="380">
        <v>0</v>
      </c>
      <c r="AD125" s="373">
        <f>SUM(Z125:AC125)</f>
        <v>0</v>
      </c>
      <c r="AE125" s="381">
        <v>0</v>
      </c>
      <c r="AF125" s="381">
        <v>0</v>
      </c>
      <c r="AG125" s="381">
        <v>0</v>
      </c>
    </row>
    <row r="126" spans="3:33" ht="14.25" hidden="1" customHeight="1" outlineLevel="1">
      <c r="C126" s="9"/>
      <c r="D126" s="9"/>
      <c r="E126" s="9"/>
      <c r="F126" s="406"/>
      <c r="G126" s="406"/>
      <c r="H126" s="406"/>
      <c r="I126" s="406"/>
      <c r="J126" s="132"/>
      <c r="K126" s="406"/>
      <c r="L126" s="406"/>
      <c r="M126" s="406"/>
      <c r="N126" s="406"/>
      <c r="O126" s="132"/>
      <c r="P126" s="406"/>
      <c r="Q126" s="406"/>
      <c r="R126" s="406"/>
      <c r="S126" s="406"/>
      <c r="T126" s="132"/>
      <c r="U126" s="406"/>
      <c r="V126" s="407"/>
      <c r="W126" s="407"/>
      <c r="X126" s="407"/>
      <c r="Y126" s="132"/>
      <c r="Z126" s="407"/>
      <c r="AA126" s="407"/>
      <c r="AB126" s="407"/>
      <c r="AC126" s="407"/>
      <c r="AD126" s="132"/>
      <c r="AE126" s="408"/>
      <c r="AF126" s="408"/>
      <c r="AG126" s="408"/>
    </row>
    <row r="127" spans="3:33" ht="14.25" hidden="1" customHeight="1" outlineLevel="1">
      <c r="C127" s="9" t="str">
        <f>'Segment Analysis'!C13</f>
        <v>Segment 6 Revenue</v>
      </c>
      <c r="D127" s="9"/>
      <c r="E127" s="9"/>
      <c r="F127" s="406"/>
      <c r="G127" s="406"/>
      <c r="H127" s="406"/>
      <c r="I127" s="406"/>
      <c r="J127" s="132"/>
      <c r="K127" s="406"/>
      <c r="L127" s="406"/>
      <c r="M127" s="406"/>
      <c r="N127" s="406"/>
      <c r="O127" s="132"/>
      <c r="P127" s="406"/>
      <c r="Q127" s="406"/>
      <c r="R127" s="406"/>
      <c r="S127" s="406"/>
      <c r="T127" s="132"/>
      <c r="U127" s="406"/>
      <c r="V127" s="407"/>
      <c r="W127" s="407"/>
      <c r="X127" s="407"/>
      <c r="Y127" s="132"/>
      <c r="Z127" s="407"/>
      <c r="AA127" s="407"/>
      <c r="AB127" s="407"/>
      <c r="AC127" s="407"/>
      <c r="AD127" s="132"/>
      <c r="AE127" s="408"/>
      <c r="AF127" s="408"/>
      <c r="AG127" s="408"/>
    </row>
    <row r="128" spans="3:33" ht="14.25" hidden="1" customHeight="1" outlineLevel="1">
      <c r="C128" s="103" t="str">
        <f>C$79</f>
        <v>North America</v>
      </c>
      <c r="D128" s="9"/>
      <c r="E128" s="9"/>
      <c r="F128" s="372">
        <v>0</v>
      </c>
      <c r="G128" s="372">
        <v>0</v>
      </c>
      <c r="H128" s="372">
        <v>0</v>
      </c>
      <c r="I128" s="372">
        <v>0</v>
      </c>
      <c r="J128" s="373">
        <f>SUM(F128:I128)</f>
        <v>0</v>
      </c>
      <c r="K128" s="372">
        <v>0</v>
      </c>
      <c r="L128" s="372">
        <v>0</v>
      </c>
      <c r="M128" s="372">
        <v>0</v>
      </c>
      <c r="N128" s="372">
        <v>0</v>
      </c>
      <c r="O128" s="373">
        <f>SUM(K128:N128)</f>
        <v>0</v>
      </c>
      <c r="P128" s="372">
        <v>0</v>
      </c>
      <c r="Q128" s="372">
        <v>0</v>
      </c>
      <c r="R128" s="372">
        <v>0</v>
      </c>
      <c r="S128" s="372">
        <v>0</v>
      </c>
      <c r="T128" s="373">
        <f>SUM(P128:S128)</f>
        <v>0</v>
      </c>
      <c r="U128" s="372">
        <v>0</v>
      </c>
      <c r="V128" s="380">
        <v>0</v>
      </c>
      <c r="W128" s="380">
        <v>0</v>
      </c>
      <c r="X128" s="380">
        <v>0</v>
      </c>
      <c r="Y128" s="373">
        <f>SUM(U128:X128)</f>
        <v>0</v>
      </c>
      <c r="Z128" s="380">
        <v>0</v>
      </c>
      <c r="AA128" s="380">
        <v>0</v>
      </c>
      <c r="AB128" s="380">
        <v>0</v>
      </c>
      <c r="AC128" s="380">
        <v>0</v>
      </c>
      <c r="AD128" s="373">
        <f>SUM(Z128:AC128)</f>
        <v>0</v>
      </c>
      <c r="AE128" s="381">
        <v>0</v>
      </c>
      <c r="AF128" s="381">
        <v>0</v>
      </c>
      <c r="AG128" s="381">
        <v>0</v>
      </c>
    </row>
    <row r="129" spans="3:33" ht="14.25" hidden="1" customHeight="1" outlineLevel="1">
      <c r="C129" s="103" t="str">
        <f>C$80</f>
        <v>Europe</v>
      </c>
      <c r="D129" s="9"/>
      <c r="E129" s="9"/>
      <c r="F129" s="372">
        <v>0</v>
      </c>
      <c r="G129" s="372">
        <v>0</v>
      </c>
      <c r="H129" s="372">
        <v>0</v>
      </c>
      <c r="I129" s="372">
        <v>0</v>
      </c>
      <c r="J129" s="373">
        <f>SUM(F129:I129)</f>
        <v>0</v>
      </c>
      <c r="K129" s="372">
        <v>0</v>
      </c>
      <c r="L129" s="372">
        <v>0</v>
      </c>
      <c r="M129" s="372">
        <v>0</v>
      </c>
      <c r="N129" s="372">
        <v>0</v>
      </c>
      <c r="O129" s="373">
        <f>SUM(K129:N129)</f>
        <v>0</v>
      </c>
      <c r="P129" s="372">
        <v>0</v>
      </c>
      <c r="Q129" s="372">
        <v>0</v>
      </c>
      <c r="R129" s="372">
        <v>0</v>
      </c>
      <c r="S129" s="372">
        <v>0</v>
      </c>
      <c r="T129" s="373">
        <f>SUM(P129:S129)</f>
        <v>0</v>
      </c>
      <c r="U129" s="372">
        <v>0</v>
      </c>
      <c r="V129" s="380">
        <v>0</v>
      </c>
      <c r="W129" s="380">
        <v>0</v>
      </c>
      <c r="X129" s="380">
        <v>0</v>
      </c>
      <c r="Y129" s="373">
        <f>SUM(U129:X129)</f>
        <v>0</v>
      </c>
      <c r="Z129" s="380">
        <v>0</v>
      </c>
      <c r="AA129" s="380">
        <v>0</v>
      </c>
      <c r="AB129" s="380">
        <v>0</v>
      </c>
      <c r="AC129" s="380">
        <v>0</v>
      </c>
      <c r="AD129" s="373">
        <f>SUM(Z129:AC129)</f>
        <v>0</v>
      </c>
      <c r="AE129" s="381">
        <v>0</v>
      </c>
      <c r="AF129" s="381">
        <v>0</v>
      </c>
      <c r="AG129" s="381">
        <v>0</v>
      </c>
    </row>
    <row r="130" spans="3:33" ht="14.25" hidden="1" customHeight="1" outlineLevel="1">
      <c r="C130" s="103" t="str">
        <f>C$81</f>
        <v>South America</v>
      </c>
      <c r="D130" s="9"/>
      <c r="E130" s="9"/>
      <c r="F130" s="372">
        <v>0</v>
      </c>
      <c r="G130" s="372">
        <v>0</v>
      </c>
      <c r="H130" s="372">
        <v>0</v>
      </c>
      <c r="I130" s="372">
        <v>0</v>
      </c>
      <c r="J130" s="373">
        <f>SUM(F130:I130)</f>
        <v>0</v>
      </c>
      <c r="K130" s="372">
        <v>0</v>
      </c>
      <c r="L130" s="372">
        <v>0</v>
      </c>
      <c r="M130" s="372">
        <v>0</v>
      </c>
      <c r="N130" s="372">
        <v>0</v>
      </c>
      <c r="O130" s="373">
        <f>SUM(K130:N130)</f>
        <v>0</v>
      </c>
      <c r="P130" s="372">
        <v>0</v>
      </c>
      <c r="Q130" s="372">
        <v>0</v>
      </c>
      <c r="R130" s="372">
        <v>0</v>
      </c>
      <c r="S130" s="372">
        <v>0</v>
      </c>
      <c r="T130" s="373">
        <f>SUM(P130:S130)</f>
        <v>0</v>
      </c>
      <c r="U130" s="372">
        <v>0</v>
      </c>
      <c r="V130" s="380">
        <v>0</v>
      </c>
      <c r="W130" s="380">
        <v>0</v>
      </c>
      <c r="X130" s="380">
        <v>0</v>
      </c>
      <c r="Y130" s="373">
        <f>SUM(U130:X130)</f>
        <v>0</v>
      </c>
      <c r="Z130" s="380">
        <v>0</v>
      </c>
      <c r="AA130" s="380">
        <v>0</v>
      </c>
      <c r="AB130" s="380">
        <v>0</v>
      </c>
      <c r="AC130" s="380">
        <v>0</v>
      </c>
      <c r="AD130" s="373">
        <f>SUM(Z130:AC130)</f>
        <v>0</v>
      </c>
      <c r="AE130" s="381">
        <v>0</v>
      </c>
      <c r="AF130" s="381">
        <v>0</v>
      </c>
      <c r="AG130" s="381">
        <v>0</v>
      </c>
    </row>
    <row r="131" spans="3:33" ht="14.25" hidden="1" customHeight="1" outlineLevel="1">
      <c r="C131" s="103" t="str">
        <f>C$82</f>
        <v>Middle East &amp; Africa</v>
      </c>
      <c r="D131" s="9"/>
      <c r="E131" s="9"/>
      <c r="F131" s="372">
        <v>0</v>
      </c>
      <c r="G131" s="372">
        <v>0</v>
      </c>
      <c r="H131" s="372">
        <v>0</v>
      </c>
      <c r="I131" s="372">
        <v>0</v>
      </c>
      <c r="J131" s="373">
        <f>SUM(F131:I131)</f>
        <v>0</v>
      </c>
      <c r="K131" s="372">
        <v>0</v>
      </c>
      <c r="L131" s="372">
        <v>0</v>
      </c>
      <c r="M131" s="372">
        <v>0</v>
      </c>
      <c r="N131" s="372">
        <v>0</v>
      </c>
      <c r="O131" s="373">
        <f>SUM(K131:N131)</f>
        <v>0</v>
      </c>
      <c r="P131" s="372">
        <v>0</v>
      </c>
      <c r="Q131" s="372">
        <v>0</v>
      </c>
      <c r="R131" s="372">
        <v>0</v>
      </c>
      <c r="S131" s="372">
        <v>0</v>
      </c>
      <c r="T131" s="373">
        <f>SUM(P131:S131)</f>
        <v>0</v>
      </c>
      <c r="U131" s="372">
        <v>0</v>
      </c>
      <c r="V131" s="380">
        <v>0</v>
      </c>
      <c r="W131" s="380">
        <v>0</v>
      </c>
      <c r="X131" s="380">
        <v>0</v>
      </c>
      <c r="Y131" s="373">
        <f>SUM(U131:X131)</f>
        <v>0</v>
      </c>
      <c r="Z131" s="380">
        <v>0</v>
      </c>
      <c r="AA131" s="380">
        <v>0</v>
      </c>
      <c r="AB131" s="380">
        <v>0</v>
      </c>
      <c r="AC131" s="380">
        <v>0</v>
      </c>
      <c r="AD131" s="373">
        <f>SUM(Z131:AC131)</f>
        <v>0</v>
      </c>
      <c r="AE131" s="381">
        <v>0</v>
      </c>
      <c r="AF131" s="381">
        <v>0</v>
      </c>
      <c r="AG131" s="381">
        <v>0</v>
      </c>
    </row>
    <row r="132" spans="3:33" ht="14.25" hidden="1" customHeight="1" outlineLevel="1">
      <c r="C132" s="103" t="str">
        <f>C$83</f>
        <v>Asia Pacific</v>
      </c>
      <c r="D132" s="9"/>
      <c r="E132" s="9"/>
      <c r="F132" s="372">
        <v>0</v>
      </c>
      <c r="G132" s="372">
        <v>0</v>
      </c>
      <c r="H132" s="372">
        <v>0</v>
      </c>
      <c r="I132" s="372">
        <v>0</v>
      </c>
      <c r="J132" s="373">
        <f>SUM(F132:I132)</f>
        <v>0</v>
      </c>
      <c r="K132" s="372">
        <v>0</v>
      </c>
      <c r="L132" s="372">
        <v>0</v>
      </c>
      <c r="M132" s="372">
        <v>0</v>
      </c>
      <c r="N132" s="372">
        <v>0</v>
      </c>
      <c r="O132" s="373">
        <f>SUM(K132:N132)</f>
        <v>0</v>
      </c>
      <c r="P132" s="372">
        <v>0</v>
      </c>
      <c r="Q132" s="372">
        <v>0</v>
      </c>
      <c r="R132" s="372">
        <v>0</v>
      </c>
      <c r="S132" s="372">
        <v>0</v>
      </c>
      <c r="T132" s="373">
        <f>SUM(P132:S132)</f>
        <v>0</v>
      </c>
      <c r="U132" s="372">
        <v>0</v>
      </c>
      <c r="V132" s="380">
        <v>0</v>
      </c>
      <c r="W132" s="380">
        <v>0</v>
      </c>
      <c r="X132" s="380">
        <v>0</v>
      </c>
      <c r="Y132" s="373">
        <f>SUM(U132:X132)</f>
        <v>0</v>
      </c>
      <c r="Z132" s="380">
        <v>0</v>
      </c>
      <c r="AA132" s="380">
        <v>0</v>
      </c>
      <c r="AB132" s="380">
        <v>0</v>
      </c>
      <c r="AC132" s="380">
        <v>0</v>
      </c>
      <c r="AD132" s="373">
        <f>SUM(Z132:AC132)</f>
        <v>0</v>
      </c>
      <c r="AE132" s="381">
        <v>0</v>
      </c>
      <c r="AF132" s="381">
        <v>0</v>
      </c>
      <c r="AG132" s="381">
        <v>0</v>
      </c>
    </row>
    <row r="133" spans="3:33" ht="14.25" customHeight="1" collapsed="1">
      <c r="C133" s="9"/>
      <c r="D133" s="9"/>
      <c r="E133" s="9"/>
      <c r="F133" s="406"/>
      <c r="G133" s="406"/>
      <c r="H133" s="406"/>
      <c r="I133" s="406"/>
      <c r="J133" s="132"/>
      <c r="K133" s="406"/>
      <c r="L133" s="406"/>
      <c r="M133" s="406"/>
      <c r="N133" s="406"/>
      <c r="O133" s="132"/>
      <c r="P133" s="406"/>
      <c r="Q133" s="406"/>
      <c r="R133" s="406"/>
      <c r="S133" s="406"/>
      <c r="T133" s="132"/>
      <c r="U133" s="406"/>
      <c r="V133" s="407"/>
      <c r="W133" s="407"/>
      <c r="X133" s="407"/>
      <c r="Y133" s="132"/>
      <c r="Z133" s="407"/>
      <c r="AA133" s="407"/>
      <c r="AB133" s="407"/>
      <c r="AC133" s="407"/>
      <c r="AD133" s="132"/>
      <c r="AE133" s="408"/>
      <c r="AF133" s="408"/>
      <c r="AG133" s="408"/>
    </row>
    <row r="134" spans="3:33" ht="14.25" customHeight="1">
      <c r="C134" s="33" t="s">
        <v>444</v>
      </c>
      <c r="D134" s="34"/>
      <c r="E134" s="34"/>
      <c r="F134" s="398"/>
      <c r="G134" s="398"/>
      <c r="H134" s="398"/>
      <c r="I134" s="398"/>
      <c r="J134" s="398"/>
      <c r="K134" s="398"/>
      <c r="L134" s="398"/>
      <c r="M134" s="398"/>
      <c r="N134" s="398"/>
      <c r="O134" s="398"/>
      <c r="P134" s="398"/>
      <c r="Q134" s="398"/>
      <c r="R134" s="398"/>
      <c r="S134" s="398"/>
      <c r="T134" s="398"/>
      <c r="U134" s="398"/>
      <c r="V134" s="398"/>
      <c r="W134" s="398"/>
      <c r="X134" s="398"/>
      <c r="Y134" s="398"/>
      <c r="Z134" s="398"/>
      <c r="AA134" s="398"/>
      <c r="AB134" s="398"/>
      <c r="AC134" s="398"/>
      <c r="AD134" s="398"/>
      <c r="AE134" s="398"/>
      <c r="AF134" s="398"/>
      <c r="AG134" s="399"/>
    </row>
    <row r="135" spans="3:33" ht="14.25" customHeight="1">
      <c r="C135" s="9"/>
      <c r="D135" s="9"/>
      <c r="E135" s="9"/>
      <c r="F135" s="232"/>
      <c r="G135" s="232"/>
      <c r="H135" s="232"/>
      <c r="I135" s="232"/>
      <c r="J135" s="132"/>
      <c r="K135" s="232"/>
      <c r="L135" s="232"/>
      <c r="M135" s="232"/>
      <c r="N135" s="232"/>
      <c r="O135" s="132"/>
      <c r="P135" s="232"/>
      <c r="Q135" s="232"/>
      <c r="R135" s="232"/>
      <c r="S135" s="232"/>
      <c r="T135" s="132"/>
      <c r="U135" s="232"/>
      <c r="V135" s="235"/>
      <c r="W135" s="235"/>
      <c r="X135" s="235"/>
      <c r="Y135" s="132"/>
      <c r="Z135" s="235"/>
      <c r="AA135" s="235"/>
      <c r="AB135" s="235"/>
      <c r="AC135" s="235"/>
      <c r="AD135" s="132"/>
      <c r="AE135" s="132"/>
      <c r="AF135" s="132"/>
      <c r="AG135" s="132"/>
    </row>
    <row r="136" spans="3:33" ht="14.25" hidden="1" customHeight="1" outlineLevel="1">
      <c r="C136" s="9" t="s">
        <v>107</v>
      </c>
      <c r="D136" s="9"/>
      <c r="E136" s="9"/>
      <c r="F136" s="290">
        <f>IFERROR(Model!F61/Model!F28,"N/A")</f>
        <v>0.29415020404548781</v>
      </c>
      <c r="G136" s="290">
        <f>IFERROR(Model!G61/Model!G28,"N/A")</f>
        <v>0.30592898775606009</v>
      </c>
      <c r="H136" s="290">
        <f>IFERROR(Model!H61/Model!H28,"N/A")</f>
        <v>0.36330012433700037</v>
      </c>
      <c r="I136" s="290">
        <f>IFERROR(Model!I61/Model!I28,"N/A")</f>
        <v>0.25621520019860267</v>
      </c>
      <c r="J136" s="291">
        <f>IFERROR(Model!J61/Model!J28,"N/A")</f>
        <v>0.30609377157198159</v>
      </c>
      <c r="K136" s="290">
        <f>IFERROR(Model!K61/Model!K28,"N/A")</f>
        <v>0.2766621080160272</v>
      </c>
      <c r="L136" s="290">
        <f>IFERROR(Model!L61/Model!L28,"N/A")</f>
        <v>0.26079006273842192</v>
      </c>
      <c r="M136" s="290">
        <f>IFERROR(Model!M61/Model!M28,"N/A")</f>
        <v>0.29033082130540305</v>
      </c>
      <c r="N136" s="290">
        <f>IFERROR(Model!N61/Model!N28,"N/A")</f>
        <v>0.31371239351314628</v>
      </c>
      <c r="O136" s="291">
        <f>IFERROR(Model!O61/Model!O28,"N/A")</f>
        <v>0.28793590951932141</v>
      </c>
      <c r="P136" s="290">
        <f>IFERROR(Model!P61/Model!P28,"N/A")</f>
        <v>0.31254860698110609</v>
      </c>
      <c r="Q136" s="290">
        <f>IFERROR(Model!Q61/Model!Q28,"N/A")</f>
        <v>0.30834872232481547</v>
      </c>
      <c r="R136" s="290">
        <f>IFERROR(Model!R61/Model!R28,"N/A")</f>
        <v>0.30452095256773698</v>
      </c>
      <c r="S136" s="290">
        <f>IFERROR(Model!S61/Model!S28,"N/A")</f>
        <v>0.30924924105812424</v>
      </c>
      <c r="T136" s="291">
        <f>IFERROR(Model!T61/Model!T28,"N/A")</f>
        <v>0.30885430400412928</v>
      </c>
      <c r="U136" s="290">
        <f>IFERROR(Model!U61/Model!U28,"N/A")</f>
        <v>0.30490230623216902</v>
      </c>
      <c r="V136" s="292">
        <f ca="1">IFERROR(Model!V61/Model!V28,"N/A")</f>
        <v>0.32299999999999995</v>
      </c>
      <c r="W136" s="292">
        <f ca="1">IFERROR(Model!W61/Model!W28,"N/A")</f>
        <v>0.32299999999999995</v>
      </c>
      <c r="X136" s="292">
        <f ca="1">IFERROR(Model!X61/Model!X28,"N/A")</f>
        <v>0.32300000000000001</v>
      </c>
      <c r="Y136" s="291">
        <f ca="1">IFERROR(Model!Y61/Model!Y28,"N/A")</f>
        <v>0.31884633779249583</v>
      </c>
      <c r="Z136" s="292">
        <f ca="1">IFERROR(Model!Z61/Model!Z28,"N/A")</f>
        <v>0.3254999999999999</v>
      </c>
      <c r="AA136" s="292">
        <f ca="1">IFERROR(Model!AA61/Model!AA28,"N/A")</f>
        <v>0.32550000000000001</v>
      </c>
      <c r="AB136" s="292">
        <f ca="1">IFERROR(Model!AB61/Model!AB28,"N/A")</f>
        <v>0.33025000000000004</v>
      </c>
      <c r="AC136" s="292">
        <f ca="1">IFERROR(Model!AC61/Model!AC28,"N/A")</f>
        <v>0.33024999999999999</v>
      </c>
      <c r="AD136" s="291">
        <f ca="1">IFERROR(Model!AD61/Model!AD28,"N/A")</f>
        <v>0.32799103590865797</v>
      </c>
      <c r="AE136" s="291">
        <f ca="1">IFERROR(Model!AE61/Model!AE28,"N/A")</f>
        <v>0.33319999999999989</v>
      </c>
      <c r="AF136" s="291">
        <f ca="1">IFERROR(Model!AF61/Model!AF28,"N/A")</f>
        <v>0.3301</v>
      </c>
      <c r="AG136" s="291">
        <f ca="1">IFERROR(Model!AG61/Model!AG28,"N/A")</f>
        <v>0.33009999999999995</v>
      </c>
    </row>
    <row r="137" spans="3:33" ht="14.25" hidden="1" customHeight="1" outlineLevel="1">
      <c r="C137" s="9" t="str">
        <f t="shared" ref="C137:C142" si="75">C16</f>
        <v>Management &amp; Advisory Fees</v>
      </c>
      <c r="D137" s="9"/>
      <c r="E137" s="9"/>
      <c r="F137" s="290"/>
      <c r="G137" s="290"/>
      <c r="H137" s="290"/>
      <c r="I137" s="290"/>
      <c r="J137" s="291"/>
      <c r="K137" s="290"/>
      <c r="L137" s="290"/>
      <c r="M137" s="290"/>
      <c r="N137" s="290"/>
      <c r="O137" s="291"/>
      <c r="P137" s="290"/>
      <c r="Q137" s="290"/>
      <c r="R137" s="290"/>
      <c r="S137" s="290"/>
      <c r="T137" s="291"/>
      <c r="U137" s="290"/>
      <c r="V137" s="292"/>
      <c r="W137" s="292"/>
      <c r="X137" s="292"/>
      <c r="Y137" s="291"/>
      <c r="Z137" s="292"/>
      <c r="AA137" s="292"/>
      <c r="AB137" s="292"/>
      <c r="AC137" s="292"/>
      <c r="AD137" s="291"/>
      <c r="AE137" s="291"/>
      <c r="AF137" s="291"/>
      <c r="AG137" s="291"/>
    </row>
    <row r="138" spans="3:33" ht="14.25" hidden="1" customHeight="1" outlineLevel="1">
      <c r="C138" s="9" t="str">
        <f t="shared" si="75"/>
        <v>Incentive Fees</v>
      </c>
      <c r="D138" s="9"/>
      <c r="E138" s="9"/>
      <c r="F138" s="290"/>
      <c r="G138" s="290"/>
      <c r="H138" s="290"/>
      <c r="I138" s="290"/>
      <c r="J138" s="291"/>
      <c r="K138" s="290"/>
      <c r="L138" s="290"/>
      <c r="M138" s="290"/>
      <c r="N138" s="290"/>
      <c r="O138" s="291"/>
      <c r="P138" s="290"/>
      <c r="Q138" s="290"/>
      <c r="R138" s="290"/>
      <c r="S138" s="290"/>
      <c r="T138" s="291"/>
      <c r="U138" s="290"/>
      <c r="V138" s="292"/>
      <c r="W138" s="292"/>
      <c r="X138" s="292"/>
      <c r="Y138" s="291"/>
      <c r="Z138" s="292"/>
      <c r="AA138" s="292"/>
      <c r="AB138" s="292"/>
      <c r="AC138" s="292"/>
      <c r="AD138" s="291"/>
      <c r="AE138" s="291"/>
      <c r="AF138" s="291"/>
      <c r="AG138" s="291"/>
    </row>
    <row r="139" spans="3:33" ht="14.25" hidden="1" customHeight="1" outlineLevel="1">
      <c r="C139" s="9" t="str">
        <f t="shared" si="75"/>
        <v>Segment 3</v>
      </c>
      <c r="D139" s="9"/>
      <c r="E139" s="9"/>
      <c r="F139" s="290"/>
      <c r="G139" s="290"/>
      <c r="H139" s="290"/>
      <c r="I139" s="290"/>
      <c r="J139" s="291"/>
      <c r="K139" s="290"/>
      <c r="L139" s="290"/>
      <c r="M139" s="290"/>
      <c r="N139" s="290"/>
      <c r="O139" s="291"/>
      <c r="P139" s="290"/>
      <c r="Q139" s="290"/>
      <c r="R139" s="290"/>
      <c r="S139" s="290"/>
      <c r="T139" s="291"/>
      <c r="U139" s="290"/>
      <c r="V139" s="292"/>
      <c r="W139" s="292"/>
      <c r="X139" s="292"/>
      <c r="Y139" s="291"/>
      <c r="Z139" s="292"/>
      <c r="AA139" s="292"/>
      <c r="AB139" s="292"/>
      <c r="AC139" s="292"/>
      <c r="AD139" s="291"/>
      <c r="AE139" s="291"/>
      <c r="AF139" s="291"/>
      <c r="AG139" s="291"/>
    </row>
    <row r="140" spans="3:33" ht="14.25" hidden="1" customHeight="1" outlineLevel="1">
      <c r="C140" s="9" t="str">
        <f t="shared" si="75"/>
        <v>Segment 4</v>
      </c>
      <c r="D140" s="9"/>
      <c r="E140" s="9"/>
      <c r="F140" s="290"/>
      <c r="G140" s="290"/>
      <c r="H140" s="290"/>
      <c r="I140" s="290"/>
      <c r="J140" s="291"/>
      <c r="K140" s="290"/>
      <c r="L140" s="290"/>
      <c r="M140" s="290"/>
      <c r="N140" s="290"/>
      <c r="O140" s="291"/>
      <c r="P140" s="290"/>
      <c r="Q140" s="290"/>
      <c r="R140" s="290"/>
      <c r="S140" s="290"/>
      <c r="T140" s="291"/>
      <c r="U140" s="290"/>
      <c r="V140" s="292"/>
      <c r="W140" s="292"/>
      <c r="X140" s="292"/>
      <c r="Y140" s="291"/>
      <c r="Z140" s="292"/>
      <c r="AA140" s="292"/>
      <c r="AB140" s="292"/>
      <c r="AC140" s="292"/>
      <c r="AD140" s="291"/>
      <c r="AE140" s="291"/>
      <c r="AF140" s="291"/>
      <c r="AG140" s="291"/>
    </row>
    <row r="141" spans="3:33" ht="14.25" hidden="1" customHeight="1" outlineLevel="1">
      <c r="C141" s="9" t="str">
        <f t="shared" si="75"/>
        <v>Segment 5</v>
      </c>
      <c r="D141" s="9"/>
      <c r="E141" s="9"/>
      <c r="F141" s="290"/>
      <c r="G141" s="290"/>
      <c r="H141" s="290"/>
      <c r="I141" s="290"/>
      <c r="J141" s="291"/>
      <c r="K141" s="290"/>
      <c r="L141" s="290"/>
      <c r="M141" s="290"/>
      <c r="N141" s="290"/>
      <c r="O141" s="291"/>
      <c r="P141" s="290"/>
      <c r="Q141" s="290"/>
      <c r="R141" s="290"/>
      <c r="S141" s="290"/>
      <c r="T141" s="291"/>
      <c r="U141" s="290"/>
      <c r="V141" s="292"/>
      <c r="W141" s="292"/>
      <c r="X141" s="292"/>
      <c r="Y141" s="291"/>
      <c r="Z141" s="292"/>
      <c r="AA141" s="292"/>
      <c r="AB141" s="292"/>
      <c r="AC141" s="292"/>
      <c r="AD141" s="291"/>
      <c r="AE141" s="291"/>
      <c r="AF141" s="291"/>
      <c r="AG141" s="291"/>
    </row>
    <row r="142" spans="3:33" ht="14.25" hidden="1" customHeight="1" outlineLevel="1">
      <c r="C142" s="9" t="str">
        <f t="shared" si="75"/>
        <v>Segment 6</v>
      </c>
      <c r="D142" s="9"/>
      <c r="E142" s="9"/>
      <c r="F142" s="232"/>
      <c r="G142" s="232"/>
      <c r="H142" s="232"/>
      <c r="I142" s="232"/>
      <c r="J142" s="132"/>
      <c r="K142" s="232"/>
      <c r="L142" s="232"/>
      <c r="M142" s="232"/>
      <c r="N142" s="232"/>
      <c r="O142" s="132"/>
      <c r="P142" s="232"/>
      <c r="Q142" s="232"/>
      <c r="R142" s="232"/>
      <c r="S142" s="232"/>
      <c r="T142" s="132"/>
      <c r="U142" s="232"/>
      <c r="V142" s="235"/>
      <c r="W142" s="235"/>
      <c r="X142" s="235"/>
      <c r="Y142" s="132"/>
      <c r="Z142" s="235"/>
      <c r="AA142" s="235"/>
      <c r="AB142" s="235"/>
      <c r="AC142" s="235"/>
      <c r="AD142" s="132"/>
      <c r="AE142" s="132"/>
      <c r="AF142" s="132"/>
      <c r="AG142" s="132"/>
    </row>
    <row r="143" spans="3:33" ht="14.25" customHeight="1" collapsed="1">
      <c r="C143" s="9"/>
      <c r="D143" s="9"/>
      <c r="E143" s="9"/>
      <c r="F143" s="232"/>
      <c r="G143" s="232"/>
      <c r="H143" s="232"/>
      <c r="I143" s="232"/>
      <c r="J143" s="132"/>
      <c r="K143" s="232"/>
      <c r="L143" s="232"/>
      <c r="M143" s="232"/>
      <c r="N143" s="232"/>
      <c r="O143" s="132"/>
      <c r="P143" s="232"/>
      <c r="Q143" s="232"/>
      <c r="R143" s="232"/>
      <c r="S143" s="232"/>
      <c r="T143" s="132"/>
      <c r="U143" s="232"/>
      <c r="V143" s="235"/>
      <c r="W143" s="235"/>
      <c r="X143" s="235"/>
      <c r="Y143" s="132"/>
      <c r="Z143" s="235"/>
      <c r="AA143" s="235"/>
      <c r="AB143" s="235"/>
      <c r="AC143" s="235"/>
      <c r="AD143" s="132"/>
      <c r="AE143" s="132"/>
      <c r="AF143" s="132"/>
      <c r="AG143" s="132"/>
    </row>
    <row r="144" spans="3:33" ht="14.25" customHeight="1">
      <c r="C144" s="9" t="s">
        <v>108</v>
      </c>
      <c r="D144" s="9"/>
      <c r="E144" s="9"/>
      <c r="F144" s="290">
        <f>IFERROR(Model!F36/Model!F28,"N/A")</f>
        <v>0.46123873691046352</v>
      </c>
      <c r="G144" s="290">
        <f>IFERROR(Model!G36/Model!G28,"N/A")</f>
        <v>0.45495560104836297</v>
      </c>
      <c r="H144" s="290">
        <f>IFERROR(Model!H36/Model!H28,"N/A")</f>
        <v>0.45942521680280773</v>
      </c>
      <c r="I144" s="290">
        <f>IFERROR(Model!I36/Model!I28,"N/A")</f>
        <v>0.43663332978685676</v>
      </c>
      <c r="J144" s="291">
        <f>IFERROR(Model!J36/Model!J28,"N/A")</f>
        <v>0.45373170459552953</v>
      </c>
      <c r="K144" s="290">
        <f>IFERROR(Model!K36/Model!K28,"N/A")</f>
        <v>0.43938194294488836</v>
      </c>
      <c r="L144" s="290">
        <f>IFERROR(Model!L36/Model!L28,"N/A")</f>
        <v>0.43819950187584733</v>
      </c>
      <c r="M144" s="290">
        <f>IFERROR(Model!M36/Model!M28,"N/A")</f>
        <v>0.41028547707242308</v>
      </c>
      <c r="N144" s="290">
        <f>IFERROR(Model!N36/Model!N28,"N/A")</f>
        <v>0.47483655506184014</v>
      </c>
      <c r="O144" s="291">
        <f>IFERROR(Model!O36/Model!O28,"N/A")</f>
        <v>0.44383957879684099</v>
      </c>
      <c r="P144" s="290">
        <f>IFERROR(Model!P36/Model!P28,"N/A")</f>
        <v>0.45550014995094823</v>
      </c>
      <c r="Q144" s="290">
        <f>IFERROR(Model!Q36/Model!Q28,"N/A")</f>
        <v>0.44794965299768663</v>
      </c>
      <c r="R144" s="290">
        <f>IFERROR(Model!R36/Model!R28,"N/A")</f>
        <v>0.45002704132270699</v>
      </c>
      <c r="S144" s="290">
        <f>IFERROR(Model!S36/Model!S28,"N/A")</f>
        <v>0.42444171679976572</v>
      </c>
      <c r="T144" s="291">
        <f>IFERROR(Model!T36/Model!T28,"N/A")</f>
        <v>0.44399576977238686</v>
      </c>
      <c r="U144" s="290">
        <f>IFERROR(Model!U36/Model!U28,"N/A")</f>
        <v>0.43746234896964048</v>
      </c>
      <c r="V144" s="292">
        <f>IFERROR(Model!V36/Model!V28,"N/A")</f>
        <v>0.433</v>
      </c>
      <c r="W144" s="292">
        <f>IFERROR(Model!W36/Model!W28,"N/A")</f>
        <v>0.433</v>
      </c>
      <c r="X144" s="292">
        <f>IFERROR(Model!X36/Model!X28,"N/A")</f>
        <v>0.43300000000000005</v>
      </c>
      <c r="Y144" s="291">
        <f>IFERROR(Model!Y36/Model!Y28,"N/A")</f>
        <v>0.43402416863218435</v>
      </c>
      <c r="Z144" s="292">
        <f>IFERROR(Model!Z36/Model!Z28,"N/A")</f>
        <v>0.43</v>
      </c>
      <c r="AA144" s="292">
        <f>IFERROR(Model!AA36/Model!AA28,"N/A")</f>
        <v>0.43000000000000005</v>
      </c>
      <c r="AB144" s="292">
        <f>IFERROR(Model!AB36/Model!AB28,"N/A")</f>
        <v>0.43000000000000005</v>
      </c>
      <c r="AC144" s="292">
        <f>IFERROR(Model!AC36/Model!AC28,"N/A")</f>
        <v>0.43000000000000005</v>
      </c>
      <c r="AD144" s="291">
        <f>IFERROR(Model!AD36/Model!AD28,"N/A")</f>
        <v>0.4300000000000001</v>
      </c>
      <c r="AE144" s="291">
        <f>IFERROR(Model!AE36/Model!AE28,"N/A")</f>
        <v>0.41999999999999993</v>
      </c>
      <c r="AF144" s="291">
        <f>IFERROR(Model!AF36/Model!AF28,"N/A")</f>
        <v>0.42000000000000004</v>
      </c>
      <c r="AG144" s="291">
        <f>IFERROR(Model!AG36/Model!AG28,"N/A")</f>
        <v>0.42</v>
      </c>
    </row>
    <row r="145" spans="3:33" ht="14.25" hidden="1" customHeight="1" outlineLevel="1">
      <c r="C145" s="9" t="str">
        <f t="shared" ref="C145:C150" si="76">C16</f>
        <v>Management &amp; Advisory Fees</v>
      </c>
      <c r="D145" s="9"/>
      <c r="E145" s="9"/>
      <c r="F145" s="290">
        <f t="shared" ref="F145:AG145" si="77">IFERROR(F24/F8,"N/A")</f>
        <v>0.78670327880296942</v>
      </c>
      <c r="G145" s="290">
        <f t="shared" si="77"/>
        <v>0.78841515934539186</v>
      </c>
      <c r="H145" s="290">
        <f t="shared" si="77"/>
        <v>0.34586821426737202</v>
      </c>
      <c r="I145" s="290">
        <f t="shared" si="77"/>
        <v>0.71159553567696354</v>
      </c>
      <c r="J145" s="291">
        <f t="shared" si="77"/>
        <v>0.65239476918195183</v>
      </c>
      <c r="K145" s="290">
        <f t="shared" si="77"/>
        <v>0.64268976443689696</v>
      </c>
      <c r="L145" s="290">
        <f t="shared" si="77"/>
        <v>0.60777220105509966</v>
      </c>
      <c r="M145" s="290">
        <f t="shared" si="77"/>
        <v>0.44290352953599493</v>
      </c>
      <c r="N145" s="290">
        <f t="shared" si="77"/>
        <v>0.7859406324775271</v>
      </c>
      <c r="O145" s="291">
        <f t="shared" si="77"/>
        <v>0.6232276251504637</v>
      </c>
      <c r="P145" s="290">
        <f t="shared" si="77"/>
        <v>0.76287849559166065</v>
      </c>
      <c r="Q145" s="290">
        <f t="shared" si="77"/>
        <v>0.64361386841204515</v>
      </c>
      <c r="R145" s="290">
        <f t="shared" si="77"/>
        <v>0.71388638127365733</v>
      </c>
      <c r="S145" s="290">
        <f t="shared" si="77"/>
        <v>0.69038939908321462</v>
      </c>
      <c r="T145" s="291">
        <f t="shared" si="77"/>
        <v>0.70500423262919243</v>
      </c>
      <c r="U145" s="290">
        <f t="shared" si="77"/>
        <v>0.71392562230732404</v>
      </c>
      <c r="V145" s="292">
        <f t="shared" si="77"/>
        <v>1</v>
      </c>
      <c r="W145" s="292">
        <f t="shared" si="77"/>
        <v>1</v>
      </c>
      <c r="X145" s="292">
        <f t="shared" si="77"/>
        <v>1</v>
      </c>
      <c r="Y145" s="291">
        <f t="shared" si="77"/>
        <v>0.93470933891445951</v>
      </c>
      <c r="Z145" s="292">
        <f t="shared" si="77"/>
        <v>1</v>
      </c>
      <c r="AA145" s="292">
        <f t="shared" si="77"/>
        <v>1</v>
      </c>
      <c r="AB145" s="292">
        <f t="shared" si="77"/>
        <v>1</v>
      </c>
      <c r="AC145" s="292">
        <f t="shared" si="77"/>
        <v>1</v>
      </c>
      <c r="AD145" s="291">
        <f t="shared" si="77"/>
        <v>1</v>
      </c>
      <c r="AE145" s="291">
        <f t="shared" si="77"/>
        <v>1</v>
      </c>
      <c r="AF145" s="291">
        <f t="shared" si="77"/>
        <v>1</v>
      </c>
      <c r="AG145" s="291">
        <f t="shared" si="77"/>
        <v>1</v>
      </c>
    </row>
    <row r="146" spans="3:33" ht="14.25" hidden="1" customHeight="1" outlineLevel="1">
      <c r="C146" s="9" t="str">
        <f t="shared" si="76"/>
        <v>Incentive Fees</v>
      </c>
      <c r="D146" s="9"/>
      <c r="E146" s="9"/>
      <c r="F146" s="290">
        <f t="shared" ref="F146:AG146" si="78">IFERROR(F25/F9,"N/A")</f>
        <v>0</v>
      </c>
      <c r="G146" s="290">
        <f t="shared" si="78"/>
        <v>0</v>
      </c>
      <c r="H146" s="290">
        <f t="shared" si="78"/>
        <v>0</v>
      </c>
      <c r="I146" s="290">
        <f t="shared" si="78"/>
        <v>0</v>
      </c>
      <c r="J146" s="291">
        <f t="shared" si="78"/>
        <v>0</v>
      </c>
      <c r="K146" s="290">
        <f t="shared" si="78"/>
        <v>0</v>
      </c>
      <c r="L146" s="290">
        <f t="shared" si="78"/>
        <v>0</v>
      </c>
      <c r="M146" s="290">
        <f t="shared" si="78"/>
        <v>0</v>
      </c>
      <c r="N146" s="290">
        <f t="shared" si="78"/>
        <v>0</v>
      </c>
      <c r="O146" s="291">
        <f t="shared" si="78"/>
        <v>0</v>
      </c>
      <c r="P146" s="290">
        <f t="shared" si="78"/>
        <v>0</v>
      </c>
      <c r="Q146" s="290">
        <f t="shared" si="78"/>
        <v>0</v>
      </c>
      <c r="R146" s="290">
        <f t="shared" si="78"/>
        <v>0</v>
      </c>
      <c r="S146" s="290">
        <f t="shared" si="78"/>
        <v>0</v>
      </c>
      <c r="T146" s="291">
        <f t="shared" si="78"/>
        <v>0</v>
      </c>
      <c r="U146" s="290">
        <f t="shared" si="78"/>
        <v>0</v>
      </c>
      <c r="V146" s="292">
        <f t="shared" si="78"/>
        <v>0</v>
      </c>
      <c r="W146" s="292">
        <f t="shared" si="78"/>
        <v>0</v>
      </c>
      <c r="X146" s="292">
        <f t="shared" si="78"/>
        <v>0</v>
      </c>
      <c r="Y146" s="291">
        <f t="shared" si="78"/>
        <v>0</v>
      </c>
      <c r="Z146" s="292">
        <f t="shared" si="78"/>
        <v>0</v>
      </c>
      <c r="AA146" s="292">
        <f t="shared" si="78"/>
        <v>0</v>
      </c>
      <c r="AB146" s="292">
        <f t="shared" si="78"/>
        <v>0</v>
      </c>
      <c r="AC146" s="292">
        <f t="shared" si="78"/>
        <v>0</v>
      </c>
      <c r="AD146" s="291">
        <f t="shared" si="78"/>
        <v>0</v>
      </c>
      <c r="AE146" s="291">
        <f t="shared" si="78"/>
        <v>0</v>
      </c>
      <c r="AF146" s="291">
        <f t="shared" si="78"/>
        <v>0</v>
      </c>
      <c r="AG146" s="291">
        <f t="shared" si="78"/>
        <v>0</v>
      </c>
    </row>
    <row r="147" spans="3:33" ht="14.25" hidden="1" customHeight="1" outlineLevel="1">
      <c r="C147" s="9" t="str">
        <f t="shared" si="76"/>
        <v>Segment 3</v>
      </c>
      <c r="D147" s="9"/>
      <c r="E147" s="9"/>
      <c r="F147" s="290" t="str">
        <f t="shared" ref="F147:AG147" si="79">IFERROR(F26/F10,"N/A")</f>
        <v>N/A</v>
      </c>
      <c r="G147" s="290" t="str">
        <f t="shared" si="79"/>
        <v>N/A</v>
      </c>
      <c r="H147" s="290" t="str">
        <f t="shared" si="79"/>
        <v>N/A</v>
      </c>
      <c r="I147" s="290" t="str">
        <f t="shared" si="79"/>
        <v>N/A</v>
      </c>
      <c r="J147" s="291" t="str">
        <f t="shared" si="79"/>
        <v>N/A</v>
      </c>
      <c r="K147" s="290" t="str">
        <f t="shared" si="79"/>
        <v>N/A</v>
      </c>
      <c r="L147" s="290" t="str">
        <f t="shared" si="79"/>
        <v>N/A</v>
      </c>
      <c r="M147" s="290" t="str">
        <f t="shared" si="79"/>
        <v>N/A</v>
      </c>
      <c r="N147" s="290" t="str">
        <f t="shared" si="79"/>
        <v>N/A</v>
      </c>
      <c r="O147" s="291" t="str">
        <f t="shared" si="79"/>
        <v>N/A</v>
      </c>
      <c r="P147" s="290" t="str">
        <f t="shared" si="79"/>
        <v>N/A</v>
      </c>
      <c r="Q147" s="290" t="str">
        <f t="shared" si="79"/>
        <v>N/A</v>
      </c>
      <c r="R147" s="290" t="str">
        <f t="shared" si="79"/>
        <v>N/A</v>
      </c>
      <c r="S147" s="290" t="str">
        <f t="shared" si="79"/>
        <v>N/A</v>
      </c>
      <c r="T147" s="291" t="str">
        <f t="shared" si="79"/>
        <v>N/A</v>
      </c>
      <c r="U147" s="290" t="str">
        <f t="shared" si="79"/>
        <v>N/A</v>
      </c>
      <c r="V147" s="292" t="str">
        <f t="shared" si="79"/>
        <v>N/A</v>
      </c>
      <c r="W147" s="292" t="str">
        <f t="shared" si="79"/>
        <v>N/A</v>
      </c>
      <c r="X147" s="292" t="str">
        <f t="shared" si="79"/>
        <v>N/A</v>
      </c>
      <c r="Y147" s="291" t="str">
        <f t="shared" si="79"/>
        <v>N/A</v>
      </c>
      <c r="Z147" s="292" t="str">
        <f t="shared" si="79"/>
        <v>N/A</v>
      </c>
      <c r="AA147" s="292" t="str">
        <f t="shared" si="79"/>
        <v>N/A</v>
      </c>
      <c r="AB147" s="292" t="str">
        <f t="shared" si="79"/>
        <v>N/A</v>
      </c>
      <c r="AC147" s="292" t="str">
        <f t="shared" si="79"/>
        <v>N/A</v>
      </c>
      <c r="AD147" s="291" t="str">
        <f t="shared" si="79"/>
        <v>N/A</v>
      </c>
      <c r="AE147" s="291" t="str">
        <f t="shared" si="79"/>
        <v>N/A</v>
      </c>
      <c r="AF147" s="291" t="str">
        <f t="shared" si="79"/>
        <v>N/A</v>
      </c>
      <c r="AG147" s="291" t="str">
        <f t="shared" si="79"/>
        <v>N/A</v>
      </c>
    </row>
    <row r="148" spans="3:33" ht="14.25" hidden="1" customHeight="1" outlineLevel="1">
      <c r="C148" s="9" t="str">
        <f t="shared" si="76"/>
        <v>Segment 4</v>
      </c>
      <c r="D148" s="9"/>
      <c r="E148" s="9"/>
      <c r="F148" s="290" t="str">
        <f t="shared" ref="F148:AG148" si="80">IFERROR(F27/F11,"N/A")</f>
        <v>N/A</v>
      </c>
      <c r="G148" s="290" t="str">
        <f t="shared" si="80"/>
        <v>N/A</v>
      </c>
      <c r="H148" s="290" t="str">
        <f t="shared" si="80"/>
        <v>N/A</v>
      </c>
      <c r="I148" s="290" t="str">
        <f t="shared" si="80"/>
        <v>N/A</v>
      </c>
      <c r="J148" s="291" t="str">
        <f t="shared" si="80"/>
        <v>N/A</v>
      </c>
      <c r="K148" s="290" t="str">
        <f t="shared" si="80"/>
        <v>N/A</v>
      </c>
      <c r="L148" s="290" t="str">
        <f t="shared" si="80"/>
        <v>N/A</v>
      </c>
      <c r="M148" s="290" t="str">
        <f t="shared" si="80"/>
        <v>N/A</v>
      </c>
      <c r="N148" s="290" t="str">
        <f t="shared" si="80"/>
        <v>N/A</v>
      </c>
      <c r="O148" s="291" t="str">
        <f t="shared" si="80"/>
        <v>N/A</v>
      </c>
      <c r="P148" s="290" t="str">
        <f t="shared" si="80"/>
        <v>N/A</v>
      </c>
      <c r="Q148" s="290" t="str">
        <f t="shared" si="80"/>
        <v>N/A</v>
      </c>
      <c r="R148" s="290" t="str">
        <f t="shared" si="80"/>
        <v>N/A</v>
      </c>
      <c r="S148" s="290" t="str">
        <f t="shared" si="80"/>
        <v>N/A</v>
      </c>
      <c r="T148" s="291" t="str">
        <f t="shared" si="80"/>
        <v>N/A</v>
      </c>
      <c r="U148" s="290" t="str">
        <f t="shared" si="80"/>
        <v>N/A</v>
      </c>
      <c r="V148" s="292" t="str">
        <f t="shared" si="80"/>
        <v>N/A</v>
      </c>
      <c r="W148" s="292" t="str">
        <f t="shared" si="80"/>
        <v>N/A</v>
      </c>
      <c r="X148" s="292" t="str">
        <f t="shared" si="80"/>
        <v>N/A</v>
      </c>
      <c r="Y148" s="291" t="str">
        <f t="shared" si="80"/>
        <v>N/A</v>
      </c>
      <c r="Z148" s="292" t="str">
        <f t="shared" si="80"/>
        <v>N/A</v>
      </c>
      <c r="AA148" s="292" t="str">
        <f t="shared" si="80"/>
        <v>N/A</v>
      </c>
      <c r="AB148" s="292" t="str">
        <f t="shared" si="80"/>
        <v>N/A</v>
      </c>
      <c r="AC148" s="292" t="str">
        <f t="shared" si="80"/>
        <v>N/A</v>
      </c>
      <c r="AD148" s="291" t="str">
        <f t="shared" si="80"/>
        <v>N/A</v>
      </c>
      <c r="AE148" s="291" t="str">
        <f t="shared" si="80"/>
        <v>N/A</v>
      </c>
      <c r="AF148" s="291" t="str">
        <f t="shared" si="80"/>
        <v>N/A</v>
      </c>
      <c r="AG148" s="291" t="str">
        <f t="shared" si="80"/>
        <v>N/A</v>
      </c>
    </row>
    <row r="149" spans="3:33" ht="14.25" hidden="1" customHeight="1" outlineLevel="1">
      <c r="C149" s="9" t="str">
        <f t="shared" si="76"/>
        <v>Segment 5</v>
      </c>
      <c r="D149" s="9"/>
      <c r="E149" s="9"/>
      <c r="F149" s="290" t="str">
        <f t="shared" ref="F149:AG149" si="81">IFERROR(F28/F12,"N/A")</f>
        <v>N/A</v>
      </c>
      <c r="G149" s="290" t="str">
        <f t="shared" si="81"/>
        <v>N/A</v>
      </c>
      <c r="H149" s="290" t="str">
        <f t="shared" si="81"/>
        <v>N/A</v>
      </c>
      <c r="I149" s="290" t="str">
        <f t="shared" si="81"/>
        <v>N/A</v>
      </c>
      <c r="J149" s="291" t="str">
        <f t="shared" si="81"/>
        <v>N/A</v>
      </c>
      <c r="K149" s="290" t="str">
        <f t="shared" si="81"/>
        <v>N/A</v>
      </c>
      <c r="L149" s="290" t="str">
        <f t="shared" si="81"/>
        <v>N/A</v>
      </c>
      <c r="M149" s="290" t="str">
        <f t="shared" si="81"/>
        <v>N/A</v>
      </c>
      <c r="N149" s="290" t="str">
        <f t="shared" si="81"/>
        <v>N/A</v>
      </c>
      <c r="O149" s="291" t="str">
        <f t="shared" si="81"/>
        <v>N/A</v>
      </c>
      <c r="P149" s="290" t="str">
        <f t="shared" si="81"/>
        <v>N/A</v>
      </c>
      <c r="Q149" s="290" t="str">
        <f t="shared" si="81"/>
        <v>N/A</v>
      </c>
      <c r="R149" s="290" t="str">
        <f t="shared" si="81"/>
        <v>N/A</v>
      </c>
      <c r="S149" s="290" t="str">
        <f t="shared" si="81"/>
        <v>N/A</v>
      </c>
      <c r="T149" s="291" t="str">
        <f t="shared" si="81"/>
        <v>N/A</v>
      </c>
      <c r="U149" s="290" t="str">
        <f t="shared" si="81"/>
        <v>N/A</v>
      </c>
      <c r="V149" s="292" t="str">
        <f t="shared" si="81"/>
        <v>N/A</v>
      </c>
      <c r="W149" s="292" t="str">
        <f t="shared" si="81"/>
        <v>N/A</v>
      </c>
      <c r="X149" s="292" t="str">
        <f t="shared" si="81"/>
        <v>N/A</v>
      </c>
      <c r="Y149" s="291" t="str">
        <f t="shared" si="81"/>
        <v>N/A</v>
      </c>
      <c r="Z149" s="292" t="str">
        <f t="shared" si="81"/>
        <v>N/A</v>
      </c>
      <c r="AA149" s="292" t="str">
        <f t="shared" si="81"/>
        <v>N/A</v>
      </c>
      <c r="AB149" s="292" t="str">
        <f t="shared" si="81"/>
        <v>N/A</v>
      </c>
      <c r="AC149" s="292" t="str">
        <f t="shared" si="81"/>
        <v>N/A</v>
      </c>
      <c r="AD149" s="291" t="str">
        <f t="shared" si="81"/>
        <v>N/A</v>
      </c>
      <c r="AE149" s="291" t="str">
        <f t="shared" si="81"/>
        <v>N/A</v>
      </c>
      <c r="AF149" s="291" t="str">
        <f t="shared" si="81"/>
        <v>N/A</v>
      </c>
      <c r="AG149" s="291" t="str">
        <f t="shared" si="81"/>
        <v>N/A</v>
      </c>
    </row>
    <row r="150" spans="3:33" ht="14.25" hidden="1" customHeight="1" outlineLevel="1">
      <c r="C150" s="9" t="str">
        <f t="shared" si="76"/>
        <v>Segment 6</v>
      </c>
      <c r="D150" s="9"/>
      <c r="E150" s="9"/>
      <c r="F150" s="290" t="str">
        <f t="shared" ref="F150:AG150" si="82">IFERROR(F29/F13,"N/A")</f>
        <v>N/A</v>
      </c>
      <c r="G150" s="290" t="str">
        <f t="shared" si="82"/>
        <v>N/A</v>
      </c>
      <c r="H150" s="290" t="str">
        <f t="shared" si="82"/>
        <v>N/A</v>
      </c>
      <c r="I150" s="290" t="str">
        <f t="shared" si="82"/>
        <v>N/A</v>
      </c>
      <c r="J150" s="291" t="str">
        <f t="shared" si="82"/>
        <v>N/A</v>
      </c>
      <c r="K150" s="290" t="str">
        <f t="shared" si="82"/>
        <v>N/A</v>
      </c>
      <c r="L150" s="290" t="str">
        <f t="shared" si="82"/>
        <v>N/A</v>
      </c>
      <c r="M150" s="290" t="str">
        <f t="shared" si="82"/>
        <v>N/A</v>
      </c>
      <c r="N150" s="290" t="str">
        <f t="shared" si="82"/>
        <v>N/A</v>
      </c>
      <c r="O150" s="291" t="str">
        <f t="shared" si="82"/>
        <v>N/A</v>
      </c>
      <c r="P150" s="290" t="str">
        <f t="shared" si="82"/>
        <v>N/A</v>
      </c>
      <c r="Q150" s="290" t="str">
        <f t="shared" si="82"/>
        <v>N/A</v>
      </c>
      <c r="R150" s="290" t="str">
        <f t="shared" si="82"/>
        <v>N/A</v>
      </c>
      <c r="S150" s="290" t="str">
        <f t="shared" si="82"/>
        <v>N/A</v>
      </c>
      <c r="T150" s="291" t="str">
        <f t="shared" si="82"/>
        <v>N/A</v>
      </c>
      <c r="U150" s="290" t="str">
        <f t="shared" si="82"/>
        <v>N/A</v>
      </c>
      <c r="V150" s="292" t="str">
        <f t="shared" si="82"/>
        <v>N/A</v>
      </c>
      <c r="W150" s="292" t="str">
        <f t="shared" si="82"/>
        <v>N/A</v>
      </c>
      <c r="X150" s="292" t="str">
        <f t="shared" si="82"/>
        <v>N/A</v>
      </c>
      <c r="Y150" s="291" t="str">
        <f t="shared" si="82"/>
        <v>N/A</v>
      </c>
      <c r="Z150" s="292" t="str">
        <f t="shared" si="82"/>
        <v>N/A</v>
      </c>
      <c r="AA150" s="292" t="str">
        <f t="shared" si="82"/>
        <v>N/A</v>
      </c>
      <c r="AB150" s="292" t="str">
        <f t="shared" si="82"/>
        <v>N/A</v>
      </c>
      <c r="AC150" s="292" t="str">
        <f t="shared" si="82"/>
        <v>N/A</v>
      </c>
      <c r="AD150" s="291" t="str">
        <f t="shared" si="82"/>
        <v>N/A</v>
      </c>
      <c r="AE150" s="291" t="str">
        <f t="shared" si="82"/>
        <v>N/A</v>
      </c>
      <c r="AF150" s="291" t="str">
        <f t="shared" si="82"/>
        <v>N/A</v>
      </c>
      <c r="AG150" s="291" t="str">
        <f t="shared" si="82"/>
        <v>N/A</v>
      </c>
    </row>
    <row r="151" spans="3:33" ht="14.25" customHeight="1" collapsed="1">
      <c r="C151" s="9"/>
      <c r="D151" s="9"/>
      <c r="E151" s="9"/>
      <c r="F151" s="232"/>
      <c r="G151" s="232"/>
      <c r="H151" s="232"/>
      <c r="I151" s="232"/>
      <c r="J151" s="132"/>
      <c r="K151" s="232"/>
      <c r="L151" s="232"/>
      <c r="M151" s="232"/>
      <c r="N151" s="232"/>
      <c r="O151" s="132"/>
      <c r="P151" s="232"/>
      <c r="Q151" s="232"/>
      <c r="R151" s="232"/>
      <c r="S151" s="232"/>
      <c r="T151" s="132"/>
      <c r="U151" s="232"/>
      <c r="V151" s="235"/>
      <c r="W151" s="235"/>
      <c r="X151" s="235"/>
      <c r="Y151" s="132"/>
      <c r="Z151" s="235"/>
      <c r="AA151" s="235"/>
      <c r="AB151" s="235"/>
      <c r="AC151" s="235"/>
      <c r="AD151" s="132"/>
      <c r="AE151" s="132"/>
      <c r="AF151" s="132"/>
      <c r="AG151" s="132"/>
    </row>
    <row r="152" spans="3:33" ht="14.25" hidden="1" customHeight="1" outlineLevel="1">
      <c r="C152" s="9" t="s">
        <v>445</v>
      </c>
      <c r="D152" s="9"/>
      <c r="E152" s="9"/>
      <c r="F152" s="232"/>
      <c r="G152" s="290">
        <f>IFERROR((Model!G36-Model!F36)/('Segment Analysis'!G7-'Segment Analysis'!F7),"N/A")</f>
        <v>0.40731830134840291</v>
      </c>
      <c r="H152" s="290">
        <f>IFERROR((Model!H36-Model!G36)/('Segment Analysis'!H7-'Segment Analysis'!G7),"N/A")</f>
        <v>0.43336627641782027</v>
      </c>
      <c r="I152" s="290">
        <f>IFERROR((Model!I36-Model!H36)/('Segment Analysis'!I7-'Segment Analysis'!H7),"N/A")</f>
        <v>0.63936721265574648</v>
      </c>
      <c r="J152" s="291"/>
      <c r="K152" s="290">
        <f>IFERROR((Model!K36-Model!I36)/('Segment Analysis'!K7-'Segment Analysis'!I7),"N/A")</f>
        <v>0.4646909951832805</v>
      </c>
      <c r="L152" s="290">
        <f>IFERROR((Model!L36-Model!K36)/('Segment Analysis'!L7-'Segment Analysis'!K7),"N/A")</f>
        <v>0.35780315388798356</v>
      </c>
      <c r="M152" s="290">
        <f>IFERROR((Model!M36-Model!L36)/('Segment Analysis'!M7-'Segment Analysis'!L7),"N/A")</f>
        <v>2.6073200992555936</v>
      </c>
      <c r="N152" s="290">
        <f>IFERROR((Model!N36-Model!M36)/('Segment Analysis'!N7-'Segment Analysis'!M7),"N/A")</f>
        <v>0.6321472344896012</v>
      </c>
      <c r="O152" s="291"/>
      <c r="P152" s="290">
        <f>IFERROR((Model!P36-Model!N36)/('Segment Analysis'!P7-'Segment Analysis'!N7),"N/A")</f>
        <v>0.28525864646666016</v>
      </c>
      <c r="Q152" s="290">
        <f>IFERROR((Model!Q36-Model!P36)/('Segment Analysis'!Q7-'Segment Analysis'!P7),"N/A")</f>
        <v>0.47973551313874857</v>
      </c>
      <c r="R152" s="290">
        <f>IFERROR((Model!R36-Model!Q36)/('Segment Analysis'!R7-'Segment Analysis'!Q7),"N/A")</f>
        <v>0.46709013251560622</v>
      </c>
      <c r="S152" s="290">
        <f>IFERROR((Model!S36-Model!R36)/('Segment Analysis'!S7-'Segment Analysis'!R7),"N/A")</f>
        <v>0.27955035002692585</v>
      </c>
      <c r="T152" s="291"/>
      <c r="U152" s="290">
        <f>IFERROR((Model!U36-Model!S36)/('Segment Analysis'!U7-'Segment Analysis'!S7),"N/A")</f>
        <v>0.32037247331365076</v>
      </c>
      <c r="V152" s="292">
        <f>IFERROR((Model!V36-Model!U36)/('Segment Analysis'!V7-'Segment Analysis'!U7),"N/A")</f>
        <v>0.33426750043381792</v>
      </c>
      <c r="W152" s="292">
        <f>IFERROR((Model!W36-Model!V36)/('Segment Analysis'!W7-'Segment Analysis'!V7),"N/A")</f>
        <v>0.43299999999999994</v>
      </c>
      <c r="X152" s="292">
        <f>IFERROR((Model!X36-Model!W36)/('Segment Analysis'!X7-'Segment Analysis'!W7),"N/A")</f>
        <v>0.43300000000000033</v>
      </c>
      <c r="Y152" s="291"/>
      <c r="Z152" s="292">
        <f>IFERROR((Model!Z36-Model!X36)/('Segment Analysis'!Z7-'Segment Analysis'!X7),"N/A")</f>
        <v>0.38095358444791511</v>
      </c>
      <c r="AA152" s="292">
        <f>IFERROR((Model!AA36-Model!Z36)/('Segment Analysis'!AA7-'Segment Analysis'!Z7),"N/A")</f>
        <v>0.4300000000000011</v>
      </c>
      <c r="AB152" s="292">
        <f>IFERROR((Model!AB36-Model!AA36)/('Segment Analysis'!AB7-'Segment Analysis'!AA7),"N/A")</f>
        <v>0.42999999999999916</v>
      </c>
      <c r="AC152" s="292">
        <f>IFERROR((Model!AC36-Model!AB36)/('Segment Analysis'!AC7-'Segment Analysis'!AB7),"N/A")</f>
        <v>0.43000000000000027</v>
      </c>
      <c r="AD152" s="291"/>
      <c r="AE152" s="291">
        <f>IFERROR((Model!AE36-Model!AD36)/('Segment Analysis'!AE7-'Segment Analysis'!AD7),"N/A")</f>
        <v>0.27714285714285536</v>
      </c>
      <c r="AF152" s="291">
        <f>IFERROR((Model!AF36-Model!AE36)/('Segment Analysis'!AF7-'Segment Analysis'!AE7),"N/A")</f>
        <v>0.42000000000000148</v>
      </c>
      <c r="AG152" s="291">
        <f>IFERROR((Model!AG36-Model!AF36)/('Segment Analysis'!AG7-'Segment Analysis'!AF7),"N/A")</f>
        <v>0.41999999999999915</v>
      </c>
    </row>
    <row r="153" spans="3:33" ht="14.25" hidden="1" customHeight="1" outlineLevel="1">
      <c r="C153" s="9" t="str">
        <f t="shared" ref="C153:C158" si="83">C16</f>
        <v>Management &amp; Advisory Fees</v>
      </c>
      <c r="D153" s="9"/>
      <c r="E153" s="9"/>
      <c r="F153" s="232"/>
      <c r="G153" s="290"/>
      <c r="H153" s="290"/>
      <c r="I153" s="290"/>
      <c r="J153" s="291"/>
      <c r="K153" s="290"/>
      <c r="L153" s="290"/>
      <c r="M153" s="290"/>
      <c r="N153" s="290"/>
      <c r="O153" s="291"/>
      <c r="P153" s="290"/>
      <c r="Q153" s="290"/>
      <c r="R153" s="290"/>
      <c r="S153" s="290"/>
      <c r="T153" s="291"/>
      <c r="U153" s="290"/>
      <c r="V153" s="292"/>
      <c r="W153" s="292"/>
      <c r="X153" s="292"/>
      <c r="Y153" s="291"/>
      <c r="Z153" s="292"/>
      <c r="AA153" s="292"/>
      <c r="AB153" s="292"/>
      <c r="AC153" s="292"/>
      <c r="AD153" s="291"/>
      <c r="AE153" s="291"/>
      <c r="AF153" s="291"/>
      <c r="AG153" s="291"/>
    </row>
    <row r="154" spans="3:33" ht="14.25" hidden="1" customHeight="1" outlineLevel="1">
      <c r="C154" s="9" t="str">
        <f t="shared" si="83"/>
        <v>Incentive Fees</v>
      </c>
      <c r="D154" s="9"/>
      <c r="E154" s="9"/>
      <c r="F154" s="232"/>
      <c r="G154" s="290"/>
      <c r="H154" s="290"/>
      <c r="I154" s="290"/>
      <c r="J154" s="291"/>
      <c r="K154" s="290"/>
      <c r="L154" s="290"/>
      <c r="M154" s="290"/>
      <c r="N154" s="290"/>
      <c r="O154" s="291"/>
      <c r="P154" s="290"/>
      <c r="Q154" s="290"/>
      <c r="R154" s="290"/>
      <c r="S154" s="290"/>
      <c r="T154" s="291"/>
      <c r="U154" s="290"/>
      <c r="V154" s="292"/>
      <c r="W154" s="292"/>
      <c r="X154" s="292"/>
      <c r="Y154" s="291"/>
      <c r="Z154" s="292"/>
      <c r="AA154" s="292"/>
      <c r="AB154" s="292"/>
      <c r="AC154" s="292"/>
      <c r="AD154" s="291"/>
      <c r="AE154" s="291"/>
      <c r="AF154" s="291"/>
      <c r="AG154" s="291"/>
    </row>
    <row r="155" spans="3:33" ht="14.25" hidden="1" customHeight="1" outlineLevel="1">
      <c r="C155" s="9" t="str">
        <f t="shared" si="83"/>
        <v>Segment 3</v>
      </c>
      <c r="D155" s="9"/>
      <c r="E155" s="9"/>
      <c r="F155" s="232"/>
      <c r="G155" s="290"/>
      <c r="H155" s="290"/>
      <c r="I155" s="290"/>
      <c r="J155" s="291"/>
      <c r="K155" s="290"/>
      <c r="L155" s="290"/>
      <c r="M155" s="290"/>
      <c r="N155" s="290"/>
      <c r="O155" s="291"/>
      <c r="P155" s="290"/>
      <c r="Q155" s="290"/>
      <c r="R155" s="290"/>
      <c r="S155" s="290"/>
      <c r="T155" s="291"/>
      <c r="U155" s="290"/>
      <c r="V155" s="292"/>
      <c r="W155" s="292"/>
      <c r="X155" s="292"/>
      <c r="Y155" s="291"/>
      <c r="Z155" s="292"/>
      <c r="AA155" s="292"/>
      <c r="AB155" s="292"/>
      <c r="AC155" s="292"/>
      <c r="AD155" s="291"/>
      <c r="AE155" s="291"/>
      <c r="AF155" s="291"/>
      <c r="AG155" s="291"/>
    </row>
    <row r="156" spans="3:33" ht="14.25" hidden="1" customHeight="1" outlineLevel="1">
      <c r="C156" s="9" t="str">
        <f t="shared" si="83"/>
        <v>Segment 4</v>
      </c>
      <c r="D156" s="9"/>
      <c r="E156" s="9"/>
      <c r="F156" s="232"/>
      <c r="G156" s="290"/>
      <c r="H156" s="290"/>
      <c r="I156" s="290"/>
      <c r="J156" s="291"/>
      <c r="K156" s="290"/>
      <c r="L156" s="290"/>
      <c r="M156" s="290"/>
      <c r="N156" s="290"/>
      <c r="O156" s="291"/>
      <c r="P156" s="290"/>
      <c r="Q156" s="290"/>
      <c r="R156" s="290"/>
      <c r="S156" s="290"/>
      <c r="T156" s="291"/>
      <c r="U156" s="290"/>
      <c r="V156" s="292"/>
      <c r="W156" s="292"/>
      <c r="X156" s="292"/>
      <c r="Y156" s="291"/>
      <c r="Z156" s="292"/>
      <c r="AA156" s="292"/>
      <c r="AB156" s="292"/>
      <c r="AC156" s="292"/>
      <c r="AD156" s="291"/>
      <c r="AE156" s="291"/>
      <c r="AF156" s="291"/>
      <c r="AG156" s="291"/>
    </row>
    <row r="157" spans="3:33" ht="14.25" hidden="1" customHeight="1" outlineLevel="1">
      <c r="C157" s="9" t="str">
        <f t="shared" si="83"/>
        <v>Segment 5</v>
      </c>
      <c r="D157" s="9"/>
      <c r="E157" s="9"/>
      <c r="F157" s="232"/>
      <c r="G157" s="290"/>
      <c r="H157" s="290"/>
      <c r="I157" s="290"/>
      <c r="J157" s="291"/>
      <c r="K157" s="290"/>
      <c r="L157" s="290"/>
      <c r="M157" s="290"/>
      <c r="N157" s="290"/>
      <c r="O157" s="291"/>
      <c r="P157" s="290"/>
      <c r="Q157" s="290"/>
      <c r="R157" s="290"/>
      <c r="S157" s="290"/>
      <c r="T157" s="291"/>
      <c r="U157" s="290"/>
      <c r="V157" s="292"/>
      <c r="W157" s="292"/>
      <c r="X157" s="292"/>
      <c r="Y157" s="291"/>
      <c r="Z157" s="292"/>
      <c r="AA157" s="292"/>
      <c r="AB157" s="292"/>
      <c r="AC157" s="292"/>
      <c r="AD157" s="291"/>
      <c r="AE157" s="291"/>
      <c r="AF157" s="291"/>
      <c r="AG157" s="291"/>
    </row>
    <row r="158" spans="3:33" ht="14.25" hidden="1" customHeight="1" outlineLevel="1">
      <c r="C158" s="9" t="str">
        <f t="shared" si="83"/>
        <v>Segment 6</v>
      </c>
      <c r="D158" s="9"/>
      <c r="E158" s="9"/>
      <c r="F158" s="232"/>
      <c r="G158" s="290"/>
      <c r="H158" s="290"/>
      <c r="I158" s="290"/>
      <c r="J158" s="291"/>
      <c r="K158" s="290"/>
      <c r="L158" s="290"/>
      <c r="M158" s="290"/>
      <c r="N158" s="290"/>
      <c r="O158" s="291"/>
      <c r="P158" s="290"/>
      <c r="Q158" s="290"/>
      <c r="R158" s="290"/>
      <c r="S158" s="290"/>
      <c r="T158" s="291"/>
      <c r="U158" s="290"/>
      <c r="V158" s="292"/>
      <c r="W158" s="292"/>
      <c r="X158" s="292"/>
      <c r="Y158" s="291"/>
      <c r="Z158" s="292"/>
      <c r="AA158" s="292"/>
      <c r="AB158" s="292"/>
      <c r="AC158" s="292"/>
      <c r="AD158" s="291"/>
      <c r="AE158" s="291"/>
      <c r="AF158" s="291"/>
      <c r="AG158" s="291"/>
    </row>
    <row r="159" spans="3:33" ht="14.25" customHeight="1" collapsed="1">
      <c r="C159" s="9"/>
      <c r="D159" s="9"/>
      <c r="E159" s="9"/>
      <c r="F159" s="232"/>
      <c r="G159" s="232"/>
      <c r="H159" s="232"/>
      <c r="I159" s="232"/>
      <c r="J159" s="132"/>
      <c r="K159" s="232"/>
      <c r="L159" s="232"/>
      <c r="M159" s="232"/>
      <c r="N159" s="232"/>
      <c r="O159" s="132"/>
      <c r="P159" s="232"/>
      <c r="Q159" s="232"/>
      <c r="R159" s="232"/>
      <c r="S159" s="232"/>
      <c r="T159" s="132"/>
      <c r="U159" s="232"/>
      <c r="V159" s="235"/>
      <c r="W159" s="235"/>
      <c r="X159" s="235"/>
      <c r="Y159" s="132"/>
      <c r="Z159" s="235"/>
      <c r="AA159" s="235"/>
      <c r="AB159" s="235"/>
      <c r="AC159" s="235"/>
      <c r="AD159" s="132"/>
      <c r="AE159" s="132"/>
      <c r="AF159" s="132"/>
      <c r="AG159" s="132"/>
    </row>
    <row r="160" spans="3:33" ht="14.25" customHeight="1">
      <c r="C160" s="33" t="s">
        <v>446</v>
      </c>
      <c r="D160" s="34"/>
      <c r="E160" s="34"/>
      <c r="F160" s="398"/>
      <c r="G160" s="398"/>
      <c r="H160" s="398"/>
      <c r="I160" s="398"/>
      <c r="J160" s="398"/>
      <c r="K160" s="398"/>
      <c r="L160" s="398"/>
      <c r="M160" s="398"/>
      <c r="N160" s="398"/>
      <c r="O160" s="398"/>
      <c r="P160" s="398"/>
      <c r="Q160" s="398"/>
      <c r="R160" s="398"/>
      <c r="S160" s="398"/>
      <c r="T160" s="398"/>
      <c r="U160" s="398"/>
      <c r="V160" s="398"/>
      <c r="W160" s="398"/>
      <c r="X160" s="398"/>
      <c r="Y160" s="398"/>
      <c r="Z160" s="398"/>
      <c r="AA160" s="398"/>
      <c r="AB160" s="398"/>
      <c r="AC160" s="398"/>
      <c r="AD160" s="398"/>
      <c r="AE160" s="398"/>
      <c r="AF160" s="398"/>
      <c r="AG160" s="399"/>
    </row>
    <row r="161" spans="3:33" ht="14.25" customHeight="1">
      <c r="C161" s="9"/>
      <c r="D161" s="9"/>
      <c r="E161" s="9"/>
      <c r="F161" s="232"/>
      <c r="G161" s="232"/>
      <c r="H161" s="232"/>
      <c r="I161" s="232"/>
      <c r="J161" s="132"/>
      <c r="K161" s="232"/>
      <c r="L161" s="232"/>
      <c r="M161" s="232"/>
      <c r="N161" s="232"/>
      <c r="O161" s="132"/>
      <c r="P161" s="232"/>
      <c r="Q161" s="232"/>
      <c r="R161" s="232"/>
      <c r="S161" s="232"/>
      <c r="T161" s="132"/>
      <c r="U161" s="232"/>
      <c r="V161" s="235"/>
      <c r="W161" s="235"/>
      <c r="X161" s="235"/>
      <c r="Y161" s="132"/>
      <c r="Z161" s="235"/>
      <c r="AA161" s="235"/>
      <c r="AB161" s="235"/>
      <c r="AC161" s="235"/>
      <c r="AD161" s="132"/>
      <c r="AE161" s="132"/>
      <c r="AF161" s="132"/>
      <c r="AG161" s="132"/>
    </row>
    <row r="162" spans="3:33" ht="14.25" customHeight="1">
      <c r="C162" s="9" t="s">
        <v>447</v>
      </c>
      <c r="D162" s="9"/>
      <c r="E162" s="9"/>
      <c r="F162" s="377"/>
      <c r="G162" s="290"/>
      <c r="H162" s="290"/>
      <c r="I162" s="290"/>
      <c r="J162" s="291"/>
      <c r="K162" s="290">
        <f>IFERROR('Segment Analysis'!K7/'Segment Analysis'!F7-1,"N/A")</f>
        <v>-7.7278999918824587E-2</v>
      </c>
      <c r="L162" s="290">
        <f>IFERROR('Segment Analysis'!L7/'Segment Analysis'!G7-1,"N/A")</f>
        <v>-0.17281036888291978</v>
      </c>
      <c r="M162" s="290">
        <f>IFERROR('Segment Analysis'!M7/'Segment Analysis'!H7-1,"N/A")</f>
        <v>-1.4243669043234486E-2</v>
      </c>
      <c r="N162" s="290">
        <f>IFERROR('Segment Analysis'!N7/'Segment Analysis'!I7-1,"N/A")</f>
        <v>0.56634571053658189</v>
      </c>
      <c r="O162" s="291">
        <f>IFERROR('Segment Analysis'!O7/'Segment Analysis'!J7-1,"N/A")</f>
        <v>4.7449376173752E-2</v>
      </c>
      <c r="P162" s="290">
        <f>IFERROR('Segment Analysis'!P7/'Segment Analysis'!K7-1,"N/A")</f>
        <v>0.57338227884546167</v>
      </c>
      <c r="Q162" s="290">
        <f>IFERROR('Segment Analysis'!Q7/'Segment Analysis'!L7-1,"N/A")</f>
        <v>0.18224880986159708</v>
      </c>
      <c r="R162" s="290">
        <f>IFERROR('Segment Analysis'!R7/'Segment Analysis'!M7-1,"N/A")</f>
        <v>0.34325105377442822</v>
      </c>
      <c r="S162" s="290">
        <f>IFERROR('Segment Analysis'!S7/'Segment Analysis'!N7-1,"N/A")</f>
        <v>0.1206124586081001</v>
      </c>
      <c r="T162" s="291">
        <f>IFERROR('Segment Analysis'!T7/'Segment Analysis'!O7-1,"N/A")</f>
        <v>0.28730576590435541</v>
      </c>
      <c r="U162" s="290">
        <f>IFERROR('Segment Analysis'!U7/'Segment Analysis'!P7-1,"N/A")</f>
        <v>-0.10559088298234642</v>
      </c>
      <c r="V162" s="292">
        <f>IFERROR('Segment Analysis'!V7/'Segment Analysis'!Q7-1,"N/A")</f>
        <v>0.22607924052827033</v>
      </c>
      <c r="W162" s="292">
        <f>IFERROR('Segment Analysis'!W7/'Segment Analysis'!R7-1,"N/A")</f>
        <v>0.16017321304402099</v>
      </c>
      <c r="X162" s="292">
        <f>IFERROR('Segment Analysis'!X7/'Segment Analysis'!S7-1,"N/A")</f>
        <v>6.8713335454834601E-2</v>
      </c>
      <c r="Y162" s="291">
        <f>IFERROR('Segment Analysis'!Y7/'Segment Analysis'!T7-1,"N/A")</f>
        <v>7.530948289114181E-2</v>
      </c>
      <c r="Z162" s="292">
        <f>IFERROR('Segment Analysis'!Z7/'Segment Analysis'!U7-1,"N/A")</f>
        <v>0.27597371290762562</v>
      </c>
      <c r="AA162" s="292">
        <f>IFERROR('Segment Analysis'!AA7/'Segment Analysis'!V7-1,"N/A")</f>
        <v>0.29404597607527472</v>
      </c>
      <c r="AB162" s="292">
        <f>IFERROR('Segment Analysis'!AB7/'Segment Analysis'!W7-1,"N/A")</f>
        <v>0.27684633321800756</v>
      </c>
      <c r="AC162" s="292">
        <f>IFERROR('Segment Analysis'!AC7/'Segment Analysis'!X7-1,"N/A")</f>
        <v>0.23249133110567222</v>
      </c>
      <c r="AD162" s="291">
        <f>IFERROR('Segment Analysis'!AD7/'Segment Analysis'!Y7-1,"N/A")</f>
        <v>0.26853124801035166</v>
      </c>
      <c r="AE162" s="291">
        <f>IFERROR('Segment Analysis'!AE7/'Segment Analysis'!Z7-1,"N/A")</f>
        <v>3.6348456976930681</v>
      </c>
      <c r="AF162" s="291">
        <f>IFERROR('Segment Analysis'!AF7/'Segment Analysis'!AA7-1,"N/A")</f>
        <v>3.6129832179869679</v>
      </c>
      <c r="AG162" s="291">
        <f>IFERROR('Segment Analysis'!AG7/'Segment Analysis'!AB7-1,"N/A")</f>
        <v>3.6920559481084867</v>
      </c>
    </row>
    <row r="163" spans="3:33" ht="14.25" customHeight="1">
      <c r="C163" s="103" t="str">
        <f>'Segment Analysis'!C16</f>
        <v>Management &amp; Advisory Fees</v>
      </c>
      <c r="D163" s="9"/>
      <c r="E163" s="9"/>
      <c r="F163" s="377"/>
      <c r="G163" s="290"/>
      <c r="H163" s="290"/>
      <c r="I163" s="290"/>
      <c r="J163" s="291"/>
      <c r="K163" s="290">
        <f>IFERROR('Segment Analysis'!K8/'Segment Analysis'!F8-1,"N/A")</f>
        <v>0.22643287645731047</v>
      </c>
      <c r="L163" s="290">
        <f>IFERROR('Segment Analysis'!L8/'Segment Analysis'!G8-1,"N/A")</f>
        <v>0.17553832902670119</v>
      </c>
      <c r="M163" s="290">
        <f>IFERROR('Segment Analysis'!M8/'Segment Analysis'!H8-1,"N/A")</f>
        <v>0.16728467978018613</v>
      </c>
      <c r="N163" s="290">
        <f>IFERROR('Segment Analysis'!N8/'Segment Analysis'!I8-1,"N/A")</f>
        <v>0.29273084479371314</v>
      </c>
      <c r="O163" s="291">
        <f>IFERROR('Segment Analysis'!O8/'Segment Analysis'!J8-1,"N/A")</f>
        <v>0.2152966200826627</v>
      </c>
      <c r="P163" s="290">
        <f>IFERROR('Segment Analysis'!P8/'Segment Analysis'!K8-1,"N/A")</f>
        <v>0.3278245277827847</v>
      </c>
      <c r="Q163" s="290">
        <f>IFERROR('Segment Analysis'!Q8/'Segment Analysis'!L8-1,"N/A")</f>
        <v>9.7074662954278912E-2</v>
      </c>
      <c r="R163" s="290">
        <f>IFERROR('Segment Analysis'!R8/'Segment Analysis'!M8-1,"N/A")</f>
        <v>0.11123626156052824</v>
      </c>
      <c r="S163" s="290">
        <f>IFERROR('Segment Analysis'!S8/'Segment Analysis'!N8-1,"N/A")</f>
        <v>3.3418482829981278E-2</v>
      </c>
      <c r="T163" s="291">
        <f>IFERROR('Segment Analysis'!T8/'Segment Analysis'!O8-1,"N/A")</f>
        <v>0.13703046449054734</v>
      </c>
      <c r="U163" s="290">
        <f>IFERROR('Segment Analysis'!U8/'Segment Analysis'!P8-1,"N/A")</f>
        <v>-4.4769294522798986E-2</v>
      </c>
      <c r="V163" s="292">
        <f>IFERROR('Segment Analysis'!V8/'Segment Analysis'!Q8-1,"N/A")</f>
        <v>0.17195929305494118</v>
      </c>
      <c r="W163" s="292">
        <f>IFERROR('Segment Analysis'!W8/'Segment Analysis'!R8-1,"N/A")</f>
        <v>0.18390231386895994</v>
      </c>
      <c r="X163" s="292">
        <f>IFERROR('Segment Analysis'!X8/'Segment Analysis'!S8-1,"N/A")</f>
        <v>0.26889910605610212</v>
      </c>
      <c r="Y163" s="291">
        <f>IFERROR('Segment Analysis'!Y8/'Segment Analysis'!T8-1,"N/A")</f>
        <v>0.1399801035680579</v>
      </c>
      <c r="Z163" s="292">
        <f>IFERROR('Segment Analysis'!Z8/'Segment Analysis'!U8-1,"N/A")</f>
        <v>0.28609932500000013</v>
      </c>
      <c r="AA163" s="292">
        <f>IFERROR('Segment Analysis'!AA8/'Segment Analysis'!V8-1,"N/A")</f>
        <v>0.29834789000000006</v>
      </c>
      <c r="AB163" s="292">
        <f>IFERROR('Segment Analysis'!AB8/'Segment Analysis'!W8-1,"N/A")</f>
        <v>0.27396577</v>
      </c>
      <c r="AC163" s="292">
        <f>IFERROR('Segment Analysis'!AC8/'Segment Analysis'!X8-1,"N/A")</f>
        <v>0.22699928999999974</v>
      </c>
      <c r="AD163" s="291">
        <f>IFERROR('Segment Analysis'!AD8/'Segment Analysis'!Y8-1,"N/A")</f>
        <v>0.26957241550206956</v>
      </c>
      <c r="AE163" s="291">
        <f>IFERROR('Segment Analysis'!AE8/'Segment Analysis'!Z8-1,"N/A")</f>
        <v>3.6280137550000005</v>
      </c>
      <c r="AF163" s="291">
        <f>IFERROR('Segment Analysis'!AF8/'Segment Analysis'!AA8-1,"N/A")</f>
        <v>3.6061835014386796</v>
      </c>
      <c r="AG163" s="291">
        <f>IFERROR('Segment Analysis'!AG8/'Segment Analysis'!AB8-1,"N/A")</f>
        <v>3.7163792789850598</v>
      </c>
    </row>
    <row r="164" spans="3:33" ht="14.25" customHeight="1">
      <c r="C164" s="103" t="str">
        <f>'Segment Analysis'!C17</f>
        <v>Incentive Fees</v>
      </c>
      <c r="D164" s="9"/>
      <c r="E164" s="9"/>
      <c r="F164" s="377"/>
      <c r="G164" s="290"/>
      <c r="H164" s="290"/>
      <c r="I164" s="290"/>
      <c r="J164" s="291"/>
      <c r="K164" s="290">
        <f>IFERROR('Segment Analysis'!K9/'Segment Analysis'!F9-1,"N/A")</f>
        <v>-0.60393842180658952</v>
      </c>
      <c r="L164" s="290">
        <f>IFERROR('Segment Analysis'!L9/'Segment Analysis'!G9-1,"N/A")</f>
        <v>-0.70757991471356319</v>
      </c>
      <c r="M164" s="290">
        <f>IFERROR('Segment Analysis'!M9/'Segment Analysis'!H9-1,"N/A")</f>
        <v>-0.60890339513442582</v>
      </c>
      <c r="N164" s="290">
        <f>IFERROR('Segment Analysis'!N9/'Segment Analysis'!I9-1,"N/A")</f>
        <v>2.0978591483387925</v>
      </c>
      <c r="O164" s="291">
        <f>IFERROR('Segment Analysis'!O9/'Segment Analysis'!J9-1,"N/A")</f>
        <v>-0.35042070372259049</v>
      </c>
      <c r="P164" s="290">
        <f>IFERROR('Segment Analysis'!P9/'Segment Analysis'!K9-1,"N/A")</f>
        <v>1.8919510952623533</v>
      </c>
      <c r="Q164" s="290">
        <f>IFERROR('Segment Analysis'!Q9/'Segment Analysis'!L9-1,"N/A")</f>
        <v>0.70789057200994798</v>
      </c>
      <c r="R164" s="290">
        <f>IFERROR('Segment Analysis'!R9/'Segment Analysis'!M9-1,"N/A")</f>
        <v>2.6117181450572136</v>
      </c>
      <c r="S164" s="290">
        <f>IFERROR('Segment Analysis'!S9/'Segment Analysis'!N9-1,"N/A")</f>
        <v>0.32427635429844615</v>
      </c>
      <c r="T164" s="291">
        <f>IFERROR('Segment Analysis'!T9/'Segment Analysis'!O9-1,"N/A")</f>
        <v>0.95375149647714541</v>
      </c>
      <c r="U164" s="290">
        <f>IFERROR('Segment Analysis'!U9/'Segment Analysis'!P9-1,"N/A")</f>
        <v>-0.25554439923197525</v>
      </c>
      <c r="V164" s="292">
        <f>IFERROR('Segment Analysis'!V9/'Segment Analysis'!Q9-1,"N/A")</f>
        <v>0.44062284882181624</v>
      </c>
      <c r="W164" s="292">
        <f>IFERROR('Segment Analysis'!W9/'Segment Analysis'!R9-1,"N/A")</f>
        <v>8.8790895447723894E-2</v>
      </c>
      <c r="X164" s="292">
        <f>IFERROR('Segment Analysis'!X9/'Segment Analysis'!S9-1,"N/A")</f>
        <v>-0.29617364739431096</v>
      </c>
      <c r="Y164" s="291">
        <f>IFERROR('Segment Analysis'!Y9/'Segment Analysis'!T9-1,"N/A")</f>
        <v>-9.1602297148654643E-2</v>
      </c>
      <c r="Z164" s="292">
        <f>IFERROR('Segment Analysis'!Z9/'Segment Analysis'!U9-1,"N/A")</f>
        <v>0.24394129999999992</v>
      </c>
      <c r="AA164" s="292">
        <f>IFERROR('Segment Analysis'!AA9/'Segment Analysis'!V9-1,"N/A")</f>
        <v>0.28017259999999999</v>
      </c>
      <c r="AB164" s="292">
        <f>IFERROR('Segment Analysis'!AB9/'Segment Analysis'!W9-1,"N/A")</f>
        <v>0.28626865999999995</v>
      </c>
      <c r="AC164" s="292">
        <f>IFERROR('Segment Analysis'!AC9/'Segment Analysis'!X9-1,"N/A")</f>
        <v>0.250538975</v>
      </c>
      <c r="AD164" s="291">
        <f>IFERROR('Segment Analysis'!AD9/'Segment Analysis'!Y9-1,"N/A")</f>
        <v>0.26515898216844414</v>
      </c>
      <c r="AE164" s="291">
        <f>IFERROR('Segment Analysis'!AE9/'Segment Analysis'!Z9-1,"N/A")</f>
        <v>3.6571910500000007</v>
      </c>
      <c r="AF164" s="291">
        <f>IFERROR('Segment Analysis'!AF9/'Segment Analysis'!AA9-1,"N/A")</f>
        <v>3.6352231676886788</v>
      </c>
      <c r="AG164" s="291">
        <f>IFERROR('Segment Analysis'!AG9/'Segment Analysis'!AB9-1,"N/A")</f>
        <v>3.6132552853773587</v>
      </c>
    </row>
    <row r="165" spans="3:33" ht="14.25" hidden="1" customHeight="1">
      <c r="C165" s="103" t="str">
        <f>'Segment Analysis'!C18</f>
        <v>Segment 3</v>
      </c>
      <c r="D165" s="9"/>
      <c r="E165" s="9"/>
      <c r="F165" s="377"/>
      <c r="G165" s="290"/>
      <c r="H165" s="290"/>
      <c r="I165" s="290"/>
      <c r="J165" s="291"/>
      <c r="K165" s="290" t="str">
        <f>IFERROR('Segment Analysis'!K10/'Segment Analysis'!F10-1,"N/A")</f>
        <v>N/A</v>
      </c>
      <c r="L165" s="290" t="str">
        <f>IFERROR('Segment Analysis'!L10/'Segment Analysis'!G10-1,"N/A")</f>
        <v>N/A</v>
      </c>
      <c r="M165" s="290" t="str">
        <f>IFERROR('Segment Analysis'!M10/'Segment Analysis'!H10-1,"N/A")</f>
        <v>N/A</v>
      </c>
      <c r="N165" s="290" t="str">
        <f>IFERROR('Segment Analysis'!N10/'Segment Analysis'!I10-1,"N/A")</f>
        <v>N/A</v>
      </c>
      <c r="O165" s="291" t="str">
        <f>IFERROR('Segment Analysis'!O10/'Segment Analysis'!J10-1,"N/A")</f>
        <v>N/A</v>
      </c>
      <c r="P165" s="290" t="str">
        <f>IFERROR('Segment Analysis'!P10/'Segment Analysis'!K10-1,"N/A")</f>
        <v>N/A</v>
      </c>
      <c r="Q165" s="290" t="str">
        <f>IFERROR('Segment Analysis'!Q10/'Segment Analysis'!L10-1,"N/A")</f>
        <v>N/A</v>
      </c>
      <c r="R165" s="290" t="str">
        <f>IFERROR('Segment Analysis'!R10/'Segment Analysis'!M10-1,"N/A")</f>
        <v>N/A</v>
      </c>
      <c r="S165" s="290" t="str">
        <f>IFERROR('Segment Analysis'!S10/'Segment Analysis'!N10-1,"N/A")</f>
        <v>N/A</v>
      </c>
      <c r="T165" s="291" t="str">
        <f>IFERROR('Segment Analysis'!T10/'Segment Analysis'!O10-1,"N/A")</f>
        <v>N/A</v>
      </c>
      <c r="U165" s="290" t="str">
        <f>IFERROR('Segment Analysis'!U10/'Segment Analysis'!P10-1,"N/A")</f>
        <v>N/A</v>
      </c>
      <c r="V165" s="292" t="str">
        <f>IFERROR('Segment Analysis'!V10/'Segment Analysis'!Q10-1,"N/A")</f>
        <v>N/A</v>
      </c>
      <c r="W165" s="292" t="str">
        <f>IFERROR('Segment Analysis'!W10/'Segment Analysis'!R10-1,"N/A")</f>
        <v>N/A</v>
      </c>
      <c r="X165" s="292" t="str">
        <f>IFERROR('Segment Analysis'!X10/'Segment Analysis'!S10-1,"N/A")</f>
        <v>N/A</v>
      </c>
      <c r="Y165" s="291" t="str">
        <f>IFERROR('Segment Analysis'!Y10/'Segment Analysis'!T10-1,"N/A")</f>
        <v>N/A</v>
      </c>
      <c r="Z165" s="292" t="str">
        <f>IFERROR('Segment Analysis'!Z10/'Segment Analysis'!U10-1,"N/A")</f>
        <v>N/A</v>
      </c>
      <c r="AA165" s="292" t="str">
        <f>IFERROR('Segment Analysis'!AA10/'Segment Analysis'!V10-1,"N/A")</f>
        <v>N/A</v>
      </c>
      <c r="AB165" s="292" t="str">
        <f>IFERROR('Segment Analysis'!AB10/'Segment Analysis'!W10-1,"N/A")</f>
        <v>N/A</v>
      </c>
      <c r="AC165" s="292" t="str">
        <f>IFERROR('Segment Analysis'!AC10/'Segment Analysis'!X10-1,"N/A")</f>
        <v>N/A</v>
      </c>
      <c r="AD165" s="291" t="str">
        <f>IFERROR('Segment Analysis'!AD10/'Segment Analysis'!Y10-1,"N/A")</f>
        <v>N/A</v>
      </c>
      <c r="AE165" s="291" t="str">
        <f>IFERROR('Segment Analysis'!AE10/'Segment Analysis'!Z10-1,"N/A")</f>
        <v>N/A</v>
      </c>
      <c r="AF165" s="291" t="str">
        <f>IFERROR('Segment Analysis'!AF10/'Segment Analysis'!AA10-1,"N/A")</f>
        <v>N/A</v>
      </c>
      <c r="AG165" s="291" t="str">
        <f>IFERROR('Segment Analysis'!AG10/'Segment Analysis'!AB10-1,"N/A")</f>
        <v>N/A</v>
      </c>
    </row>
    <row r="166" spans="3:33" ht="14.25" hidden="1" customHeight="1">
      <c r="C166" s="103" t="str">
        <f>'Segment Analysis'!C19</f>
        <v>Segment 4</v>
      </c>
      <c r="D166" s="9"/>
      <c r="E166" s="9"/>
      <c r="F166" s="377"/>
      <c r="G166" s="290"/>
      <c r="H166" s="290"/>
      <c r="I166" s="290"/>
      <c r="J166" s="291"/>
      <c r="K166" s="290" t="str">
        <f>IFERROR('Segment Analysis'!K11/'Segment Analysis'!F11-1,"N/A")</f>
        <v>N/A</v>
      </c>
      <c r="L166" s="290" t="str">
        <f>IFERROR('Segment Analysis'!L11/'Segment Analysis'!G11-1,"N/A")</f>
        <v>N/A</v>
      </c>
      <c r="M166" s="290" t="str">
        <f>IFERROR('Segment Analysis'!M11/'Segment Analysis'!H11-1,"N/A")</f>
        <v>N/A</v>
      </c>
      <c r="N166" s="290" t="str">
        <f>IFERROR('Segment Analysis'!N11/'Segment Analysis'!I11-1,"N/A")</f>
        <v>N/A</v>
      </c>
      <c r="O166" s="291" t="str">
        <f>IFERROR('Segment Analysis'!O11/'Segment Analysis'!J11-1,"N/A")</f>
        <v>N/A</v>
      </c>
      <c r="P166" s="290" t="str">
        <f>IFERROR('Segment Analysis'!P11/'Segment Analysis'!K11-1,"N/A")</f>
        <v>N/A</v>
      </c>
      <c r="Q166" s="290" t="str">
        <f>IFERROR('Segment Analysis'!Q11/'Segment Analysis'!L11-1,"N/A")</f>
        <v>N/A</v>
      </c>
      <c r="R166" s="290" t="str">
        <f>IFERROR('Segment Analysis'!R11/'Segment Analysis'!M11-1,"N/A")</f>
        <v>N/A</v>
      </c>
      <c r="S166" s="290" t="str">
        <f>IFERROR('Segment Analysis'!S11/'Segment Analysis'!N11-1,"N/A")</f>
        <v>N/A</v>
      </c>
      <c r="T166" s="291" t="str">
        <f>IFERROR('Segment Analysis'!T11/'Segment Analysis'!O11-1,"N/A")</f>
        <v>N/A</v>
      </c>
      <c r="U166" s="290" t="str">
        <f>IFERROR('Segment Analysis'!U11/'Segment Analysis'!P11-1,"N/A")</f>
        <v>N/A</v>
      </c>
      <c r="V166" s="292" t="str">
        <f>IFERROR('Segment Analysis'!V11/'Segment Analysis'!Q11-1,"N/A")</f>
        <v>N/A</v>
      </c>
      <c r="W166" s="292" t="str">
        <f>IFERROR('Segment Analysis'!W11/'Segment Analysis'!R11-1,"N/A")</f>
        <v>N/A</v>
      </c>
      <c r="X166" s="292" t="str">
        <f>IFERROR('Segment Analysis'!X11/'Segment Analysis'!S11-1,"N/A")</f>
        <v>N/A</v>
      </c>
      <c r="Y166" s="291" t="str">
        <f>IFERROR('Segment Analysis'!Y11/'Segment Analysis'!T11-1,"N/A")</f>
        <v>N/A</v>
      </c>
      <c r="Z166" s="292" t="str">
        <f>IFERROR('Segment Analysis'!Z11/'Segment Analysis'!U11-1,"N/A")</f>
        <v>N/A</v>
      </c>
      <c r="AA166" s="292" t="str">
        <f>IFERROR('Segment Analysis'!AA11/'Segment Analysis'!V11-1,"N/A")</f>
        <v>N/A</v>
      </c>
      <c r="AB166" s="292" t="str">
        <f>IFERROR('Segment Analysis'!AB11/'Segment Analysis'!W11-1,"N/A")</f>
        <v>N/A</v>
      </c>
      <c r="AC166" s="292" t="str">
        <f>IFERROR('Segment Analysis'!AC11/'Segment Analysis'!X11-1,"N/A")</f>
        <v>N/A</v>
      </c>
      <c r="AD166" s="291" t="str">
        <f>IFERROR('Segment Analysis'!AD11/'Segment Analysis'!Y11-1,"N/A")</f>
        <v>N/A</v>
      </c>
      <c r="AE166" s="291" t="str">
        <f>IFERROR('Segment Analysis'!AE11/'Segment Analysis'!Z11-1,"N/A")</f>
        <v>N/A</v>
      </c>
      <c r="AF166" s="291" t="str">
        <f>IFERROR('Segment Analysis'!AF11/'Segment Analysis'!AA11-1,"N/A")</f>
        <v>N/A</v>
      </c>
      <c r="AG166" s="291" t="str">
        <f>IFERROR('Segment Analysis'!AG11/'Segment Analysis'!AB11-1,"N/A")</f>
        <v>N/A</v>
      </c>
    </row>
    <row r="167" spans="3:33" ht="14.25" hidden="1" customHeight="1">
      <c r="C167" s="103" t="str">
        <f>'Segment Analysis'!C20</f>
        <v>Segment 5</v>
      </c>
      <c r="D167" s="9"/>
      <c r="E167" s="9"/>
      <c r="F167" s="377"/>
      <c r="G167" s="290"/>
      <c r="H167" s="290"/>
      <c r="I167" s="290"/>
      <c r="J167" s="291"/>
      <c r="K167" s="290" t="str">
        <f>IFERROR('Segment Analysis'!K12/'Segment Analysis'!F12-1,"N/A")</f>
        <v>N/A</v>
      </c>
      <c r="L167" s="290" t="str">
        <f>IFERROR('Segment Analysis'!L12/'Segment Analysis'!G12-1,"N/A")</f>
        <v>N/A</v>
      </c>
      <c r="M167" s="290" t="str">
        <f>IFERROR('Segment Analysis'!M12/'Segment Analysis'!H12-1,"N/A")</f>
        <v>N/A</v>
      </c>
      <c r="N167" s="290" t="str">
        <f>IFERROR('Segment Analysis'!N12/'Segment Analysis'!I12-1,"N/A")</f>
        <v>N/A</v>
      </c>
      <c r="O167" s="291" t="str">
        <f>IFERROR('Segment Analysis'!O12/'Segment Analysis'!J12-1,"N/A")</f>
        <v>N/A</v>
      </c>
      <c r="P167" s="290" t="str">
        <f>IFERROR('Segment Analysis'!P12/'Segment Analysis'!K12-1,"N/A")</f>
        <v>N/A</v>
      </c>
      <c r="Q167" s="290" t="str">
        <f>IFERROR('Segment Analysis'!Q12/'Segment Analysis'!L12-1,"N/A")</f>
        <v>N/A</v>
      </c>
      <c r="R167" s="290" t="str">
        <f>IFERROR('Segment Analysis'!R12/'Segment Analysis'!M12-1,"N/A")</f>
        <v>N/A</v>
      </c>
      <c r="S167" s="290" t="str">
        <f>IFERROR('Segment Analysis'!S12/'Segment Analysis'!N12-1,"N/A")</f>
        <v>N/A</v>
      </c>
      <c r="T167" s="291" t="str">
        <f>IFERROR('Segment Analysis'!T12/'Segment Analysis'!O12-1,"N/A")</f>
        <v>N/A</v>
      </c>
      <c r="U167" s="290" t="str">
        <f>IFERROR('Segment Analysis'!U12/'Segment Analysis'!P12-1,"N/A")</f>
        <v>N/A</v>
      </c>
      <c r="V167" s="292" t="str">
        <f>IFERROR('Segment Analysis'!V12/'Segment Analysis'!Q12-1,"N/A")</f>
        <v>N/A</v>
      </c>
      <c r="W167" s="292" t="str">
        <f>IFERROR('Segment Analysis'!W12/'Segment Analysis'!R12-1,"N/A")</f>
        <v>N/A</v>
      </c>
      <c r="X167" s="292" t="str">
        <f>IFERROR('Segment Analysis'!X12/'Segment Analysis'!S12-1,"N/A")</f>
        <v>N/A</v>
      </c>
      <c r="Y167" s="291" t="str">
        <f>IFERROR('Segment Analysis'!Y12/'Segment Analysis'!T12-1,"N/A")</f>
        <v>N/A</v>
      </c>
      <c r="Z167" s="292" t="str">
        <f>IFERROR('Segment Analysis'!Z12/'Segment Analysis'!U12-1,"N/A")</f>
        <v>N/A</v>
      </c>
      <c r="AA167" s="292" t="str">
        <f>IFERROR('Segment Analysis'!AA12/'Segment Analysis'!V12-1,"N/A")</f>
        <v>N/A</v>
      </c>
      <c r="AB167" s="292" t="str">
        <f>IFERROR('Segment Analysis'!AB12/'Segment Analysis'!W12-1,"N/A")</f>
        <v>N/A</v>
      </c>
      <c r="AC167" s="292" t="str">
        <f>IFERROR('Segment Analysis'!AC12/'Segment Analysis'!X12-1,"N/A")</f>
        <v>N/A</v>
      </c>
      <c r="AD167" s="291" t="str">
        <f>IFERROR('Segment Analysis'!AD12/'Segment Analysis'!Y12-1,"N/A")</f>
        <v>N/A</v>
      </c>
      <c r="AE167" s="291" t="str">
        <f>IFERROR('Segment Analysis'!AE12/'Segment Analysis'!Z12-1,"N/A")</f>
        <v>N/A</v>
      </c>
      <c r="AF167" s="291" t="str">
        <f>IFERROR('Segment Analysis'!AF12/'Segment Analysis'!AA12-1,"N/A")</f>
        <v>N/A</v>
      </c>
      <c r="AG167" s="291" t="str">
        <f>IFERROR('Segment Analysis'!AG12/'Segment Analysis'!AB12-1,"N/A")</f>
        <v>N/A</v>
      </c>
    </row>
    <row r="168" spans="3:33" ht="14.25" hidden="1" customHeight="1">
      <c r="C168" s="103" t="str">
        <f>'Segment Analysis'!C21</f>
        <v>Segment 6</v>
      </c>
      <c r="D168" s="9"/>
      <c r="E168" s="9"/>
      <c r="F168" s="377"/>
      <c r="G168" s="290"/>
      <c r="H168" s="290"/>
      <c r="I168" s="290"/>
      <c r="J168" s="291"/>
      <c r="K168" s="290" t="str">
        <f>IFERROR('Segment Analysis'!K13/'Segment Analysis'!F13-1,"N/A")</f>
        <v>N/A</v>
      </c>
      <c r="L168" s="290" t="str">
        <f>IFERROR('Segment Analysis'!L13/'Segment Analysis'!G13-1,"N/A")</f>
        <v>N/A</v>
      </c>
      <c r="M168" s="290" t="str">
        <f>IFERROR('Segment Analysis'!M13/'Segment Analysis'!H13-1,"N/A")</f>
        <v>N/A</v>
      </c>
      <c r="N168" s="290" t="str">
        <f>IFERROR('Segment Analysis'!N13/'Segment Analysis'!I13-1,"N/A")</f>
        <v>N/A</v>
      </c>
      <c r="O168" s="291" t="str">
        <f>IFERROR('Segment Analysis'!O13/'Segment Analysis'!J13-1,"N/A")</f>
        <v>N/A</v>
      </c>
      <c r="P168" s="290" t="str">
        <f>IFERROR('Segment Analysis'!P13/'Segment Analysis'!K13-1,"N/A")</f>
        <v>N/A</v>
      </c>
      <c r="Q168" s="290" t="str">
        <f>IFERROR('Segment Analysis'!Q13/'Segment Analysis'!L13-1,"N/A")</f>
        <v>N/A</v>
      </c>
      <c r="R168" s="290" t="str">
        <f>IFERROR('Segment Analysis'!R13/'Segment Analysis'!M13-1,"N/A")</f>
        <v>N/A</v>
      </c>
      <c r="S168" s="290" t="str">
        <f>IFERROR('Segment Analysis'!S13/'Segment Analysis'!N13-1,"N/A")</f>
        <v>N/A</v>
      </c>
      <c r="T168" s="291" t="str">
        <f>IFERROR('Segment Analysis'!T13/'Segment Analysis'!O13-1,"N/A")</f>
        <v>N/A</v>
      </c>
      <c r="U168" s="290" t="str">
        <f>IFERROR('Segment Analysis'!U13/'Segment Analysis'!P13-1,"N/A")</f>
        <v>N/A</v>
      </c>
      <c r="V168" s="292" t="str">
        <f>IFERROR('Segment Analysis'!V13/'Segment Analysis'!Q13-1,"N/A")</f>
        <v>N/A</v>
      </c>
      <c r="W168" s="292" t="str">
        <f>IFERROR('Segment Analysis'!W13/'Segment Analysis'!R13-1,"N/A")</f>
        <v>N/A</v>
      </c>
      <c r="X168" s="292" t="str">
        <f>IFERROR('Segment Analysis'!X13/'Segment Analysis'!S13-1,"N/A")</f>
        <v>N/A</v>
      </c>
      <c r="Y168" s="291" t="str">
        <f>IFERROR('Segment Analysis'!Y13/'Segment Analysis'!T13-1,"N/A")</f>
        <v>N/A</v>
      </c>
      <c r="Z168" s="292" t="str">
        <f>IFERROR('Segment Analysis'!Z13/'Segment Analysis'!U13-1,"N/A")</f>
        <v>N/A</v>
      </c>
      <c r="AA168" s="292" t="str">
        <f>IFERROR('Segment Analysis'!AA13/'Segment Analysis'!V13-1,"N/A")</f>
        <v>N/A</v>
      </c>
      <c r="AB168" s="292" t="str">
        <f>IFERROR('Segment Analysis'!AB13/'Segment Analysis'!W13-1,"N/A")</f>
        <v>N/A</v>
      </c>
      <c r="AC168" s="292" t="str">
        <f>IFERROR('Segment Analysis'!AC13/'Segment Analysis'!X13-1,"N/A")</f>
        <v>N/A</v>
      </c>
      <c r="AD168" s="291" t="str">
        <f>IFERROR('Segment Analysis'!AD13/'Segment Analysis'!Y13-1,"N/A")</f>
        <v>N/A</v>
      </c>
      <c r="AE168" s="291" t="str">
        <f>IFERROR('Segment Analysis'!AE13/'Segment Analysis'!Z13-1,"N/A")</f>
        <v>N/A</v>
      </c>
      <c r="AF168" s="291" t="str">
        <f>IFERROR('Segment Analysis'!AF13/'Segment Analysis'!AA13-1,"N/A")</f>
        <v>N/A</v>
      </c>
      <c r="AG168" s="291" t="str">
        <f>IFERROR('Segment Analysis'!AG13/'Segment Analysis'!AB13-1,"N/A")</f>
        <v>N/A</v>
      </c>
    </row>
    <row r="169" spans="3:33" ht="14.25" hidden="1" customHeight="1">
      <c r="C169" s="9"/>
      <c r="D169" s="9"/>
      <c r="E169" s="9"/>
      <c r="F169" s="232"/>
      <c r="G169" s="232"/>
      <c r="H169" s="232"/>
      <c r="I169" s="232"/>
      <c r="J169" s="132"/>
      <c r="K169" s="232"/>
      <c r="L169" s="232"/>
      <c r="M169" s="232"/>
      <c r="N169" s="232"/>
      <c r="O169" s="132"/>
      <c r="P169" s="232"/>
      <c r="Q169" s="232"/>
      <c r="R169" s="232"/>
      <c r="S169" s="232"/>
      <c r="T169" s="132"/>
      <c r="U169" s="232"/>
      <c r="V169" s="235"/>
      <c r="W169" s="235"/>
      <c r="X169" s="235"/>
      <c r="Y169" s="132"/>
      <c r="Z169" s="235"/>
      <c r="AA169" s="235"/>
      <c r="AB169" s="235"/>
      <c r="AC169" s="235"/>
      <c r="AD169" s="132"/>
      <c r="AE169" s="132"/>
      <c r="AF169" s="132"/>
      <c r="AG169" s="132"/>
    </row>
    <row r="170" spans="3:33" ht="14.25" hidden="1" customHeight="1">
      <c r="C170" s="103" t="str">
        <f>C79</f>
        <v>North America</v>
      </c>
      <c r="D170" s="9"/>
      <c r="E170" s="9"/>
      <c r="F170" s="377"/>
      <c r="G170" s="377"/>
      <c r="H170" s="377"/>
      <c r="I170" s="377"/>
      <c r="J170" s="132"/>
      <c r="K170" s="290" t="str">
        <f t="shared" ref="K170:AG170" si="84">IFERROR(K79/F79-1,"N/A")</f>
        <v>N/A</v>
      </c>
      <c r="L170" s="290" t="str">
        <f t="shared" si="84"/>
        <v>N/A</v>
      </c>
      <c r="M170" s="290" t="str">
        <f t="shared" si="84"/>
        <v>N/A</v>
      </c>
      <c r="N170" s="290" t="str">
        <f t="shared" si="84"/>
        <v>N/A</v>
      </c>
      <c r="O170" s="291" t="str">
        <f t="shared" si="84"/>
        <v>N/A</v>
      </c>
      <c r="P170" s="290" t="str">
        <f t="shared" si="84"/>
        <v>N/A</v>
      </c>
      <c r="Q170" s="290" t="str">
        <f t="shared" si="84"/>
        <v>N/A</v>
      </c>
      <c r="R170" s="290" t="str">
        <f t="shared" si="84"/>
        <v>N/A</v>
      </c>
      <c r="S170" s="290" t="str">
        <f t="shared" si="84"/>
        <v>N/A</v>
      </c>
      <c r="T170" s="291" t="str">
        <f t="shared" si="84"/>
        <v>N/A</v>
      </c>
      <c r="U170" s="290" t="str">
        <f t="shared" si="84"/>
        <v>N/A</v>
      </c>
      <c r="V170" s="292" t="str">
        <f t="shared" ref="V170:W174" si="85">IFERROR(V79/Q79-1,"N/A")</f>
        <v>N/A</v>
      </c>
      <c r="W170" s="292" t="str">
        <f t="shared" si="85"/>
        <v>N/A</v>
      </c>
      <c r="X170" s="292" t="str">
        <f t="shared" si="84"/>
        <v>N/A</v>
      </c>
      <c r="Y170" s="291" t="str">
        <f t="shared" si="84"/>
        <v>N/A</v>
      </c>
      <c r="Z170" s="292" t="str">
        <f t="shared" si="84"/>
        <v>N/A</v>
      </c>
      <c r="AA170" s="292" t="str">
        <f t="shared" si="84"/>
        <v>N/A</v>
      </c>
      <c r="AB170" s="292" t="str">
        <f t="shared" si="84"/>
        <v>N/A</v>
      </c>
      <c r="AC170" s="292" t="str">
        <f t="shared" si="84"/>
        <v>N/A</v>
      </c>
      <c r="AD170" s="291" t="str">
        <f t="shared" si="84"/>
        <v>N/A</v>
      </c>
      <c r="AE170" s="291" t="str">
        <f t="shared" si="84"/>
        <v>N/A</v>
      </c>
      <c r="AF170" s="291" t="str">
        <f t="shared" si="84"/>
        <v>N/A</v>
      </c>
      <c r="AG170" s="291" t="str">
        <f t="shared" si="84"/>
        <v>N/A</v>
      </c>
    </row>
    <row r="171" spans="3:33" ht="14.25" hidden="1" customHeight="1">
      <c r="C171" s="103" t="str">
        <f>C80</f>
        <v>Europe</v>
      </c>
      <c r="D171" s="9"/>
      <c r="E171" s="9"/>
      <c r="F171" s="377"/>
      <c r="G171" s="377"/>
      <c r="H171" s="377"/>
      <c r="I171" s="377"/>
      <c r="J171" s="132"/>
      <c r="K171" s="290" t="str">
        <f t="shared" ref="K171:AG171" si="86">IFERROR(K80/F80-1,"N/A")</f>
        <v>N/A</v>
      </c>
      <c r="L171" s="290" t="str">
        <f t="shared" si="86"/>
        <v>N/A</v>
      </c>
      <c r="M171" s="290" t="str">
        <f t="shared" si="86"/>
        <v>N/A</v>
      </c>
      <c r="N171" s="290" t="str">
        <f t="shared" si="86"/>
        <v>N/A</v>
      </c>
      <c r="O171" s="291" t="str">
        <f t="shared" si="86"/>
        <v>N/A</v>
      </c>
      <c r="P171" s="290" t="str">
        <f t="shared" si="86"/>
        <v>N/A</v>
      </c>
      <c r="Q171" s="290" t="str">
        <f t="shared" si="86"/>
        <v>N/A</v>
      </c>
      <c r="R171" s="290" t="str">
        <f t="shared" si="86"/>
        <v>N/A</v>
      </c>
      <c r="S171" s="290" t="str">
        <f t="shared" si="86"/>
        <v>N/A</v>
      </c>
      <c r="T171" s="291" t="str">
        <f t="shared" si="86"/>
        <v>N/A</v>
      </c>
      <c r="U171" s="290" t="str">
        <f t="shared" si="86"/>
        <v>N/A</v>
      </c>
      <c r="V171" s="292" t="str">
        <f t="shared" si="85"/>
        <v>N/A</v>
      </c>
      <c r="W171" s="292" t="str">
        <f t="shared" si="85"/>
        <v>N/A</v>
      </c>
      <c r="X171" s="292" t="str">
        <f t="shared" si="86"/>
        <v>N/A</v>
      </c>
      <c r="Y171" s="291" t="str">
        <f t="shared" si="86"/>
        <v>N/A</v>
      </c>
      <c r="Z171" s="292" t="str">
        <f t="shared" si="86"/>
        <v>N/A</v>
      </c>
      <c r="AA171" s="292" t="str">
        <f t="shared" si="86"/>
        <v>N/A</v>
      </c>
      <c r="AB171" s="292" t="str">
        <f t="shared" si="86"/>
        <v>N/A</v>
      </c>
      <c r="AC171" s="292" t="str">
        <f t="shared" si="86"/>
        <v>N/A</v>
      </c>
      <c r="AD171" s="291" t="str">
        <f t="shared" si="86"/>
        <v>N/A</v>
      </c>
      <c r="AE171" s="291" t="str">
        <f t="shared" si="86"/>
        <v>N/A</v>
      </c>
      <c r="AF171" s="291" t="str">
        <f t="shared" si="86"/>
        <v>N/A</v>
      </c>
      <c r="AG171" s="291" t="str">
        <f t="shared" si="86"/>
        <v>N/A</v>
      </c>
    </row>
    <row r="172" spans="3:33" ht="14.25" hidden="1" customHeight="1" outlineLevel="1">
      <c r="C172" s="103" t="str">
        <f>C81</f>
        <v>South America</v>
      </c>
      <c r="D172" s="9"/>
      <c r="E172" s="9"/>
      <c r="F172" s="377"/>
      <c r="G172" s="377"/>
      <c r="H172" s="377"/>
      <c r="I172" s="377"/>
      <c r="J172" s="132"/>
      <c r="K172" s="290" t="str">
        <f t="shared" ref="K172:AG172" si="87">IFERROR(K81/F81-1,"N/A")</f>
        <v>N/A</v>
      </c>
      <c r="L172" s="290" t="str">
        <f t="shared" si="87"/>
        <v>N/A</v>
      </c>
      <c r="M172" s="290" t="str">
        <f t="shared" si="87"/>
        <v>N/A</v>
      </c>
      <c r="N172" s="290" t="str">
        <f t="shared" si="87"/>
        <v>N/A</v>
      </c>
      <c r="O172" s="291" t="str">
        <f t="shared" si="87"/>
        <v>N/A</v>
      </c>
      <c r="P172" s="290" t="str">
        <f t="shared" si="87"/>
        <v>N/A</v>
      </c>
      <c r="Q172" s="290" t="str">
        <f t="shared" si="87"/>
        <v>N/A</v>
      </c>
      <c r="R172" s="290" t="str">
        <f t="shared" si="87"/>
        <v>N/A</v>
      </c>
      <c r="S172" s="290" t="str">
        <f t="shared" si="87"/>
        <v>N/A</v>
      </c>
      <c r="T172" s="291" t="str">
        <f t="shared" si="87"/>
        <v>N/A</v>
      </c>
      <c r="U172" s="290" t="str">
        <f t="shared" si="87"/>
        <v>N/A</v>
      </c>
      <c r="V172" s="292" t="str">
        <f t="shared" si="85"/>
        <v>N/A</v>
      </c>
      <c r="W172" s="292" t="str">
        <f t="shared" si="85"/>
        <v>N/A</v>
      </c>
      <c r="X172" s="292" t="str">
        <f t="shared" si="87"/>
        <v>N/A</v>
      </c>
      <c r="Y172" s="291" t="str">
        <f t="shared" si="87"/>
        <v>N/A</v>
      </c>
      <c r="Z172" s="292" t="str">
        <f t="shared" si="87"/>
        <v>N/A</v>
      </c>
      <c r="AA172" s="292" t="str">
        <f t="shared" si="87"/>
        <v>N/A</v>
      </c>
      <c r="AB172" s="292" t="str">
        <f t="shared" si="87"/>
        <v>N/A</v>
      </c>
      <c r="AC172" s="292" t="str">
        <f t="shared" si="87"/>
        <v>N/A</v>
      </c>
      <c r="AD172" s="291" t="str">
        <f t="shared" si="87"/>
        <v>N/A</v>
      </c>
      <c r="AE172" s="291" t="str">
        <f t="shared" si="87"/>
        <v>N/A</v>
      </c>
      <c r="AF172" s="291" t="str">
        <f t="shared" si="87"/>
        <v>N/A</v>
      </c>
      <c r="AG172" s="291" t="str">
        <f t="shared" si="87"/>
        <v>N/A</v>
      </c>
    </row>
    <row r="173" spans="3:33" ht="14.25" hidden="1" customHeight="1" outlineLevel="1">
      <c r="C173" s="103" t="str">
        <f>C82</f>
        <v>Middle East &amp; Africa</v>
      </c>
      <c r="D173" s="9"/>
      <c r="E173" s="9"/>
      <c r="F173" s="377"/>
      <c r="G173" s="377"/>
      <c r="H173" s="377"/>
      <c r="I173" s="377"/>
      <c r="J173" s="132"/>
      <c r="K173" s="290" t="str">
        <f t="shared" ref="K173:AG173" si="88">IFERROR(K82/F82-1,"N/A")</f>
        <v>N/A</v>
      </c>
      <c r="L173" s="290" t="str">
        <f t="shared" si="88"/>
        <v>N/A</v>
      </c>
      <c r="M173" s="290" t="str">
        <f t="shared" si="88"/>
        <v>N/A</v>
      </c>
      <c r="N173" s="290" t="str">
        <f t="shared" si="88"/>
        <v>N/A</v>
      </c>
      <c r="O173" s="291" t="str">
        <f t="shared" si="88"/>
        <v>N/A</v>
      </c>
      <c r="P173" s="290" t="str">
        <f t="shared" si="88"/>
        <v>N/A</v>
      </c>
      <c r="Q173" s="290" t="str">
        <f t="shared" si="88"/>
        <v>N/A</v>
      </c>
      <c r="R173" s="290" t="str">
        <f t="shared" si="88"/>
        <v>N/A</v>
      </c>
      <c r="S173" s="290" t="str">
        <f t="shared" si="88"/>
        <v>N/A</v>
      </c>
      <c r="T173" s="291" t="str">
        <f t="shared" si="88"/>
        <v>N/A</v>
      </c>
      <c r="U173" s="290" t="str">
        <f t="shared" si="88"/>
        <v>N/A</v>
      </c>
      <c r="V173" s="292" t="str">
        <f t="shared" si="85"/>
        <v>N/A</v>
      </c>
      <c r="W173" s="292" t="str">
        <f t="shared" si="85"/>
        <v>N/A</v>
      </c>
      <c r="X173" s="292" t="str">
        <f t="shared" si="88"/>
        <v>N/A</v>
      </c>
      <c r="Y173" s="291" t="str">
        <f t="shared" si="88"/>
        <v>N/A</v>
      </c>
      <c r="Z173" s="292" t="str">
        <f t="shared" si="88"/>
        <v>N/A</v>
      </c>
      <c r="AA173" s="292" t="str">
        <f t="shared" si="88"/>
        <v>N/A</v>
      </c>
      <c r="AB173" s="292" t="str">
        <f t="shared" si="88"/>
        <v>N/A</v>
      </c>
      <c r="AC173" s="292" t="str">
        <f t="shared" si="88"/>
        <v>N/A</v>
      </c>
      <c r="AD173" s="291" t="str">
        <f t="shared" si="88"/>
        <v>N/A</v>
      </c>
      <c r="AE173" s="291" t="str">
        <f t="shared" si="88"/>
        <v>N/A</v>
      </c>
      <c r="AF173" s="291" t="str">
        <f t="shared" si="88"/>
        <v>N/A</v>
      </c>
      <c r="AG173" s="291" t="str">
        <f t="shared" si="88"/>
        <v>N/A</v>
      </c>
    </row>
    <row r="174" spans="3:33" ht="14.25" hidden="1" customHeight="1" outlineLevel="1">
      <c r="C174" s="103" t="str">
        <f>C83</f>
        <v>Asia Pacific</v>
      </c>
      <c r="D174" s="9"/>
      <c r="E174" s="9"/>
      <c r="F174" s="377"/>
      <c r="G174" s="377"/>
      <c r="H174" s="377"/>
      <c r="I174" s="377"/>
      <c r="J174" s="132"/>
      <c r="K174" s="290" t="str">
        <f t="shared" ref="K174:AG174" si="89">IFERROR(K83/F83-1,"N/A")</f>
        <v>N/A</v>
      </c>
      <c r="L174" s="290" t="str">
        <f t="shared" si="89"/>
        <v>N/A</v>
      </c>
      <c r="M174" s="290" t="str">
        <f t="shared" si="89"/>
        <v>N/A</v>
      </c>
      <c r="N174" s="290" t="str">
        <f t="shared" si="89"/>
        <v>N/A</v>
      </c>
      <c r="O174" s="291" t="str">
        <f t="shared" si="89"/>
        <v>N/A</v>
      </c>
      <c r="P174" s="290" t="str">
        <f t="shared" si="89"/>
        <v>N/A</v>
      </c>
      <c r="Q174" s="290" t="str">
        <f t="shared" si="89"/>
        <v>N/A</v>
      </c>
      <c r="R174" s="290" t="str">
        <f t="shared" si="89"/>
        <v>N/A</v>
      </c>
      <c r="S174" s="290" t="str">
        <f t="shared" si="89"/>
        <v>N/A</v>
      </c>
      <c r="T174" s="291" t="str">
        <f t="shared" si="89"/>
        <v>N/A</v>
      </c>
      <c r="U174" s="290" t="str">
        <f t="shared" si="89"/>
        <v>N/A</v>
      </c>
      <c r="V174" s="292" t="str">
        <f t="shared" si="85"/>
        <v>N/A</v>
      </c>
      <c r="W174" s="292" t="str">
        <f t="shared" si="85"/>
        <v>N/A</v>
      </c>
      <c r="X174" s="292" t="str">
        <f t="shared" si="89"/>
        <v>N/A</v>
      </c>
      <c r="Y174" s="291" t="str">
        <f t="shared" si="89"/>
        <v>N/A</v>
      </c>
      <c r="Z174" s="292" t="str">
        <f t="shared" si="89"/>
        <v>N/A</v>
      </c>
      <c r="AA174" s="292" t="str">
        <f t="shared" si="89"/>
        <v>N/A</v>
      </c>
      <c r="AB174" s="292" t="str">
        <f t="shared" si="89"/>
        <v>N/A</v>
      </c>
      <c r="AC174" s="292" t="str">
        <f t="shared" si="89"/>
        <v>N/A</v>
      </c>
      <c r="AD174" s="291" t="str">
        <f t="shared" si="89"/>
        <v>N/A</v>
      </c>
      <c r="AE174" s="291" t="str">
        <f t="shared" si="89"/>
        <v>N/A</v>
      </c>
      <c r="AF174" s="291" t="str">
        <f t="shared" si="89"/>
        <v>N/A</v>
      </c>
      <c r="AG174" s="291" t="str">
        <f t="shared" si="89"/>
        <v>N/A</v>
      </c>
    </row>
    <row r="175" spans="3:33" ht="14.25" hidden="1" customHeight="1" outlineLevel="1">
      <c r="C175" s="9"/>
      <c r="D175" s="9"/>
      <c r="E175" s="9"/>
      <c r="F175" s="232"/>
      <c r="G175" s="232"/>
      <c r="H175" s="232"/>
      <c r="I175" s="232"/>
      <c r="J175" s="132"/>
      <c r="K175" s="232"/>
      <c r="L175" s="232"/>
      <c r="M175" s="232"/>
      <c r="N175" s="232"/>
      <c r="O175" s="132"/>
      <c r="P175" s="232"/>
      <c r="Q175" s="232"/>
      <c r="R175" s="232"/>
      <c r="S175" s="232"/>
      <c r="T175" s="132"/>
      <c r="U175" s="232"/>
      <c r="V175" s="235"/>
      <c r="W175" s="235"/>
      <c r="X175" s="235"/>
      <c r="Y175" s="132"/>
      <c r="Z175" s="235"/>
      <c r="AA175" s="235"/>
      <c r="AB175" s="235"/>
      <c r="AC175" s="235"/>
      <c r="AD175" s="132"/>
      <c r="AE175" s="132"/>
      <c r="AF175" s="132"/>
      <c r="AG175" s="132"/>
    </row>
    <row r="176" spans="3:33" ht="14.25" hidden="1" customHeight="1" outlineLevel="1">
      <c r="C176" s="9" t="s">
        <v>448</v>
      </c>
      <c r="D176" s="9"/>
      <c r="E176" s="9"/>
      <c r="F176" s="377"/>
      <c r="G176" s="290"/>
      <c r="H176" s="290"/>
      <c r="I176" s="290"/>
      <c r="J176" s="291"/>
      <c r="K176" s="290">
        <f>IFERROR(Model!K36/Model!F36-1,"N/A")</f>
        <v>-0.12100412786790826</v>
      </c>
      <c r="L176" s="290">
        <f>IFERROR(Model!L36/Model!G36-1,"N/A")</f>
        <v>-0.20327591642543918</v>
      </c>
      <c r="M176" s="290">
        <f>IFERROR(Model!M36/Model!H36-1,"N/A")</f>
        <v>-0.11967934773299505</v>
      </c>
      <c r="N176" s="290">
        <f>IFERROR(Model!N36/Model!I36-1,"N/A")</f>
        <v>0.70339310008731459</v>
      </c>
      <c r="O176" s="291">
        <f>IFERROR(Model!O36/Model!J36-1,"N/A")</f>
        <v>2.4613191503551235E-2</v>
      </c>
      <c r="P176" s="290">
        <f>IFERROR(Model!P36/Model!K36-1,"N/A")</f>
        <v>0.6310999472141825</v>
      </c>
      <c r="Q176" s="290">
        <f>IFERROR(Model!Q36/Model!L36-1,"N/A")</f>
        <v>0.20855441840387035</v>
      </c>
      <c r="R176" s="290">
        <f>IFERROR(Model!R36/Model!M36-1,"N/A")</f>
        <v>0.47336264933649819</v>
      </c>
      <c r="S176" s="290">
        <f>IFERROR(Model!S36/Model!N36-1,"N/A")</f>
        <v>1.6808325485477837E-3</v>
      </c>
      <c r="T176" s="291">
        <f>IFERROR(Model!T36/Model!O36-1,"N/A")</f>
        <v>0.28775877990537668</v>
      </c>
      <c r="U176" s="290">
        <f>IFERROR(Model!U36/Model!P36-1,"N/A")</f>
        <v>-0.14100947428329114</v>
      </c>
      <c r="V176" s="292">
        <f>IFERROR(Model!V36/Model!Q36-1,"N/A")</f>
        <v>0.18516067061554975</v>
      </c>
      <c r="W176" s="292">
        <f>IFERROR(Model!W36/Model!R36-1,"N/A")</f>
        <v>0.11627736807004574</v>
      </c>
      <c r="X176" s="292">
        <f>IFERROR(Model!X36/Model!S36-1,"N/A")</f>
        <v>9.0262469346884089E-2</v>
      </c>
      <c r="Y176" s="291">
        <f>IFERROR(Model!Y36/Model!T36-1,"N/A")</f>
        <v>5.1159349048279346E-2</v>
      </c>
      <c r="Z176" s="292">
        <f>IFERROR(Model!Z36/Model!U36-1,"N/A")</f>
        <v>0.25420781432405337</v>
      </c>
      <c r="AA176" s="292">
        <f>IFERROR(Model!AA36/Model!V36-1,"N/A")</f>
        <v>0.28508029956667036</v>
      </c>
      <c r="AB176" s="292">
        <f>IFERROR(Model!AB36/Model!W36-1,"N/A")</f>
        <v>0.26799982282619683</v>
      </c>
      <c r="AC176" s="292">
        <f>IFERROR(Model!AC36/Model!X36-1,"N/A")</f>
        <v>0.22395213019731885</v>
      </c>
      <c r="AD176" s="291">
        <f>IFERROR(Model!AD36/Model!Y36-1,"N/A")</f>
        <v>0.25676972866161041</v>
      </c>
      <c r="AE176" s="291">
        <f>IFERROR(Model!AE36/Model!Z36-1,"N/A")</f>
        <v>3.5270585884443912</v>
      </c>
      <c r="AF176" s="291">
        <f>IFERROR(Model!AF36/Model!AA36-1,"N/A")</f>
        <v>3.5057045384988985</v>
      </c>
      <c r="AG176" s="291">
        <f>IFERROR(Model!AG36/Model!AB36-1,"N/A")</f>
        <v>3.5829383679199172</v>
      </c>
    </row>
    <row r="177" spans="3:33" ht="14.25" customHeight="1" collapsed="1">
      <c r="C177" s="9"/>
      <c r="D177" s="9"/>
      <c r="E177" s="9"/>
      <c r="F177" s="232"/>
      <c r="G177" s="232"/>
      <c r="H177" s="232"/>
      <c r="I177" s="232"/>
      <c r="J177" s="132"/>
      <c r="K177" s="232"/>
      <c r="L177" s="232"/>
      <c r="M177" s="232"/>
      <c r="N177" s="232"/>
      <c r="O177" s="132"/>
      <c r="P177" s="232"/>
      <c r="Q177" s="232"/>
      <c r="R177" s="232"/>
      <c r="S177" s="232"/>
      <c r="T177" s="132"/>
      <c r="U177" s="232"/>
      <c r="V177" s="235"/>
      <c r="W177" s="235"/>
      <c r="X177" s="235"/>
      <c r="Y177" s="132"/>
      <c r="Z177" s="235"/>
      <c r="AA177" s="235"/>
      <c r="AB177" s="235"/>
      <c r="AC177" s="235"/>
      <c r="AD177" s="132"/>
      <c r="AE177" s="132"/>
      <c r="AF177" s="132"/>
      <c r="AG177" s="132"/>
    </row>
    <row r="178" spans="3:33" ht="14.25" customHeight="1">
      <c r="C178" s="9" t="s">
        <v>449</v>
      </c>
      <c r="D178" s="9"/>
      <c r="E178" s="9"/>
      <c r="F178" s="377"/>
      <c r="G178" s="290"/>
      <c r="H178" s="290"/>
      <c r="I178" s="290"/>
      <c r="J178" s="291"/>
      <c r="K178" s="290">
        <f>IFERROR(Model!K61/Model!F61-1,"N/A")</f>
        <v>-0.13213748118414492</v>
      </c>
      <c r="L178" s="290">
        <f>IFERROR(Model!L61/Model!G61-1,"N/A")</f>
        <v>-0.29485977325036195</v>
      </c>
      <c r="M178" s="290">
        <f>IFERROR(Model!M61/Model!H61-1,"N/A")</f>
        <v>-0.2122341116839227</v>
      </c>
      <c r="N178" s="290">
        <f>IFERROR(Model!N61/Model!I61-1,"N/A")</f>
        <v>0.91784898608900245</v>
      </c>
      <c r="O178" s="291">
        <f>IFERROR(Model!O61/Model!J61-1,"N/A")</f>
        <v>-1.4686619544263646E-2</v>
      </c>
      <c r="P178" s="290">
        <f>IFERROR(Model!P61/Model!K61-1,"N/A")</f>
        <v>0.77746943023154946</v>
      </c>
      <c r="Q178" s="290">
        <f>IFERROR(Model!Q61/Model!L61-1,"N/A")</f>
        <v>0.397848162475821</v>
      </c>
      <c r="R178" s="290">
        <f>IFERROR(Model!R61/Model!M61-1,"N/A")</f>
        <v>0.40890343158820874</v>
      </c>
      <c r="S178" s="290">
        <f>IFERROR(Model!S61/Model!N61-1,"N/A")</f>
        <v>0.10466962578037697</v>
      </c>
      <c r="T178" s="291">
        <f>IFERROR(Model!T61/Model!O61-1,"N/A")</f>
        <v>0.38082786211913144</v>
      </c>
      <c r="U178" s="290">
        <f>IFERROR(Model!U61/Model!P61-1,"N/A")</f>
        <v>-0.12747202706219085</v>
      </c>
      <c r="V178" s="292">
        <f ca="1">IFERROR(Model!V61/Model!Q61-1,"N/A")</f>
        <v>0.28433674608665571</v>
      </c>
      <c r="W178" s="292">
        <f ca="1">IFERROR(Model!W61/Model!R61-1,"N/A")</f>
        <v>0.23057525156618985</v>
      </c>
      <c r="X178" s="292">
        <f ca="1">IFERROR(Model!X61/Model!S61-1,"N/A")</f>
        <v>0.11623364432778471</v>
      </c>
      <c r="Y178" s="291">
        <f ca="1">IFERROR(Model!Y61/Model!T61-1,"N/A")</f>
        <v>0.11009782336981488</v>
      </c>
      <c r="Z178" s="292">
        <f ca="1">IFERROR(Model!Z61/Model!U61-1,"N/A")</f>
        <v>0.36217219437880499</v>
      </c>
      <c r="AA178" s="292">
        <f ca="1">IFERROR(Model!AA61/Model!V61-1,"N/A")</f>
        <v>0.30406181180341196</v>
      </c>
      <c r="AB178" s="292">
        <f ca="1">IFERROR(Model!AB61/Model!W61-1,"N/A")</f>
        <v>0.30550619673451096</v>
      </c>
      <c r="AC178" s="292">
        <f ca="1">IFERROR(Model!AC61/Model!X61-1,"N/A")</f>
        <v>0.26015561020943712</v>
      </c>
      <c r="AD178" s="291">
        <f ca="1">IFERROR(Model!AD61/Model!Y61-1,"N/A")</f>
        <v>0.30491346081632886</v>
      </c>
      <c r="AE178" s="291">
        <f ca="1">IFERROR(Model!AE61/Model!Z61-1,"N/A")</f>
        <v>3.7444872088212913</v>
      </c>
      <c r="AF178" s="291">
        <f ca="1">IFERROR(Model!AF61/Model!AA61-1,"N/A")</f>
        <v>3.6781743786712688</v>
      </c>
      <c r="AG178" s="291">
        <f ca="1">IFERROR(Model!AG61/Model!AB61-1,"N/A")</f>
        <v>3.6899248099034407</v>
      </c>
    </row>
    <row r="179" spans="3:33" ht="14.25" customHeight="1">
      <c r="C179" s="9"/>
      <c r="D179" s="9"/>
      <c r="E179" s="9"/>
      <c r="F179" s="232"/>
      <c r="G179" s="232"/>
      <c r="H179" s="232"/>
      <c r="I179" s="232"/>
      <c r="J179" s="132"/>
      <c r="K179" s="232"/>
      <c r="L179" s="232"/>
      <c r="M179" s="232"/>
      <c r="N179" s="232"/>
      <c r="O179" s="132"/>
      <c r="P179" s="232"/>
      <c r="Q179" s="232"/>
      <c r="R179" s="232"/>
      <c r="S179" s="232"/>
      <c r="T179" s="132"/>
      <c r="U179" s="232"/>
      <c r="V179" s="235"/>
      <c r="W179" s="235"/>
      <c r="X179" s="235"/>
      <c r="Y179" s="132"/>
      <c r="Z179" s="235"/>
      <c r="AA179" s="235"/>
      <c r="AB179" s="235"/>
      <c r="AC179" s="235"/>
      <c r="AD179" s="132"/>
      <c r="AE179" s="132"/>
      <c r="AF179" s="132"/>
      <c r="AG179" s="132"/>
    </row>
    <row r="180" spans="3:33" ht="14.25" customHeight="1">
      <c r="C180" s="33" t="s">
        <v>450</v>
      </c>
      <c r="D180" s="34"/>
      <c r="E180" s="34"/>
      <c r="F180" s="398"/>
      <c r="G180" s="398"/>
      <c r="H180" s="398"/>
      <c r="I180" s="398"/>
      <c r="J180" s="398"/>
      <c r="K180" s="398"/>
      <c r="L180" s="398"/>
      <c r="M180" s="398"/>
      <c r="N180" s="398"/>
      <c r="O180" s="398"/>
      <c r="P180" s="398"/>
      <c r="Q180" s="398"/>
      <c r="R180" s="398"/>
      <c r="S180" s="398"/>
      <c r="T180" s="398"/>
      <c r="U180" s="398"/>
      <c r="V180" s="398"/>
      <c r="W180" s="398"/>
      <c r="X180" s="398"/>
      <c r="Y180" s="398"/>
      <c r="Z180" s="398"/>
      <c r="AA180" s="398"/>
      <c r="AB180" s="398"/>
      <c r="AC180" s="398"/>
      <c r="AD180" s="398"/>
      <c r="AE180" s="398"/>
      <c r="AF180" s="398"/>
      <c r="AG180" s="399"/>
    </row>
    <row r="181" spans="3:33" ht="14.25" customHeight="1">
      <c r="C181" s="9"/>
      <c r="D181" s="9"/>
      <c r="E181" s="9"/>
      <c r="F181" s="232"/>
      <c r="G181" s="232"/>
      <c r="H181" s="232"/>
      <c r="I181" s="232"/>
      <c r="J181" s="132"/>
      <c r="K181" s="232"/>
      <c r="L181" s="232"/>
      <c r="M181" s="232"/>
      <c r="N181" s="232"/>
      <c r="O181" s="132"/>
      <c r="P181" s="232"/>
      <c r="Q181" s="232"/>
      <c r="R181" s="232"/>
      <c r="S181" s="232"/>
      <c r="T181" s="132"/>
      <c r="U181" s="232"/>
      <c r="V181" s="235"/>
      <c r="W181" s="235"/>
      <c r="X181" s="235"/>
      <c r="Y181" s="132"/>
      <c r="Z181" s="235"/>
      <c r="AA181" s="235"/>
      <c r="AB181" s="235"/>
      <c r="AC181" s="235"/>
      <c r="AD181" s="132"/>
      <c r="AE181" s="132"/>
      <c r="AF181" s="132"/>
      <c r="AG181" s="132"/>
    </row>
    <row r="182" spans="3:33" ht="14.25" customHeight="1">
      <c r="C182" s="9" t="s">
        <v>447</v>
      </c>
      <c r="D182" s="9"/>
      <c r="E182" s="9"/>
      <c r="F182" s="377"/>
      <c r="G182" s="290">
        <f>IFERROR('Segment Analysis'!G7/'Segment Analysis'!F7-1,"N/A")</f>
        <v>0.13189529846726034</v>
      </c>
      <c r="H182" s="290">
        <f>IFERROR('Segment Analysis'!H7/'Segment Analysis'!G7-1,"N/A")</f>
        <v>-0.17151947425382397</v>
      </c>
      <c r="I182" s="290">
        <f>IFERROR('Segment Analysis'!I7/'Segment Analysis'!H7-1,"N/A")</f>
        <v>-0.11242268284621548</v>
      </c>
      <c r="J182" s="291"/>
      <c r="K182" s="290">
        <f>IFERROR('Segment Analysis'!K7/'Segment Analysis'!I7-1,"N/A")</f>
        <v>0.1086019789339292</v>
      </c>
      <c r="L182" s="290">
        <f>IFERROR('Segment Analysis'!L7/'Segment Analysis'!K7-1,"N/A")</f>
        <v>1.4707646536625152E-2</v>
      </c>
      <c r="M182" s="290">
        <f>IFERROR('Segment Analysis'!M7/'Segment Analysis'!L7-1,"N/A")</f>
        <v>-1.2705318578769775E-2</v>
      </c>
      <c r="N182" s="290">
        <f>IFERROR('Segment Analysis'!N7/'Segment Analysis'!M7-1,"N/A")</f>
        <v>0.41034135904968694</v>
      </c>
      <c r="O182" s="291"/>
      <c r="P182" s="290">
        <f>IFERROR('Segment Analysis'!P7/'Segment Analysis'!N7-1,"N/A")</f>
        <v>0.11358220360569438</v>
      </c>
      <c r="Q182" s="290">
        <f>IFERROR('Segment Analysis'!Q7/'Segment Analysis'!P7-1,"N/A")</f>
        <v>-0.23754263435859113</v>
      </c>
      <c r="R182" s="290">
        <f>IFERROR('Segment Analysis'!R7/'Segment Analysis'!Q7-1,"N/A")</f>
        <v>0.12174747831652222</v>
      </c>
      <c r="S182" s="290">
        <f>IFERROR('Segment Analysis'!S7/'Segment Analysis'!R7-1,"N/A")</f>
        <v>0.1765828088505359</v>
      </c>
      <c r="T182" s="291"/>
      <c r="U182" s="290">
        <f>IFERROR('Segment Analysis'!U7/'Segment Analysis'!S7-1,"N/A")</f>
        <v>-0.11120203260040518</v>
      </c>
      <c r="V182" s="292">
        <f>IFERROR('Segment Analysis'!V7/'Segment Analysis'!U7-1,"N/A")</f>
        <v>4.5196353675308831E-2</v>
      </c>
      <c r="W182" s="292">
        <f>IFERROR('Segment Analysis'!W7/'Segment Analysis'!V7-1,"N/A")</f>
        <v>6.1449646257590418E-2</v>
      </c>
      <c r="X182" s="292">
        <f>IFERROR('Segment Analysis'!X7/'Segment Analysis'!W7-1,"N/A")</f>
        <v>8.3829314405799105E-2</v>
      </c>
      <c r="Y182" s="291"/>
      <c r="Z182" s="292">
        <f>IFERROR('Segment Analysis'!Z7/'Segment Analysis'!X7-1,"N/A")</f>
        <v>6.1166549404903403E-2</v>
      </c>
      <c r="AA182" s="292">
        <f>IFERROR('Segment Analysis'!AA7/'Segment Analysis'!Z7-1,"N/A")</f>
        <v>6.0000000000000053E-2</v>
      </c>
      <c r="AB182" s="292">
        <f>IFERROR('Segment Analysis'!AB7/'Segment Analysis'!AA7-1,"N/A")</f>
        <v>4.7341527099433733E-2</v>
      </c>
      <c r="AC182" s="292">
        <f>IFERROR('Segment Analysis'!AC7/'Segment Analysis'!AB7-1,"N/A")</f>
        <v>4.6179324521173015E-2</v>
      </c>
      <c r="AD182" s="291"/>
      <c r="AE182" s="291">
        <f>IFERROR('Segment Analysis'!AE7/'Segment Analysis'!AD7-1,"N/A")</f>
        <v>7.0000000000000284E-2</v>
      </c>
      <c r="AF182" s="291">
        <f>IFERROR('Segment Analysis'!AF7/'Segment Analysis'!AE7-1,"N/A")</f>
        <v>5.4999999999999716E-2</v>
      </c>
      <c r="AG182" s="291">
        <f>IFERROR('Segment Analysis'!AG7/'Segment Analysis'!AF7-1,"N/A")</f>
        <v>6.5294368027724037E-2</v>
      </c>
    </row>
    <row r="183" spans="3:33" ht="14.25" customHeight="1">
      <c r="C183" s="103" t="str">
        <f>'Segment Analysis'!C16</f>
        <v>Management &amp; Advisory Fees</v>
      </c>
      <c r="D183" s="9"/>
      <c r="E183" s="9"/>
      <c r="F183" s="377"/>
      <c r="G183" s="290">
        <f>IFERROR('Segment Analysis'!G8/'Segment Analysis'!F8-1,"N/A")</f>
        <v>8.0678565610964981E-2</v>
      </c>
      <c r="H183" s="290">
        <f>IFERROR('Segment Analysis'!H8/'Segment Analysis'!G8-1,"N/A")</f>
        <v>4.8180447889750067E-2</v>
      </c>
      <c r="I183" s="290">
        <f>IFERROR('Segment Analysis'!I8/'Segment Analysis'!H8-1,"N/A")</f>
        <v>-1.7081813979764715E-2</v>
      </c>
      <c r="J183" s="291"/>
      <c r="K183" s="290">
        <f>IFERROR('Segment Analysis'!K8/'Segment Analysis'!I8-1,"N/A")</f>
        <v>0.10152363833967315</v>
      </c>
      <c r="L183" s="290">
        <f>IFERROR('Segment Analysis'!L8/'Segment Analysis'!K8-1,"N/A")</f>
        <v>3.5832534841139685E-2</v>
      </c>
      <c r="M183" s="290">
        <f>IFERROR('Segment Analysis'!M8/'Segment Analysis'!L8-1,"N/A")</f>
        <v>4.0820999413833547E-2</v>
      </c>
      <c r="N183" s="290">
        <f>IFERROR('Segment Analysis'!N8/'Segment Analysis'!M8-1,"N/A")</f>
        <v>8.8550787127885E-2</v>
      </c>
      <c r="O183" s="291"/>
      <c r="P183" s="290">
        <f>IFERROR('Segment Analysis'!P8/'Segment Analysis'!N8-1,"N/A")</f>
        <v>0.131426631313458</v>
      </c>
      <c r="Q183" s="290">
        <f>IFERROR('Segment Analysis'!Q8/'Segment Analysis'!P8-1,"N/A")</f>
        <v>-0.14417484745859588</v>
      </c>
      <c r="R183" s="290">
        <f>IFERROR('Segment Analysis'!R8/'Segment Analysis'!Q8-1,"N/A")</f>
        <v>5.4256447075127667E-2</v>
      </c>
      <c r="S183" s="290">
        <f>IFERROR('Segment Analysis'!S8/'Segment Analysis'!R8-1,"N/A")</f>
        <v>1.2321629369189679E-2</v>
      </c>
      <c r="T183" s="291"/>
      <c r="U183" s="290">
        <f>IFERROR('Segment Analysis'!U8/'Segment Analysis'!S8-1,"N/A")</f>
        <v>4.5823620519720221E-2</v>
      </c>
      <c r="V183" s="292">
        <f>IFERROR('Segment Analysis'!V8/'Segment Analysis'!U8-1,"N/A")</f>
        <v>5.0000000000000044E-2</v>
      </c>
      <c r="W183" s="292">
        <f>IFERROR('Segment Analysis'!W8/'Segment Analysis'!V8-1,"N/A")</f>
        <v>6.4999999999999947E-2</v>
      </c>
      <c r="X183" s="292">
        <f>IFERROR('Segment Analysis'!X8/'Segment Analysis'!W8-1,"N/A")</f>
        <v>8.4999999999999964E-2</v>
      </c>
      <c r="Y183" s="291"/>
      <c r="Z183" s="292">
        <f>IFERROR('Segment Analysis'!Z8/'Segment Analysis'!X8-1,"N/A")</f>
        <v>6.0000000000000053E-2</v>
      </c>
      <c r="AA183" s="292">
        <f>IFERROR('Segment Analysis'!AA8/'Segment Analysis'!Z8-1,"N/A")</f>
        <v>6.0000000000000053E-2</v>
      </c>
      <c r="AB183" s="292">
        <f>IFERROR('Segment Analysis'!AB8/'Segment Analysis'!AA8-1,"N/A")</f>
        <v>4.4999999999999929E-2</v>
      </c>
      <c r="AC183" s="292">
        <f>IFERROR('Segment Analysis'!AC8/'Segment Analysis'!AB8-1,"N/A")</f>
        <v>4.4999999999999929E-2</v>
      </c>
      <c r="AD183" s="291"/>
      <c r="AE183" s="291">
        <f>IFERROR('Segment Analysis'!AE8/'Segment Analysis'!AD8-1,"N/A")</f>
        <v>7.0000000000000062E-2</v>
      </c>
      <c r="AF183" s="291">
        <f>IFERROR('Segment Analysis'!AF8/'Segment Analysis'!AE8-1,"N/A")</f>
        <v>5.4999999999999938E-2</v>
      </c>
      <c r="AG183" s="291">
        <f>IFERROR('Segment Analysis'!AG8/'Segment Analysis'!AF8-1,"N/A")</f>
        <v>7.0000000000000062E-2</v>
      </c>
    </row>
    <row r="184" spans="3:33" ht="14.25" customHeight="1">
      <c r="C184" s="103" t="str">
        <f>'Segment Analysis'!C17</f>
        <v>Incentive Fees</v>
      </c>
      <c r="D184" s="9"/>
      <c r="E184" s="9"/>
      <c r="F184" s="377"/>
      <c r="G184" s="290">
        <f>IFERROR('Segment Analysis'!G9/'Segment Analysis'!F9-1,"N/A")</f>
        <v>0.22070899663055088</v>
      </c>
      <c r="H184" s="290">
        <f>IFERROR('Segment Analysis'!H9/'Segment Analysis'!G9-1,"N/A")</f>
        <v>-0.50879309774883463</v>
      </c>
      <c r="I184" s="290">
        <f>IFERROR('Segment Analysis'!I9/'Segment Analysis'!H9-1,"N/A")</f>
        <v>-0.42474511255425829</v>
      </c>
      <c r="J184" s="291"/>
      <c r="K184" s="290">
        <f>IFERROR('Segment Analysis'!K9/'Segment Analysis'!I9-1,"N/A")</f>
        <v>0.14822180627047277</v>
      </c>
      <c r="L184" s="290">
        <f>IFERROR('Segment Analysis'!L9/'Segment Analysis'!K9-1,"N/A")</f>
        <v>-9.8726439123790199E-2</v>
      </c>
      <c r="M184" s="290">
        <f>IFERROR('Segment Analysis'!M9/'Segment Analysis'!L9-1,"N/A")</f>
        <v>-0.34303640063305441</v>
      </c>
      <c r="N184" s="290">
        <f>IFERROR('Segment Analysis'!N9/'Segment Analysis'!M9-1,"N/A")</f>
        <v>3.5565688720640107</v>
      </c>
      <c r="O184" s="291"/>
      <c r="P184" s="290">
        <f>IFERROR('Segment Analysis'!P9/'Segment Analysis'!N9-1,"N/A")</f>
        <v>7.1901965597326534E-2</v>
      </c>
      <c r="Q184" s="290">
        <f>IFERROR('Segment Analysis'!Q9/'Segment Analysis'!P9-1,"N/A")</f>
        <v>-0.467737673730381</v>
      </c>
      <c r="R184" s="290">
        <f>IFERROR('Segment Analysis'!R9/'Segment Analysis'!Q9-1,"N/A")</f>
        <v>0.38929706115965046</v>
      </c>
      <c r="S184" s="290">
        <f>IFERROR('Segment Analysis'!S9/'Segment Analysis'!R9-1,"N/A")</f>
        <v>0.67071631053622061</v>
      </c>
      <c r="T184" s="291"/>
      <c r="U184" s="290">
        <f>IFERROR('Segment Analysis'!U9/'Segment Analysis'!S9-1,"N/A")</f>
        <v>-0.39741926285021745</v>
      </c>
      <c r="V184" s="292">
        <f>IFERROR('Segment Analysis'!V9/'Segment Analysis'!U9-1,"N/A")</f>
        <v>3.0000000000000027E-2</v>
      </c>
      <c r="W184" s="292">
        <f>IFERROR('Segment Analysis'!W9/'Segment Analysis'!V9-1,"N/A")</f>
        <v>5.0000000000000044E-2</v>
      </c>
      <c r="X184" s="292">
        <f>IFERROR('Segment Analysis'!X9/'Segment Analysis'!W9-1,"N/A")</f>
        <v>8.0000000000000071E-2</v>
      </c>
      <c r="Y184" s="291"/>
      <c r="Z184" s="292">
        <f>IFERROR('Segment Analysis'!Z9/'Segment Analysis'!X9-1,"N/A")</f>
        <v>6.4999999999999947E-2</v>
      </c>
      <c r="AA184" s="292">
        <f>IFERROR('Segment Analysis'!AA9/'Segment Analysis'!Z9-1,"N/A")</f>
        <v>6.0000000000000053E-2</v>
      </c>
      <c r="AB184" s="292">
        <f>IFERROR('Segment Analysis'!AB9/'Segment Analysis'!AA9-1,"N/A")</f>
        <v>5.4999999999999938E-2</v>
      </c>
      <c r="AC184" s="292">
        <f>IFERROR('Segment Analysis'!AC9/'Segment Analysis'!AB9-1,"N/A")</f>
        <v>5.0000000000000044E-2</v>
      </c>
      <c r="AD184" s="291"/>
      <c r="AE184" s="291">
        <f>IFERROR('Segment Analysis'!AE9/'Segment Analysis'!AD9-1,"N/A")</f>
        <v>7.0000000000000062E-2</v>
      </c>
      <c r="AF184" s="291">
        <f>IFERROR('Segment Analysis'!AF9/'Segment Analysis'!AE9-1,"N/A")</f>
        <v>5.4999999999999938E-2</v>
      </c>
      <c r="AG184" s="291">
        <f>IFERROR('Segment Analysis'!AG9/'Segment Analysis'!AF9-1,"N/A")</f>
        <v>5.0000000000000044E-2</v>
      </c>
    </row>
    <row r="185" spans="3:33" ht="14.25" hidden="1" customHeight="1">
      <c r="C185" s="103" t="str">
        <f>'Segment Analysis'!C18</f>
        <v>Segment 3</v>
      </c>
      <c r="D185" s="9"/>
      <c r="E185" s="9"/>
      <c r="F185" s="377"/>
      <c r="G185" s="290" t="str">
        <f>IFERROR('Segment Analysis'!G10/'Segment Analysis'!F10-1,"N/A")</f>
        <v>N/A</v>
      </c>
      <c r="H185" s="290" t="str">
        <f>IFERROR('Segment Analysis'!H10/'Segment Analysis'!G10-1,"N/A")</f>
        <v>N/A</v>
      </c>
      <c r="I185" s="290" t="str">
        <f>IFERROR('Segment Analysis'!I10/'Segment Analysis'!H10-1,"N/A")</f>
        <v>N/A</v>
      </c>
      <c r="J185" s="291"/>
      <c r="K185" s="290" t="str">
        <f>IFERROR('Segment Analysis'!K10/'Segment Analysis'!I10-1,"N/A")</f>
        <v>N/A</v>
      </c>
      <c r="L185" s="290" t="str">
        <f>IFERROR('Segment Analysis'!L10/'Segment Analysis'!K10-1,"N/A")</f>
        <v>N/A</v>
      </c>
      <c r="M185" s="290" t="str">
        <f>IFERROR('Segment Analysis'!M10/'Segment Analysis'!L10-1,"N/A")</f>
        <v>N/A</v>
      </c>
      <c r="N185" s="290" t="str">
        <f>IFERROR('Segment Analysis'!N10/'Segment Analysis'!M10-1,"N/A")</f>
        <v>N/A</v>
      </c>
      <c r="O185" s="291"/>
      <c r="P185" s="290" t="str">
        <f>IFERROR('Segment Analysis'!P10/'Segment Analysis'!N10-1,"N/A")</f>
        <v>N/A</v>
      </c>
      <c r="Q185" s="290" t="str">
        <f>IFERROR('Segment Analysis'!Q10/'Segment Analysis'!P10-1,"N/A")</f>
        <v>N/A</v>
      </c>
      <c r="R185" s="290" t="str">
        <f>IFERROR('Segment Analysis'!R10/'Segment Analysis'!Q10-1,"N/A")</f>
        <v>N/A</v>
      </c>
      <c r="S185" s="290" t="str">
        <f>IFERROR('Segment Analysis'!S10/'Segment Analysis'!R10-1,"N/A")</f>
        <v>N/A</v>
      </c>
      <c r="T185" s="291"/>
      <c r="U185" s="290" t="str">
        <f>IFERROR('Segment Analysis'!U10/'Segment Analysis'!S10-1,"N/A")</f>
        <v>N/A</v>
      </c>
      <c r="V185" s="292" t="str">
        <f>IFERROR('Segment Analysis'!V10/'Segment Analysis'!U10-1,"N/A")</f>
        <v>N/A</v>
      </c>
      <c r="W185" s="292" t="str">
        <f>IFERROR('Segment Analysis'!W10/'Segment Analysis'!V10-1,"N/A")</f>
        <v>N/A</v>
      </c>
      <c r="X185" s="292" t="str">
        <f>IFERROR('Segment Analysis'!X10/'Segment Analysis'!W10-1,"N/A")</f>
        <v>N/A</v>
      </c>
      <c r="Y185" s="291"/>
      <c r="Z185" s="292" t="str">
        <f>IFERROR('Segment Analysis'!Z10/'Segment Analysis'!X10-1,"N/A")</f>
        <v>N/A</v>
      </c>
      <c r="AA185" s="292" t="str">
        <f>IFERROR('Segment Analysis'!AA10/'Segment Analysis'!Z10-1,"N/A")</f>
        <v>N/A</v>
      </c>
      <c r="AB185" s="292" t="str">
        <f>IFERROR('Segment Analysis'!AB10/'Segment Analysis'!AA10-1,"N/A")</f>
        <v>N/A</v>
      </c>
      <c r="AC185" s="292" t="str">
        <f>IFERROR('Segment Analysis'!AC10/'Segment Analysis'!AB10-1,"N/A")</f>
        <v>N/A</v>
      </c>
      <c r="AD185" s="291"/>
      <c r="AE185" s="291" t="str">
        <f>IFERROR('Segment Analysis'!AE10/'Segment Analysis'!AD10-1,"N/A")</f>
        <v>N/A</v>
      </c>
      <c r="AF185" s="291" t="str">
        <f>IFERROR('Segment Analysis'!AF10/'Segment Analysis'!AE10-1,"N/A")</f>
        <v>N/A</v>
      </c>
      <c r="AG185" s="291" t="str">
        <f>IFERROR('Segment Analysis'!AG10/'Segment Analysis'!AF10-1,"N/A")</f>
        <v>N/A</v>
      </c>
    </row>
    <row r="186" spans="3:33" ht="14.25" hidden="1" customHeight="1">
      <c r="C186" s="103" t="str">
        <f>'Segment Analysis'!C19</f>
        <v>Segment 4</v>
      </c>
      <c r="D186" s="9"/>
      <c r="E186" s="9"/>
      <c r="F186" s="377"/>
      <c r="G186" s="290" t="str">
        <f>IFERROR('Segment Analysis'!G11/'Segment Analysis'!F11-1,"N/A")</f>
        <v>N/A</v>
      </c>
      <c r="H186" s="290" t="str">
        <f>IFERROR('Segment Analysis'!H11/'Segment Analysis'!G11-1,"N/A")</f>
        <v>N/A</v>
      </c>
      <c r="I186" s="290" t="str">
        <f>IFERROR('Segment Analysis'!I11/'Segment Analysis'!H11-1,"N/A")</f>
        <v>N/A</v>
      </c>
      <c r="J186" s="291"/>
      <c r="K186" s="290" t="str">
        <f>IFERROR('Segment Analysis'!K11/'Segment Analysis'!I11-1,"N/A")</f>
        <v>N/A</v>
      </c>
      <c r="L186" s="290" t="str">
        <f>IFERROR('Segment Analysis'!L11/'Segment Analysis'!K11-1,"N/A")</f>
        <v>N/A</v>
      </c>
      <c r="M186" s="290" t="str">
        <f>IFERROR('Segment Analysis'!M11/'Segment Analysis'!L11-1,"N/A")</f>
        <v>N/A</v>
      </c>
      <c r="N186" s="290" t="str">
        <f>IFERROR('Segment Analysis'!N11/'Segment Analysis'!M11-1,"N/A")</f>
        <v>N/A</v>
      </c>
      <c r="O186" s="291"/>
      <c r="P186" s="290" t="str">
        <f>IFERROR('Segment Analysis'!P11/'Segment Analysis'!N11-1,"N/A")</f>
        <v>N/A</v>
      </c>
      <c r="Q186" s="290" t="str">
        <f>IFERROR('Segment Analysis'!Q11/'Segment Analysis'!P11-1,"N/A")</f>
        <v>N/A</v>
      </c>
      <c r="R186" s="290" t="str">
        <f>IFERROR('Segment Analysis'!R11/'Segment Analysis'!Q11-1,"N/A")</f>
        <v>N/A</v>
      </c>
      <c r="S186" s="290" t="str">
        <f>IFERROR('Segment Analysis'!S11/'Segment Analysis'!R11-1,"N/A")</f>
        <v>N/A</v>
      </c>
      <c r="T186" s="291"/>
      <c r="U186" s="290" t="str">
        <f>IFERROR('Segment Analysis'!U11/'Segment Analysis'!S11-1,"N/A")</f>
        <v>N/A</v>
      </c>
      <c r="V186" s="292" t="str">
        <f>IFERROR('Segment Analysis'!V11/'Segment Analysis'!U11-1,"N/A")</f>
        <v>N/A</v>
      </c>
      <c r="W186" s="292" t="str">
        <f>IFERROR('Segment Analysis'!W11/'Segment Analysis'!V11-1,"N/A")</f>
        <v>N/A</v>
      </c>
      <c r="X186" s="292" t="str">
        <f>IFERROR('Segment Analysis'!X11/'Segment Analysis'!W11-1,"N/A")</f>
        <v>N/A</v>
      </c>
      <c r="Y186" s="291"/>
      <c r="Z186" s="292" t="str">
        <f>IFERROR('Segment Analysis'!Z11/'Segment Analysis'!X11-1,"N/A")</f>
        <v>N/A</v>
      </c>
      <c r="AA186" s="292" t="str">
        <f>IFERROR('Segment Analysis'!AA11/'Segment Analysis'!Z11-1,"N/A")</f>
        <v>N/A</v>
      </c>
      <c r="AB186" s="292" t="str">
        <f>IFERROR('Segment Analysis'!AB11/'Segment Analysis'!AA11-1,"N/A")</f>
        <v>N/A</v>
      </c>
      <c r="AC186" s="292" t="str">
        <f>IFERROR('Segment Analysis'!AC11/'Segment Analysis'!AB11-1,"N/A")</f>
        <v>N/A</v>
      </c>
      <c r="AD186" s="291"/>
      <c r="AE186" s="291" t="str">
        <f>IFERROR('Segment Analysis'!AE11/'Segment Analysis'!AD11-1,"N/A")</f>
        <v>N/A</v>
      </c>
      <c r="AF186" s="291" t="str">
        <f>IFERROR('Segment Analysis'!AF11/'Segment Analysis'!AE11-1,"N/A")</f>
        <v>N/A</v>
      </c>
      <c r="AG186" s="291" t="str">
        <f>IFERROR('Segment Analysis'!AG11/'Segment Analysis'!AF11-1,"N/A")</f>
        <v>N/A</v>
      </c>
    </row>
    <row r="187" spans="3:33" ht="14.25" hidden="1" customHeight="1">
      <c r="C187" s="103" t="str">
        <f>'Segment Analysis'!C20</f>
        <v>Segment 5</v>
      </c>
      <c r="D187" s="9"/>
      <c r="E187" s="9"/>
      <c r="F187" s="377"/>
      <c r="G187" s="290" t="str">
        <f>IFERROR('Segment Analysis'!G12/'Segment Analysis'!F12-1,"N/A")</f>
        <v>N/A</v>
      </c>
      <c r="H187" s="290" t="str">
        <f>IFERROR('Segment Analysis'!H12/'Segment Analysis'!G12-1,"N/A")</f>
        <v>N/A</v>
      </c>
      <c r="I187" s="290" t="str">
        <f>IFERROR('Segment Analysis'!I12/'Segment Analysis'!H12-1,"N/A")</f>
        <v>N/A</v>
      </c>
      <c r="J187" s="291"/>
      <c r="K187" s="290" t="str">
        <f>IFERROR('Segment Analysis'!K12/'Segment Analysis'!I12-1,"N/A")</f>
        <v>N/A</v>
      </c>
      <c r="L187" s="290" t="str">
        <f>IFERROR('Segment Analysis'!L12/'Segment Analysis'!K12-1,"N/A")</f>
        <v>N/A</v>
      </c>
      <c r="M187" s="290" t="str">
        <f>IFERROR('Segment Analysis'!M12/'Segment Analysis'!L12-1,"N/A")</f>
        <v>N/A</v>
      </c>
      <c r="N187" s="290" t="str">
        <f>IFERROR('Segment Analysis'!N12/'Segment Analysis'!M12-1,"N/A")</f>
        <v>N/A</v>
      </c>
      <c r="O187" s="291"/>
      <c r="P187" s="290" t="str">
        <f>IFERROR('Segment Analysis'!P12/'Segment Analysis'!N12-1,"N/A")</f>
        <v>N/A</v>
      </c>
      <c r="Q187" s="290" t="str">
        <f>IFERROR('Segment Analysis'!Q12/'Segment Analysis'!P12-1,"N/A")</f>
        <v>N/A</v>
      </c>
      <c r="R187" s="290" t="str">
        <f>IFERROR('Segment Analysis'!R12/'Segment Analysis'!Q12-1,"N/A")</f>
        <v>N/A</v>
      </c>
      <c r="S187" s="290" t="str">
        <f>IFERROR('Segment Analysis'!S12/'Segment Analysis'!R12-1,"N/A")</f>
        <v>N/A</v>
      </c>
      <c r="T187" s="291"/>
      <c r="U187" s="290" t="str">
        <f>IFERROR('Segment Analysis'!U12/'Segment Analysis'!S12-1,"N/A")</f>
        <v>N/A</v>
      </c>
      <c r="V187" s="292" t="str">
        <f>IFERROR('Segment Analysis'!V12/'Segment Analysis'!U12-1,"N/A")</f>
        <v>N/A</v>
      </c>
      <c r="W187" s="292" t="str">
        <f>IFERROR('Segment Analysis'!W12/'Segment Analysis'!V12-1,"N/A")</f>
        <v>N/A</v>
      </c>
      <c r="X187" s="292" t="str">
        <f>IFERROR('Segment Analysis'!X12/'Segment Analysis'!W12-1,"N/A")</f>
        <v>N/A</v>
      </c>
      <c r="Y187" s="291"/>
      <c r="Z187" s="292" t="str">
        <f>IFERROR('Segment Analysis'!Z12/'Segment Analysis'!X12-1,"N/A")</f>
        <v>N/A</v>
      </c>
      <c r="AA187" s="292" t="str">
        <f>IFERROR('Segment Analysis'!AA12/'Segment Analysis'!Z12-1,"N/A")</f>
        <v>N/A</v>
      </c>
      <c r="AB187" s="292" t="str">
        <f>IFERROR('Segment Analysis'!AB12/'Segment Analysis'!AA12-1,"N/A")</f>
        <v>N/A</v>
      </c>
      <c r="AC187" s="292" t="str">
        <f>IFERROR('Segment Analysis'!AC12/'Segment Analysis'!AB12-1,"N/A")</f>
        <v>N/A</v>
      </c>
      <c r="AD187" s="291"/>
      <c r="AE187" s="291" t="str">
        <f>IFERROR('Segment Analysis'!AE12/'Segment Analysis'!AD12-1,"N/A")</f>
        <v>N/A</v>
      </c>
      <c r="AF187" s="291" t="str">
        <f>IFERROR('Segment Analysis'!AF12/'Segment Analysis'!AE12-1,"N/A")</f>
        <v>N/A</v>
      </c>
      <c r="AG187" s="291" t="str">
        <f>IFERROR('Segment Analysis'!AG12/'Segment Analysis'!AF12-1,"N/A")</f>
        <v>N/A</v>
      </c>
    </row>
    <row r="188" spans="3:33" ht="14.25" hidden="1" customHeight="1">
      <c r="C188" s="103" t="str">
        <f>'Segment Analysis'!C21</f>
        <v>Segment 6</v>
      </c>
      <c r="D188" s="9"/>
      <c r="E188" s="9"/>
      <c r="F188" s="377"/>
      <c r="G188" s="290" t="str">
        <f>IFERROR('Segment Analysis'!G13/'Segment Analysis'!F13-1,"N/A")</f>
        <v>N/A</v>
      </c>
      <c r="H188" s="290" t="str">
        <f>IFERROR('Segment Analysis'!H13/'Segment Analysis'!G13-1,"N/A")</f>
        <v>N/A</v>
      </c>
      <c r="I188" s="290" t="str">
        <f>IFERROR('Segment Analysis'!I13/'Segment Analysis'!H13-1,"N/A")</f>
        <v>N/A</v>
      </c>
      <c r="J188" s="291"/>
      <c r="K188" s="290" t="str">
        <f>IFERROR('Segment Analysis'!K13/'Segment Analysis'!I13-1,"N/A")</f>
        <v>N/A</v>
      </c>
      <c r="L188" s="290" t="str">
        <f>IFERROR('Segment Analysis'!L13/'Segment Analysis'!K13-1,"N/A")</f>
        <v>N/A</v>
      </c>
      <c r="M188" s="290" t="str">
        <f>IFERROR('Segment Analysis'!M13/'Segment Analysis'!L13-1,"N/A")</f>
        <v>N/A</v>
      </c>
      <c r="N188" s="290" t="str">
        <f>IFERROR('Segment Analysis'!N13/'Segment Analysis'!M13-1,"N/A")</f>
        <v>N/A</v>
      </c>
      <c r="O188" s="291"/>
      <c r="P188" s="290" t="str">
        <f>IFERROR('Segment Analysis'!P13/'Segment Analysis'!N13-1,"N/A")</f>
        <v>N/A</v>
      </c>
      <c r="Q188" s="290" t="str">
        <f>IFERROR('Segment Analysis'!Q13/'Segment Analysis'!P13-1,"N/A")</f>
        <v>N/A</v>
      </c>
      <c r="R188" s="290" t="str">
        <f>IFERROR('Segment Analysis'!R13/'Segment Analysis'!Q13-1,"N/A")</f>
        <v>N/A</v>
      </c>
      <c r="S188" s="290" t="str">
        <f>IFERROR('Segment Analysis'!S13/'Segment Analysis'!R13-1,"N/A")</f>
        <v>N/A</v>
      </c>
      <c r="T188" s="291"/>
      <c r="U188" s="290" t="str">
        <f>IFERROR('Segment Analysis'!U13/'Segment Analysis'!S13-1,"N/A")</f>
        <v>N/A</v>
      </c>
      <c r="V188" s="292" t="str">
        <f>IFERROR('Segment Analysis'!V13/'Segment Analysis'!U13-1,"N/A")</f>
        <v>N/A</v>
      </c>
      <c r="W188" s="292" t="str">
        <f>IFERROR('Segment Analysis'!W13/'Segment Analysis'!V13-1,"N/A")</f>
        <v>N/A</v>
      </c>
      <c r="X188" s="292" t="str">
        <f>IFERROR('Segment Analysis'!X13/'Segment Analysis'!W13-1,"N/A")</f>
        <v>N/A</v>
      </c>
      <c r="Y188" s="291"/>
      <c r="Z188" s="292" t="str">
        <f>IFERROR('Segment Analysis'!Z13/'Segment Analysis'!X13-1,"N/A")</f>
        <v>N/A</v>
      </c>
      <c r="AA188" s="292" t="str">
        <f>IFERROR('Segment Analysis'!AA13/'Segment Analysis'!Z13-1,"N/A")</f>
        <v>N/A</v>
      </c>
      <c r="AB188" s="292" t="str">
        <f>IFERROR('Segment Analysis'!AB13/'Segment Analysis'!AA13-1,"N/A")</f>
        <v>N/A</v>
      </c>
      <c r="AC188" s="292" t="str">
        <f>IFERROR('Segment Analysis'!AC13/'Segment Analysis'!AB13-1,"N/A")</f>
        <v>N/A</v>
      </c>
      <c r="AD188" s="291"/>
      <c r="AE188" s="291" t="str">
        <f>IFERROR('Segment Analysis'!AE13/'Segment Analysis'!AD13-1,"N/A")</f>
        <v>N/A</v>
      </c>
      <c r="AF188" s="291" t="str">
        <f>IFERROR('Segment Analysis'!AF13/'Segment Analysis'!AE13-1,"N/A")</f>
        <v>N/A</v>
      </c>
      <c r="AG188" s="291" t="str">
        <f>IFERROR('Segment Analysis'!AG13/'Segment Analysis'!AF13-1,"N/A")</f>
        <v>N/A</v>
      </c>
    </row>
    <row r="189" spans="3:33" ht="14.25" hidden="1" customHeight="1">
      <c r="C189" s="9"/>
      <c r="D189" s="9"/>
      <c r="E189" s="9"/>
      <c r="F189" s="232"/>
      <c r="G189" s="232"/>
      <c r="H189" s="232"/>
      <c r="I189" s="232"/>
      <c r="J189" s="132"/>
      <c r="K189" s="232"/>
      <c r="L189" s="232"/>
      <c r="M189" s="232"/>
      <c r="N189" s="232"/>
      <c r="O189" s="132"/>
      <c r="P189" s="232"/>
      <c r="Q189" s="232"/>
      <c r="R189" s="232"/>
      <c r="S189" s="232"/>
      <c r="T189" s="132"/>
      <c r="U189" s="232"/>
      <c r="V189" s="235"/>
      <c r="W189" s="235"/>
      <c r="X189" s="235"/>
      <c r="Y189" s="132"/>
      <c r="Z189" s="235"/>
      <c r="AA189" s="235"/>
      <c r="AB189" s="235"/>
      <c r="AC189" s="235"/>
      <c r="AD189" s="132"/>
      <c r="AE189" s="132"/>
      <c r="AF189" s="132"/>
      <c r="AG189" s="132"/>
    </row>
    <row r="190" spans="3:33" ht="14.25" hidden="1" customHeight="1">
      <c r="C190" s="103" t="str">
        <f>C79</f>
        <v>North America</v>
      </c>
      <c r="D190" s="9"/>
      <c r="E190" s="9"/>
      <c r="F190" s="377"/>
      <c r="G190" s="290" t="str">
        <f t="shared" ref="G190:I194" si="90">IFERROR(G78/F78-1,"N/A")</f>
        <v>N/A</v>
      </c>
      <c r="H190" s="290" t="str">
        <f t="shared" si="90"/>
        <v>N/A</v>
      </c>
      <c r="I190" s="290" t="str">
        <f t="shared" si="90"/>
        <v>N/A</v>
      </c>
      <c r="J190" s="132"/>
      <c r="K190" s="290" t="str">
        <f>IFERROR(K78/I78-1,"N/A")</f>
        <v>N/A</v>
      </c>
      <c r="L190" s="290" t="str">
        <f t="shared" ref="L190:N194" si="91">IFERROR(L78/K78-1,"N/A")</f>
        <v>N/A</v>
      </c>
      <c r="M190" s="290" t="str">
        <f t="shared" si="91"/>
        <v>N/A</v>
      </c>
      <c r="N190" s="290" t="str">
        <f t="shared" si="91"/>
        <v>N/A</v>
      </c>
      <c r="O190" s="291"/>
      <c r="P190" s="290" t="str">
        <f>IFERROR(P78/N78-1,"N/A")</f>
        <v>N/A</v>
      </c>
      <c r="Q190" s="290" t="str">
        <f t="shared" ref="Q190:S194" si="92">IFERROR(Q78/P78-1,"N/A")</f>
        <v>N/A</v>
      </c>
      <c r="R190" s="290" t="str">
        <f t="shared" si="92"/>
        <v>N/A</v>
      </c>
      <c r="S190" s="290" t="str">
        <f t="shared" si="92"/>
        <v>N/A</v>
      </c>
      <c r="T190" s="291"/>
      <c r="U190" s="290" t="str">
        <f>IFERROR(U78/S78-1,"N/A")</f>
        <v>N/A</v>
      </c>
      <c r="V190" s="292" t="str">
        <f t="shared" ref="V190:X194" si="93">IFERROR(V78/U78-1,"N/A")</f>
        <v>N/A</v>
      </c>
      <c r="W190" s="292" t="str">
        <f t="shared" si="93"/>
        <v>N/A</v>
      </c>
      <c r="X190" s="292" t="str">
        <f t="shared" si="93"/>
        <v>N/A</v>
      </c>
      <c r="Y190" s="291"/>
      <c r="Z190" s="292" t="str">
        <f>IFERROR(Z78/X78-1,"N/A")</f>
        <v>N/A</v>
      </c>
      <c r="AA190" s="292" t="str">
        <f t="shared" ref="AA190:AC194" si="94">IFERROR(AA78/Z78-1,"N/A")</f>
        <v>N/A</v>
      </c>
      <c r="AB190" s="292" t="str">
        <f t="shared" si="94"/>
        <v>N/A</v>
      </c>
      <c r="AC190" s="292" t="str">
        <f t="shared" si="94"/>
        <v>N/A</v>
      </c>
      <c r="AD190" s="291"/>
      <c r="AE190" s="291" t="str">
        <f t="shared" ref="AE190:AG194" si="95">IFERROR(AE78/AD78-1,"N/A")</f>
        <v>N/A</v>
      </c>
      <c r="AF190" s="291" t="str">
        <f t="shared" si="95"/>
        <v>N/A</v>
      </c>
      <c r="AG190" s="291" t="str">
        <f t="shared" si="95"/>
        <v>N/A</v>
      </c>
    </row>
    <row r="191" spans="3:33" ht="14.25" hidden="1" customHeight="1">
      <c r="C191" s="103" t="str">
        <f>C80</f>
        <v>Europe</v>
      </c>
      <c r="D191" s="9"/>
      <c r="E191" s="9"/>
      <c r="F191" s="377"/>
      <c r="G191" s="290" t="str">
        <f t="shared" si="90"/>
        <v>N/A</v>
      </c>
      <c r="H191" s="290" t="str">
        <f t="shared" si="90"/>
        <v>N/A</v>
      </c>
      <c r="I191" s="290" t="str">
        <f t="shared" si="90"/>
        <v>N/A</v>
      </c>
      <c r="J191" s="132"/>
      <c r="K191" s="290" t="str">
        <f>IFERROR(K79/I79-1,"N/A")</f>
        <v>N/A</v>
      </c>
      <c r="L191" s="290" t="str">
        <f t="shared" si="91"/>
        <v>N/A</v>
      </c>
      <c r="M191" s="290" t="str">
        <f t="shared" si="91"/>
        <v>N/A</v>
      </c>
      <c r="N191" s="290" t="str">
        <f t="shared" si="91"/>
        <v>N/A</v>
      </c>
      <c r="O191" s="291"/>
      <c r="P191" s="290" t="str">
        <f>IFERROR(P79/N79-1,"N/A")</f>
        <v>N/A</v>
      </c>
      <c r="Q191" s="290" t="str">
        <f t="shared" si="92"/>
        <v>N/A</v>
      </c>
      <c r="R191" s="290" t="str">
        <f t="shared" si="92"/>
        <v>N/A</v>
      </c>
      <c r="S191" s="290" t="str">
        <f t="shared" si="92"/>
        <v>N/A</v>
      </c>
      <c r="T191" s="291"/>
      <c r="U191" s="290" t="str">
        <f>IFERROR(U79/S79-1,"N/A")</f>
        <v>N/A</v>
      </c>
      <c r="V191" s="292" t="str">
        <f t="shared" si="93"/>
        <v>N/A</v>
      </c>
      <c r="W191" s="292" t="str">
        <f t="shared" si="93"/>
        <v>N/A</v>
      </c>
      <c r="X191" s="292" t="str">
        <f t="shared" si="93"/>
        <v>N/A</v>
      </c>
      <c r="Y191" s="291"/>
      <c r="Z191" s="292" t="str">
        <f>IFERROR(Z79/X79-1,"N/A")</f>
        <v>N/A</v>
      </c>
      <c r="AA191" s="292" t="str">
        <f t="shared" si="94"/>
        <v>N/A</v>
      </c>
      <c r="AB191" s="292" t="str">
        <f t="shared" si="94"/>
        <v>N/A</v>
      </c>
      <c r="AC191" s="292" t="str">
        <f t="shared" si="94"/>
        <v>N/A</v>
      </c>
      <c r="AD191" s="291"/>
      <c r="AE191" s="291" t="str">
        <f t="shared" si="95"/>
        <v>N/A</v>
      </c>
      <c r="AF191" s="291" t="str">
        <f t="shared" si="95"/>
        <v>N/A</v>
      </c>
      <c r="AG191" s="291" t="str">
        <f t="shared" si="95"/>
        <v>N/A</v>
      </c>
    </row>
    <row r="192" spans="3:33" ht="14.25" hidden="1" customHeight="1">
      <c r="C192" s="103" t="str">
        <f>C81</f>
        <v>South America</v>
      </c>
      <c r="D192" s="9"/>
      <c r="E192" s="9"/>
      <c r="F192" s="377"/>
      <c r="G192" s="290" t="str">
        <f t="shared" si="90"/>
        <v>N/A</v>
      </c>
      <c r="H192" s="290" t="str">
        <f t="shared" si="90"/>
        <v>N/A</v>
      </c>
      <c r="I192" s="290" t="str">
        <f t="shared" si="90"/>
        <v>N/A</v>
      </c>
      <c r="J192" s="132"/>
      <c r="K192" s="290" t="str">
        <f>IFERROR(K80/I80-1,"N/A")</f>
        <v>N/A</v>
      </c>
      <c r="L192" s="290" t="str">
        <f t="shared" si="91"/>
        <v>N/A</v>
      </c>
      <c r="M192" s="290" t="str">
        <f t="shared" si="91"/>
        <v>N/A</v>
      </c>
      <c r="N192" s="290" t="str">
        <f t="shared" si="91"/>
        <v>N/A</v>
      </c>
      <c r="O192" s="291"/>
      <c r="P192" s="290" t="str">
        <f>IFERROR(P80/N80-1,"N/A")</f>
        <v>N/A</v>
      </c>
      <c r="Q192" s="290" t="str">
        <f t="shared" si="92"/>
        <v>N/A</v>
      </c>
      <c r="R192" s="290" t="str">
        <f t="shared" si="92"/>
        <v>N/A</v>
      </c>
      <c r="S192" s="290" t="str">
        <f t="shared" si="92"/>
        <v>N/A</v>
      </c>
      <c r="T192" s="291"/>
      <c r="U192" s="290" t="str">
        <f>IFERROR(U80/S80-1,"N/A")</f>
        <v>N/A</v>
      </c>
      <c r="V192" s="292" t="str">
        <f t="shared" si="93"/>
        <v>N/A</v>
      </c>
      <c r="W192" s="292" t="str">
        <f t="shared" si="93"/>
        <v>N/A</v>
      </c>
      <c r="X192" s="292" t="str">
        <f t="shared" si="93"/>
        <v>N/A</v>
      </c>
      <c r="Y192" s="291"/>
      <c r="Z192" s="292" t="str">
        <f>IFERROR(Z80/X80-1,"N/A")</f>
        <v>N/A</v>
      </c>
      <c r="AA192" s="292" t="str">
        <f t="shared" si="94"/>
        <v>N/A</v>
      </c>
      <c r="AB192" s="292" t="str">
        <f t="shared" si="94"/>
        <v>N/A</v>
      </c>
      <c r="AC192" s="292" t="str">
        <f t="shared" si="94"/>
        <v>N/A</v>
      </c>
      <c r="AD192" s="291"/>
      <c r="AE192" s="291" t="str">
        <f t="shared" si="95"/>
        <v>N/A</v>
      </c>
      <c r="AF192" s="291" t="str">
        <f t="shared" si="95"/>
        <v>N/A</v>
      </c>
      <c r="AG192" s="291" t="str">
        <f t="shared" si="95"/>
        <v>N/A</v>
      </c>
    </row>
    <row r="193" spans="3:33" ht="14.25" hidden="1" customHeight="1">
      <c r="C193" s="103" t="str">
        <f>C82</f>
        <v>Middle East &amp; Africa</v>
      </c>
      <c r="D193" s="9"/>
      <c r="E193" s="9"/>
      <c r="F193" s="377"/>
      <c r="G193" s="290" t="str">
        <f t="shared" si="90"/>
        <v>N/A</v>
      </c>
      <c r="H193" s="290" t="str">
        <f t="shared" si="90"/>
        <v>N/A</v>
      </c>
      <c r="I193" s="290" t="str">
        <f t="shared" si="90"/>
        <v>N/A</v>
      </c>
      <c r="J193" s="132"/>
      <c r="K193" s="290" t="str">
        <f>IFERROR(K81/I81-1,"N/A")</f>
        <v>N/A</v>
      </c>
      <c r="L193" s="290" t="str">
        <f t="shared" si="91"/>
        <v>N/A</v>
      </c>
      <c r="M193" s="290" t="str">
        <f t="shared" si="91"/>
        <v>N/A</v>
      </c>
      <c r="N193" s="290" t="str">
        <f t="shared" si="91"/>
        <v>N/A</v>
      </c>
      <c r="O193" s="291"/>
      <c r="P193" s="290" t="str">
        <f>IFERROR(P81/N81-1,"N/A")</f>
        <v>N/A</v>
      </c>
      <c r="Q193" s="290" t="str">
        <f t="shared" si="92"/>
        <v>N/A</v>
      </c>
      <c r="R193" s="290" t="str">
        <f t="shared" si="92"/>
        <v>N/A</v>
      </c>
      <c r="S193" s="290" t="str">
        <f t="shared" si="92"/>
        <v>N/A</v>
      </c>
      <c r="T193" s="291"/>
      <c r="U193" s="290" t="str">
        <f>IFERROR(U81/S81-1,"N/A")</f>
        <v>N/A</v>
      </c>
      <c r="V193" s="292" t="str">
        <f t="shared" si="93"/>
        <v>N/A</v>
      </c>
      <c r="W193" s="292" t="str">
        <f t="shared" si="93"/>
        <v>N/A</v>
      </c>
      <c r="X193" s="292" t="str">
        <f t="shared" si="93"/>
        <v>N/A</v>
      </c>
      <c r="Y193" s="291"/>
      <c r="Z193" s="292" t="str">
        <f>IFERROR(Z81/X81-1,"N/A")</f>
        <v>N/A</v>
      </c>
      <c r="AA193" s="292" t="str">
        <f t="shared" si="94"/>
        <v>N/A</v>
      </c>
      <c r="AB193" s="292" t="str">
        <f t="shared" si="94"/>
        <v>N/A</v>
      </c>
      <c r="AC193" s="292" t="str">
        <f t="shared" si="94"/>
        <v>N/A</v>
      </c>
      <c r="AD193" s="291"/>
      <c r="AE193" s="291" t="str">
        <f t="shared" si="95"/>
        <v>N/A</v>
      </c>
      <c r="AF193" s="291" t="str">
        <f t="shared" si="95"/>
        <v>N/A</v>
      </c>
      <c r="AG193" s="291" t="str">
        <f t="shared" si="95"/>
        <v>N/A</v>
      </c>
    </row>
    <row r="194" spans="3:33" ht="14.25" hidden="1" customHeight="1">
      <c r="C194" s="103" t="str">
        <f>C83</f>
        <v>Asia Pacific</v>
      </c>
      <c r="D194" s="9"/>
      <c r="E194" s="9"/>
      <c r="F194" s="377"/>
      <c r="G194" s="290" t="str">
        <f t="shared" si="90"/>
        <v>N/A</v>
      </c>
      <c r="H194" s="290" t="str">
        <f t="shared" si="90"/>
        <v>N/A</v>
      </c>
      <c r="I194" s="290" t="str">
        <f t="shared" si="90"/>
        <v>N/A</v>
      </c>
      <c r="J194" s="132"/>
      <c r="K194" s="290" t="str">
        <f>IFERROR(K82/I82-1,"N/A")</f>
        <v>N/A</v>
      </c>
      <c r="L194" s="290" t="str">
        <f t="shared" si="91"/>
        <v>N/A</v>
      </c>
      <c r="M194" s="290" t="str">
        <f t="shared" si="91"/>
        <v>N/A</v>
      </c>
      <c r="N194" s="290" t="str">
        <f t="shared" si="91"/>
        <v>N/A</v>
      </c>
      <c r="O194" s="291"/>
      <c r="P194" s="290" t="str">
        <f>IFERROR(P82/N82-1,"N/A")</f>
        <v>N/A</v>
      </c>
      <c r="Q194" s="290" t="str">
        <f t="shared" si="92"/>
        <v>N/A</v>
      </c>
      <c r="R194" s="290" t="str">
        <f t="shared" si="92"/>
        <v>N/A</v>
      </c>
      <c r="S194" s="290" t="str">
        <f t="shared" si="92"/>
        <v>N/A</v>
      </c>
      <c r="T194" s="291"/>
      <c r="U194" s="290" t="str">
        <f>IFERROR(U82/S82-1,"N/A")</f>
        <v>N/A</v>
      </c>
      <c r="V194" s="292" t="str">
        <f t="shared" si="93"/>
        <v>N/A</v>
      </c>
      <c r="W194" s="292" t="str">
        <f t="shared" si="93"/>
        <v>N/A</v>
      </c>
      <c r="X194" s="292" t="str">
        <f t="shared" si="93"/>
        <v>N/A</v>
      </c>
      <c r="Y194" s="291"/>
      <c r="Z194" s="292" t="str">
        <f>IFERROR(Z82/X82-1,"N/A")</f>
        <v>N/A</v>
      </c>
      <c r="AA194" s="292" t="str">
        <f t="shared" si="94"/>
        <v>N/A</v>
      </c>
      <c r="AB194" s="292" t="str">
        <f t="shared" si="94"/>
        <v>N/A</v>
      </c>
      <c r="AC194" s="292" t="str">
        <f t="shared" si="94"/>
        <v>N/A</v>
      </c>
      <c r="AD194" s="291"/>
      <c r="AE194" s="291" t="str">
        <f t="shared" si="95"/>
        <v>N/A</v>
      </c>
      <c r="AF194" s="291" t="str">
        <f t="shared" si="95"/>
        <v>N/A</v>
      </c>
      <c r="AG194" s="291" t="str">
        <f t="shared" si="95"/>
        <v>N/A</v>
      </c>
    </row>
    <row r="195" spans="3:33" ht="14.25" customHeight="1">
      <c r="C195" s="9"/>
      <c r="D195" s="9"/>
      <c r="E195" s="9"/>
      <c r="F195" s="232"/>
      <c r="G195" s="232"/>
      <c r="H195" s="232"/>
      <c r="I195" s="232"/>
      <c r="J195" s="132"/>
      <c r="K195" s="232"/>
      <c r="L195" s="232"/>
      <c r="M195" s="232"/>
      <c r="N195" s="232"/>
      <c r="O195" s="132"/>
      <c r="P195" s="232"/>
      <c r="Q195" s="232"/>
      <c r="R195" s="232"/>
      <c r="S195" s="232"/>
      <c r="T195" s="132"/>
      <c r="U195" s="232"/>
      <c r="V195" s="235"/>
      <c r="W195" s="235"/>
      <c r="X195" s="235"/>
      <c r="Y195" s="132"/>
      <c r="Z195" s="235"/>
      <c r="AA195" s="235"/>
      <c r="AB195" s="235"/>
      <c r="AC195" s="235"/>
      <c r="AD195" s="132"/>
      <c r="AE195" s="132"/>
      <c r="AF195" s="132"/>
      <c r="AG195" s="132"/>
    </row>
    <row r="196" spans="3:33" ht="14.25" customHeight="1">
      <c r="C196" s="9" t="s">
        <v>448</v>
      </c>
      <c r="D196" s="9"/>
      <c r="E196" s="9"/>
      <c r="F196" s="377"/>
      <c r="G196" s="290">
        <f>IFERROR(Model!G36/Model!F36-1,"N/A")</f>
        <v>0.11647627275927164</v>
      </c>
      <c r="H196" s="290">
        <f>IFERROR(Model!H36/Model!G36-1,"N/A")</f>
        <v>-0.16338024132297757</v>
      </c>
      <c r="I196" s="290">
        <f>IFERROR(Model!I36/Model!H36-1,"N/A")</f>
        <v>-0.15645501104811477</v>
      </c>
      <c r="J196" s="291"/>
      <c r="K196" s="290">
        <f>IFERROR(Model!K36/Model!J36-1,"N/A")</f>
        <v>-0.77100353462936411</v>
      </c>
      <c r="L196" s="290">
        <f>IFERROR(Model!L36/Model!K36-1,"N/A")</f>
        <v>1.1976919856568236E-2</v>
      </c>
      <c r="M196" s="290">
        <f>IFERROR(Model!M36/Model!L36-1,"N/A")</f>
        <v>-7.5597604187276346E-2</v>
      </c>
      <c r="N196" s="290">
        <f>IFERROR(Model!N36/Model!M36-1,"N/A")</f>
        <v>0.63223333463050113</v>
      </c>
      <c r="O196" s="291"/>
      <c r="P196" s="290">
        <f>IFERROR(Model!P36/Model!O36-1,"N/A")</f>
        <v>-0.63545645744598622</v>
      </c>
      <c r="Q196" s="290">
        <f>IFERROR(Model!Q36/Model!P36-1,"N/A")</f>
        <v>-0.25018133934450015</v>
      </c>
      <c r="R196" s="290">
        <f>IFERROR(Model!R36/Model!Q36-1,"N/A")</f>
        <v>0.12694963686153127</v>
      </c>
      <c r="S196" s="290">
        <f>IFERROR(Model!S36/Model!R36-1,"N/A")</f>
        <v>0.10969071075777226</v>
      </c>
      <c r="T196" s="291"/>
      <c r="U196" s="290">
        <f>IFERROR(Model!U36/Model!T36-1,"N/A")</f>
        <v>-0.75683376875278396</v>
      </c>
      <c r="V196" s="292">
        <f>IFERROR(Model!V36/Model!U36-1,"N/A")</f>
        <v>3.4534794153946224E-2</v>
      </c>
      <c r="W196" s="292">
        <f>IFERROR(Model!W36/Model!V36-1,"N/A")</f>
        <v>6.1449646257590418E-2</v>
      </c>
      <c r="X196" s="292">
        <f>IFERROR(Model!X36/Model!W36-1,"N/A")</f>
        <v>8.3829314405799327E-2</v>
      </c>
      <c r="Y196" s="291"/>
      <c r="Z196" s="292">
        <f>IFERROR(Model!Z36/Model!Y36-1,"N/A")</f>
        <v>-0.70986226999158752</v>
      </c>
      <c r="AA196" s="292">
        <f>IFERROR(Model!AA36/Model!Z36-1,"N/A")</f>
        <v>6.0000000000000275E-2</v>
      </c>
      <c r="AB196" s="292">
        <f>IFERROR(Model!AB36/Model!AA36-1,"N/A")</f>
        <v>4.7341527099433511E-2</v>
      </c>
      <c r="AC196" s="292">
        <f>IFERROR(Model!AC36/Model!AB36-1,"N/A")</f>
        <v>4.6179324521173015E-2</v>
      </c>
      <c r="AD196" s="291"/>
      <c r="AE196" s="291">
        <f>IFERROR(Model!AE36/Model!AD36-1,"N/A")</f>
        <v>4.5116279069767451E-2</v>
      </c>
      <c r="AF196" s="291">
        <f>IFERROR(Model!AF36/Model!AE36-1,"N/A")</f>
        <v>5.4999999999999938E-2</v>
      </c>
      <c r="AG196" s="291">
        <f>IFERROR(Model!AG36/Model!AF36-1,"N/A")</f>
        <v>6.5294368027724037E-2</v>
      </c>
    </row>
    <row r="197" spans="3:33" ht="14.25" customHeight="1">
      <c r="C197" s="9"/>
      <c r="D197" s="9"/>
      <c r="E197" s="9"/>
      <c r="F197" s="232"/>
      <c r="G197" s="232"/>
      <c r="H197" s="232"/>
      <c r="I197" s="232"/>
      <c r="J197" s="132"/>
      <c r="K197" s="232"/>
      <c r="L197" s="232"/>
      <c r="M197" s="232"/>
      <c r="N197" s="232"/>
      <c r="O197" s="132"/>
      <c r="P197" s="232"/>
      <c r="Q197" s="232"/>
      <c r="R197" s="232"/>
      <c r="S197" s="232"/>
      <c r="T197" s="132"/>
      <c r="U197" s="232"/>
      <c r="V197" s="235"/>
      <c r="W197" s="235"/>
      <c r="X197" s="235"/>
      <c r="Y197" s="132"/>
      <c r="Z197" s="235"/>
      <c r="AA197" s="235"/>
      <c r="AB197" s="235"/>
      <c r="AC197" s="235"/>
      <c r="AD197" s="132"/>
      <c r="AE197" s="132"/>
      <c r="AF197" s="132"/>
      <c r="AG197" s="132"/>
    </row>
    <row r="198" spans="3:33" ht="14.25" customHeight="1">
      <c r="C198" s="9" t="s">
        <v>449</v>
      </c>
      <c r="D198" s="9"/>
      <c r="E198" s="9"/>
      <c r="F198" s="377"/>
      <c r="G198" s="290">
        <f>IFERROR(Model!G61/Model!F61-1,"N/A")</f>
        <v>0.17722027094831883</v>
      </c>
      <c r="H198" s="290">
        <f>IFERROR(Model!H61/Model!G61-1,"N/A")</f>
        <v>-1.6153780581366073E-2</v>
      </c>
      <c r="I198" s="290">
        <f>IFERROR(Model!I61/Model!H61-1,"N/A")</f>
        <v>-0.37404150240436673</v>
      </c>
      <c r="J198" s="291"/>
      <c r="K198" s="290">
        <f>IFERROR(Model!K61/Model!I61-1,"N/A")</f>
        <v>0.19707246176205961</v>
      </c>
      <c r="L198" s="290">
        <f>IFERROR(Model!L61/Model!K61-1,"N/A")</f>
        <v>-4.3505911600612124E-2</v>
      </c>
      <c r="M198" s="290">
        <f>IFERROR(Model!M61/Model!L61-1,"N/A")</f>
        <v>9.9129593810444394E-2</v>
      </c>
      <c r="N198" s="290">
        <f>IFERROR(Model!N61/Model!M61-1,"N/A")</f>
        <v>0.52392212934447779</v>
      </c>
      <c r="O198" s="291"/>
      <c r="P198" s="290">
        <f>IFERROR(Model!P61/Model!N61-1,"N/A")</f>
        <v>0.10945112049366679</v>
      </c>
      <c r="Q198" s="290">
        <f>IFERROR(Model!Q61/Model!P61-1,"N/A")</f>
        <v>-0.24778818631277633</v>
      </c>
      <c r="R198" s="290">
        <f>IFERROR(Model!R61/Model!Q61-1,"N/A")</f>
        <v>0.10782236443829452</v>
      </c>
      <c r="S198" s="290">
        <f>IFERROR(Model!S61/Model!R61-1,"N/A")</f>
        <v>0.19485157789964758</v>
      </c>
      <c r="T198" s="291"/>
      <c r="U198" s="290">
        <f>IFERROR(Model!U61/Model!S61-1,"N/A")</f>
        <v>-0.12369534325335296</v>
      </c>
      <c r="V198" s="292">
        <f ca="1">IFERROR(Model!V61/Model!U61-1,"N/A")</f>
        <v>0.10723472842497661</v>
      </c>
      <c r="W198" s="292">
        <f ca="1">IFERROR(Model!W61/Model!V61-1,"N/A")</f>
        <v>6.1449646257590418E-2</v>
      </c>
      <c r="X198" s="292">
        <f ca="1">IFERROR(Model!X61/Model!W61-1,"N/A")</f>
        <v>8.3829314405799549E-2</v>
      </c>
      <c r="Y198" s="291"/>
      <c r="Z198" s="292">
        <f ca="1">IFERROR(Model!Z61/Model!X61-1,"N/A")</f>
        <v>6.9379912790389797E-2</v>
      </c>
      <c r="AA198" s="292">
        <f ca="1">IFERROR(Model!AA61/Model!Z61-1,"N/A")</f>
        <v>6.0000000000000275E-2</v>
      </c>
      <c r="AB198" s="292">
        <f ca="1">IFERROR(Model!AB61/Model!AA61-1,"N/A")</f>
        <v>6.2625312825155044E-2</v>
      </c>
      <c r="AC198" s="292">
        <f ca="1">IFERROR(Model!AC61/Model!AB61-1,"N/A")</f>
        <v>4.6179324521172793E-2</v>
      </c>
      <c r="AD198" s="291"/>
      <c r="AE198" s="291">
        <f ca="1">IFERROR(Model!AE61/Model!AD61-1,"N/A")</f>
        <v>8.6993121663508477E-2</v>
      </c>
      <c r="AF198" s="291">
        <f ca="1">IFERROR(Model!AF61/Model!AE61-1,"N/A")</f>
        <v>4.5184573829532004E-2</v>
      </c>
      <c r="AG198" s="291">
        <f ca="1">IFERROR(Model!AG61/Model!AF61-1,"N/A")</f>
        <v>6.5294368027723815E-2</v>
      </c>
    </row>
    <row r="199" spans="3:33" ht="14.25" customHeight="1">
      <c r="C199" s="9"/>
      <c r="D199" s="37"/>
      <c r="E199" s="37"/>
      <c r="F199" s="132"/>
      <c r="G199" s="132"/>
      <c r="H199" s="132"/>
      <c r="I199" s="132"/>
      <c r="J199" s="132"/>
      <c r="K199" s="132"/>
      <c r="L199" s="132"/>
      <c r="M199" s="132"/>
      <c r="N199" s="132"/>
      <c r="O199" s="132"/>
      <c r="P199" s="132"/>
      <c r="Q199" s="132"/>
      <c r="R199" s="132"/>
      <c r="S199" s="132"/>
      <c r="T199" s="132"/>
      <c r="U199" s="132"/>
      <c r="V199" s="132"/>
      <c r="W199" s="132"/>
      <c r="X199" s="132"/>
      <c r="Y199" s="132"/>
      <c r="Z199" s="132"/>
      <c r="AA199" s="132"/>
      <c r="AB199" s="132"/>
      <c r="AC199" s="132"/>
      <c r="AD199" s="132"/>
      <c r="AE199" s="132"/>
      <c r="AF199" s="132"/>
      <c r="AG199" s="132"/>
    </row>
    <row r="200" spans="3:33" ht="14.25" customHeight="1">
      <c r="C200" s="50" t="s">
        <v>256</v>
      </c>
      <c r="D200" s="12"/>
      <c r="E200" s="12"/>
      <c r="F200" s="226"/>
      <c r="G200" s="226"/>
      <c r="H200" s="226"/>
      <c r="I200" s="226"/>
      <c r="J200" s="226"/>
      <c r="K200" s="226"/>
      <c r="L200" s="226"/>
      <c r="M200" s="226"/>
      <c r="N200" s="226"/>
      <c r="O200" s="226"/>
      <c r="P200" s="226"/>
      <c r="Q200" s="226"/>
      <c r="R200" s="226"/>
      <c r="S200" s="226"/>
      <c r="T200" s="226"/>
      <c r="U200" s="226"/>
      <c r="V200" s="226"/>
      <c r="W200" s="226"/>
      <c r="X200" s="226"/>
      <c r="Y200" s="226"/>
      <c r="Z200" s="226"/>
      <c r="AA200" s="226"/>
      <c r="AB200" s="226"/>
      <c r="AC200" s="226"/>
      <c r="AD200" s="226"/>
      <c r="AE200" s="226"/>
      <c r="AF200" s="226"/>
      <c r="AG200" s="227"/>
    </row>
    <row r="201" spans="3:33" ht="14.25" customHeight="1"/>
    <row r="202" spans="3:33" ht="14.25" customHeight="1"/>
    <row r="203" spans="3:33" ht="14.25" customHeight="1"/>
    <row r="204" spans="3:33" ht="14.25" customHeight="1"/>
    <row r="205" spans="3:33" ht="14.25" customHeight="1"/>
    <row r="206" spans="3:33" ht="14.25" customHeight="1"/>
    <row r="207" spans="3:33" ht="14.25" customHeight="1"/>
    <row r="208" spans="3:33"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sheetData>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355F"/>
  </sheetPr>
  <dimension ref="A1:AW1031"/>
  <sheetViews>
    <sheetView showGridLines="0" zoomScale="80" zoomScaleNormal="80" workbookViewId="0">
      <pane xSplit="4" ySplit="2" topLeftCell="E3" activePane="bottomRight" state="frozen"/>
      <selection activeCell="X35" sqref="X35"/>
      <selection pane="topRight" activeCell="X35" sqref="X35"/>
      <selection pane="bottomLeft" activeCell="X35" sqref="X35"/>
      <selection pane="bottomRight"/>
    </sheetView>
  </sheetViews>
  <sheetFormatPr defaultColWidth="14.44140625" defaultRowHeight="15" customHeight="1" outlineLevelCol="1"/>
  <cols>
    <col min="1" max="2" width="1.6640625" customWidth="1"/>
    <col min="3" max="3" width="54.33203125" customWidth="1"/>
    <col min="4" max="5" width="1.6640625" customWidth="1"/>
    <col min="6" max="9" width="12.6640625" hidden="1" customWidth="1" outlineLevel="1"/>
    <col min="10" max="10" width="12.6640625" customWidth="1" collapsed="1"/>
    <col min="11" max="14" width="12.6640625" hidden="1" customWidth="1" outlineLevel="1"/>
    <col min="15" max="15" width="12.6640625" customWidth="1" collapsed="1"/>
    <col min="16" max="19" width="12.6640625" hidden="1" customWidth="1" outlineLevel="1"/>
    <col min="20" max="20" width="12.6640625" customWidth="1" collapsed="1"/>
    <col min="21" max="21" width="12.6640625" hidden="1" customWidth="1" outlineLevel="1"/>
    <col min="22" max="22" width="11.44140625" hidden="1" customWidth="1" outlineLevel="1"/>
    <col min="23" max="23" width="9.5546875" hidden="1" customWidth="1" outlineLevel="1"/>
    <col min="24" max="24" width="10.33203125" hidden="1" customWidth="1" outlineLevel="1"/>
    <col min="25" max="25" width="12.6640625" customWidth="1" collapsed="1"/>
    <col min="26" max="26" width="10.33203125" hidden="1" customWidth="1" outlineLevel="1"/>
    <col min="27" max="27" width="11.44140625" hidden="1" customWidth="1" outlineLevel="1"/>
    <col min="28" max="28" width="9.5546875" hidden="1" customWidth="1" outlineLevel="1"/>
    <col min="29" max="29" width="10.33203125" hidden="1" customWidth="1" outlineLevel="1"/>
    <col min="30" max="30" width="12.6640625" customWidth="1" collapsed="1"/>
    <col min="31" max="33" width="12.6640625" customWidth="1"/>
    <col min="34" max="35" width="1.6640625" customWidth="1"/>
  </cols>
  <sheetData>
    <row r="1" spans="1:35" ht="12.75" customHeight="1">
      <c r="A1" s="4"/>
      <c r="B1" s="4"/>
      <c r="C1" s="5" t="str">
        <f ca="1">Company_Name&amp;" - "&amp;MID(CELL("filename",A1),FIND("]",CELL("filename",A1))+1,255)&amp;": "&amp;Case_Scenario&amp;" Case"</f>
        <v>Hamilton Lane Inc. - Drivers: Base Case</v>
      </c>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row>
    <row r="2" spans="1:35" ht="12.75" customHeight="1">
      <c r="A2" s="2"/>
      <c r="B2" s="2"/>
      <c r="C2" s="7" t="str">
        <f>Cover!C2</f>
        <v>$ in Millions Except Per Share Data</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2.75" customHeight="1">
      <c r="A3" s="3"/>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row>
    <row r="4" spans="1:35" ht="12.75" customHeight="1">
      <c r="A4" s="180" t="s">
        <v>0</v>
      </c>
      <c r="B4" s="9"/>
      <c r="C4" s="263" t="s">
        <v>451</v>
      </c>
      <c r="D4" s="286"/>
      <c r="E4" s="286"/>
      <c r="F4" s="264" t="str">
        <f>Model!F$25</f>
        <v>1Q23</v>
      </c>
      <c r="G4" s="138" t="str">
        <f>Model!G$25</f>
        <v>2Q23</v>
      </c>
      <c r="H4" s="138" t="str">
        <f>Model!H$25</f>
        <v>3Q23</v>
      </c>
      <c r="I4" s="138" t="str">
        <f>Model!I$25</f>
        <v>4Q23</v>
      </c>
      <c r="J4" s="138">
        <f>Model!J$25</f>
        <v>2023</v>
      </c>
      <c r="K4" s="138" t="str">
        <f>Model!K$25</f>
        <v>1Q24</v>
      </c>
      <c r="L4" s="138" t="str">
        <f>Model!L$25</f>
        <v>2Q24</v>
      </c>
      <c r="M4" s="138" t="str">
        <f>Model!M$25</f>
        <v>3Q24</v>
      </c>
      <c r="N4" s="138" t="str">
        <f>Model!N$25</f>
        <v>4Q24</v>
      </c>
      <c r="O4" s="138">
        <f>Model!O$25</f>
        <v>2024</v>
      </c>
      <c r="P4" s="138" t="str">
        <f>Model!P$25</f>
        <v>1Q25</v>
      </c>
      <c r="Q4" s="138" t="str">
        <f>Model!Q$25</f>
        <v>2Q25</v>
      </c>
      <c r="R4" s="138" t="str">
        <f>Model!R$25</f>
        <v>3Q25</v>
      </c>
      <c r="S4" s="138" t="str">
        <f>Model!S$25</f>
        <v>4Q25</v>
      </c>
      <c r="T4" s="138">
        <f>Model!T$25</f>
        <v>2025</v>
      </c>
      <c r="U4" s="138" t="str">
        <f>Model!U$25</f>
        <v>1Q26</v>
      </c>
      <c r="V4" s="138" t="str">
        <f>Model!V$25</f>
        <v>2Q26e</v>
      </c>
      <c r="W4" s="138" t="str">
        <f>Model!W$25</f>
        <v>3Q26e</v>
      </c>
      <c r="X4" s="138" t="str">
        <f>Model!X$25</f>
        <v>4Q26e</v>
      </c>
      <c r="Y4" s="138" t="str">
        <f>Model!Y$25</f>
        <v>2026e</v>
      </c>
      <c r="Z4" s="138" t="str">
        <f>Model!Z$25</f>
        <v>1Q27e</v>
      </c>
      <c r="AA4" s="138" t="str">
        <f>Model!AA$25</f>
        <v>2Q27e</v>
      </c>
      <c r="AB4" s="138" t="str">
        <f>Model!AB$25</f>
        <v>3Q27e</v>
      </c>
      <c r="AC4" s="138" t="str">
        <f>Model!AC$25</f>
        <v>4Q27e</v>
      </c>
      <c r="AD4" s="138" t="str">
        <f>Model!AD$25</f>
        <v>2027e</v>
      </c>
      <c r="AE4" s="138" t="str">
        <f>Model!AE$25</f>
        <v>2028e</v>
      </c>
      <c r="AF4" s="138" t="str">
        <f>Model!AF$25</f>
        <v>2029e</v>
      </c>
      <c r="AG4" s="265" t="str">
        <f>Model!AG$25</f>
        <v>2030e</v>
      </c>
      <c r="AH4" s="180" t="s">
        <v>0</v>
      </c>
      <c r="AI4" s="180"/>
    </row>
    <row r="5" spans="1:35" ht="12.75" customHeight="1">
      <c r="A5" s="180"/>
      <c r="B5" s="9"/>
      <c r="C5" s="409" t="str">
        <f>IF(Cover!$F$37="Bottom Up","Operating Margins","Gross Margin")</f>
        <v>Gross Margin</v>
      </c>
      <c r="D5" s="410"/>
      <c r="E5" s="410"/>
      <c r="F5" s="411"/>
      <c r="G5" s="412"/>
      <c r="H5" s="412"/>
      <c r="I5" s="412"/>
      <c r="J5" s="412"/>
      <c r="K5" s="412"/>
      <c r="L5" s="412"/>
      <c r="M5" s="412"/>
      <c r="N5" s="412"/>
      <c r="O5" s="412"/>
      <c r="P5" s="412"/>
      <c r="Q5" s="412"/>
      <c r="R5" s="412"/>
      <c r="S5" s="412"/>
      <c r="T5" s="412"/>
      <c r="U5" s="412"/>
      <c r="V5" s="412"/>
      <c r="W5" s="412"/>
      <c r="X5" s="412"/>
      <c r="Y5" s="412"/>
      <c r="Z5" s="412"/>
      <c r="AA5" s="412"/>
      <c r="AB5" s="412"/>
      <c r="AC5" s="412"/>
      <c r="AD5" s="412"/>
      <c r="AE5" s="412"/>
      <c r="AF5" s="412"/>
      <c r="AG5" s="413"/>
      <c r="AH5" s="9"/>
      <c r="AI5" s="9"/>
    </row>
    <row r="6" spans="1:35" ht="12.75" customHeight="1">
      <c r="A6" s="9"/>
      <c r="B6" s="9"/>
      <c r="C6" s="9"/>
      <c r="D6" s="9"/>
      <c r="E6" s="9"/>
      <c r="F6" s="310"/>
      <c r="G6" s="310"/>
      <c r="H6" s="310"/>
      <c r="I6" s="310"/>
      <c r="J6" s="311"/>
      <c r="K6" s="310"/>
      <c r="L6" s="310"/>
      <c r="M6" s="310"/>
      <c r="N6" s="310"/>
      <c r="O6" s="311"/>
      <c r="P6" s="310"/>
      <c r="Q6" s="310"/>
      <c r="R6" s="310"/>
      <c r="S6" s="310"/>
      <c r="T6" s="311"/>
      <c r="U6" s="310"/>
      <c r="V6" s="312"/>
      <c r="W6" s="312"/>
      <c r="X6" s="312"/>
      <c r="Y6" s="311"/>
      <c r="Z6" s="312"/>
      <c r="AA6" s="312"/>
      <c r="AB6" s="312"/>
      <c r="AC6" s="312"/>
      <c r="AD6" s="311"/>
      <c r="AE6" s="311"/>
      <c r="AF6" s="311"/>
      <c r="AG6" s="311"/>
      <c r="AH6" s="9"/>
      <c r="AI6" s="9"/>
    </row>
    <row r="7" spans="1:35" ht="12.75" customHeight="1">
      <c r="A7" s="9"/>
      <c r="B7" s="9"/>
      <c r="C7" s="9" t="str">
        <f>IF($C$5="Operating Margins",'Segment Analysis'!C16,"Total Company")</f>
        <v>Total Company</v>
      </c>
      <c r="D7" s="9"/>
      <c r="E7" s="9"/>
      <c r="F7" s="290">
        <f>IF($C$5="Operating Margins",'Segment Analysis'!F145,Model!F66)</f>
        <v>1</v>
      </c>
      <c r="G7" s="290">
        <f>IF($C$5="Operating Margins",'Segment Analysis'!G145,Model!G66)</f>
        <v>1</v>
      </c>
      <c r="H7" s="290">
        <f>IF($C$5="Operating Margins",'Segment Analysis'!H145,Model!H66)</f>
        <v>1</v>
      </c>
      <c r="I7" s="290">
        <f>IF($C$5="Operating Margins",'Segment Analysis'!I145,Model!I66)</f>
        <v>1</v>
      </c>
      <c r="J7" s="291">
        <f>IF($C$5="Operating Margins",'Segment Analysis'!J145,Model!J66)</f>
        <v>1</v>
      </c>
      <c r="K7" s="290">
        <f>IF($C$5="Operating Margins",'Segment Analysis'!K145,Model!K66)</f>
        <v>1</v>
      </c>
      <c r="L7" s="290">
        <f>IF($C$5="Operating Margins",'Segment Analysis'!L145,Model!L66)</f>
        <v>1</v>
      </c>
      <c r="M7" s="290">
        <f>IF($C$5="Operating Margins",'Segment Analysis'!M145,Model!M66)</f>
        <v>1</v>
      </c>
      <c r="N7" s="290">
        <f>IF($C$5="Operating Margins",'Segment Analysis'!N145,Model!N66)</f>
        <v>1</v>
      </c>
      <c r="O7" s="291">
        <f>IF($C$5="Operating Margins",'Segment Analysis'!O145,Model!O66)</f>
        <v>1</v>
      </c>
      <c r="P7" s="290">
        <f>IF($C$5="Operating Margins",'Segment Analysis'!P145,Model!P66)</f>
        <v>1</v>
      </c>
      <c r="Q7" s="290">
        <f>IF($C$5="Operating Margins",'Segment Analysis'!Q145,Model!Q66)</f>
        <v>1</v>
      </c>
      <c r="R7" s="290">
        <f>IF($C$5="Operating Margins",'Segment Analysis'!R145,Model!R66)</f>
        <v>1</v>
      </c>
      <c r="S7" s="290">
        <f>IF($C$5="Operating Margins",'Segment Analysis'!S145,Model!S66)</f>
        <v>1</v>
      </c>
      <c r="T7" s="291">
        <f>IF($C$5="Operating Margins",'Segment Analysis'!T145,Model!T66)</f>
        <v>1</v>
      </c>
      <c r="U7" s="290">
        <f>IF($C$5="Operating Margins",'Segment Analysis'!U145,Model!U66)</f>
        <v>1</v>
      </c>
      <c r="V7" s="292">
        <f>IF(Case_Scenario="Bull",V8,IF(Case_Scenario="Base",V9,IF(Case_Scenario="bear",V10,"N/A")))</f>
        <v>1</v>
      </c>
      <c r="W7" s="292">
        <f>IF(Case_Scenario="Bull",W8,IF(Case_Scenario="Base",W9,IF(Case_Scenario="bear",W10,"N/A")))</f>
        <v>1</v>
      </c>
      <c r="X7" s="292">
        <f>IF(Case_Scenario="Bull",X8,IF(Case_Scenario="Base",X9,IF(Case_Scenario="bear",X10,"N/A")))</f>
        <v>1</v>
      </c>
      <c r="Y7" s="291">
        <f>IF($C$5="Operating Margins",'Segment Analysis'!Y145,Model!Y66)</f>
        <v>1</v>
      </c>
      <c r="Z7" s="292">
        <f>IF(Case_Scenario="Bull",Z8,IF(Case_Scenario="Base",Z9,IF(Case_Scenario="bear",Z10,"N/A")))</f>
        <v>1</v>
      </c>
      <c r="AA7" s="292">
        <f>IF(Case_Scenario="Bull",AA8,IF(Case_Scenario="Base",AA9,IF(Case_Scenario="bear",AA10,"N/A")))</f>
        <v>1</v>
      </c>
      <c r="AB7" s="292">
        <f>IF(Case_Scenario="Bull",AB8,IF(Case_Scenario="Base",AB9,IF(Case_Scenario="bear",AB10,"N/A")))</f>
        <v>1</v>
      </c>
      <c r="AC7" s="292">
        <f>IF(Case_Scenario="Bull",AC8,IF(Case_Scenario="Base",AC9,IF(Case_Scenario="bear",AC10,"N/A")))</f>
        <v>1</v>
      </c>
      <c r="AD7" s="291">
        <f>IF($C$5="Operating Margins",'Segment Analysis'!AD145,Model!AD66)</f>
        <v>1</v>
      </c>
      <c r="AE7" s="291">
        <f>IF(Case_Scenario="Bull",AE8,IF(Case_Scenario="Base",AE9,IF(Case_Scenario="bear",AE10,"N/A")))</f>
        <v>1</v>
      </c>
      <c r="AF7" s="291">
        <f>IF(Case_Scenario="Bull",AF8,IF(Case_Scenario="Base",AF9,IF(Case_Scenario="bear",AF10,"N/A")))</f>
        <v>1</v>
      </c>
      <c r="AG7" s="291">
        <f>IF(Case_Scenario="Bull",AG8,IF(Case_Scenario="Base",AG9,IF(Case_Scenario="bear",AG10,"N/A")))</f>
        <v>1</v>
      </c>
      <c r="AH7" s="9"/>
      <c r="AI7" s="9"/>
    </row>
    <row r="8" spans="1:35" ht="12.75" customHeight="1">
      <c r="A8" s="9"/>
      <c r="B8" s="9"/>
      <c r="C8" s="103" t="str">
        <f>IF(C7="","","Bull Case")</f>
        <v>Bull Case</v>
      </c>
      <c r="D8" s="9"/>
      <c r="E8" s="9"/>
      <c r="F8" s="290"/>
      <c r="G8" s="290"/>
      <c r="H8" s="290"/>
      <c r="I8" s="290"/>
      <c r="J8" s="291"/>
      <c r="K8" s="290"/>
      <c r="L8" s="290"/>
      <c r="M8" s="290"/>
      <c r="N8" s="290"/>
      <c r="O8" s="291"/>
      <c r="P8" s="290"/>
      <c r="Q8" s="290"/>
      <c r="R8" s="290"/>
      <c r="S8" s="290"/>
      <c r="T8" s="291"/>
      <c r="U8" s="290"/>
      <c r="V8" s="233">
        <v>1</v>
      </c>
      <c r="W8" s="233">
        <v>1</v>
      </c>
      <c r="X8" s="233">
        <v>1</v>
      </c>
      <c r="Y8" s="291"/>
      <c r="Z8" s="233">
        <v>1</v>
      </c>
      <c r="AA8" s="233">
        <v>1</v>
      </c>
      <c r="AB8" s="233">
        <v>1</v>
      </c>
      <c r="AC8" s="233">
        <v>1</v>
      </c>
      <c r="AD8" s="291"/>
      <c r="AE8" s="234">
        <v>1</v>
      </c>
      <c r="AF8" s="234">
        <v>1</v>
      </c>
      <c r="AG8" s="234">
        <v>1</v>
      </c>
      <c r="AH8" s="9"/>
      <c r="AI8" s="9"/>
    </row>
    <row r="9" spans="1:35" ht="12.75" customHeight="1">
      <c r="A9" s="9"/>
      <c r="B9" s="9"/>
      <c r="C9" s="103" t="str">
        <f>IF(C7="","","Base Case")</f>
        <v>Base Case</v>
      </c>
      <c r="D9" s="9"/>
      <c r="E9" s="9"/>
      <c r="F9" s="290"/>
      <c r="G9" s="290"/>
      <c r="H9" s="290"/>
      <c r="I9" s="290"/>
      <c r="J9" s="291"/>
      <c r="K9" s="290"/>
      <c r="L9" s="290"/>
      <c r="M9" s="290"/>
      <c r="N9" s="290"/>
      <c r="O9" s="291"/>
      <c r="P9" s="290"/>
      <c r="Q9" s="290"/>
      <c r="R9" s="290"/>
      <c r="S9" s="290"/>
      <c r="T9" s="291"/>
      <c r="U9" s="290"/>
      <c r="V9" s="233">
        <v>1</v>
      </c>
      <c r="W9" s="233">
        <v>1</v>
      </c>
      <c r="X9" s="233">
        <v>1</v>
      </c>
      <c r="Y9" s="291"/>
      <c r="Z9" s="233">
        <v>1</v>
      </c>
      <c r="AA9" s="233">
        <v>1</v>
      </c>
      <c r="AB9" s="233">
        <v>1</v>
      </c>
      <c r="AC9" s="233">
        <v>1</v>
      </c>
      <c r="AD9" s="291"/>
      <c r="AE9" s="234">
        <v>1</v>
      </c>
      <c r="AF9" s="234">
        <v>1</v>
      </c>
      <c r="AG9" s="234">
        <v>1</v>
      </c>
      <c r="AH9" s="9"/>
      <c r="AI9" s="9"/>
    </row>
    <row r="10" spans="1:35" ht="12.75" customHeight="1">
      <c r="A10" s="9"/>
      <c r="B10" s="9"/>
      <c r="C10" s="103" t="str">
        <f>IF(C7="","","Bear Case")</f>
        <v>Bear Case</v>
      </c>
      <c r="D10" s="9"/>
      <c r="E10" s="9"/>
      <c r="F10" s="290"/>
      <c r="G10" s="290"/>
      <c r="H10" s="290"/>
      <c r="I10" s="290"/>
      <c r="J10" s="291"/>
      <c r="K10" s="290"/>
      <c r="L10" s="290"/>
      <c r="M10" s="290"/>
      <c r="N10" s="290"/>
      <c r="O10" s="291"/>
      <c r="P10" s="290"/>
      <c r="Q10" s="290"/>
      <c r="R10" s="290"/>
      <c r="S10" s="290"/>
      <c r="T10" s="291"/>
      <c r="U10" s="290"/>
      <c r="V10" s="233">
        <v>1</v>
      </c>
      <c r="W10" s="233">
        <v>1</v>
      </c>
      <c r="X10" s="233">
        <v>1</v>
      </c>
      <c r="Y10" s="291"/>
      <c r="Z10" s="233">
        <v>1</v>
      </c>
      <c r="AA10" s="233">
        <v>1</v>
      </c>
      <c r="AB10" s="233">
        <v>1</v>
      </c>
      <c r="AC10" s="233">
        <v>1</v>
      </c>
      <c r="AD10" s="291"/>
      <c r="AE10" s="234">
        <v>1</v>
      </c>
      <c r="AF10" s="234">
        <v>1</v>
      </c>
      <c r="AG10" s="234">
        <v>1</v>
      </c>
      <c r="AH10" s="9"/>
      <c r="AI10" s="9"/>
    </row>
    <row r="11" spans="1:35" ht="12.75" hidden="1" customHeight="1">
      <c r="A11" s="9"/>
      <c r="B11" s="9"/>
      <c r="C11" s="103"/>
      <c r="D11" s="9"/>
      <c r="E11" s="9"/>
      <c r="F11" s="290"/>
      <c r="G11" s="290"/>
      <c r="H11" s="290"/>
      <c r="I11" s="290"/>
      <c r="J11" s="291"/>
      <c r="K11" s="290"/>
      <c r="L11" s="290"/>
      <c r="M11" s="290"/>
      <c r="N11" s="290"/>
      <c r="O11" s="291"/>
      <c r="P11" s="290"/>
      <c r="Q11" s="290"/>
      <c r="R11" s="290"/>
      <c r="S11" s="290"/>
      <c r="T11" s="291"/>
      <c r="U11" s="290"/>
      <c r="V11" s="233"/>
      <c r="W11" s="233"/>
      <c r="X11" s="233"/>
      <c r="Y11" s="291"/>
      <c r="Z11" s="233"/>
      <c r="AA11" s="233"/>
      <c r="AB11" s="233"/>
      <c r="AC11" s="233"/>
      <c r="AD11" s="291"/>
      <c r="AE11" s="234"/>
      <c r="AF11" s="234"/>
      <c r="AG11" s="234"/>
      <c r="AH11" s="9"/>
      <c r="AI11" s="9"/>
    </row>
    <row r="12" spans="1:35" ht="12.75" hidden="1" customHeight="1">
      <c r="A12" s="180" t="s">
        <v>0</v>
      </c>
      <c r="B12" s="9"/>
      <c r="C12" s="9" t="str">
        <f>IF($C$5="Operating Margins",'Segment Analysis'!C17,"")</f>
        <v/>
      </c>
      <c r="D12" s="9"/>
      <c r="E12" s="9"/>
      <c r="F12" s="290">
        <f>'Segment Analysis'!F146</f>
        <v>0</v>
      </c>
      <c r="G12" s="290">
        <f>'Segment Analysis'!G146</f>
        <v>0</v>
      </c>
      <c r="H12" s="290">
        <f>'Segment Analysis'!H146</f>
        <v>0</v>
      </c>
      <c r="I12" s="290">
        <f>'Segment Analysis'!I146</f>
        <v>0</v>
      </c>
      <c r="J12" s="291">
        <f>'Segment Analysis'!J146</f>
        <v>0</v>
      </c>
      <c r="K12" s="290">
        <f>'Segment Analysis'!K146</f>
        <v>0</v>
      </c>
      <c r="L12" s="290">
        <f>'Segment Analysis'!L146</f>
        <v>0</v>
      </c>
      <c r="M12" s="290">
        <f>'Segment Analysis'!M146</f>
        <v>0</v>
      </c>
      <c r="N12" s="290">
        <f>'Segment Analysis'!N146</f>
        <v>0</v>
      </c>
      <c r="O12" s="291">
        <f>'Segment Analysis'!O146</f>
        <v>0</v>
      </c>
      <c r="P12" s="290">
        <f>'Segment Analysis'!P146</f>
        <v>0</v>
      </c>
      <c r="Q12" s="290">
        <f>'Segment Analysis'!Q146</f>
        <v>0</v>
      </c>
      <c r="R12" s="290">
        <f>'Segment Analysis'!R146</f>
        <v>0</v>
      </c>
      <c r="S12" s="290">
        <f>'Segment Analysis'!S146</f>
        <v>0</v>
      </c>
      <c r="T12" s="291">
        <f>'Segment Analysis'!T146</f>
        <v>0</v>
      </c>
      <c r="U12" s="290">
        <f>'Segment Analysis'!U146</f>
        <v>0</v>
      </c>
      <c r="V12" s="292">
        <f>IF(Case_Scenario="Bull",V13,IF(Case_Scenario="Base",V14,IF(Case_Scenario="bear",V15,"N/A")))</f>
        <v>0</v>
      </c>
      <c r="W12" s="292">
        <f>IF(Case_Scenario="Bull",W13,IF(Case_Scenario="Base",W14,IF(Case_Scenario="bear",W15,"N/A")))</f>
        <v>0</v>
      </c>
      <c r="X12" s="292">
        <f>IF(Case_Scenario="Bull",X13,IF(Case_Scenario="Base",X14,IF(Case_Scenario="bear",X15,"N/A")))</f>
        <v>0</v>
      </c>
      <c r="Y12" s="291">
        <f>'Segment Analysis'!Y146</f>
        <v>0</v>
      </c>
      <c r="Z12" s="292">
        <f>IF(Case_Scenario="Bull",Z13,IF(Case_Scenario="Base",Z14,IF(Case_Scenario="bear",Z15,"N/A")))</f>
        <v>0</v>
      </c>
      <c r="AA12" s="292">
        <f>IF(Case_Scenario="Bull",AA13,IF(Case_Scenario="Base",AA14,IF(Case_Scenario="bear",AA15,"N/A")))</f>
        <v>0</v>
      </c>
      <c r="AB12" s="292">
        <f>IF(Case_Scenario="Bull",AB13,IF(Case_Scenario="Base",AB14,IF(Case_Scenario="bear",AB15,"N/A")))</f>
        <v>0</v>
      </c>
      <c r="AC12" s="292">
        <f>IF(Case_Scenario="Bull",AC13,IF(Case_Scenario="Base",AC14,IF(Case_Scenario="bear",AC15,"N/A")))</f>
        <v>0</v>
      </c>
      <c r="AD12" s="291">
        <f>'Segment Analysis'!AD146</f>
        <v>0</v>
      </c>
      <c r="AE12" s="291">
        <f>IF(Case_Scenario="Bull",AE13,IF(Case_Scenario="Base",AE14,IF(Case_Scenario="bear",AE15,"N/A")))</f>
        <v>0</v>
      </c>
      <c r="AF12" s="291">
        <f>IF(Case_Scenario="Bull",AF13,IF(Case_Scenario="Base",AF14,IF(Case_Scenario="bear",AF15,"N/A")))</f>
        <v>0</v>
      </c>
      <c r="AG12" s="291">
        <f>IF(Case_Scenario="Bull",AG13,IF(Case_Scenario="Base",AG14,IF(Case_Scenario="bear",AG15,"N/A")))</f>
        <v>0</v>
      </c>
      <c r="AH12" s="180" t="s">
        <v>0</v>
      </c>
      <c r="AI12" s="180"/>
    </row>
    <row r="13" spans="1:35" ht="12.75" hidden="1" customHeight="1">
      <c r="A13" s="9"/>
      <c r="B13" s="9"/>
      <c r="C13" s="103" t="str">
        <f>IF(C12="","","Bull Case")</f>
        <v/>
      </c>
      <c r="D13" s="9"/>
      <c r="E13" s="9"/>
      <c r="F13" s="290"/>
      <c r="G13" s="290"/>
      <c r="H13" s="290"/>
      <c r="I13" s="290"/>
      <c r="J13" s="291"/>
      <c r="K13" s="290"/>
      <c r="L13" s="290"/>
      <c r="M13" s="290"/>
      <c r="N13" s="290"/>
      <c r="O13" s="291"/>
      <c r="P13" s="290"/>
      <c r="Q13" s="290"/>
      <c r="R13" s="290"/>
      <c r="S13" s="290"/>
      <c r="T13" s="291"/>
      <c r="U13" s="290"/>
      <c r="V13" s="233">
        <v>0</v>
      </c>
      <c r="W13" s="233">
        <v>0</v>
      </c>
      <c r="X13" s="233">
        <v>0</v>
      </c>
      <c r="Y13" s="291"/>
      <c r="Z13" s="233">
        <v>0</v>
      </c>
      <c r="AA13" s="233">
        <v>0</v>
      </c>
      <c r="AB13" s="233">
        <v>0</v>
      </c>
      <c r="AC13" s="233">
        <v>0</v>
      </c>
      <c r="AD13" s="291"/>
      <c r="AE13" s="234">
        <v>0</v>
      </c>
      <c r="AF13" s="234">
        <v>0</v>
      </c>
      <c r="AG13" s="234">
        <v>0</v>
      </c>
      <c r="AH13" s="9"/>
      <c r="AI13" s="9"/>
    </row>
    <row r="14" spans="1:35" ht="12.75" hidden="1" customHeight="1">
      <c r="A14" s="9"/>
      <c r="B14" s="9"/>
      <c r="C14" s="103" t="str">
        <f>IF(C12="","","Base Case")</f>
        <v/>
      </c>
      <c r="D14" s="9"/>
      <c r="E14" s="9"/>
      <c r="F14" s="290"/>
      <c r="G14" s="290"/>
      <c r="H14" s="290"/>
      <c r="I14" s="290"/>
      <c r="J14" s="291"/>
      <c r="K14" s="290"/>
      <c r="L14" s="290"/>
      <c r="M14" s="290"/>
      <c r="N14" s="290"/>
      <c r="O14" s="291"/>
      <c r="P14" s="290"/>
      <c r="Q14" s="290"/>
      <c r="R14" s="290"/>
      <c r="S14" s="290"/>
      <c r="T14" s="291"/>
      <c r="U14" s="290"/>
      <c r="V14" s="233">
        <v>0</v>
      </c>
      <c r="W14" s="233">
        <v>0</v>
      </c>
      <c r="X14" s="233">
        <v>0</v>
      </c>
      <c r="Y14" s="291"/>
      <c r="Z14" s="233">
        <v>0</v>
      </c>
      <c r="AA14" s="233">
        <v>0</v>
      </c>
      <c r="AB14" s="233">
        <v>0</v>
      </c>
      <c r="AC14" s="233">
        <v>0</v>
      </c>
      <c r="AD14" s="291"/>
      <c r="AE14" s="234">
        <v>0</v>
      </c>
      <c r="AF14" s="234">
        <v>0</v>
      </c>
      <c r="AG14" s="234">
        <v>0</v>
      </c>
      <c r="AH14" s="9"/>
      <c r="AI14" s="9"/>
    </row>
    <row r="15" spans="1:35" ht="12.75" hidden="1" customHeight="1">
      <c r="A15" s="9"/>
      <c r="B15" s="9"/>
      <c r="C15" s="103" t="str">
        <f>IF(C12="","","Bear Case")</f>
        <v/>
      </c>
      <c r="D15" s="9"/>
      <c r="E15" s="9"/>
      <c r="F15" s="290"/>
      <c r="G15" s="290"/>
      <c r="H15" s="290"/>
      <c r="I15" s="290"/>
      <c r="J15" s="291"/>
      <c r="K15" s="290"/>
      <c r="L15" s="290"/>
      <c r="M15" s="290"/>
      <c r="N15" s="290"/>
      <c r="O15" s="291"/>
      <c r="P15" s="290"/>
      <c r="Q15" s="290"/>
      <c r="R15" s="290"/>
      <c r="S15" s="290"/>
      <c r="T15" s="291"/>
      <c r="U15" s="290"/>
      <c r="V15" s="233">
        <v>0</v>
      </c>
      <c r="W15" s="233">
        <v>0</v>
      </c>
      <c r="X15" s="233">
        <v>0</v>
      </c>
      <c r="Y15" s="291"/>
      <c r="Z15" s="233">
        <v>0</v>
      </c>
      <c r="AA15" s="233">
        <v>0</v>
      </c>
      <c r="AB15" s="233">
        <v>0</v>
      </c>
      <c r="AC15" s="233">
        <v>0</v>
      </c>
      <c r="AD15" s="291"/>
      <c r="AE15" s="234">
        <v>0</v>
      </c>
      <c r="AF15" s="234">
        <v>0</v>
      </c>
      <c r="AG15" s="234">
        <v>0</v>
      </c>
      <c r="AH15" s="9"/>
      <c r="AI15" s="9"/>
    </row>
    <row r="16" spans="1:35" ht="12.75" hidden="1" customHeight="1">
      <c r="A16" s="9"/>
      <c r="B16" s="9"/>
      <c r="C16" s="103"/>
      <c r="D16" s="9"/>
      <c r="E16" s="9"/>
      <c r="F16" s="290"/>
      <c r="G16" s="290"/>
      <c r="H16" s="290"/>
      <c r="I16" s="290"/>
      <c r="J16" s="291"/>
      <c r="K16" s="290"/>
      <c r="L16" s="290"/>
      <c r="M16" s="290"/>
      <c r="N16" s="290"/>
      <c r="O16" s="291"/>
      <c r="P16" s="290"/>
      <c r="Q16" s="290"/>
      <c r="R16" s="290"/>
      <c r="S16" s="290"/>
      <c r="T16" s="291"/>
      <c r="U16" s="290"/>
      <c r="V16" s="233"/>
      <c r="W16" s="233"/>
      <c r="X16" s="233"/>
      <c r="Y16" s="291"/>
      <c r="Z16" s="233"/>
      <c r="AA16" s="233"/>
      <c r="AB16" s="233"/>
      <c r="AC16" s="233"/>
      <c r="AD16" s="291"/>
      <c r="AE16" s="234"/>
      <c r="AF16" s="234"/>
      <c r="AG16" s="234"/>
      <c r="AH16" s="9"/>
      <c r="AI16" s="9"/>
    </row>
    <row r="17" spans="1:35" ht="12.75" hidden="1" customHeight="1">
      <c r="A17" s="9"/>
      <c r="B17" s="9"/>
      <c r="C17" s="9" t="str">
        <f>IF($C$5="Operating Margins",'Segment Analysis'!C18,"")</f>
        <v/>
      </c>
      <c r="D17" s="9"/>
      <c r="E17" s="9"/>
      <c r="F17" s="290" t="str">
        <f>'Segment Analysis'!F147</f>
        <v>N/A</v>
      </c>
      <c r="G17" s="290" t="str">
        <f>'Segment Analysis'!G147</f>
        <v>N/A</v>
      </c>
      <c r="H17" s="290" t="str">
        <f>'Segment Analysis'!H147</f>
        <v>N/A</v>
      </c>
      <c r="I17" s="290" t="str">
        <f>'Segment Analysis'!I147</f>
        <v>N/A</v>
      </c>
      <c r="J17" s="291" t="str">
        <f>'Segment Analysis'!J147</f>
        <v>N/A</v>
      </c>
      <c r="K17" s="290" t="str">
        <f>'Segment Analysis'!K147</f>
        <v>N/A</v>
      </c>
      <c r="L17" s="290" t="str">
        <f>'Segment Analysis'!L147</f>
        <v>N/A</v>
      </c>
      <c r="M17" s="290" t="str">
        <f>'Segment Analysis'!M147</f>
        <v>N/A</v>
      </c>
      <c r="N17" s="290" t="str">
        <f>'Segment Analysis'!N147</f>
        <v>N/A</v>
      </c>
      <c r="O17" s="291" t="str">
        <f>'Segment Analysis'!O147</f>
        <v>N/A</v>
      </c>
      <c r="P17" s="290" t="str">
        <f>'Segment Analysis'!P147</f>
        <v>N/A</v>
      </c>
      <c r="Q17" s="290" t="str">
        <f>'Segment Analysis'!Q147</f>
        <v>N/A</v>
      </c>
      <c r="R17" s="290" t="str">
        <f>'Segment Analysis'!R147</f>
        <v>N/A</v>
      </c>
      <c r="S17" s="290" t="str">
        <f>'Segment Analysis'!S147</f>
        <v>N/A</v>
      </c>
      <c r="T17" s="291" t="str">
        <f>'Segment Analysis'!T147</f>
        <v>N/A</v>
      </c>
      <c r="U17" s="290" t="str">
        <f>'Segment Analysis'!U147</f>
        <v>N/A</v>
      </c>
      <c r="V17" s="292">
        <f>IF(Case_Scenario="Bull",V18,IF(Case_Scenario="Base",V19,IF(Case_Scenario="bear",V20,"N/A")))</f>
        <v>0</v>
      </c>
      <c r="W17" s="292">
        <f>IF(Case_Scenario="Bull",W18,IF(Case_Scenario="Base",W19,IF(Case_Scenario="bear",W20,"N/A")))</f>
        <v>0</v>
      </c>
      <c r="X17" s="292">
        <f>IF(Case_Scenario="Bull",X18,IF(Case_Scenario="Base",X19,IF(Case_Scenario="bear",X20,"N/A")))</f>
        <v>0</v>
      </c>
      <c r="Y17" s="291" t="str">
        <f>'Segment Analysis'!Y147</f>
        <v>N/A</v>
      </c>
      <c r="Z17" s="292">
        <f>IF(Case_Scenario="Bull",Z18,IF(Case_Scenario="Base",Z19,IF(Case_Scenario="bear",Z20,"N/A")))</f>
        <v>0.14000000000000001</v>
      </c>
      <c r="AA17" s="292">
        <f>IF(Case_Scenario="Bull",AA18,IF(Case_Scenario="Base",AA19,IF(Case_Scenario="bear",AA20,"N/A")))</f>
        <v>0.14499999999999999</v>
      </c>
      <c r="AB17" s="292">
        <f>IF(Case_Scenario="Bull",AB18,IF(Case_Scenario="Base",AB19,IF(Case_Scenario="bear",AB20,"N/A")))</f>
        <v>0.12</v>
      </c>
      <c r="AC17" s="292">
        <f>IF(Case_Scenario="Bull",AC18,IF(Case_Scenario="Base",AC19,IF(Case_Scenario="bear",AC20,"N/A")))</f>
        <v>0.13500000000000001</v>
      </c>
      <c r="AD17" s="291" t="str">
        <f>'Segment Analysis'!AD147</f>
        <v>N/A</v>
      </c>
      <c r="AE17" s="291">
        <f>IF(Case_Scenario="Bull",AE18,IF(Case_Scenario="Base",AE19,IF(Case_Scenario="bear",AE20,"N/A")))</f>
        <v>0.13900000000000001</v>
      </c>
      <c r="AF17" s="291">
        <f>IF(Case_Scenario="Bull",AF18,IF(Case_Scenario="Base",AF19,IF(Case_Scenario="bear",AF20,"N/A")))</f>
        <v>0.14000000000000001</v>
      </c>
      <c r="AG17" s="291">
        <f>IF(Case_Scenario="Bull",AG18,IF(Case_Scenario="Base",AG19,IF(Case_Scenario="bear",AG20,"N/A")))</f>
        <v>0.14199999999999999</v>
      </c>
      <c r="AH17" s="9"/>
      <c r="AI17" s="9"/>
    </row>
    <row r="18" spans="1:35" ht="12.75" hidden="1" customHeight="1">
      <c r="A18" s="9"/>
      <c r="B18" s="9"/>
      <c r="C18" s="103" t="str">
        <f>IF(C17="","","Bull Case")</f>
        <v/>
      </c>
      <c r="D18" s="9"/>
      <c r="E18" s="9"/>
      <c r="F18" s="290"/>
      <c r="G18" s="290"/>
      <c r="H18" s="290"/>
      <c r="I18" s="290"/>
      <c r="J18" s="291"/>
      <c r="K18" s="290"/>
      <c r="L18" s="290"/>
      <c r="M18" s="290"/>
      <c r="N18" s="290"/>
      <c r="O18" s="291"/>
      <c r="P18" s="290"/>
      <c r="Q18" s="290"/>
      <c r="R18" s="290"/>
      <c r="S18" s="290"/>
      <c r="T18" s="291"/>
      <c r="U18" s="290"/>
      <c r="V18" s="233">
        <v>0</v>
      </c>
      <c r="W18" s="233">
        <v>0</v>
      </c>
      <c r="X18" s="233">
        <v>0</v>
      </c>
      <c r="Y18" s="291"/>
      <c r="Z18" s="233">
        <v>0.14499999999999999</v>
      </c>
      <c r="AA18" s="233">
        <v>0.15</v>
      </c>
      <c r="AB18" s="233">
        <v>0.15</v>
      </c>
      <c r="AC18" s="233">
        <v>0.15</v>
      </c>
      <c r="AD18" s="291"/>
      <c r="AE18" s="234">
        <v>0.15</v>
      </c>
      <c r="AF18" s="234">
        <v>0.15</v>
      </c>
      <c r="AG18" s="234">
        <v>0.15</v>
      </c>
      <c r="AH18" s="9"/>
      <c r="AI18" s="9"/>
    </row>
    <row r="19" spans="1:35" ht="12.75" hidden="1" customHeight="1">
      <c r="A19" s="9"/>
      <c r="B19" s="9"/>
      <c r="C19" s="103" t="str">
        <f>IF(C17="","","Base Case")</f>
        <v/>
      </c>
      <c r="D19" s="9"/>
      <c r="E19" s="9"/>
      <c r="F19" s="290"/>
      <c r="G19" s="290"/>
      <c r="H19" s="290"/>
      <c r="I19" s="290"/>
      <c r="J19" s="291"/>
      <c r="K19" s="290"/>
      <c r="L19" s="290"/>
      <c r="M19" s="290"/>
      <c r="N19" s="290"/>
      <c r="O19" s="291"/>
      <c r="P19" s="290"/>
      <c r="Q19" s="290"/>
      <c r="R19" s="290"/>
      <c r="S19" s="290"/>
      <c r="T19" s="291"/>
      <c r="U19" s="290"/>
      <c r="V19" s="233">
        <v>0</v>
      </c>
      <c r="W19" s="233">
        <v>0</v>
      </c>
      <c r="X19" s="233">
        <v>0</v>
      </c>
      <c r="Y19" s="291"/>
      <c r="Z19" s="233">
        <v>0.14000000000000001</v>
      </c>
      <c r="AA19" s="233">
        <v>0.14499999999999999</v>
      </c>
      <c r="AB19" s="233">
        <v>0.12</v>
      </c>
      <c r="AC19" s="233">
        <v>0.13500000000000001</v>
      </c>
      <c r="AD19" s="291"/>
      <c r="AE19" s="234">
        <v>0.13900000000000001</v>
      </c>
      <c r="AF19" s="234">
        <v>0.14000000000000001</v>
      </c>
      <c r="AG19" s="234">
        <v>0.14199999999999999</v>
      </c>
      <c r="AH19" s="9"/>
      <c r="AI19" s="9"/>
    </row>
    <row r="20" spans="1:35" ht="12.75" hidden="1" customHeight="1">
      <c r="A20" s="9"/>
      <c r="B20" s="9"/>
      <c r="C20" s="103" t="str">
        <f>IF(C17="","","Bear Case")</f>
        <v/>
      </c>
      <c r="D20" s="9"/>
      <c r="E20" s="9"/>
      <c r="F20" s="290"/>
      <c r="G20" s="290"/>
      <c r="H20" s="290"/>
      <c r="I20" s="290"/>
      <c r="J20" s="291"/>
      <c r="K20" s="290"/>
      <c r="L20" s="290"/>
      <c r="M20" s="290"/>
      <c r="N20" s="290"/>
      <c r="O20" s="291"/>
      <c r="P20" s="290"/>
      <c r="Q20" s="290"/>
      <c r="R20" s="290"/>
      <c r="S20" s="290"/>
      <c r="T20" s="291"/>
      <c r="U20" s="290"/>
      <c r="V20" s="233">
        <v>0</v>
      </c>
      <c r="W20" s="233">
        <v>0</v>
      </c>
      <c r="X20" s="233">
        <v>0</v>
      </c>
      <c r="Y20" s="291"/>
      <c r="Z20" s="233">
        <v>0.08</v>
      </c>
      <c r="AA20" s="233">
        <v>0.08</v>
      </c>
      <c r="AB20" s="233">
        <v>0.08</v>
      </c>
      <c r="AC20" s="233">
        <v>0.08</v>
      </c>
      <c r="AD20" s="291"/>
      <c r="AE20" s="234">
        <v>8.5000000000000006E-2</v>
      </c>
      <c r="AF20" s="234">
        <v>0.09</v>
      </c>
      <c r="AG20" s="234">
        <v>0.105</v>
      </c>
      <c r="AH20" s="9"/>
      <c r="AI20" s="9"/>
    </row>
    <row r="21" spans="1:35" ht="12.75" hidden="1" customHeight="1">
      <c r="A21" s="9"/>
      <c r="B21" s="9"/>
      <c r="C21" s="103"/>
      <c r="D21" s="9"/>
      <c r="E21" s="9"/>
      <c r="F21" s="290"/>
      <c r="G21" s="290"/>
      <c r="H21" s="290"/>
      <c r="I21" s="290"/>
      <c r="J21" s="291"/>
      <c r="K21" s="290"/>
      <c r="L21" s="290"/>
      <c r="M21" s="290"/>
      <c r="N21" s="290"/>
      <c r="O21" s="291"/>
      <c r="P21" s="290"/>
      <c r="Q21" s="290"/>
      <c r="R21" s="290"/>
      <c r="S21" s="290"/>
      <c r="T21" s="291"/>
      <c r="U21" s="290"/>
      <c r="V21" s="233"/>
      <c r="W21" s="233"/>
      <c r="X21" s="233"/>
      <c r="Y21" s="291"/>
      <c r="Z21" s="233"/>
      <c r="AA21" s="233"/>
      <c r="AB21" s="233"/>
      <c r="AC21" s="233"/>
      <c r="AD21" s="291"/>
      <c r="AE21" s="234"/>
      <c r="AF21" s="234"/>
      <c r="AG21" s="234"/>
      <c r="AH21" s="9"/>
      <c r="AI21" s="9"/>
    </row>
    <row r="22" spans="1:35" ht="12.75" hidden="1" customHeight="1">
      <c r="A22" s="9"/>
      <c r="B22" s="9"/>
      <c r="C22" s="9" t="str">
        <f>IF($C$5="Operating Margins",'Segment Analysis'!C19,"")</f>
        <v/>
      </c>
      <c r="D22" s="9"/>
      <c r="E22" s="9"/>
      <c r="F22" s="290" t="str">
        <f>'Segment Analysis'!F148</f>
        <v>N/A</v>
      </c>
      <c r="G22" s="290" t="str">
        <f>'Segment Analysis'!G148</f>
        <v>N/A</v>
      </c>
      <c r="H22" s="290" t="str">
        <f>'Segment Analysis'!H148</f>
        <v>N/A</v>
      </c>
      <c r="I22" s="290" t="str">
        <f>'Segment Analysis'!I148</f>
        <v>N/A</v>
      </c>
      <c r="J22" s="291" t="str">
        <f>'Segment Analysis'!J148</f>
        <v>N/A</v>
      </c>
      <c r="K22" s="290" t="str">
        <f>'Segment Analysis'!K148</f>
        <v>N/A</v>
      </c>
      <c r="L22" s="290" t="str">
        <f>'Segment Analysis'!L148</f>
        <v>N/A</v>
      </c>
      <c r="M22" s="290" t="str">
        <f>'Segment Analysis'!M148</f>
        <v>N/A</v>
      </c>
      <c r="N22" s="290" t="str">
        <f>'Segment Analysis'!N148</f>
        <v>N/A</v>
      </c>
      <c r="O22" s="291" t="str">
        <f>'Segment Analysis'!O148</f>
        <v>N/A</v>
      </c>
      <c r="P22" s="290" t="str">
        <f>'Segment Analysis'!P148</f>
        <v>N/A</v>
      </c>
      <c r="Q22" s="290" t="str">
        <f>'Segment Analysis'!Q148</f>
        <v>N/A</v>
      </c>
      <c r="R22" s="290" t="str">
        <f>'Segment Analysis'!R148</f>
        <v>N/A</v>
      </c>
      <c r="S22" s="290" t="str">
        <f>'Segment Analysis'!S148</f>
        <v>N/A</v>
      </c>
      <c r="T22" s="291" t="str">
        <f>'Segment Analysis'!T148</f>
        <v>N/A</v>
      </c>
      <c r="U22" s="290" t="str">
        <f>'Segment Analysis'!U148</f>
        <v>N/A</v>
      </c>
      <c r="V22" s="292">
        <f>IF(Case_Scenario="Bull",V23,IF(Case_Scenario="Base",V24,IF(Case_Scenario="bear",V25,"N/A")))</f>
        <v>0</v>
      </c>
      <c r="W22" s="292">
        <f>IF(Case_Scenario="Bull",W23,IF(Case_Scenario="Base",W24,IF(Case_Scenario="bear",W25,"N/A")))</f>
        <v>0</v>
      </c>
      <c r="X22" s="292">
        <f>IF(Case_Scenario="Bull",X23,IF(Case_Scenario="Base",X24,IF(Case_Scenario="bear",X25,"N/A")))</f>
        <v>0</v>
      </c>
      <c r="Y22" s="291" t="str">
        <f>'Segment Analysis'!Y148</f>
        <v>N/A</v>
      </c>
      <c r="Z22" s="292">
        <f>IF(Case_Scenario="Bull",Z23,IF(Case_Scenario="Base",Z24,IF(Case_Scenario="bear",Z25,"N/A")))</f>
        <v>0.14000000000000001</v>
      </c>
      <c r="AA22" s="292">
        <f>IF(Case_Scenario="Bull",AA23,IF(Case_Scenario="Base",AA24,IF(Case_Scenario="bear",AA25,"N/A")))</f>
        <v>0.14499999999999999</v>
      </c>
      <c r="AB22" s="292">
        <f>IF(Case_Scenario="Bull",AB23,IF(Case_Scenario="Base",AB24,IF(Case_Scenario="bear",AB25,"N/A")))</f>
        <v>0.12</v>
      </c>
      <c r="AC22" s="292">
        <f>IF(Case_Scenario="Bull",AC23,IF(Case_Scenario="Base",AC24,IF(Case_Scenario="bear",AC25,"N/A")))</f>
        <v>0.13500000000000001</v>
      </c>
      <c r="AD22" s="291" t="str">
        <f>'Segment Analysis'!AD148</f>
        <v>N/A</v>
      </c>
      <c r="AE22" s="291">
        <f>IF(Case_Scenario="Bull",AE23,IF(Case_Scenario="Base",AE24,IF(Case_Scenario="bear",AE25,"N/A")))</f>
        <v>0.13900000000000001</v>
      </c>
      <c r="AF22" s="291">
        <f>IF(Case_Scenario="Bull",AF23,IF(Case_Scenario="Base",AF24,IF(Case_Scenario="bear",AF25,"N/A")))</f>
        <v>0.14000000000000001</v>
      </c>
      <c r="AG22" s="291">
        <f>IF(Case_Scenario="Bull",AG23,IF(Case_Scenario="Base",AG24,IF(Case_Scenario="bear",AG25,"N/A")))</f>
        <v>0.14199999999999999</v>
      </c>
      <c r="AH22" s="9"/>
      <c r="AI22" s="9"/>
    </row>
    <row r="23" spans="1:35" ht="12.75" hidden="1" customHeight="1">
      <c r="A23" s="9"/>
      <c r="B23" s="9"/>
      <c r="C23" s="103" t="str">
        <f>IF(C22="","","Bull Case")</f>
        <v/>
      </c>
      <c r="D23" s="9"/>
      <c r="E23" s="9"/>
      <c r="F23" s="290"/>
      <c r="G23" s="290"/>
      <c r="H23" s="290"/>
      <c r="I23" s="290"/>
      <c r="J23" s="291"/>
      <c r="K23" s="290"/>
      <c r="L23" s="290"/>
      <c r="M23" s="290"/>
      <c r="N23" s="290"/>
      <c r="O23" s="291"/>
      <c r="P23" s="290"/>
      <c r="Q23" s="290"/>
      <c r="R23" s="290"/>
      <c r="S23" s="290"/>
      <c r="T23" s="291"/>
      <c r="U23" s="290"/>
      <c r="V23" s="233">
        <v>0</v>
      </c>
      <c r="W23" s="233">
        <v>0</v>
      </c>
      <c r="X23" s="233">
        <v>0</v>
      </c>
      <c r="Y23" s="291"/>
      <c r="Z23" s="233">
        <v>0.14499999999999999</v>
      </c>
      <c r="AA23" s="233">
        <v>0.15</v>
      </c>
      <c r="AB23" s="233">
        <v>0.15</v>
      </c>
      <c r="AC23" s="233">
        <v>0.15</v>
      </c>
      <c r="AD23" s="291"/>
      <c r="AE23" s="234">
        <v>0.15</v>
      </c>
      <c r="AF23" s="234">
        <v>0.15</v>
      </c>
      <c r="AG23" s="234">
        <v>0.15</v>
      </c>
      <c r="AH23" s="9"/>
      <c r="AI23" s="9"/>
    </row>
    <row r="24" spans="1:35" ht="12.75" hidden="1" customHeight="1">
      <c r="A24" s="9"/>
      <c r="B24" s="9"/>
      <c r="C24" s="103" t="str">
        <f>IF(C22="","","Base Case")</f>
        <v/>
      </c>
      <c r="D24" s="9"/>
      <c r="E24" s="9"/>
      <c r="F24" s="290"/>
      <c r="G24" s="290"/>
      <c r="H24" s="290"/>
      <c r="I24" s="290"/>
      <c r="J24" s="291"/>
      <c r="K24" s="290"/>
      <c r="L24" s="290"/>
      <c r="M24" s="290"/>
      <c r="N24" s="290"/>
      <c r="O24" s="291"/>
      <c r="P24" s="290"/>
      <c r="Q24" s="290"/>
      <c r="R24" s="290"/>
      <c r="S24" s="290"/>
      <c r="T24" s="291"/>
      <c r="U24" s="290"/>
      <c r="V24" s="233">
        <v>0</v>
      </c>
      <c r="W24" s="233">
        <v>0</v>
      </c>
      <c r="X24" s="233">
        <v>0</v>
      </c>
      <c r="Y24" s="291"/>
      <c r="Z24" s="233">
        <v>0.14000000000000001</v>
      </c>
      <c r="AA24" s="233">
        <v>0.14499999999999999</v>
      </c>
      <c r="AB24" s="233">
        <v>0.12</v>
      </c>
      <c r="AC24" s="233">
        <v>0.13500000000000001</v>
      </c>
      <c r="AD24" s="291"/>
      <c r="AE24" s="234">
        <v>0.13900000000000001</v>
      </c>
      <c r="AF24" s="234">
        <v>0.14000000000000001</v>
      </c>
      <c r="AG24" s="234">
        <v>0.14199999999999999</v>
      </c>
      <c r="AH24" s="9"/>
      <c r="AI24" s="9"/>
    </row>
    <row r="25" spans="1:35" ht="12.75" hidden="1" customHeight="1">
      <c r="A25" s="9"/>
      <c r="B25" s="9"/>
      <c r="C25" s="103" t="str">
        <f>IF(C22="","","Bear Case")</f>
        <v/>
      </c>
      <c r="D25" s="9"/>
      <c r="E25" s="9"/>
      <c r="F25" s="290"/>
      <c r="G25" s="290"/>
      <c r="H25" s="290"/>
      <c r="I25" s="290"/>
      <c r="J25" s="291"/>
      <c r="K25" s="290"/>
      <c r="L25" s="290"/>
      <c r="M25" s="290"/>
      <c r="N25" s="290"/>
      <c r="O25" s="291"/>
      <c r="P25" s="290"/>
      <c r="Q25" s="290"/>
      <c r="R25" s="290"/>
      <c r="S25" s="290"/>
      <c r="T25" s="291"/>
      <c r="U25" s="290"/>
      <c r="V25" s="233">
        <v>0</v>
      </c>
      <c r="W25" s="233">
        <v>0</v>
      </c>
      <c r="X25" s="233">
        <v>0</v>
      </c>
      <c r="Y25" s="291"/>
      <c r="Z25" s="233">
        <v>0.08</v>
      </c>
      <c r="AA25" s="233">
        <v>0.08</v>
      </c>
      <c r="AB25" s="233">
        <v>0.08</v>
      </c>
      <c r="AC25" s="233">
        <v>0.08</v>
      </c>
      <c r="AD25" s="291"/>
      <c r="AE25" s="234">
        <v>8.5000000000000006E-2</v>
      </c>
      <c r="AF25" s="234">
        <v>0.09</v>
      </c>
      <c r="AG25" s="234">
        <v>0.105</v>
      </c>
      <c r="AH25" s="9"/>
      <c r="AI25" s="9"/>
    </row>
    <row r="26" spans="1:35" ht="12.75" hidden="1" customHeight="1">
      <c r="A26" s="9"/>
      <c r="B26" s="9"/>
      <c r="C26" s="103"/>
      <c r="D26" s="9"/>
      <c r="E26" s="9"/>
      <c r="F26" s="290"/>
      <c r="G26" s="290"/>
      <c r="H26" s="290"/>
      <c r="I26" s="290"/>
      <c r="J26" s="291"/>
      <c r="K26" s="290"/>
      <c r="L26" s="290"/>
      <c r="M26" s="290"/>
      <c r="N26" s="290"/>
      <c r="O26" s="291"/>
      <c r="P26" s="290"/>
      <c r="Q26" s="290"/>
      <c r="R26" s="290"/>
      <c r="S26" s="290"/>
      <c r="T26" s="291"/>
      <c r="U26" s="290"/>
      <c r="V26" s="233"/>
      <c r="W26" s="233"/>
      <c r="X26" s="233"/>
      <c r="Y26" s="291"/>
      <c r="Z26" s="233"/>
      <c r="AA26" s="233"/>
      <c r="AB26" s="233"/>
      <c r="AC26" s="233"/>
      <c r="AD26" s="291"/>
      <c r="AE26" s="234"/>
      <c r="AF26" s="234"/>
      <c r="AG26" s="234"/>
      <c r="AH26" s="9"/>
      <c r="AI26" s="9"/>
    </row>
    <row r="27" spans="1:35" ht="12.75" hidden="1" customHeight="1">
      <c r="A27" s="9"/>
      <c r="B27" s="9"/>
      <c r="C27" s="9" t="str">
        <f>IF($C$5="Operating Margins",'Segment Analysis'!C20,"")</f>
        <v/>
      </c>
      <c r="D27" s="9"/>
      <c r="E27" s="9"/>
      <c r="F27" s="290" t="str">
        <f>'Segment Analysis'!F149</f>
        <v>N/A</v>
      </c>
      <c r="G27" s="290" t="str">
        <f>'Segment Analysis'!G149</f>
        <v>N/A</v>
      </c>
      <c r="H27" s="290" t="str">
        <f>'Segment Analysis'!H149</f>
        <v>N/A</v>
      </c>
      <c r="I27" s="290" t="str">
        <f>'Segment Analysis'!I149</f>
        <v>N/A</v>
      </c>
      <c r="J27" s="291" t="str">
        <f>'Segment Analysis'!J149</f>
        <v>N/A</v>
      </c>
      <c r="K27" s="290" t="str">
        <f>'Segment Analysis'!K149</f>
        <v>N/A</v>
      </c>
      <c r="L27" s="290" t="str">
        <f>'Segment Analysis'!L149</f>
        <v>N/A</v>
      </c>
      <c r="M27" s="290" t="str">
        <f>'Segment Analysis'!M149</f>
        <v>N/A</v>
      </c>
      <c r="N27" s="290" t="str">
        <f>'Segment Analysis'!N149</f>
        <v>N/A</v>
      </c>
      <c r="O27" s="291" t="str">
        <f>'Segment Analysis'!O149</f>
        <v>N/A</v>
      </c>
      <c r="P27" s="290" t="str">
        <f>'Segment Analysis'!P149</f>
        <v>N/A</v>
      </c>
      <c r="Q27" s="290" t="str">
        <f>'Segment Analysis'!Q149</f>
        <v>N/A</v>
      </c>
      <c r="R27" s="290" t="str">
        <f>'Segment Analysis'!R149</f>
        <v>N/A</v>
      </c>
      <c r="S27" s="290" t="str">
        <f>'Segment Analysis'!S149</f>
        <v>N/A</v>
      </c>
      <c r="T27" s="291" t="str">
        <f>'Segment Analysis'!T149</f>
        <v>N/A</v>
      </c>
      <c r="U27" s="290" t="str">
        <f>'Segment Analysis'!U149</f>
        <v>N/A</v>
      </c>
      <c r="V27" s="292">
        <f>IF(Case_Scenario="Bull",V28,IF(Case_Scenario="Base",V29,IF(Case_Scenario="bear",V30,"N/A")))</f>
        <v>0</v>
      </c>
      <c r="W27" s="292">
        <f>IF(Case_Scenario="Bull",W28,IF(Case_Scenario="Base",W29,IF(Case_Scenario="bear",W30,"N/A")))</f>
        <v>0</v>
      </c>
      <c r="X27" s="292">
        <f>IF(Case_Scenario="Bull",X28,IF(Case_Scenario="Base",X29,IF(Case_Scenario="bear",X30,"N/A")))</f>
        <v>0</v>
      </c>
      <c r="Y27" s="291" t="str">
        <f>'Segment Analysis'!Y149</f>
        <v>N/A</v>
      </c>
      <c r="Z27" s="292">
        <f>IF(Case_Scenario="Bull",Z28,IF(Case_Scenario="Base",Z29,IF(Case_Scenario="bear",Z30,"N/A")))</f>
        <v>0.14000000000000001</v>
      </c>
      <c r="AA27" s="292">
        <f>IF(Case_Scenario="Bull",AA28,IF(Case_Scenario="Base",AA29,IF(Case_Scenario="bear",AA30,"N/A")))</f>
        <v>0.14499999999999999</v>
      </c>
      <c r="AB27" s="292">
        <f>IF(Case_Scenario="Bull",AB28,IF(Case_Scenario="Base",AB29,IF(Case_Scenario="bear",AB30,"N/A")))</f>
        <v>0.12</v>
      </c>
      <c r="AC27" s="292">
        <f>IF(Case_Scenario="Bull",AC28,IF(Case_Scenario="Base",AC29,IF(Case_Scenario="bear",AC30,"N/A")))</f>
        <v>0.13500000000000001</v>
      </c>
      <c r="AD27" s="291" t="str">
        <f>'Segment Analysis'!AD149</f>
        <v>N/A</v>
      </c>
      <c r="AE27" s="291">
        <f>IF(Case_Scenario="Bull",AE28,IF(Case_Scenario="Base",AE29,IF(Case_Scenario="bear",AE30,"N/A")))</f>
        <v>0.13900000000000001</v>
      </c>
      <c r="AF27" s="291">
        <f>IF(Case_Scenario="Bull",AF28,IF(Case_Scenario="Base",AF29,IF(Case_Scenario="bear",AF30,"N/A")))</f>
        <v>0.14000000000000001</v>
      </c>
      <c r="AG27" s="291">
        <f>IF(Case_Scenario="Bull",AG28,IF(Case_Scenario="Base",AG29,IF(Case_Scenario="bear",AG30,"N/A")))</f>
        <v>0.14199999999999999</v>
      </c>
      <c r="AH27" s="9"/>
      <c r="AI27" s="9"/>
    </row>
    <row r="28" spans="1:35" ht="12.75" hidden="1" customHeight="1">
      <c r="A28" s="9"/>
      <c r="B28" s="9"/>
      <c r="C28" s="103" t="str">
        <f>IF(C27="","","Bull Case")</f>
        <v/>
      </c>
      <c r="D28" s="9"/>
      <c r="E28" s="9"/>
      <c r="F28" s="290"/>
      <c r="G28" s="290"/>
      <c r="H28" s="290"/>
      <c r="I28" s="290"/>
      <c r="J28" s="291"/>
      <c r="K28" s="290"/>
      <c r="L28" s="290"/>
      <c r="M28" s="290"/>
      <c r="N28" s="290"/>
      <c r="O28" s="291"/>
      <c r="P28" s="290"/>
      <c r="Q28" s="290"/>
      <c r="R28" s="290"/>
      <c r="S28" s="290"/>
      <c r="T28" s="291"/>
      <c r="U28" s="290"/>
      <c r="V28" s="233">
        <v>0</v>
      </c>
      <c r="W28" s="233">
        <v>0</v>
      </c>
      <c r="X28" s="233">
        <v>0</v>
      </c>
      <c r="Y28" s="291"/>
      <c r="Z28" s="233">
        <v>0.14499999999999999</v>
      </c>
      <c r="AA28" s="233">
        <v>0.15</v>
      </c>
      <c r="AB28" s="233">
        <v>0.15</v>
      </c>
      <c r="AC28" s="233">
        <v>0.15</v>
      </c>
      <c r="AD28" s="291"/>
      <c r="AE28" s="234">
        <v>0.15</v>
      </c>
      <c r="AF28" s="234">
        <v>0.15</v>
      </c>
      <c r="AG28" s="234">
        <v>0.15</v>
      </c>
      <c r="AH28" s="9"/>
      <c r="AI28" s="9"/>
    </row>
    <row r="29" spans="1:35" ht="12.75" hidden="1" customHeight="1">
      <c r="A29" s="180" t="s">
        <v>0</v>
      </c>
      <c r="B29" s="9"/>
      <c r="C29" s="103" t="str">
        <f>IF(C27="","","Base Case")</f>
        <v/>
      </c>
      <c r="D29" s="9"/>
      <c r="E29" s="9"/>
      <c r="F29" s="290"/>
      <c r="G29" s="290"/>
      <c r="H29" s="290"/>
      <c r="I29" s="290"/>
      <c r="J29" s="291"/>
      <c r="K29" s="290"/>
      <c r="L29" s="290"/>
      <c r="M29" s="290"/>
      <c r="N29" s="290"/>
      <c r="O29" s="291"/>
      <c r="P29" s="290"/>
      <c r="Q29" s="290"/>
      <c r="R29" s="290"/>
      <c r="S29" s="290"/>
      <c r="T29" s="291"/>
      <c r="U29" s="290"/>
      <c r="V29" s="233">
        <v>0</v>
      </c>
      <c r="W29" s="233">
        <v>0</v>
      </c>
      <c r="X29" s="233">
        <v>0</v>
      </c>
      <c r="Y29" s="291"/>
      <c r="Z29" s="233">
        <v>0.14000000000000001</v>
      </c>
      <c r="AA29" s="233">
        <v>0.14499999999999999</v>
      </c>
      <c r="AB29" s="233">
        <v>0.12</v>
      </c>
      <c r="AC29" s="233">
        <v>0.13500000000000001</v>
      </c>
      <c r="AD29" s="291"/>
      <c r="AE29" s="234">
        <v>0.13900000000000001</v>
      </c>
      <c r="AF29" s="234">
        <v>0.14000000000000001</v>
      </c>
      <c r="AG29" s="234">
        <v>0.14199999999999999</v>
      </c>
      <c r="AH29" s="180" t="s">
        <v>0</v>
      </c>
      <c r="AI29" s="180"/>
    </row>
    <row r="30" spans="1:35" ht="12.75" hidden="1" customHeight="1">
      <c r="A30" s="9"/>
      <c r="B30" s="9"/>
      <c r="C30" s="103" t="str">
        <f>IF(C27="","","Bear Case")</f>
        <v/>
      </c>
      <c r="D30" s="9"/>
      <c r="E30" s="9"/>
      <c r="F30" s="290"/>
      <c r="G30" s="290"/>
      <c r="H30" s="290"/>
      <c r="I30" s="290"/>
      <c r="J30" s="291"/>
      <c r="K30" s="290"/>
      <c r="L30" s="290"/>
      <c r="M30" s="290"/>
      <c r="N30" s="290"/>
      <c r="O30" s="291"/>
      <c r="P30" s="290"/>
      <c r="Q30" s="290"/>
      <c r="R30" s="290"/>
      <c r="S30" s="290"/>
      <c r="T30" s="291"/>
      <c r="U30" s="290"/>
      <c r="V30" s="233">
        <v>0</v>
      </c>
      <c r="W30" s="233">
        <v>0</v>
      </c>
      <c r="X30" s="233">
        <v>0</v>
      </c>
      <c r="Y30" s="291"/>
      <c r="Z30" s="233">
        <v>0.08</v>
      </c>
      <c r="AA30" s="233">
        <v>0.08</v>
      </c>
      <c r="AB30" s="233">
        <v>0.08</v>
      </c>
      <c r="AC30" s="233">
        <v>0.08</v>
      </c>
      <c r="AD30" s="291"/>
      <c r="AE30" s="234">
        <v>8.5000000000000006E-2</v>
      </c>
      <c r="AF30" s="234">
        <v>0.09</v>
      </c>
      <c r="AG30" s="234">
        <v>0.105</v>
      </c>
      <c r="AH30" s="9"/>
      <c r="AI30" s="9"/>
    </row>
    <row r="31" spans="1:35" ht="12.75" hidden="1" customHeight="1">
      <c r="A31" s="9"/>
      <c r="B31" s="9"/>
      <c r="C31" s="103"/>
      <c r="D31" s="9"/>
      <c r="E31" s="9"/>
      <c r="F31" s="290"/>
      <c r="G31" s="290"/>
      <c r="H31" s="290"/>
      <c r="I31" s="290"/>
      <c r="J31" s="291"/>
      <c r="K31" s="290"/>
      <c r="L31" s="290"/>
      <c r="M31" s="290"/>
      <c r="N31" s="290"/>
      <c r="O31" s="291"/>
      <c r="P31" s="290"/>
      <c r="Q31" s="290"/>
      <c r="R31" s="290"/>
      <c r="S31" s="290"/>
      <c r="T31" s="291"/>
      <c r="U31" s="290"/>
      <c r="V31" s="233"/>
      <c r="W31" s="233"/>
      <c r="X31" s="233"/>
      <c r="Y31" s="291"/>
      <c r="Z31" s="233"/>
      <c r="AA31" s="233"/>
      <c r="AB31" s="233"/>
      <c r="AC31" s="233"/>
      <c r="AD31" s="291"/>
      <c r="AE31" s="234"/>
      <c r="AF31" s="234"/>
      <c r="AG31" s="234"/>
      <c r="AH31" s="9"/>
      <c r="AI31" s="9"/>
    </row>
    <row r="32" spans="1:35" ht="12.75" hidden="1" customHeight="1">
      <c r="A32" s="9"/>
      <c r="B32" s="9"/>
      <c r="C32" s="9" t="str">
        <f>IF($C$5="Operating Margins",'Segment Analysis'!C21,"")</f>
        <v/>
      </c>
      <c r="D32" s="9"/>
      <c r="E32" s="9"/>
      <c r="F32" s="290" t="str">
        <f>'Segment Analysis'!F150</f>
        <v>N/A</v>
      </c>
      <c r="G32" s="290" t="str">
        <f>'Segment Analysis'!G150</f>
        <v>N/A</v>
      </c>
      <c r="H32" s="290" t="str">
        <f>'Segment Analysis'!H150</f>
        <v>N/A</v>
      </c>
      <c r="I32" s="290" t="str">
        <f>'Segment Analysis'!I150</f>
        <v>N/A</v>
      </c>
      <c r="J32" s="291" t="str">
        <f>'Segment Analysis'!J150</f>
        <v>N/A</v>
      </c>
      <c r="K32" s="290" t="str">
        <f>'Segment Analysis'!K150</f>
        <v>N/A</v>
      </c>
      <c r="L32" s="290" t="str">
        <f>'Segment Analysis'!L150</f>
        <v>N/A</v>
      </c>
      <c r="M32" s="290" t="str">
        <f>'Segment Analysis'!M150</f>
        <v>N/A</v>
      </c>
      <c r="N32" s="290" t="str">
        <f>'Segment Analysis'!N150</f>
        <v>N/A</v>
      </c>
      <c r="O32" s="291" t="str">
        <f>'Segment Analysis'!O150</f>
        <v>N/A</v>
      </c>
      <c r="P32" s="290" t="str">
        <f>'Segment Analysis'!P150</f>
        <v>N/A</v>
      </c>
      <c r="Q32" s="290" t="str">
        <f>'Segment Analysis'!Q150</f>
        <v>N/A</v>
      </c>
      <c r="R32" s="290" t="str">
        <f>'Segment Analysis'!R150</f>
        <v>N/A</v>
      </c>
      <c r="S32" s="290" t="str">
        <f>'Segment Analysis'!S150</f>
        <v>N/A</v>
      </c>
      <c r="T32" s="291" t="str">
        <f>'Segment Analysis'!T150</f>
        <v>N/A</v>
      </c>
      <c r="U32" s="290" t="str">
        <f>'Segment Analysis'!U150</f>
        <v>N/A</v>
      </c>
      <c r="V32" s="292">
        <f>IF(Case_Scenario="Bull",V33,IF(Case_Scenario="Base",V34,IF(Case_Scenario="bear",V35,"N/A")))</f>
        <v>0</v>
      </c>
      <c r="W32" s="292">
        <f>IF(Case_Scenario="Bull",W33,IF(Case_Scenario="Base",W34,IF(Case_Scenario="bear",W35,"N/A")))</f>
        <v>0</v>
      </c>
      <c r="X32" s="292">
        <f>IF(Case_Scenario="Bull",X33,IF(Case_Scenario="Base",X34,IF(Case_Scenario="bear",X35,"N/A")))</f>
        <v>0</v>
      </c>
      <c r="Y32" s="291" t="str">
        <f>'Segment Analysis'!Y150</f>
        <v>N/A</v>
      </c>
      <c r="Z32" s="292">
        <f>IF(Case_Scenario="Bull",Z33,IF(Case_Scenario="Base",Z34,IF(Case_Scenario="bear",Z35,"N/A")))</f>
        <v>0.14000000000000001</v>
      </c>
      <c r="AA32" s="292">
        <f>IF(Case_Scenario="Bull",AA33,IF(Case_Scenario="Base",AA34,IF(Case_Scenario="bear",AA35,"N/A")))</f>
        <v>0.14499999999999999</v>
      </c>
      <c r="AB32" s="292">
        <f>IF(Case_Scenario="Bull",AB33,IF(Case_Scenario="Base",AB34,IF(Case_Scenario="bear",AB35,"N/A")))</f>
        <v>0.12</v>
      </c>
      <c r="AC32" s="292">
        <f>IF(Case_Scenario="Bull",AC33,IF(Case_Scenario="Base",AC34,IF(Case_Scenario="bear",AC35,"N/A")))</f>
        <v>0.13500000000000001</v>
      </c>
      <c r="AD32" s="291" t="str">
        <f>'Segment Analysis'!AD150</f>
        <v>N/A</v>
      </c>
      <c r="AE32" s="291">
        <f>IF(Case_Scenario="Bull",AE33,IF(Case_Scenario="Base",AE34,IF(Case_Scenario="bear",AE35,"N/A")))</f>
        <v>0.13900000000000001</v>
      </c>
      <c r="AF32" s="291">
        <f>IF(Case_Scenario="Bull",AF33,IF(Case_Scenario="Base",AF34,IF(Case_Scenario="bear",AF35,"N/A")))</f>
        <v>0.14000000000000001</v>
      </c>
      <c r="AG32" s="291">
        <f>IF(Case_Scenario="Bull",AG33,IF(Case_Scenario="Base",AG34,IF(Case_Scenario="bear",AG35,"N/A")))</f>
        <v>0.14199999999999999</v>
      </c>
      <c r="AH32" s="9"/>
      <c r="AI32" s="9"/>
    </row>
    <row r="33" spans="1:35" ht="12.75" hidden="1" customHeight="1">
      <c r="A33" s="9"/>
      <c r="B33" s="9"/>
      <c r="C33" s="103" t="str">
        <f>IF(C32="","","Bull Case")</f>
        <v/>
      </c>
      <c r="D33" s="9"/>
      <c r="E33" s="9"/>
      <c r="F33" s="290"/>
      <c r="G33" s="290"/>
      <c r="H33" s="290"/>
      <c r="I33" s="290"/>
      <c r="J33" s="291"/>
      <c r="K33" s="290"/>
      <c r="L33" s="290"/>
      <c r="M33" s="290"/>
      <c r="N33" s="290"/>
      <c r="O33" s="291"/>
      <c r="P33" s="290"/>
      <c r="Q33" s="290"/>
      <c r="R33" s="290"/>
      <c r="S33" s="290"/>
      <c r="T33" s="291"/>
      <c r="U33" s="290"/>
      <c r="V33" s="233">
        <v>0</v>
      </c>
      <c r="W33" s="233">
        <v>0</v>
      </c>
      <c r="X33" s="233">
        <v>0</v>
      </c>
      <c r="Y33" s="291"/>
      <c r="Z33" s="233">
        <v>0.14499999999999999</v>
      </c>
      <c r="AA33" s="233">
        <v>0.15</v>
      </c>
      <c r="AB33" s="233">
        <v>0.15</v>
      </c>
      <c r="AC33" s="233">
        <v>0.15</v>
      </c>
      <c r="AD33" s="291"/>
      <c r="AE33" s="234">
        <v>0.15</v>
      </c>
      <c r="AF33" s="234">
        <v>0.15</v>
      </c>
      <c r="AG33" s="234">
        <v>0.15</v>
      </c>
      <c r="AH33" s="9"/>
      <c r="AI33" s="9"/>
    </row>
    <row r="34" spans="1:35" ht="12.75" hidden="1" customHeight="1">
      <c r="A34" s="9"/>
      <c r="B34" s="9"/>
      <c r="C34" s="103" t="str">
        <f>IF(C32="","","Base Case")</f>
        <v/>
      </c>
      <c r="D34" s="9"/>
      <c r="E34" s="9"/>
      <c r="F34" s="290"/>
      <c r="G34" s="290"/>
      <c r="H34" s="290"/>
      <c r="I34" s="290"/>
      <c r="J34" s="291"/>
      <c r="K34" s="290"/>
      <c r="L34" s="290"/>
      <c r="M34" s="290"/>
      <c r="N34" s="290"/>
      <c r="O34" s="291"/>
      <c r="P34" s="290"/>
      <c r="Q34" s="290"/>
      <c r="R34" s="290"/>
      <c r="S34" s="290"/>
      <c r="T34" s="291"/>
      <c r="U34" s="290"/>
      <c r="V34" s="233">
        <v>0</v>
      </c>
      <c r="W34" s="233">
        <v>0</v>
      </c>
      <c r="X34" s="233">
        <v>0</v>
      </c>
      <c r="Y34" s="291"/>
      <c r="Z34" s="233">
        <v>0.14000000000000001</v>
      </c>
      <c r="AA34" s="233">
        <v>0.14499999999999999</v>
      </c>
      <c r="AB34" s="233">
        <v>0.12</v>
      </c>
      <c r="AC34" s="233">
        <v>0.13500000000000001</v>
      </c>
      <c r="AD34" s="291"/>
      <c r="AE34" s="234">
        <v>0.13900000000000001</v>
      </c>
      <c r="AF34" s="234">
        <v>0.14000000000000001</v>
      </c>
      <c r="AG34" s="234">
        <v>0.14199999999999999</v>
      </c>
      <c r="AH34" s="9"/>
      <c r="AI34" s="9"/>
    </row>
    <row r="35" spans="1:35" ht="12.75" hidden="1" customHeight="1">
      <c r="A35" s="9"/>
      <c r="B35" s="9"/>
      <c r="C35" s="103" t="str">
        <f>IF(C32="","","Bear Case")</f>
        <v/>
      </c>
      <c r="D35" s="9"/>
      <c r="E35" s="9"/>
      <c r="F35" s="290"/>
      <c r="G35" s="290"/>
      <c r="H35" s="290"/>
      <c r="I35" s="290"/>
      <c r="J35" s="291"/>
      <c r="K35" s="290"/>
      <c r="L35" s="290"/>
      <c r="M35" s="290"/>
      <c r="N35" s="290"/>
      <c r="O35" s="291"/>
      <c r="P35" s="290"/>
      <c r="Q35" s="290"/>
      <c r="R35" s="290"/>
      <c r="S35" s="290"/>
      <c r="T35" s="291"/>
      <c r="U35" s="290"/>
      <c r="V35" s="233">
        <v>0</v>
      </c>
      <c r="W35" s="233">
        <v>0</v>
      </c>
      <c r="X35" s="233">
        <v>0</v>
      </c>
      <c r="Y35" s="291"/>
      <c r="Z35" s="233">
        <v>0.08</v>
      </c>
      <c r="AA35" s="233">
        <v>0.08</v>
      </c>
      <c r="AB35" s="233">
        <v>0.08</v>
      </c>
      <c r="AC35" s="233">
        <v>0.08</v>
      </c>
      <c r="AD35" s="291"/>
      <c r="AE35" s="234">
        <v>8.5000000000000006E-2</v>
      </c>
      <c r="AF35" s="234">
        <v>0.09</v>
      </c>
      <c r="AG35" s="234">
        <v>0.105</v>
      </c>
      <c r="AH35" s="9"/>
      <c r="AI35" s="9"/>
    </row>
    <row r="36" spans="1:35" ht="12.75" hidden="1" customHeight="1">
      <c r="A36" s="9"/>
      <c r="B36" s="9"/>
      <c r="C36" s="103"/>
      <c r="D36" s="9"/>
      <c r="E36" s="9"/>
      <c r="F36" s="290"/>
      <c r="G36" s="290"/>
      <c r="H36" s="290"/>
      <c r="I36" s="290"/>
      <c r="J36" s="291"/>
      <c r="K36" s="290"/>
      <c r="L36" s="290"/>
      <c r="M36" s="290"/>
      <c r="N36" s="290"/>
      <c r="O36" s="291"/>
      <c r="P36" s="290"/>
      <c r="Q36" s="290"/>
      <c r="R36" s="290"/>
      <c r="S36" s="290"/>
      <c r="T36" s="291"/>
      <c r="U36" s="290"/>
      <c r="V36" s="233"/>
      <c r="W36" s="233"/>
      <c r="X36" s="233"/>
      <c r="Y36" s="291"/>
      <c r="Z36" s="233"/>
      <c r="AA36" s="233"/>
      <c r="AB36" s="233"/>
      <c r="AC36" s="233"/>
      <c r="AD36" s="291"/>
      <c r="AE36" s="234"/>
      <c r="AF36" s="234"/>
      <c r="AG36" s="234"/>
      <c r="AH36" s="9"/>
      <c r="AI36" s="9"/>
    </row>
    <row r="37" spans="1:35" ht="12.75" customHeight="1">
      <c r="A37" s="9"/>
      <c r="B37" s="9"/>
      <c r="C37" s="9"/>
      <c r="D37" s="9"/>
      <c r="E37" s="9"/>
      <c r="F37" s="290"/>
      <c r="G37" s="290"/>
      <c r="H37" s="290"/>
      <c r="I37" s="290"/>
      <c r="J37" s="291"/>
      <c r="K37" s="290"/>
      <c r="L37" s="290"/>
      <c r="M37" s="290"/>
      <c r="N37" s="290"/>
      <c r="O37" s="291"/>
      <c r="P37" s="290"/>
      <c r="Q37" s="290"/>
      <c r="R37" s="290"/>
      <c r="S37" s="290"/>
      <c r="T37" s="291"/>
      <c r="U37" s="290"/>
      <c r="V37" s="292"/>
      <c r="W37" s="292"/>
      <c r="X37" s="292"/>
      <c r="Y37" s="291"/>
      <c r="Z37" s="292"/>
      <c r="AA37" s="292"/>
      <c r="AB37" s="292"/>
      <c r="AC37" s="292"/>
      <c r="AD37" s="291"/>
      <c r="AE37" s="132"/>
      <c r="AF37" s="132"/>
      <c r="AG37" s="132"/>
      <c r="AH37" s="9"/>
      <c r="AI37" s="9"/>
    </row>
    <row r="38" spans="1:35" ht="12.75" customHeight="1">
      <c r="A38" s="9"/>
      <c r="B38" s="9"/>
      <c r="C38" s="414" t="s">
        <v>452</v>
      </c>
      <c r="D38" s="415"/>
      <c r="E38" s="415"/>
      <c r="F38" s="416"/>
      <c r="G38" s="417"/>
      <c r="H38" s="417"/>
      <c r="I38" s="417"/>
      <c r="J38" s="417"/>
      <c r="K38" s="417"/>
      <c r="L38" s="417"/>
      <c r="M38" s="417"/>
      <c r="N38" s="417"/>
      <c r="O38" s="417"/>
      <c r="P38" s="417"/>
      <c r="Q38" s="417"/>
      <c r="R38" s="417"/>
      <c r="S38" s="417"/>
      <c r="T38" s="417"/>
      <c r="U38" s="417"/>
      <c r="V38" s="417"/>
      <c r="W38" s="417"/>
      <c r="X38" s="417"/>
      <c r="Y38" s="417"/>
      <c r="Z38" s="417"/>
      <c r="AA38" s="417"/>
      <c r="AB38" s="417"/>
      <c r="AC38" s="417"/>
      <c r="AD38" s="417"/>
      <c r="AE38" s="417"/>
      <c r="AF38" s="417"/>
      <c r="AG38" s="418"/>
      <c r="AH38" s="9"/>
      <c r="AI38" s="9"/>
    </row>
    <row r="39" spans="1:35" ht="12.75" customHeight="1">
      <c r="A39" s="9"/>
      <c r="B39" s="9"/>
      <c r="C39" s="9"/>
      <c r="D39" s="9"/>
      <c r="E39" s="9"/>
      <c r="F39" s="290"/>
      <c r="G39" s="290"/>
      <c r="H39" s="290"/>
      <c r="I39" s="290"/>
      <c r="J39" s="291"/>
      <c r="K39" s="290"/>
      <c r="L39" s="290"/>
      <c r="M39" s="290"/>
      <c r="N39" s="290"/>
      <c r="O39" s="291"/>
      <c r="P39" s="290"/>
      <c r="Q39" s="290"/>
      <c r="R39" s="290"/>
      <c r="S39" s="290"/>
      <c r="T39" s="291"/>
      <c r="U39" s="290"/>
      <c r="V39" s="292"/>
      <c r="W39" s="292"/>
      <c r="X39" s="292"/>
      <c r="Y39" s="291"/>
      <c r="Z39" s="292"/>
      <c r="AA39" s="292"/>
      <c r="AB39" s="292"/>
      <c r="AC39" s="292"/>
      <c r="AD39" s="291"/>
      <c r="AE39" s="132"/>
      <c r="AF39" s="132"/>
      <c r="AG39" s="132"/>
      <c r="AH39" s="9"/>
      <c r="AI39" s="9"/>
    </row>
    <row r="40" spans="1:35" ht="12.75" customHeight="1">
      <c r="A40" s="9"/>
      <c r="B40" s="9"/>
      <c r="C40" s="9" t="str">
        <f>Model!C67</f>
        <v>SG&amp;A as % of Revenue</v>
      </c>
      <c r="D40" s="9"/>
      <c r="E40" s="9"/>
      <c r="F40" s="290">
        <f>Model!F67</f>
        <v>-0.15359127438029946</v>
      </c>
      <c r="G40" s="290">
        <f>Model!G67</f>
        <v>-0.15149104849330428</v>
      </c>
      <c r="H40" s="290">
        <f>Model!H67</f>
        <v>-0.18113067976139888</v>
      </c>
      <c r="I40" s="290">
        <f>Model!I67</f>
        <v>-0.20714969677625281</v>
      </c>
      <c r="J40" s="291">
        <f>Model!J67</f>
        <v>-0.17102503437332744</v>
      </c>
      <c r="K40" s="290">
        <f>Model!K67</f>
        <v>-0.20789846205523166</v>
      </c>
      <c r="L40" s="290">
        <f>Model!L67</f>
        <v>-0.19979349916453859</v>
      </c>
      <c r="M40" s="290">
        <f>Model!M67</f>
        <v>-0.1929045855153915</v>
      </c>
      <c r="N40" s="290">
        <f>Model!N67</f>
        <v>-0.16139020179435656</v>
      </c>
      <c r="O40" s="291">
        <f>Model!O67</f>
        <v>-0.18781529750362019</v>
      </c>
      <c r="P40" s="290">
        <f>Model!P67</f>
        <v>-0.14580823561106285</v>
      </c>
      <c r="Q40" s="290">
        <f>Model!Q67</f>
        <v>-0.1849145660971073</v>
      </c>
      <c r="R40" s="290">
        <f>Model!R67</f>
        <v>-0.18206239116610504</v>
      </c>
      <c r="S40" s="290">
        <f>Model!S67</f>
        <v>-0.17606946401782059</v>
      </c>
      <c r="T40" s="291">
        <f>Model!T67</f>
        <v>-0.17099460842342673</v>
      </c>
      <c r="U40" s="290">
        <f>Model!U67</f>
        <v>-0.16723877288898487</v>
      </c>
      <c r="V40" s="292">
        <f>IF(Case_Scenario="Bull",V41,IF(Case_Scenario="Base",V42,IF(Case_Scenario="bear",V43,"N/A")))</f>
        <v>-0.17199999999999999</v>
      </c>
      <c r="W40" s="292">
        <f>IF(Case_Scenario="Bull",W41,IF(Case_Scenario="Base",W42,IF(Case_Scenario="bear",W43,"N/A")))</f>
        <v>-0.17199999999999999</v>
      </c>
      <c r="X40" s="292">
        <f>IF(Case_Scenario="Bull",X41,IF(Case_Scenario="Base",X42,IF(Case_Scenario="bear",X43,"N/A")))</f>
        <v>-0.17199999999999999</v>
      </c>
      <c r="Y40" s="291">
        <f>Model!Y67</f>
        <v>-0.17090723484626968</v>
      </c>
      <c r="Z40" s="292">
        <f>IF(Case_Scenario="Bull",Z41,IF(Case_Scenario="Base",Z42,IF(Case_Scenario="bear",Z43,"N/A")))</f>
        <v>-0.17499999999999999</v>
      </c>
      <c r="AA40" s="292">
        <f>IF(Case_Scenario="Bull",AA41,IF(Case_Scenario="Base",AA42,IF(Case_Scenario="bear",AA43,"N/A")))</f>
        <v>-0.17499999999999999</v>
      </c>
      <c r="AB40" s="292">
        <f>IF(Case_Scenario="Bull",AB41,IF(Case_Scenario="Base",AB42,IF(Case_Scenario="bear",AB43,"N/A")))</f>
        <v>-0.17499999999999999</v>
      </c>
      <c r="AC40" s="292">
        <f>IF(Case_Scenario="Bull",AC41,IF(Case_Scenario="Base",AC42,IF(Case_Scenario="bear",AC43,"N/A")))</f>
        <v>-0.17499999999999999</v>
      </c>
      <c r="AD40" s="291">
        <f>Model!AD67</f>
        <v>-0.17500000000000002</v>
      </c>
      <c r="AE40" s="291">
        <f>IF(Case_Scenario="Bull",AE41,IF(Case_Scenario="Base",AE42,IF(Case_Scenario="bear",AE43,"N/A")))</f>
        <v>-0.17499999999999999</v>
      </c>
      <c r="AF40" s="291">
        <f>IF(Case_Scenario="Bull",AF41,IF(Case_Scenario="Base",AF42,IF(Case_Scenario="bear",AF43,"N/A")))</f>
        <v>-0.17499999999999999</v>
      </c>
      <c r="AG40" s="291">
        <f>IF(Case_Scenario="Bull",AG41,IF(Case_Scenario="Base",AG42,IF(Case_Scenario="bear",AG43,"N/A")))</f>
        <v>-0.17499999999999999</v>
      </c>
      <c r="AH40" s="9"/>
      <c r="AI40" s="9"/>
    </row>
    <row r="41" spans="1:35" ht="12.75" customHeight="1">
      <c r="A41" s="9"/>
      <c r="B41" s="9"/>
      <c r="C41" s="103" t="s">
        <v>245</v>
      </c>
      <c r="D41" s="9"/>
      <c r="E41" s="9"/>
      <c r="F41" s="290"/>
      <c r="G41" s="290"/>
      <c r="H41" s="290"/>
      <c r="I41" s="290"/>
      <c r="J41" s="291"/>
      <c r="K41" s="290"/>
      <c r="L41" s="290"/>
      <c r="M41" s="290"/>
      <c r="N41" s="290"/>
      <c r="O41" s="291"/>
      <c r="P41" s="290"/>
      <c r="Q41" s="290"/>
      <c r="R41" s="290"/>
      <c r="S41" s="290"/>
      <c r="T41" s="291"/>
      <c r="U41" s="290"/>
      <c r="V41" s="233">
        <f>V42+0.005</f>
        <v>-0.16699999999999998</v>
      </c>
      <c r="W41" s="233">
        <f t="shared" ref="W41:X41" si="0">W42+0.005</f>
        <v>-0.16699999999999998</v>
      </c>
      <c r="X41" s="233">
        <f t="shared" si="0"/>
        <v>-0.16699999999999998</v>
      </c>
      <c r="Y41" s="291"/>
      <c r="Z41" s="233">
        <f>Z42+0.005</f>
        <v>-0.16999999999999998</v>
      </c>
      <c r="AA41" s="233">
        <f t="shared" ref="AA41:AC41" si="1">AA42+0.005</f>
        <v>-0.16999999999999998</v>
      </c>
      <c r="AB41" s="233">
        <f t="shared" si="1"/>
        <v>-0.16999999999999998</v>
      </c>
      <c r="AC41" s="233">
        <f t="shared" si="1"/>
        <v>-0.16999999999999998</v>
      </c>
      <c r="AD41" s="291"/>
      <c r="AE41" s="234">
        <f>AE42+0.005</f>
        <v>-0.16999999999999998</v>
      </c>
      <c r="AF41" s="234">
        <f t="shared" ref="AF41:AG41" si="2">AF42+0.005</f>
        <v>-0.16999999999999998</v>
      </c>
      <c r="AG41" s="234">
        <f t="shared" si="2"/>
        <v>-0.16999999999999998</v>
      </c>
      <c r="AH41" s="9"/>
      <c r="AI41" s="9"/>
    </row>
    <row r="42" spans="1:35" ht="12.75" customHeight="1">
      <c r="A42" s="9"/>
      <c r="B42" s="9"/>
      <c r="C42" s="103" t="s">
        <v>246</v>
      </c>
      <c r="D42" s="9"/>
      <c r="E42" s="9"/>
      <c r="F42" s="290"/>
      <c r="G42" s="290"/>
      <c r="H42" s="290"/>
      <c r="I42" s="290"/>
      <c r="J42" s="291"/>
      <c r="K42" s="290"/>
      <c r="L42" s="290"/>
      <c r="M42" s="290"/>
      <c r="N42" s="290"/>
      <c r="O42" s="291"/>
      <c r="P42" s="290"/>
      <c r="Q42" s="290"/>
      <c r="R42" s="290"/>
      <c r="S42" s="290"/>
      <c r="T42" s="291"/>
      <c r="U42" s="290"/>
      <c r="V42" s="233">
        <v>-0.17199999999999999</v>
      </c>
      <c r="W42" s="233">
        <v>-0.17199999999999999</v>
      </c>
      <c r="X42" s="233">
        <v>-0.17199999999999999</v>
      </c>
      <c r="Y42" s="291"/>
      <c r="Z42" s="233">
        <v>-0.17499999999999999</v>
      </c>
      <c r="AA42" s="233">
        <v>-0.17499999999999999</v>
      </c>
      <c r="AB42" s="233">
        <v>-0.17499999999999999</v>
      </c>
      <c r="AC42" s="233">
        <v>-0.17499999999999999</v>
      </c>
      <c r="AD42" s="291"/>
      <c r="AE42" s="234">
        <v>-0.17499999999999999</v>
      </c>
      <c r="AF42" s="234">
        <v>-0.17499999999999999</v>
      </c>
      <c r="AG42" s="234">
        <v>-0.17499999999999999</v>
      </c>
      <c r="AH42" s="9"/>
      <c r="AI42" s="9"/>
    </row>
    <row r="43" spans="1:35" ht="12.75" customHeight="1">
      <c r="A43" s="180" t="s">
        <v>0</v>
      </c>
      <c r="B43" s="9"/>
      <c r="C43" s="103" t="s">
        <v>247</v>
      </c>
      <c r="D43" s="9"/>
      <c r="E43" s="9"/>
      <c r="F43" s="290"/>
      <c r="G43" s="290"/>
      <c r="H43" s="290"/>
      <c r="I43" s="290"/>
      <c r="J43" s="291"/>
      <c r="K43" s="290"/>
      <c r="L43" s="290"/>
      <c r="M43" s="290"/>
      <c r="N43" s="290"/>
      <c r="O43" s="291"/>
      <c r="P43" s="290"/>
      <c r="Q43" s="290"/>
      <c r="R43" s="290"/>
      <c r="S43" s="290"/>
      <c r="T43" s="291"/>
      <c r="U43" s="290"/>
      <c r="V43" s="233">
        <f>V42-0.01</f>
        <v>-0.182</v>
      </c>
      <c r="W43" s="233">
        <f t="shared" ref="W43:Z43" si="3">W42-0.01</f>
        <v>-0.182</v>
      </c>
      <c r="X43" s="233">
        <f t="shared" si="3"/>
        <v>-0.182</v>
      </c>
      <c r="Y43" s="291"/>
      <c r="Z43" s="233">
        <f t="shared" si="3"/>
        <v>-0.185</v>
      </c>
      <c r="AA43" s="233">
        <f t="shared" ref="AA43" si="4">AA42-0.01</f>
        <v>-0.185</v>
      </c>
      <c r="AB43" s="233">
        <f t="shared" ref="AB43" si="5">AB42-0.01</f>
        <v>-0.185</v>
      </c>
      <c r="AC43" s="233">
        <f t="shared" ref="AC43" si="6">AC42-0.01</f>
        <v>-0.185</v>
      </c>
      <c r="AD43" s="291"/>
      <c r="AE43" s="234">
        <f>AE42-0.01</f>
        <v>-0.185</v>
      </c>
      <c r="AF43" s="234">
        <f t="shared" ref="AF43:AG43" si="7">AF42-0.01</f>
        <v>-0.185</v>
      </c>
      <c r="AG43" s="234">
        <f t="shared" si="7"/>
        <v>-0.185</v>
      </c>
      <c r="AH43" s="180" t="s">
        <v>0</v>
      </c>
      <c r="AI43" s="180"/>
    </row>
    <row r="44" spans="1:35" ht="12.75" customHeight="1">
      <c r="A44" s="180"/>
      <c r="B44" s="9"/>
      <c r="C44" s="9"/>
      <c r="D44" s="9"/>
      <c r="E44" s="9"/>
      <c r="F44" s="290"/>
      <c r="G44" s="290"/>
      <c r="H44" s="290"/>
      <c r="I44" s="290"/>
      <c r="J44" s="291"/>
      <c r="K44" s="290"/>
      <c r="L44" s="290"/>
      <c r="M44" s="290"/>
      <c r="N44" s="290"/>
      <c r="O44" s="291"/>
      <c r="P44" s="290"/>
      <c r="Q44" s="290"/>
      <c r="R44" s="290"/>
      <c r="S44" s="290"/>
      <c r="T44" s="291"/>
      <c r="U44" s="290"/>
      <c r="V44" s="292"/>
      <c r="W44" s="292"/>
      <c r="X44" s="292"/>
      <c r="Y44" s="291"/>
      <c r="Z44" s="292"/>
      <c r="AA44" s="292"/>
      <c r="AB44" s="292"/>
      <c r="AC44" s="292"/>
      <c r="AD44" s="291"/>
      <c r="AE44" s="132"/>
      <c r="AF44" s="132"/>
      <c r="AG44" s="132"/>
      <c r="AH44" s="9"/>
      <c r="AI44" s="9"/>
    </row>
    <row r="45" spans="1:35" ht="12.75" customHeight="1">
      <c r="A45" s="9"/>
      <c r="B45" s="9"/>
      <c r="C45" s="9" t="str">
        <f>Model!C68</f>
        <v>Compensation and Benefit as a % of Revenue</v>
      </c>
      <c r="D45" s="9"/>
      <c r="E45" s="9"/>
      <c r="F45" s="290">
        <f>Model!F68</f>
        <v>-0.38516998870923702</v>
      </c>
      <c r="G45" s="290">
        <f>Model!G68</f>
        <v>-0.39355335045833278</v>
      </c>
      <c r="H45" s="290">
        <f>Model!H68</f>
        <v>-0.35944410343579336</v>
      </c>
      <c r="I45" s="290">
        <f>Model!I68</f>
        <v>-0.35621697343689046</v>
      </c>
      <c r="J45" s="291">
        <f>Model!J68</f>
        <v>-0.37524326103114303</v>
      </c>
      <c r="K45" s="290">
        <f>Model!K68</f>
        <v>-0.35271959499988004</v>
      </c>
      <c r="L45" s="290">
        <f>Model!L68</f>
        <v>-0.36200699895961408</v>
      </c>
      <c r="M45" s="290">
        <f>Model!M68</f>
        <v>-0.39680993741218545</v>
      </c>
      <c r="N45" s="290">
        <f>Model!N68</f>
        <v>-0.36377324314380327</v>
      </c>
      <c r="O45" s="291">
        <f>Model!O68</f>
        <v>-0.36834512369953887</v>
      </c>
      <c r="P45" s="290">
        <f>Model!P68</f>
        <v>-0.39869161443798895</v>
      </c>
      <c r="Q45" s="290">
        <f>Model!Q68</f>
        <v>-0.36713578090520604</v>
      </c>
      <c r="R45" s="290">
        <f>Model!R68</f>
        <v>-0.367910567511188</v>
      </c>
      <c r="S45" s="290">
        <f>Model!S68</f>
        <v>-0.39948881918241369</v>
      </c>
      <c r="T45" s="291">
        <f>Model!T68</f>
        <v>-0.38500962180418646</v>
      </c>
      <c r="U45" s="290">
        <f>Model!U68</f>
        <v>-0.39529887814137465</v>
      </c>
      <c r="V45" s="292">
        <f>IF(Case_Scenario="Bull",V46,IF(Case_Scenario="Base",V47,IF(Case_Scenario="bear",V48,"N/A")))</f>
        <v>-0.39500000000000002</v>
      </c>
      <c r="W45" s="292">
        <f>IF(Case_Scenario="Bull",W46,IF(Case_Scenario="Base",W47,IF(Case_Scenario="bear",W48,"N/A")))</f>
        <v>-0.39500000000000002</v>
      </c>
      <c r="X45" s="292">
        <f>IF(Case_Scenario="Bull",X46,IF(Case_Scenario="Base",X47,IF(Case_Scenario="bear",X48,"N/A")))</f>
        <v>-0.39500000000000002</v>
      </c>
      <c r="Y45" s="291">
        <f>Model!Y68</f>
        <v>-0.39506859652154602</v>
      </c>
      <c r="Z45" s="292">
        <f>IF(Case_Scenario="Bull",Z46,IF(Case_Scenario="Base",Z47,IF(Case_Scenario="bear",Z48,"N/A")))</f>
        <v>-0.39500000000000002</v>
      </c>
      <c r="AA45" s="292">
        <f>IF(Case_Scenario="Bull",AA46,IF(Case_Scenario="Base",AA47,IF(Case_Scenario="bear",AA48,"N/A")))</f>
        <v>-0.39500000000000002</v>
      </c>
      <c r="AB45" s="292">
        <f>IF(Case_Scenario="Bull",AB46,IF(Case_Scenario="Base",AB47,IF(Case_Scenario="bear",AB48,"N/A")))</f>
        <v>-0.39500000000000002</v>
      </c>
      <c r="AC45" s="292">
        <f>IF(Case_Scenario="Bull",AC46,IF(Case_Scenario="Base",AC47,IF(Case_Scenario="bear",AC48,"N/A")))</f>
        <v>-0.39500000000000002</v>
      </c>
      <c r="AD45" s="291">
        <f>Model!AD68</f>
        <v>-0.39500000000000007</v>
      </c>
      <c r="AE45" s="291">
        <f>IF(Case_Scenario="Bull",AE46,IF(Case_Scenario="Base",AE47,IF(Case_Scenario="bear",AE48,"N/A")))</f>
        <v>-0.40500000000000003</v>
      </c>
      <c r="AF45" s="291">
        <f>IF(Case_Scenario="Bull",AF46,IF(Case_Scenario="Base",AF47,IF(Case_Scenario="bear",AF48,"N/A")))</f>
        <v>-0.40500000000000003</v>
      </c>
      <c r="AG45" s="291">
        <f>IF(Case_Scenario="Bull",AG46,IF(Case_Scenario="Base",AG47,IF(Case_Scenario="bear",AG48,"N/A")))</f>
        <v>-0.40500000000000003</v>
      </c>
      <c r="AH45" s="9"/>
      <c r="AI45" s="9"/>
    </row>
    <row r="46" spans="1:35" ht="12.75" customHeight="1">
      <c r="A46" s="9"/>
      <c r="B46" s="9"/>
      <c r="C46" s="103" t="s">
        <v>245</v>
      </c>
      <c r="D46" s="9"/>
      <c r="E46" s="9"/>
      <c r="F46" s="290"/>
      <c r="G46" s="290"/>
      <c r="H46" s="290"/>
      <c r="I46" s="290"/>
      <c r="J46" s="291"/>
      <c r="K46" s="290"/>
      <c r="L46" s="290"/>
      <c r="M46" s="290"/>
      <c r="N46" s="290"/>
      <c r="O46" s="291"/>
      <c r="P46" s="290"/>
      <c r="Q46" s="290"/>
      <c r="R46" s="290"/>
      <c r="S46" s="290"/>
      <c r="T46" s="291"/>
      <c r="U46" s="290"/>
      <c r="V46" s="233">
        <f>V47+0.005</f>
        <v>-0.39</v>
      </c>
      <c r="W46" s="233">
        <f t="shared" ref="W46:X46" si="8">W47+0.005</f>
        <v>-0.39</v>
      </c>
      <c r="X46" s="233">
        <f t="shared" si="8"/>
        <v>-0.39</v>
      </c>
      <c r="Y46" s="291"/>
      <c r="Z46" s="233">
        <f>Z47+0.005</f>
        <v>-0.39</v>
      </c>
      <c r="AA46" s="233">
        <f t="shared" ref="AA46:AC46" si="9">AA47+0.005</f>
        <v>-0.39</v>
      </c>
      <c r="AB46" s="233">
        <f t="shared" si="9"/>
        <v>-0.39</v>
      </c>
      <c r="AC46" s="233">
        <f t="shared" si="9"/>
        <v>-0.39</v>
      </c>
      <c r="AD46" s="291"/>
      <c r="AE46" s="234">
        <f>AE47+0.005</f>
        <v>-0.4</v>
      </c>
      <c r="AF46" s="234">
        <f t="shared" ref="AF46:AG46" si="10">AF47+0.005</f>
        <v>-0.4</v>
      </c>
      <c r="AG46" s="234">
        <f t="shared" si="10"/>
        <v>-0.4</v>
      </c>
      <c r="AH46" s="9"/>
      <c r="AI46" s="9"/>
    </row>
    <row r="47" spans="1:35" ht="12.75" customHeight="1">
      <c r="A47" s="9"/>
      <c r="B47" s="9"/>
      <c r="C47" s="103" t="s">
        <v>246</v>
      </c>
      <c r="D47" s="9"/>
      <c r="E47" s="9"/>
      <c r="F47" s="290"/>
      <c r="G47" s="290"/>
      <c r="H47" s="290"/>
      <c r="I47" s="290"/>
      <c r="J47" s="291"/>
      <c r="K47" s="290"/>
      <c r="L47" s="290"/>
      <c r="M47" s="290"/>
      <c r="N47" s="290"/>
      <c r="O47" s="291"/>
      <c r="P47" s="290"/>
      <c r="Q47" s="290"/>
      <c r="R47" s="290"/>
      <c r="S47" s="290"/>
      <c r="T47" s="291"/>
      <c r="U47" s="290"/>
      <c r="V47" s="233">
        <f>-39.5%</f>
        <v>-0.39500000000000002</v>
      </c>
      <c r="W47" s="233">
        <f t="shared" ref="W47" si="11">-39.5%</f>
        <v>-0.39500000000000002</v>
      </c>
      <c r="X47" s="233">
        <v>-0.39500000000000002</v>
      </c>
      <c r="Y47" s="291"/>
      <c r="Z47" s="233">
        <v>-0.39500000000000002</v>
      </c>
      <c r="AA47" s="233">
        <v>-0.39500000000000002</v>
      </c>
      <c r="AB47" s="233">
        <v>-0.39500000000000002</v>
      </c>
      <c r="AC47" s="233">
        <v>-0.39500000000000002</v>
      </c>
      <c r="AD47" s="291"/>
      <c r="AE47" s="870">
        <v>-0.40500000000000003</v>
      </c>
      <c r="AF47" s="870">
        <v>-0.40500000000000003</v>
      </c>
      <c r="AG47" s="870">
        <v>-0.40500000000000003</v>
      </c>
      <c r="AH47" s="9"/>
      <c r="AI47" s="9"/>
    </row>
    <row r="48" spans="1:35" ht="12.75" customHeight="1">
      <c r="A48" s="9"/>
      <c r="B48" s="9"/>
      <c r="C48" s="103" t="s">
        <v>247</v>
      </c>
      <c r="D48" s="9"/>
      <c r="E48" s="9"/>
      <c r="F48" s="290"/>
      <c r="G48" s="290"/>
      <c r="H48" s="290"/>
      <c r="I48" s="290"/>
      <c r="J48" s="291"/>
      <c r="K48" s="290"/>
      <c r="L48" s="290"/>
      <c r="M48" s="290"/>
      <c r="N48" s="290"/>
      <c r="O48" s="291"/>
      <c r="P48" s="290"/>
      <c r="Q48" s="290"/>
      <c r="R48" s="290"/>
      <c r="S48" s="290"/>
      <c r="T48" s="291"/>
      <c r="U48" s="290"/>
      <c r="V48" s="233">
        <f>V47-0.01</f>
        <v>-0.40500000000000003</v>
      </c>
      <c r="W48" s="233">
        <f t="shared" ref="W48:X48" si="12">W47-0.01</f>
        <v>-0.40500000000000003</v>
      </c>
      <c r="X48" s="233">
        <f t="shared" si="12"/>
        <v>-0.40500000000000003</v>
      </c>
      <c r="Y48" s="291"/>
      <c r="Z48" s="233">
        <f>Z47-0.01</f>
        <v>-0.40500000000000003</v>
      </c>
      <c r="AA48" s="233">
        <f t="shared" ref="AA48:AC48" si="13">AA47-0.01</f>
        <v>-0.40500000000000003</v>
      </c>
      <c r="AB48" s="233">
        <f t="shared" si="13"/>
        <v>-0.40500000000000003</v>
      </c>
      <c r="AC48" s="233">
        <f t="shared" si="13"/>
        <v>-0.40500000000000003</v>
      </c>
      <c r="AD48" s="291"/>
      <c r="AE48" s="234">
        <f>AE47-0.005</f>
        <v>-0.41000000000000003</v>
      </c>
      <c r="AF48" s="234">
        <f t="shared" ref="AF48:AG48" si="14">AF47-0.005</f>
        <v>-0.41000000000000003</v>
      </c>
      <c r="AG48" s="234">
        <f t="shared" si="14"/>
        <v>-0.41000000000000003</v>
      </c>
      <c r="AH48" s="9"/>
      <c r="AI48" s="9"/>
    </row>
    <row r="49" spans="1:35" ht="12.75" customHeight="1">
      <c r="A49" s="9"/>
      <c r="B49" s="9"/>
      <c r="C49" s="9"/>
      <c r="D49" s="9"/>
      <c r="E49" s="9"/>
      <c r="F49" s="290"/>
      <c r="G49" s="290"/>
      <c r="H49" s="290"/>
      <c r="I49" s="290"/>
      <c r="J49" s="291"/>
      <c r="K49" s="290"/>
      <c r="L49" s="290"/>
      <c r="M49" s="290"/>
      <c r="N49" s="290"/>
      <c r="O49" s="291"/>
      <c r="P49" s="290"/>
      <c r="Q49" s="290"/>
      <c r="R49" s="290"/>
      <c r="S49" s="290"/>
      <c r="T49" s="291"/>
      <c r="U49" s="290"/>
      <c r="V49" s="292"/>
      <c r="W49" s="292"/>
      <c r="X49" s="292"/>
      <c r="Y49" s="291"/>
      <c r="Z49" s="292"/>
      <c r="AA49" s="292"/>
      <c r="AB49" s="292"/>
      <c r="AC49" s="292"/>
      <c r="AD49" s="291"/>
      <c r="AE49" s="132"/>
      <c r="AF49" s="132"/>
      <c r="AG49" s="132"/>
      <c r="AH49" s="9"/>
      <c r="AI49" s="9"/>
    </row>
    <row r="50" spans="1:35" ht="12.75" customHeight="1">
      <c r="A50" s="9"/>
      <c r="B50" s="9"/>
      <c r="C50" s="9" t="str">
        <f>Model!C69</f>
        <v>Other Operating Income as a % of Revenue</v>
      </c>
      <c r="D50" s="9"/>
      <c r="E50" s="9"/>
      <c r="F50" s="290">
        <f>Model!F69</f>
        <v>0</v>
      </c>
      <c r="G50" s="290">
        <f>Model!G69</f>
        <v>0</v>
      </c>
      <c r="H50" s="290">
        <f>Model!H69</f>
        <v>0</v>
      </c>
      <c r="I50" s="290">
        <f>Model!I69</f>
        <v>0</v>
      </c>
      <c r="J50" s="291">
        <f>Model!J69</f>
        <v>0</v>
      </c>
      <c r="K50" s="290">
        <f>Model!K69</f>
        <v>0</v>
      </c>
      <c r="L50" s="290">
        <f>Model!L69</f>
        <v>0</v>
      </c>
      <c r="M50" s="290">
        <f>Model!M69</f>
        <v>0</v>
      </c>
      <c r="N50" s="290">
        <f>Model!N69</f>
        <v>0</v>
      </c>
      <c r="O50" s="291">
        <f>Model!O69</f>
        <v>0</v>
      </c>
      <c r="P50" s="290">
        <f>Model!P69</f>
        <v>0</v>
      </c>
      <c r="Q50" s="290">
        <f>Model!Q69</f>
        <v>0</v>
      </c>
      <c r="R50" s="290">
        <f>Model!R69</f>
        <v>0</v>
      </c>
      <c r="S50" s="290">
        <f>Model!S69</f>
        <v>0</v>
      </c>
      <c r="T50" s="291">
        <f>Model!T69</f>
        <v>0</v>
      </c>
      <c r="U50" s="290">
        <f>Model!U69</f>
        <v>0</v>
      </c>
      <c r="V50" s="292">
        <f>IF(Case_Scenario="Bull",V51,IF(Case_Scenario="Base",V52,IF(Case_Scenario="bear",V53,"N/A")))</f>
        <v>0</v>
      </c>
      <c r="W50" s="292">
        <f>IF(Case_Scenario="Bull",W51,IF(Case_Scenario="Base",W52,IF(Case_Scenario="bear",W53,"N/A")))</f>
        <v>0</v>
      </c>
      <c r="X50" s="292">
        <f>IF(Case_Scenario="Bull",X51,IF(Case_Scenario="Base",X52,IF(Case_Scenario="bear",X53,"N/A")))</f>
        <v>0</v>
      </c>
      <c r="Y50" s="291">
        <f>Model!Y69</f>
        <v>0</v>
      </c>
      <c r="Z50" s="292">
        <f>IF(Case_Scenario="Bull",Z51,IF(Case_Scenario="Base",Z52,IF(Case_Scenario="bear",Z53,"N/A")))</f>
        <v>0</v>
      </c>
      <c r="AA50" s="292">
        <f>IF(Case_Scenario="Bull",AA51,IF(Case_Scenario="Base",AA52,IF(Case_Scenario="bear",AA53,"N/A")))</f>
        <v>0</v>
      </c>
      <c r="AB50" s="292">
        <f>IF(Case_Scenario="Bull",AB51,IF(Case_Scenario="Base",AB52,IF(Case_Scenario="bear",AB53,"N/A")))</f>
        <v>0</v>
      </c>
      <c r="AC50" s="292">
        <f>IF(Case_Scenario="Bull",AC51,IF(Case_Scenario="Base",AC52,IF(Case_Scenario="bear",AC53,"N/A")))</f>
        <v>0</v>
      </c>
      <c r="AD50" s="291">
        <f>Model!AD69</f>
        <v>0</v>
      </c>
      <c r="AE50" s="291">
        <f>IF(Case_Scenario="Bull",AE51,IF(Case_Scenario="Base",AE52,IF(Case_Scenario="bear",AE53,"N/A")))</f>
        <v>0</v>
      </c>
      <c r="AF50" s="291">
        <f>IF(Case_Scenario="Bull",AF51,IF(Case_Scenario="Base",AF52,IF(Case_Scenario="bear",AF53,"N/A")))</f>
        <v>0</v>
      </c>
      <c r="AG50" s="291">
        <f>IF(Case_Scenario="Bull",AG51,IF(Case_Scenario="Base",AG52,IF(Case_Scenario="bear",AG53,"N/A")))</f>
        <v>0</v>
      </c>
      <c r="AH50" s="9"/>
      <c r="AI50" s="9"/>
    </row>
    <row r="51" spans="1:35" ht="12.75" customHeight="1">
      <c r="A51" s="9"/>
      <c r="B51" s="9"/>
      <c r="C51" s="103" t="s">
        <v>245</v>
      </c>
      <c r="D51" s="9"/>
      <c r="E51" s="9"/>
      <c r="F51" s="290"/>
      <c r="G51" s="290"/>
      <c r="H51" s="290"/>
      <c r="I51" s="290"/>
      <c r="J51" s="291"/>
      <c r="K51" s="290"/>
      <c r="L51" s="290"/>
      <c r="M51" s="290"/>
      <c r="N51" s="290"/>
      <c r="O51" s="291"/>
      <c r="P51" s="290"/>
      <c r="Q51" s="290"/>
      <c r="R51" s="290"/>
      <c r="S51" s="290"/>
      <c r="T51" s="291"/>
      <c r="U51" s="290"/>
      <c r="V51" s="233">
        <v>0</v>
      </c>
      <c r="W51" s="233">
        <v>0</v>
      </c>
      <c r="X51" s="233">
        <v>0</v>
      </c>
      <c r="Y51" s="291"/>
      <c r="Z51" s="233">
        <v>0</v>
      </c>
      <c r="AA51" s="233">
        <v>0</v>
      </c>
      <c r="AB51" s="233">
        <v>0</v>
      </c>
      <c r="AC51" s="233">
        <v>0</v>
      </c>
      <c r="AD51" s="291"/>
      <c r="AE51" s="234">
        <v>0</v>
      </c>
      <c r="AF51" s="234">
        <v>0</v>
      </c>
      <c r="AG51" s="234">
        <v>0</v>
      </c>
      <c r="AH51" s="9"/>
      <c r="AI51" s="9"/>
    </row>
    <row r="52" spans="1:35" ht="12.75" customHeight="1">
      <c r="A52" s="9"/>
      <c r="B52" s="9"/>
      <c r="C52" s="103" t="s">
        <v>246</v>
      </c>
      <c r="D52" s="9"/>
      <c r="E52" s="9"/>
      <c r="F52" s="290"/>
      <c r="G52" s="290"/>
      <c r="H52" s="290"/>
      <c r="I52" s="290"/>
      <c r="J52" s="291"/>
      <c r="K52" s="290"/>
      <c r="L52" s="290"/>
      <c r="M52" s="290"/>
      <c r="N52" s="290"/>
      <c r="O52" s="291"/>
      <c r="P52" s="290"/>
      <c r="Q52" s="290"/>
      <c r="R52" s="290"/>
      <c r="S52" s="290"/>
      <c r="T52" s="291"/>
      <c r="U52" s="290"/>
      <c r="V52" s="233">
        <v>0</v>
      </c>
      <c r="W52" s="233">
        <v>0</v>
      </c>
      <c r="X52" s="233">
        <v>0</v>
      </c>
      <c r="Y52" s="291"/>
      <c r="Z52" s="233">
        <v>0</v>
      </c>
      <c r="AA52" s="233">
        <v>0</v>
      </c>
      <c r="AB52" s="233">
        <v>0</v>
      </c>
      <c r="AC52" s="233">
        <v>0</v>
      </c>
      <c r="AD52" s="291"/>
      <c r="AE52" s="234">
        <v>0</v>
      </c>
      <c r="AF52" s="234">
        <v>0</v>
      </c>
      <c r="AG52" s="234">
        <v>0</v>
      </c>
      <c r="AH52" s="9"/>
      <c r="AI52" s="9"/>
    </row>
    <row r="53" spans="1:35" ht="12.75" customHeight="1">
      <c r="A53" s="9"/>
      <c r="B53" s="9"/>
      <c r="C53" s="103" t="s">
        <v>247</v>
      </c>
      <c r="D53" s="9"/>
      <c r="E53" s="9"/>
      <c r="F53" s="290"/>
      <c r="G53" s="290"/>
      <c r="H53" s="290"/>
      <c r="I53" s="290"/>
      <c r="J53" s="291"/>
      <c r="K53" s="290"/>
      <c r="L53" s="290"/>
      <c r="M53" s="290"/>
      <c r="N53" s="290"/>
      <c r="O53" s="291"/>
      <c r="P53" s="290"/>
      <c r="Q53" s="290"/>
      <c r="R53" s="290"/>
      <c r="S53" s="290"/>
      <c r="T53" s="291"/>
      <c r="U53" s="290"/>
      <c r="V53" s="233">
        <v>0</v>
      </c>
      <c r="W53" s="233">
        <v>0</v>
      </c>
      <c r="X53" s="233">
        <v>0</v>
      </c>
      <c r="Y53" s="291"/>
      <c r="Z53" s="233">
        <v>0</v>
      </c>
      <c r="AA53" s="233">
        <v>0</v>
      </c>
      <c r="AB53" s="233">
        <v>0</v>
      </c>
      <c r="AC53" s="233">
        <v>0</v>
      </c>
      <c r="AD53" s="291"/>
      <c r="AE53" s="234">
        <v>0</v>
      </c>
      <c r="AF53" s="234">
        <v>0</v>
      </c>
      <c r="AG53" s="234">
        <v>0</v>
      </c>
      <c r="AH53" s="9"/>
      <c r="AI53" s="9"/>
    </row>
    <row r="54" spans="1:35" ht="12.75" customHeight="1">
      <c r="A54" s="9"/>
      <c r="B54" s="9"/>
      <c r="C54" s="9"/>
      <c r="D54" s="9"/>
      <c r="E54" s="9"/>
      <c r="F54" s="290"/>
      <c r="G54" s="290"/>
      <c r="H54" s="290"/>
      <c r="I54" s="290"/>
      <c r="J54" s="291"/>
      <c r="K54" s="290"/>
      <c r="L54" s="290"/>
      <c r="M54" s="290"/>
      <c r="N54" s="290"/>
      <c r="O54" s="291"/>
      <c r="P54" s="290"/>
      <c r="Q54" s="290"/>
      <c r="R54" s="290"/>
      <c r="S54" s="290"/>
      <c r="T54" s="291"/>
      <c r="U54" s="290"/>
      <c r="V54" s="292"/>
      <c r="W54" s="292"/>
      <c r="X54" s="292"/>
      <c r="Y54" s="291"/>
      <c r="Z54" s="292"/>
      <c r="AA54" s="292"/>
      <c r="AB54" s="292"/>
      <c r="AC54" s="292"/>
      <c r="AD54" s="291"/>
      <c r="AE54" s="132"/>
      <c r="AF54" s="132"/>
      <c r="AG54" s="132"/>
      <c r="AH54" s="9"/>
      <c r="AI54" s="9"/>
    </row>
    <row r="55" spans="1:35" ht="12.75" customHeight="1">
      <c r="A55" s="9"/>
      <c r="B55" s="9"/>
      <c r="C55" s="414" t="s">
        <v>453</v>
      </c>
      <c r="D55" s="415"/>
      <c r="E55" s="415"/>
      <c r="F55" s="416"/>
      <c r="G55" s="417"/>
      <c r="H55" s="417"/>
      <c r="I55" s="417"/>
      <c r="J55" s="417"/>
      <c r="K55" s="417"/>
      <c r="L55" s="417"/>
      <c r="M55" s="417"/>
      <c r="N55" s="417"/>
      <c r="O55" s="417"/>
      <c r="P55" s="417"/>
      <c r="Q55" s="417"/>
      <c r="R55" s="417"/>
      <c r="S55" s="417"/>
      <c r="T55" s="417"/>
      <c r="U55" s="417"/>
      <c r="V55" s="417"/>
      <c r="W55" s="417"/>
      <c r="X55" s="417"/>
      <c r="Y55" s="417"/>
      <c r="Z55" s="417"/>
      <c r="AA55" s="417"/>
      <c r="AB55" s="417"/>
      <c r="AC55" s="417"/>
      <c r="AD55" s="417"/>
      <c r="AE55" s="417"/>
      <c r="AF55" s="417"/>
      <c r="AG55" s="418"/>
      <c r="AH55" s="9"/>
      <c r="AI55" s="9"/>
    </row>
    <row r="56" spans="1:35" ht="12.75" customHeight="1">
      <c r="A56" s="180" t="s">
        <v>0</v>
      </c>
      <c r="B56" s="9"/>
      <c r="C56" s="9"/>
      <c r="D56" s="9"/>
      <c r="E56" s="9"/>
      <c r="F56" s="290"/>
      <c r="G56" s="290"/>
      <c r="H56" s="290"/>
      <c r="I56" s="290"/>
      <c r="J56" s="291"/>
      <c r="K56" s="290"/>
      <c r="L56" s="290"/>
      <c r="M56" s="290"/>
      <c r="N56" s="290"/>
      <c r="O56" s="291"/>
      <c r="P56" s="290"/>
      <c r="Q56" s="290"/>
      <c r="R56" s="290"/>
      <c r="S56" s="290"/>
      <c r="T56" s="291"/>
      <c r="U56" s="290"/>
      <c r="V56" s="292"/>
      <c r="W56" s="292"/>
      <c r="X56" s="292"/>
      <c r="Y56" s="291"/>
      <c r="Z56" s="292"/>
      <c r="AA56" s="292"/>
      <c r="AB56" s="292"/>
      <c r="AC56" s="292"/>
      <c r="AD56" s="291"/>
      <c r="AE56" s="132"/>
      <c r="AF56" s="132"/>
      <c r="AG56" s="132"/>
      <c r="AH56" s="180" t="s">
        <v>0</v>
      </c>
      <c r="AI56" s="180"/>
    </row>
    <row r="57" spans="1:35" ht="12.75" customHeight="1">
      <c r="A57" s="9"/>
      <c r="B57" s="9"/>
      <c r="C57" s="9" t="str">
        <f>Model!C70</f>
        <v>Other Non-Operating Income as a % of Revenue</v>
      </c>
      <c r="D57" s="9"/>
      <c r="E57" s="9"/>
      <c r="F57" s="290">
        <f>Model!F70</f>
        <v>4.7347408659203442E-2</v>
      </c>
      <c r="G57" s="290">
        <f>Model!G70</f>
        <v>2.8745224341839327E-2</v>
      </c>
      <c r="H57" s="290">
        <f>Model!H70</f>
        <v>-0.19542943481750794</v>
      </c>
      <c r="I57" s="290">
        <f>Model!I70</f>
        <v>0.17804199028265419</v>
      </c>
      <c r="J57" s="291">
        <f>Model!J70</f>
        <v>1.1483622787955811E-2</v>
      </c>
      <c r="K57" s="290">
        <f>Model!K70</f>
        <v>0.10416116829418491</v>
      </c>
      <c r="L57" s="290">
        <f>Model!L70</f>
        <v>7.538856836596361E-2</v>
      </c>
      <c r="M57" s="290">
        <f>Model!M70</f>
        <v>1.4848639673010601E-3</v>
      </c>
      <c r="N57" s="290">
        <f>Model!N70</f>
        <v>8.0570571420485099E-2</v>
      </c>
      <c r="O57" s="291">
        <f>Model!O70</f>
        <v>6.6822306722855981E-2</v>
      </c>
      <c r="P57" s="290">
        <f>Model!P70</f>
        <v>9.8245828059634735E-2</v>
      </c>
      <c r="Q57" s="290">
        <f>Model!Q70</f>
        <v>7.4053827025513511E-2</v>
      </c>
      <c r="R57" s="290">
        <f>Model!R70</f>
        <v>9.2100962195636543E-2</v>
      </c>
      <c r="S57" s="290">
        <f>Model!S70</f>
        <v>2.5473170583867492E-2</v>
      </c>
      <c r="T57" s="291">
        <f>Model!T70</f>
        <v>7.1498701196694367E-2</v>
      </c>
      <c r="U57" s="290">
        <f>Model!U70</f>
        <v>0.10966253310449084</v>
      </c>
      <c r="V57" s="292">
        <f>IF(Case_Scenario="Bull",V58,IF(Case_Scenario="Base",V59,IF(Case_Scenario="bear",V60,"N/A")))</f>
        <v>4.4999999999999998E-2</v>
      </c>
      <c r="W57" s="292">
        <f>IF(Case_Scenario="Bull",W58,IF(Case_Scenario="Base",W59,IF(Case_Scenario="bear",W60,"N/A")))</f>
        <v>4.4999999999999998E-2</v>
      </c>
      <c r="X57" s="292">
        <f>IF(Case_Scenario="Bull",X58,IF(Case_Scenario="Base",X59,IF(Case_Scenario="bear",X60,"N/A")))</f>
        <v>4.4999999999999998E-2</v>
      </c>
      <c r="Y57" s="291">
        <f>Model!Y70</f>
        <v>5.9840914176315041E-2</v>
      </c>
      <c r="Z57" s="292">
        <f>IF(Case_Scenario="Bull",Z58,IF(Case_Scenario="Base",Z59,IF(Case_Scenario="bear",Z60,"N/A")))</f>
        <v>0.06</v>
      </c>
      <c r="AA57" s="292">
        <f>IF(Case_Scenario="Bull",AA58,IF(Case_Scenario="Base",AA59,IF(Case_Scenario="bear",AA60,"N/A")))</f>
        <v>0.06</v>
      </c>
      <c r="AB57" s="292">
        <f>IF(Case_Scenario="Bull",AB58,IF(Case_Scenario="Base",AB59,IF(Case_Scenario="bear",AB60,"N/A")))</f>
        <v>4.4999999999999998E-2</v>
      </c>
      <c r="AC57" s="292">
        <f>IF(Case_Scenario="Bull",AC58,IF(Case_Scenario="Base",AC59,IF(Case_Scenario="bear",AC60,"N/A")))</f>
        <v>4.4999999999999998E-2</v>
      </c>
      <c r="AD57" s="291">
        <f>Model!AD70</f>
        <v>5.2133570814764482E-2</v>
      </c>
      <c r="AE57" s="291">
        <f>IF(Case_Scenario="Bull",AE58,IF(Case_Scenario="Base",AE59,IF(Case_Scenario="bear",AE60,"N/A")))</f>
        <v>0.06</v>
      </c>
      <c r="AF57" s="291">
        <f>IF(Case_Scenario="Bull",AF58,IF(Case_Scenario="Base",AF59,IF(Case_Scenario="bear",AF60,"N/A")))</f>
        <v>0.06</v>
      </c>
      <c r="AG57" s="291">
        <f>IF(Case_Scenario="Bull",AG58,IF(Case_Scenario="Base",AG59,IF(Case_Scenario="bear",AG60,"N/A")))</f>
        <v>0.06</v>
      </c>
      <c r="AH57" s="9"/>
      <c r="AI57" s="9"/>
    </row>
    <row r="58" spans="1:35" ht="12.75" customHeight="1">
      <c r="A58" s="9"/>
      <c r="B58" s="9"/>
      <c r="C58" s="103" t="s">
        <v>245</v>
      </c>
      <c r="D58" s="9"/>
      <c r="E58" s="9"/>
      <c r="F58" s="290"/>
      <c r="G58" s="290"/>
      <c r="H58" s="290"/>
      <c r="I58" s="290"/>
      <c r="J58" s="291"/>
      <c r="K58" s="290"/>
      <c r="L58" s="290"/>
      <c r="M58" s="290"/>
      <c r="N58" s="290"/>
      <c r="O58" s="291"/>
      <c r="P58" s="290"/>
      <c r="Q58" s="290"/>
      <c r="R58" s="290"/>
      <c r="S58" s="290"/>
      <c r="T58" s="291"/>
      <c r="U58" s="290"/>
      <c r="V58" s="233">
        <f>V59+0.01</f>
        <v>5.5E-2</v>
      </c>
      <c r="W58" s="233">
        <f t="shared" ref="W58:X58" si="15">W59+0.01</f>
        <v>5.5E-2</v>
      </c>
      <c r="X58" s="233">
        <f t="shared" si="15"/>
        <v>5.5E-2</v>
      </c>
      <c r="Y58" s="291"/>
      <c r="Z58" s="233">
        <f>Z59+0.015</f>
        <v>7.4999999999999997E-2</v>
      </c>
      <c r="AA58" s="233">
        <f t="shared" ref="AA58:AC58" si="16">AA59+0.015</f>
        <v>7.4999999999999997E-2</v>
      </c>
      <c r="AB58" s="233">
        <f t="shared" si="16"/>
        <v>0.06</v>
      </c>
      <c r="AC58" s="233">
        <f t="shared" si="16"/>
        <v>0.06</v>
      </c>
      <c r="AD58" s="291"/>
      <c r="AE58" s="234">
        <f>AE59+0.01</f>
        <v>6.9999999999999993E-2</v>
      </c>
      <c r="AF58" s="234">
        <f t="shared" ref="AF58:AG58" si="17">AF59+0.01</f>
        <v>6.9999999999999993E-2</v>
      </c>
      <c r="AG58" s="234">
        <f t="shared" si="17"/>
        <v>6.9999999999999993E-2</v>
      </c>
      <c r="AH58" s="9"/>
      <c r="AI58" s="9"/>
    </row>
    <row r="59" spans="1:35" ht="12.75" customHeight="1">
      <c r="A59" s="9"/>
      <c r="B59" s="9"/>
      <c r="C59" s="103" t="s">
        <v>246</v>
      </c>
      <c r="D59" s="9"/>
      <c r="E59" s="9"/>
      <c r="F59" s="290"/>
      <c r="G59" s="290"/>
      <c r="H59" s="290"/>
      <c r="I59" s="290"/>
      <c r="J59" s="291"/>
      <c r="K59" s="290"/>
      <c r="L59" s="290"/>
      <c r="M59" s="290"/>
      <c r="N59" s="290"/>
      <c r="O59" s="291"/>
      <c r="P59" s="290"/>
      <c r="Q59" s="290"/>
      <c r="R59" s="290"/>
      <c r="S59" s="290"/>
      <c r="T59" s="291"/>
      <c r="U59" s="290"/>
      <c r="V59" s="233">
        <v>4.4999999999999998E-2</v>
      </c>
      <c r="W59" s="233">
        <v>4.4999999999999998E-2</v>
      </c>
      <c r="X59" s="233">
        <v>4.4999999999999998E-2</v>
      </c>
      <c r="Y59" s="291"/>
      <c r="Z59" s="233">
        <v>0.06</v>
      </c>
      <c r="AA59" s="233">
        <v>0.06</v>
      </c>
      <c r="AB59" s="233">
        <v>4.4999999999999998E-2</v>
      </c>
      <c r="AC59" s="233">
        <v>4.4999999999999998E-2</v>
      </c>
      <c r="AD59" s="291"/>
      <c r="AE59" s="234">
        <v>0.06</v>
      </c>
      <c r="AF59" s="234">
        <v>0.06</v>
      </c>
      <c r="AG59" s="234">
        <v>0.06</v>
      </c>
      <c r="AH59" s="9"/>
      <c r="AI59" s="9"/>
    </row>
    <row r="60" spans="1:35" ht="12.75" customHeight="1">
      <c r="A60" s="9"/>
      <c r="B60" s="9"/>
      <c r="C60" s="103" t="s">
        <v>247</v>
      </c>
      <c r="D60" s="9"/>
      <c r="E60" s="9"/>
      <c r="F60" s="290"/>
      <c r="G60" s="290"/>
      <c r="H60" s="290"/>
      <c r="I60" s="290"/>
      <c r="J60" s="291"/>
      <c r="K60" s="290"/>
      <c r="L60" s="290"/>
      <c r="M60" s="290"/>
      <c r="N60" s="290"/>
      <c r="O60" s="291"/>
      <c r="P60" s="290"/>
      <c r="Q60" s="290"/>
      <c r="R60" s="290"/>
      <c r="S60" s="290"/>
      <c r="T60" s="291"/>
      <c r="U60" s="290"/>
      <c r="V60" s="233">
        <f>V59-0.01</f>
        <v>3.4999999999999996E-2</v>
      </c>
      <c r="W60" s="233">
        <f t="shared" ref="W60:X60" si="18">W59-0.01</f>
        <v>3.4999999999999996E-2</v>
      </c>
      <c r="X60" s="233">
        <f t="shared" si="18"/>
        <v>3.4999999999999996E-2</v>
      </c>
      <c r="Y60" s="291"/>
      <c r="Z60" s="233">
        <f>Z59-0.01</f>
        <v>4.9999999999999996E-2</v>
      </c>
      <c r="AA60" s="233">
        <f t="shared" ref="AA60:AC60" si="19">AA59-0.01</f>
        <v>4.9999999999999996E-2</v>
      </c>
      <c r="AB60" s="233">
        <f t="shared" si="19"/>
        <v>3.4999999999999996E-2</v>
      </c>
      <c r="AC60" s="233">
        <f t="shared" si="19"/>
        <v>3.4999999999999996E-2</v>
      </c>
      <c r="AD60" s="291"/>
      <c r="AE60" s="234">
        <f>AE59-0.01</f>
        <v>4.9999999999999996E-2</v>
      </c>
      <c r="AF60" s="234">
        <f t="shared" ref="AF60:AG60" si="20">AF59-0.01</f>
        <v>4.9999999999999996E-2</v>
      </c>
      <c r="AG60" s="234">
        <f t="shared" si="20"/>
        <v>4.9999999999999996E-2</v>
      </c>
      <c r="AH60" s="9"/>
      <c r="AI60" s="9"/>
    </row>
    <row r="61" spans="1:35" ht="12.75" customHeight="1">
      <c r="A61" s="9"/>
      <c r="B61" s="9"/>
      <c r="C61" s="103"/>
      <c r="D61" s="9"/>
      <c r="E61" s="9"/>
      <c r="F61" s="290"/>
      <c r="G61" s="290"/>
      <c r="H61" s="290"/>
      <c r="I61" s="290"/>
      <c r="J61" s="291"/>
      <c r="K61" s="290"/>
      <c r="L61" s="290"/>
      <c r="M61" s="290"/>
      <c r="N61" s="290"/>
      <c r="O61" s="291"/>
      <c r="P61" s="290"/>
      <c r="Q61" s="290"/>
      <c r="R61" s="290"/>
      <c r="S61" s="290"/>
      <c r="T61" s="291"/>
      <c r="U61" s="290"/>
      <c r="V61" s="233"/>
      <c r="W61" s="233"/>
      <c r="X61" s="233"/>
      <c r="Y61" s="291"/>
      <c r="Z61" s="233"/>
      <c r="AA61" s="233"/>
      <c r="AB61" s="233"/>
      <c r="AC61" s="233"/>
      <c r="AD61" s="291"/>
      <c r="AE61" s="234"/>
      <c r="AF61" s="234"/>
      <c r="AG61" s="234"/>
      <c r="AH61" s="9"/>
      <c r="AI61" s="9"/>
    </row>
    <row r="62" spans="1:35" ht="12.75" customHeight="1">
      <c r="A62" s="9"/>
      <c r="B62" s="9"/>
      <c r="C62" s="9" t="str">
        <f>Model!C71</f>
        <v>Tax Rate</v>
      </c>
      <c r="D62" s="9"/>
      <c r="E62" s="9"/>
      <c r="F62" s="290">
        <f>Model!F71</f>
        <v>0.16996345667322571</v>
      </c>
      <c r="G62" s="290">
        <f>Model!G71</f>
        <v>0.2116446217752514</v>
      </c>
      <c r="H62" s="290">
        <f>Model!H71</f>
        <v>0.34998960838454934</v>
      </c>
      <c r="I62" s="290">
        <f>Model!I71</f>
        <v>0.24489885922615545</v>
      </c>
      <c r="J62" s="291">
        <f>Model!J71</f>
        <v>0.22857142857142856</v>
      </c>
      <c r="K62" s="290">
        <f>Model!K71</f>
        <v>0.24208786017949926</v>
      </c>
      <c r="L62" s="290">
        <f>Model!L71</f>
        <v>2.79690772917012E-2</v>
      </c>
      <c r="M62" s="290">
        <f>Model!M71</f>
        <v>0.31391560041325595</v>
      </c>
      <c r="N62" s="290">
        <f>Model!N71</f>
        <v>0.20981444910721636</v>
      </c>
      <c r="O62" s="291">
        <f>Model!O71</f>
        <v>0.19333662336371285</v>
      </c>
      <c r="P62" s="290">
        <f>Model!P71</f>
        <v>0.18438009253188983</v>
      </c>
      <c r="Q62" s="290">
        <f>Model!Q71</f>
        <v>1.5202220665680857E-2</v>
      </c>
      <c r="R62" s="290">
        <f>Model!R71</f>
        <v>0.14083038457698749</v>
      </c>
      <c r="S62" s="290">
        <f>Model!S71</f>
        <v>0.16943506537650974</v>
      </c>
      <c r="T62" s="291">
        <f>Model!T71</f>
        <v>0.13390030280696813</v>
      </c>
      <c r="U62" s="290">
        <f>Model!U71</f>
        <v>0.19255309117958283</v>
      </c>
      <c r="V62" s="292">
        <f>IF(Case_Scenario="Bull",V63,IF(Case_Scenario="Base",V64,IF(Case_Scenario="bear",V65,"N/A")))</f>
        <v>0.23499999999999999</v>
      </c>
      <c r="W62" s="292">
        <f>IF(Case_Scenario="Bull",W63,IF(Case_Scenario="Base",W64,IF(Case_Scenario="bear",W65,"N/A")))</f>
        <v>0.23499999999999999</v>
      </c>
      <c r="X62" s="292">
        <f>IF(Case_Scenario="Bull",X63,IF(Case_Scenario="Base",X64,IF(Case_Scenario="bear",X65,"N/A")))</f>
        <v>0.23499999999999999</v>
      </c>
      <c r="Y62" s="291">
        <f ca="1">Model!Y71</f>
        <v>0.22435129910742868</v>
      </c>
      <c r="Z62" s="292">
        <f>IF(Case_Scenario="Bull",Z63,IF(Case_Scenario="Base",Z64,IF(Case_Scenario="bear",Z65,"N/A")))</f>
        <v>0.24</v>
      </c>
      <c r="AA62" s="292">
        <f>IF(Case_Scenario="Bull",AA63,IF(Case_Scenario="Base",AA64,IF(Case_Scenario="bear",AA65,"N/A")))</f>
        <v>0.24</v>
      </c>
      <c r="AB62" s="292">
        <f>IF(Case_Scenario="Bull",AB63,IF(Case_Scenario="Base",AB64,IF(Case_Scenario="bear",AB65,"N/A")))</f>
        <v>0.24</v>
      </c>
      <c r="AC62" s="292">
        <f>IF(Case_Scenario="Bull",AC63,IF(Case_Scenario="Base",AC64,IF(Case_Scenario="bear",AC65,"N/A")))</f>
        <v>0.24</v>
      </c>
      <c r="AD62" s="291">
        <f ca="1">Model!AD71</f>
        <v>0.23999999999999996</v>
      </c>
      <c r="AE62" s="291">
        <f>IF(Case_Scenario="Bull",AE63,IF(Case_Scenario="Base",AE64,IF(Case_Scenario="bear",AE65,"N/A")))</f>
        <v>0.24</v>
      </c>
      <c r="AF62" s="291">
        <f>IF(Case_Scenario="Bull",AF63,IF(Case_Scenario="Base",AF64,IF(Case_Scenario="bear",AF65,"N/A")))</f>
        <v>0.24</v>
      </c>
      <c r="AG62" s="291">
        <f>IF(Case_Scenario="Bull",AG63,IF(Case_Scenario="Base",AG64,IF(Case_Scenario="bear",AG65,"N/A")))</f>
        <v>0.24</v>
      </c>
      <c r="AH62" s="9"/>
      <c r="AI62" s="9"/>
    </row>
    <row r="63" spans="1:35" ht="12.75" customHeight="1">
      <c r="A63" s="180" t="s">
        <v>0</v>
      </c>
      <c r="B63" s="9"/>
      <c r="C63" s="103" t="s">
        <v>245</v>
      </c>
      <c r="D63" s="9"/>
      <c r="E63" s="9"/>
      <c r="F63" s="290"/>
      <c r="G63" s="290"/>
      <c r="H63" s="290"/>
      <c r="I63" s="290"/>
      <c r="J63" s="291"/>
      <c r="K63" s="290"/>
      <c r="L63" s="290"/>
      <c r="M63" s="290"/>
      <c r="N63" s="290"/>
      <c r="O63" s="291"/>
      <c r="P63" s="290"/>
      <c r="Q63" s="290"/>
      <c r="R63" s="290"/>
      <c r="S63" s="290"/>
      <c r="T63" s="291"/>
      <c r="U63" s="290"/>
      <c r="V63" s="233">
        <v>0.22500000000000001</v>
      </c>
      <c r="W63" s="233">
        <v>0.22500000000000001</v>
      </c>
      <c r="X63" s="233">
        <v>0.22500000000000001</v>
      </c>
      <c r="Y63" s="291"/>
      <c r="Z63" s="233">
        <v>0.22500000000000001</v>
      </c>
      <c r="AA63" s="233">
        <v>0.22500000000000001</v>
      </c>
      <c r="AB63" s="233">
        <v>0.22500000000000001</v>
      </c>
      <c r="AC63" s="233">
        <v>0.22500000000000001</v>
      </c>
      <c r="AD63" s="291"/>
      <c r="AE63" s="234">
        <v>0.23499999999999999</v>
      </c>
      <c r="AF63" s="234">
        <v>0.23499999999999999</v>
      </c>
      <c r="AG63" s="234">
        <v>0.23499999999999999</v>
      </c>
      <c r="AH63" s="234">
        <v>0.23499999999999999</v>
      </c>
      <c r="AI63" s="180"/>
    </row>
    <row r="64" spans="1:35" ht="12.75" customHeight="1">
      <c r="A64" s="9"/>
      <c r="B64" s="9"/>
      <c r="C64" s="103" t="s">
        <v>246</v>
      </c>
      <c r="D64" s="9"/>
      <c r="E64" s="9"/>
      <c r="F64" s="290"/>
      <c r="G64" s="290"/>
      <c r="H64" s="290"/>
      <c r="I64" s="290"/>
      <c r="J64" s="291"/>
      <c r="K64" s="290"/>
      <c r="L64" s="290"/>
      <c r="M64" s="290"/>
      <c r="N64" s="290"/>
      <c r="O64" s="291"/>
      <c r="P64" s="290"/>
      <c r="Q64" s="290"/>
      <c r="R64" s="290"/>
      <c r="S64" s="290"/>
      <c r="T64" s="291"/>
      <c r="U64" s="290"/>
      <c r="V64" s="233">
        <v>0.23499999999999999</v>
      </c>
      <c r="W64" s="233">
        <v>0.23499999999999999</v>
      </c>
      <c r="X64" s="233">
        <v>0.23499999999999999</v>
      </c>
      <c r="Y64" s="291"/>
      <c r="Z64" s="233">
        <v>0.24</v>
      </c>
      <c r="AA64" s="233">
        <v>0.24</v>
      </c>
      <c r="AB64" s="233">
        <v>0.24</v>
      </c>
      <c r="AC64" s="233">
        <v>0.24</v>
      </c>
      <c r="AD64" s="291"/>
      <c r="AE64" s="234">
        <v>0.24</v>
      </c>
      <c r="AF64" s="234">
        <v>0.24</v>
      </c>
      <c r="AG64" s="234">
        <v>0.24</v>
      </c>
      <c r="AH64" s="9"/>
      <c r="AI64" s="9"/>
    </row>
    <row r="65" spans="1:35" ht="12.75" customHeight="1">
      <c r="A65" s="9"/>
      <c r="B65" s="9"/>
      <c r="C65" s="103" t="s">
        <v>247</v>
      </c>
      <c r="D65" s="9"/>
      <c r="E65" s="9"/>
      <c r="F65" s="290"/>
      <c r="G65" s="290"/>
      <c r="H65" s="290"/>
      <c r="I65" s="290"/>
      <c r="J65" s="291"/>
      <c r="K65" s="290"/>
      <c r="L65" s="290"/>
      <c r="M65" s="290"/>
      <c r="N65" s="290"/>
      <c r="O65" s="291"/>
      <c r="P65" s="290"/>
      <c r="Q65" s="290"/>
      <c r="R65" s="290"/>
      <c r="S65" s="290"/>
      <c r="T65" s="291"/>
      <c r="U65" s="290"/>
      <c r="V65" s="233">
        <v>0.25</v>
      </c>
      <c r="W65" s="233">
        <v>0.25</v>
      </c>
      <c r="X65" s="233">
        <v>0.25</v>
      </c>
      <c r="Y65" s="291"/>
      <c r="Z65" s="233">
        <v>0.25</v>
      </c>
      <c r="AA65" s="233">
        <v>0.25</v>
      </c>
      <c r="AB65" s="233">
        <v>0.25</v>
      </c>
      <c r="AC65" s="233">
        <v>0.25</v>
      </c>
      <c r="AD65" s="291"/>
      <c r="AE65" s="234">
        <v>0.26</v>
      </c>
      <c r="AF65" s="234">
        <v>0.26</v>
      </c>
      <c r="AG65" s="234">
        <v>0.26</v>
      </c>
      <c r="AH65" s="9"/>
      <c r="AI65" s="9"/>
    </row>
    <row r="66" spans="1:35" ht="12.75" customHeight="1">
      <c r="A66" s="9"/>
      <c r="B66" s="9"/>
      <c r="C66" s="103"/>
      <c r="D66" s="9"/>
      <c r="E66" s="9"/>
      <c r="F66" s="816"/>
      <c r="G66" s="816"/>
      <c r="H66" s="816"/>
      <c r="I66" s="816"/>
      <c r="J66" s="291"/>
      <c r="K66" s="816"/>
      <c r="L66" s="816"/>
      <c r="M66" s="816"/>
      <c r="N66" s="816"/>
      <c r="O66" s="291"/>
      <c r="P66" s="816"/>
      <c r="Q66" s="816"/>
      <c r="R66" s="816"/>
      <c r="S66" s="816"/>
      <c r="T66" s="291"/>
      <c r="U66" s="816"/>
      <c r="V66" s="817"/>
      <c r="W66" s="817"/>
      <c r="X66" s="817"/>
      <c r="Y66" s="291"/>
      <c r="Z66" s="817"/>
      <c r="AA66" s="817"/>
      <c r="AB66" s="817"/>
      <c r="AC66" s="817"/>
      <c r="AD66" s="291"/>
      <c r="AE66" s="234"/>
      <c r="AF66" s="234"/>
      <c r="AG66" s="234"/>
      <c r="AH66" s="9"/>
      <c r="AI66" s="9"/>
    </row>
    <row r="67" spans="1:35" ht="12.75" customHeight="1">
      <c r="A67" s="9"/>
      <c r="B67" s="9"/>
      <c r="C67" s="9" t="str">
        <f>Model!C72</f>
        <v>Income (Loss) due to NCI as a% of NCI</v>
      </c>
      <c r="D67" s="9"/>
      <c r="E67" s="9"/>
      <c r="F67" s="290">
        <f>Model!F72</f>
        <v>-5.68227732785902E-2</v>
      </c>
      <c r="G67" s="290">
        <f>Model!G72</f>
        <v>-5.5723493676317161E-2</v>
      </c>
      <c r="H67" s="290">
        <f>Model!H72</f>
        <v>-9.0282859191260723E-2</v>
      </c>
      <c r="I67" s="290">
        <f>Model!I72</f>
        <v>-0.12818429208556956</v>
      </c>
      <c r="J67" s="871">
        <f>Model!J72</f>
        <v>-0.49174792753294527</v>
      </c>
      <c r="K67" s="290">
        <f>Model!K72</f>
        <v>-9.83221541375911E-2</v>
      </c>
      <c r="L67" s="290">
        <f>Model!L72</f>
        <v>-7.055051277550714E-2</v>
      </c>
      <c r="M67" s="290">
        <f>Model!M72</f>
        <v>-9.6222439949026323E-2</v>
      </c>
      <c r="N67" s="290">
        <f>Model!N72</f>
        <v>-0.18875368853817842</v>
      </c>
      <c r="O67" s="871">
        <f>Model!O72</f>
        <v>-0.57256722257219583</v>
      </c>
      <c r="P67" s="290">
        <f>Model!P72</f>
        <v>-0.16497621240474694</v>
      </c>
      <c r="Q67" s="290">
        <f>Model!Q72</f>
        <v>-0.107196609024173</v>
      </c>
      <c r="R67" s="290">
        <f>Model!R72</f>
        <v>-0.11506899533764477</v>
      </c>
      <c r="S67" s="290">
        <f>Model!S72</f>
        <v>-0.11037490199115257</v>
      </c>
      <c r="T67" s="871">
        <f>Model!T72</f>
        <v>-0.46633335591973435</v>
      </c>
      <c r="U67" s="290">
        <f>Model!U72</f>
        <v>-0.13256004273747143</v>
      </c>
      <c r="V67" s="292">
        <f>IF(Case_Scenario="Bull",V68,IF(Case_Scenario="Base",V69,IF(Case_Scenario="bear",V70,"N/A")))</f>
        <v>-0.1</v>
      </c>
      <c r="W67" s="292">
        <f>IF(Case_Scenario="Bull",W68,IF(Case_Scenario="Base",W69,IF(Case_Scenario="bear",W70,"N/A")))</f>
        <v>-0.1</v>
      </c>
      <c r="X67" s="292">
        <f>IF(Case_Scenario="Bull",X68,IF(Case_Scenario="Base",X69,IF(Case_Scenario="bear",X70,"N/A")))</f>
        <v>-0.1</v>
      </c>
      <c r="Y67" s="291">
        <f>Model!Y72</f>
        <v>-0.37941115408432591</v>
      </c>
      <c r="Z67" s="292">
        <f>IF(Case_Scenario="Bull",Z68,IF(Case_Scenario="Base",Z69,IF(Case_Scenario="bear",Z70,"N/A")))</f>
        <v>-9.5000000000000001E-2</v>
      </c>
      <c r="AA67" s="292">
        <f>IF(Case_Scenario="Bull",AA68,IF(Case_Scenario="Base",AA69,IF(Case_Scenario="bear",AA70,"N/A")))</f>
        <v>-9.5000000000000001E-2</v>
      </c>
      <c r="AB67" s="292">
        <f>IF(Case_Scenario="Bull",AB68,IF(Case_Scenario="Base",AB69,IF(Case_Scenario="bear",AB70,"N/A")))</f>
        <v>-9.5000000000000001E-2</v>
      </c>
      <c r="AC67" s="292">
        <f>IF(Case_Scenario="Bull",AC68,IF(Case_Scenario="Base",AC69,IF(Case_Scenario="bear",AC70,"N/A")))</f>
        <v>-9.5000000000000001E-2</v>
      </c>
      <c r="AD67" s="291">
        <f>Model!AD72</f>
        <v>-0.36232660027776259</v>
      </c>
      <c r="AE67" s="291">
        <f>IF(Case_Scenario="Bull",AE68,IF(Case_Scenario="Base",AE69,IF(Case_Scenario="bear",AE70,"N/A")))</f>
        <v>-0.31</v>
      </c>
      <c r="AF67" s="291">
        <f>IF(Case_Scenario="Bull",AF68,IF(Case_Scenario="Base",AF69,IF(Case_Scenario="bear",AF70,"N/A")))</f>
        <v>-0.31</v>
      </c>
      <c r="AG67" s="291">
        <f>IF(Case_Scenario="Bull",AG68,IF(Case_Scenario="Base",AG69,IF(Case_Scenario="bear",AG70,"N/A")))</f>
        <v>-0.31</v>
      </c>
      <c r="AH67" s="9"/>
      <c r="AI67" s="9"/>
    </row>
    <row r="68" spans="1:35" ht="12.75" customHeight="1">
      <c r="A68" s="9"/>
      <c r="B68" s="9"/>
      <c r="C68" s="103" t="s">
        <v>245</v>
      </c>
      <c r="D68" s="9"/>
      <c r="E68" s="9"/>
      <c r="F68" s="290"/>
      <c r="G68" s="290"/>
      <c r="H68" s="290"/>
      <c r="I68" s="290"/>
      <c r="J68" s="291"/>
      <c r="K68" s="290"/>
      <c r="L68" s="290"/>
      <c r="M68" s="290"/>
      <c r="N68" s="290"/>
      <c r="O68" s="291"/>
      <c r="P68" s="290"/>
      <c r="Q68" s="290"/>
      <c r="R68" s="290"/>
      <c r="S68" s="290"/>
      <c r="T68" s="291"/>
      <c r="U68" s="290"/>
      <c r="V68" s="233">
        <f>V69+0.01</f>
        <v>-9.0000000000000011E-2</v>
      </c>
      <c r="W68" s="233">
        <f t="shared" ref="W68:X68" si="21">W69+0.01</f>
        <v>-9.0000000000000011E-2</v>
      </c>
      <c r="X68" s="233">
        <f t="shared" si="21"/>
        <v>-9.0000000000000011E-2</v>
      </c>
      <c r="Y68" s="291"/>
      <c r="Z68" s="233">
        <f>Z69+0.01</f>
        <v>-8.5000000000000006E-2</v>
      </c>
      <c r="AA68" s="233">
        <f t="shared" ref="AA68:AC68" si="22">AA69+0.01</f>
        <v>-8.5000000000000006E-2</v>
      </c>
      <c r="AB68" s="233">
        <f t="shared" si="22"/>
        <v>-8.5000000000000006E-2</v>
      </c>
      <c r="AC68" s="233">
        <f t="shared" si="22"/>
        <v>-8.5000000000000006E-2</v>
      </c>
      <c r="AD68" s="291"/>
      <c r="AE68" s="870">
        <f>AE69+0.01</f>
        <v>-0.3</v>
      </c>
      <c r="AF68" s="870">
        <f t="shared" ref="AF68:AG68" si="23">AF69+0.01</f>
        <v>-0.3</v>
      </c>
      <c r="AG68" s="870">
        <f t="shared" si="23"/>
        <v>-0.3</v>
      </c>
      <c r="AH68" s="9"/>
      <c r="AI68" s="9"/>
    </row>
    <row r="69" spans="1:35" ht="12.75" customHeight="1">
      <c r="A69" s="9"/>
      <c r="B69" s="9"/>
      <c r="C69" s="103" t="s">
        <v>246</v>
      </c>
      <c r="D69" s="9"/>
      <c r="E69" s="9"/>
      <c r="F69" s="290"/>
      <c r="G69" s="290"/>
      <c r="H69" s="290"/>
      <c r="I69" s="290"/>
      <c r="J69" s="291"/>
      <c r="K69" s="290"/>
      <c r="L69" s="290"/>
      <c r="M69" s="290"/>
      <c r="N69" s="290"/>
      <c r="O69" s="291"/>
      <c r="P69" s="290"/>
      <c r="Q69" s="290"/>
      <c r="R69" s="290"/>
      <c r="S69" s="290"/>
      <c r="T69" s="291"/>
      <c r="U69" s="290"/>
      <c r="V69" s="233">
        <v>-0.1</v>
      </c>
      <c r="W69" s="233">
        <v>-0.1</v>
      </c>
      <c r="X69" s="233">
        <v>-0.1</v>
      </c>
      <c r="Y69" s="291"/>
      <c r="Z69" s="233">
        <v>-9.5000000000000001E-2</v>
      </c>
      <c r="AA69" s="233">
        <v>-9.5000000000000001E-2</v>
      </c>
      <c r="AB69" s="233">
        <v>-9.5000000000000001E-2</v>
      </c>
      <c r="AC69" s="233">
        <v>-9.5000000000000001E-2</v>
      </c>
      <c r="AD69" s="291"/>
      <c r="AE69" s="870">
        <v>-0.31</v>
      </c>
      <c r="AF69" s="870">
        <v>-0.31</v>
      </c>
      <c r="AG69" s="870">
        <v>-0.31</v>
      </c>
      <c r="AH69" s="9"/>
      <c r="AI69" s="9"/>
    </row>
    <row r="70" spans="1:35" ht="12.75" customHeight="1">
      <c r="A70" s="9"/>
      <c r="B70" s="9"/>
      <c r="C70" s="103" t="s">
        <v>247</v>
      </c>
      <c r="D70" s="9"/>
      <c r="E70" s="9"/>
      <c r="F70" s="290"/>
      <c r="G70" s="290"/>
      <c r="H70" s="290"/>
      <c r="I70" s="290"/>
      <c r="J70" s="291"/>
      <c r="K70" s="290"/>
      <c r="L70" s="290"/>
      <c r="M70" s="290"/>
      <c r="N70" s="290"/>
      <c r="O70" s="291"/>
      <c r="P70" s="290"/>
      <c r="Q70" s="290"/>
      <c r="R70" s="290"/>
      <c r="S70" s="290"/>
      <c r="T70" s="291"/>
      <c r="U70" s="290"/>
      <c r="V70" s="233">
        <f>V69-0.015</f>
        <v>-0.115</v>
      </c>
      <c r="W70" s="233">
        <f t="shared" ref="W70:Z70" si="24">W69-0.015</f>
        <v>-0.115</v>
      </c>
      <c r="X70" s="233">
        <f t="shared" si="24"/>
        <v>-0.115</v>
      </c>
      <c r="Y70" s="291"/>
      <c r="Z70" s="233">
        <f t="shared" si="24"/>
        <v>-0.11</v>
      </c>
      <c r="AA70" s="233">
        <f t="shared" ref="AA70" si="25">AA69-0.015</f>
        <v>-0.11</v>
      </c>
      <c r="AB70" s="233">
        <f t="shared" ref="AB70" si="26">AB69-0.015</f>
        <v>-0.11</v>
      </c>
      <c r="AC70" s="233">
        <f t="shared" ref="AC70:AE70" si="27">AC69-0.015</f>
        <v>-0.11</v>
      </c>
      <c r="AD70" s="291"/>
      <c r="AE70" s="870">
        <f t="shared" si="27"/>
        <v>-0.32500000000000001</v>
      </c>
      <c r="AF70" s="870">
        <f t="shared" ref="AF70" si="28">AF69-0.015</f>
        <v>-0.32500000000000001</v>
      </c>
      <c r="AG70" s="870">
        <f t="shared" ref="AG70" si="29">AG69-0.015</f>
        <v>-0.32500000000000001</v>
      </c>
      <c r="AH70" s="9"/>
      <c r="AI70" s="9"/>
    </row>
    <row r="71" spans="1:35" ht="12.75" customHeight="1">
      <c r="A71" s="9"/>
      <c r="B71" s="9"/>
      <c r="C71" s="9"/>
      <c r="D71" s="9"/>
      <c r="E71" s="9"/>
      <c r="F71" s="290"/>
      <c r="G71" s="290"/>
      <c r="H71" s="290"/>
      <c r="I71" s="290"/>
      <c r="J71" s="291"/>
      <c r="K71" s="290"/>
      <c r="L71" s="290"/>
      <c r="M71" s="290"/>
      <c r="N71" s="290"/>
      <c r="O71" s="291"/>
      <c r="P71" s="290"/>
      <c r="Q71" s="290"/>
      <c r="R71" s="290"/>
      <c r="S71" s="290"/>
      <c r="T71" s="291"/>
      <c r="U71" s="290"/>
      <c r="V71" s="292"/>
      <c r="W71" s="292"/>
      <c r="X71" s="292"/>
      <c r="Y71" s="291"/>
      <c r="Z71" s="292"/>
      <c r="AA71" s="292"/>
      <c r="AB71" s="292"/>
      <c r="AC71" s="292"/>
      <c r="AD71" s="291"/>
      <c r="AE71" s="132"/>
      <c r="AF71" s="132"/>
      <c r="AG71" s="132"/>
      <c r="AH71" s="9"/>
      <c r="AI71" s="9"/>
    </row>
    <row r="72" spans="1:35" ht="12.75" customHeight="1">
      <c r="A72" s="9"/>
      <c r="B72" s="9"/>
      <c r="C72" s="263" t="s">
        <v>454</v>
      </c>
      <c r="D72" s="286"/>
      <c r="E72" s="286"/>
      <c r="F72" s="264" t="str">
        <f>Model!F$25</f>
        <v>1Q23</v>
      </c>
      <c r="G72" s="138" t="str">
        <f>Model!G$25</f>
        <v>2Q23</v>
      </c>
      <c r="H72" s="138" t="str">
        <f>Model!H$25</f>
        <v>3Q23</v>
      </c>
      <c r="I72" s="138" t="str">
        <f>Model!I$25</f>
        <v>4Q23</v>
      </c>
      <c r="J72" s="138">
        <f>Model!J$25</f>
        <v>2023</v>
      </c>
      <c r="K72" s="138" t="str">
        <f>Model!K$25</f>
        <v>1Q24</v>
      </c>
      <c r="L72" s="138" t="str">
        <f>Model!L$25</f>
        <v>2Q24</v>
      </c>
      <c r="M72" s="138" t="str">
        <f>Model!M$25</f>
        <v>3Q24</v>
      </c>
      <c r="N72" s="138" t="str">
        <f>Model!N$25</f>
        <v>4Q24</v>
      </c>
      <c r="O72" s="138">
        <f>Model!O$25</f>
        <v>2024</v>
      </c>
      <c r="P72" s="138" t="str">
        <f>Model!P$25</f>
        <v>1Q25</v>
      </c>
      <c r="Q72" s="138" t="str">
        <f>Model!Q$25</f>
        <v>2Q25</v>
      </c>
      <c r="R72" s="138" t="str">
        <f>Model!R$25</f>
        <v>3Q25</v>
      </c>
      <c r="S72" s="138" t="str">
        <f>Model!S$25</f>
        <v>4Q25</v>
      </c>
      <c r="T72" s="138">
        <f>Model!T$25</f>
        <v>2025</v>
      </c>
      <c r="U72" s="138" t="str">
        <f>Model!U$25</f>
        <v>1Q26</v>
      </c>
      <c r="V72" s="138" t="str">
        <f>Model!V$25</f>
        <v>2Q26e</v>
      </c>
      <c r="W72" s="138" t="str">
        <f>Model!W$25</f>
        <v>3Q26e</v>
      </c>
      <c r="X72" s="138" t="str">
        <f>Model!X$25</f>
        <v>4Q26e</v>
      </c>
      <c r="Y72" s="138" t="str">
        <f>Model!Y$25</f>
        <v>2026e</v>
      </c>
      <c r="Z72" s="138" t="str">
        <f>Model!Z$25</f>
        <v>1Q27e</v>
      </c>
      <c r="AA72" s="138" t="str">
        <f>Model!AA$25</f>
        <v>2Q27e</v>
      </c>
      <c r="AB72" s="138" t="str">
        <f>Model!AB$25</f>
        <v>3Q27e</v>
      </c>
      <c r="AC72" s="138" t="str">
        <f>Model!AC$25</f>
        <v>4Q27e</v>
      </c>
      <c r="AD72" s="138" t="str">
        <f>Model!AD$25</f>
        <v>2027e</v>
      </c>
      <c r="AE72" s="138" t="str">
        <f>Model!AE$25</f>
        <v>2028e</v>
      </c>
      <c r="AF72" s="138" t="str">
        <f>Model!AF$25</f>
        <v>2029e</v>
      </c>
      <c r="AG72" s="265" t="str">
        <f>Model!AG$25</f>
        <v>2030e</v>
      </c>
      <c r="AH72" s="9"/>
      <c r="AI72" s="9"/>
    </row>
    <row r="73" spans="1:35" ht="12.75" customHeight="1">
      <c r="A73" s="9"/>
      <c r="B73" s="9"/>
      <c r="C73" s="409" t="s">
        <v>455</v>
      </c>
      <c r="D73" s="410"/>
      <c r="E73" s="410"/>
      <c r="F73" s="421"/>
      <c r="G73" s="422"/>
      <c r="H73" s="422"/>
      <c r="I73" s="422"/>
      <c r="J73" s="422"/>
      <c r="K73" s="422"/>
      <c r="L73" s="422"/>
      <c r="M73" s="422"/>
      <c r="N73" s="422"/>
      <c r="O73" s="422"/>
      <c r="P73" s="422"/>
      <c r="Q73" s="422"/>
      <c r="R73" s="422"/>
      <c r="S73" s="422"/>
      <c r="T73" s="422"/>
      <c r="U73" s="422"/>
      <c r="V73" s="422"/>
      <c r="W73" s="422"/>
      <c r="X73" s="422"/>
      <c r="Y73" s="422"/>
      <c r="Z73" s="422"/>
      <c r="AA73" s="422"/>
      <c r="AB73" s="422"/>
      <c r="AC73" s="422"/>
      <c r="AD73" s="422"/>
      <c r="AE73" s="422"/>
      <c r="AF73" s="422"/>
      <c r="AG73" s="423"/>
      <c r="AH73" s="9"/>
      <c r="AI73" s="9"/>
    </row>
    <row r="74" spans="1:35" ht="12.75" customHeight="1">
      <c r="A74" s="9"/>
      <c r="B74" s="9"/>
      <c r="C74" s="9"/>
      <c r="D74" s="9"/>
      <c r="E74" s="9"/>
      <c r="F74" s="290"/>
      <c r="G74" s="290"/>
      <c r="H74" s="290"/>
      <c r="I74" s="290"/>
      <c r="J74" s="291"/>
      <c r="K74" s="290"/>
      <c r="L74" s="290"/>
      <c r="M74" s="290"/>
      <c r="N74" s="290"/>
      <c r="O74" s="291"/>
      <c r="P74" s="290"/>
      <c r="Q74" s="290"/>
      <c r="R74" s="290"/>
      <c r="S74" s="290"/>
      <c r="T74" s="291"/>
      <c r="U74" s="290"/>
      <c r="V74" s="292"/>
      <c r="W74" s="292"/>
      <c r="X74" s="292"/>
      <c r="Y74" s="291"/>
      <c r="Z74" s="292"/>
      <c r="AA74" s="292"/>
      <c r="AB74" s="292"/>
      <c r="AC74" s="292"/>
      <c r="AD74" s="291"/>
      <c r="AE74" s="132"/>
      <c r="AF74" s="132"/>
      <c r="AG74" s="132"/>
      <c r="AH74" s="9"/>
      <c r="AI74" s="9"/>
    </row>
    <row r="75" spans="1:35" ht="12.75" customHeight="1">
      <c r="A75" s="9"/>
      <c r="B75" s="9"/>
      <c r="C75" s="9" t="str">
        <f>Model!C202</f>
        <v>Depreciation as a % of Avg. PP&amp;E</v>
      </c>
      <c r="D75" s="9"/>
      <c r="E75" s="9"/>
      <c r="F75" s="290"/>
      <c r="G75" s="290">
        <f>Model!G202</f>
        <v>0</v>
      </c>
      <c r="H75" s="290">
        <f>Model!H202</f>
        <v>0</v>
      </c>
      <c r="I75" s="290">
        <f>Model!I202</f>
        <v>0</v>
      </c>
      <c r="J75" s="291">
        <f>Model!J202</f>
        <v>0</v>
      </c>
      <c r="K75" s="290">
        <f>Model!K202</f>
        <v>0</v>
      </c>
      <c r="L75" s="290">
        <f>Model!L202</f>
        <v>0</v>
      </c>
      <c r="M75" s="290">
        <f>Model!M202</f>
        <v>0</v>
      </c>
      <c r="N75" s="290">
        <f>Model!N202</f>
        <v>0</v>
      </c>
      <c r="O75" s="291">
        <f>Model!O202</f>
        <v>0</v>
      </c>
      <c r="P75" s="290">
        <f>Model!P202</f>
        <v>0</v>
      </c>
      <c r="Q75" s="290">
        <f>Model!Q202</f>
        <v>0</v>
      </c>
      <c r="R75" s="290">
        <f>Model!R202</f>
        <v>0</v>
      </c>
      <c r="S75" s="290">
        <f>Model!S202</f>
        <v>0</v>
      </c>
      <c r="T75" s="291">
        <f>Model!T202</f>
        <v>0</v>
      </c>
      <c r="U75" s="290">
        <f>Model!U202</f>
        <v>0</v>
      </c>
      <c r="V75" s="292">
        <f>IF(Case_Scenario="Bull",V76,IF(Case_Scenario="Base",V77,IF(Case_Scenario="bear",V78,"N/A")))</f>
        <v>0</v>
      </c>
      <c r="W75" s="292">
        <f>IF(Case_Scenario="Bull",W76,IF(Case_Scenario="Base",W77,IF(Case_Scenario="bear",W78,"N/A")))</f>
        <v>0</v>
      </c>
      <c r="X75" s="292">
        <f>IF(Case_Scenario="Bull",X76,IF(Case_Scenario="Base",X77,IF(Case_Scenario="bear",X78,"N/A")))</f>
        <v>0</v>
      </c>
      <c r="Y75" s="291">
        <f>Model!Y202</f>
        <v>0</v>
      </c>
      <c r="Z75" s="292">
        <f>IF(Case_Scenario="Bull",Z76,IF(Case_Scenario="Base",Z77,IF(Case_Scenario="bear",Z78,"N/A")))</f>
        <v>0</v>
      </c>
      <c r="AA75" s="292">
        <f>IF(Case_Scenario="Bull",AA76,IF(Case_Scenario="Base",AA77,IF(Case_Scenario="bear",AA78,"N/A")))</f>
        <v>0</v>
      </c>
      <c r="AB75" s="292">
        <f>IF(Case_Scenario="Bull",AB76,IF(Case_Scenario="Base",AB77,IF(Case_Scenario="bear",AB78,"N/A")))</f>
        <v>0</v>
      </c>
      <c r="AC75" s="292">
        <f>IF(Case_Scenario="Bull",AC76,IF(Case_Scenario="Base",AC77,IF(Case_Scenario="bear",AC78,"N/A")))</f>
        <v>0</v>
      </c>
      <c r="AD75" s="291">
        <f>Model!AD202</f>
        <v>0</v>
      </c>
      <c r="AE75" s="291">
        <f>IF(Case_Scenario="Bull",AE76,IF(Case_Scenario="Base",AE77,IF(Case_Scenario="bear",AE78,"N/A")))</f>
        <v>0</v>
      </c>
      <c r="AF75" s="291">
        <f>IF(Case_Scenario="Bull",AF76,IF(Case_Scenario="Base",AF77,IF(Case_Scenario="bear",AF78,"N/A")))</f>
        <v>0</v>
      </c>
      <c r="AG75" s="291">
        <f>IF(Case_Scenario="Bull",AG76,IF(Case_Scenario="Base",AG77,IF(Case_Scenario="bear",AG78,"N/A")))</f>
        <v>0</v>
      </c>
      <c r="AH75" s="9"/>
      <c r="AI75" s="9"/>
    </row>
    <row r="76" spans="1:35" ht="12.75" customHeight="1">
      <c r="A76" s="9"/>
      <c r="B76" s="9"/>
      <c r="C76" s="103" t="s">
        <v>245</v>
      </c>
      <c r="D76" s="9"/>
      <c r="E76" s="9"/>
      <c r="F76" s="290"/>
      <c r="G76" s="290"/>
      <c r="H76" s="290"/>
      <c r="I76" s="290"/>
      <c r="J76" s="291"/>
      <c r="K76" s="290"/>
      <c r="L76" s="290"/>
      <c r="M76" s="290"/>
      <c r="N76" s="290"/>
      <c r="O76" s="291"/>
      <c r="P76" s="290"/>
      <c r="Q76" s="290"/>
      <c r="R76" s="290"/>
      <c r="S76" s="290"/>
      <c r="T76" s="291"/>
      <c r="U76" s="290"/>
      <c r="V76" s="233">
        <v>0</v>
      </c>
      <c r="W76" s="233">
        <v>0</v>
      </c>
      <c r="X76" s="233">
        <v>0</v>
      </c>
      <c r="Y76" s="291"/>
      <c r="Z76" s="233">
        <v>0</v>
      </c>
      <c r="AA76" s="233">
        <v>0</v>
      </c>
      <c r="AB76" s="233">
        <v>0</v>
      </c>
      <c r="AC76" s="233">
        <v>0</v>
      </c>
      <c r="AD76" s="291"/>
      <c r="AE76" s="234">
        <v>0</v>
      </c>
      <c r="AF76" s="234">
        <v>0</v>
      </c>
      <c r="AG76" s="234">
        <v>0</v>
      </c>
      <c r="AH76" s="9"/>
      <c r="AI76" s="9"/>
    </row>
    <row r="77" spans="1:35" ht="12.75" customHeight="1">
      <c r="A77" s="9"/>
      <c r="B77" s="9"/>
      <c r="C77" s="103" t="s">
        <v>246</v>
      </c>
      <c r="D77" s="9"/>
      <c r="E77" s="9"/>
      <c r="F77" s="290"/>
      <c r="G77" s="290"/>
      <c r="H77" s="290"/>
      <c r="I77" s="290"/>
      <c r="J77" s="291"/>
      <c r="K77" s="290"/>
      <c r="L77" s="290"/>
      <c r="M77" s="290"/>
      <c r="N77" s="290"/>
      <c r="O77" s="291"/>
      <c r="P77" s="290"/>
      <c r="Q77" s="290"/>
      <c r="R77" s="290"/>
      <c r="S77" s="290"/>
      <c r="T77" s="291"/>
      <c r="U77" s="290"/>
      <c r="V77" s="233">
        <v>0</v>
      </c>
      <c r="W77" s="233">
        <v>0</v>
      </c>
      <c r="X77" s="233">
        <v>0</v>
      </c>
      <c r="Y77" s="291"/>
      <c r="Z77" s="233">
        <v>0</v>
      </c>
      <c r="AA77" s="233">
        <v>0</v>
      </c>
      <c r="AB77" s="233">
        <v>0</v>
      </c>
      <c r="AC77" s="233">
        <v>0</v>
      </c>
      <c r="AD77" s="291"/>
      <c r="AE77" s="234">
        <v>0</v>
      </c>
      <c r="AF77" s="234">
        <v>0</v>
      </c>
      <c r="AG77" s="234">
        <v>0</v>
      </c>
      <c r="AH77" s="9"/>
      <c r="AI77" s="9"/>
    </row>
    <row r="78" spans="1:35" ht="12.75" customHeight="1">
      <c r="A78" s="9"/>
      <c r="B78" s="9"/>
      <c r="C78" s="103" t="s">
        <v>247</v>
      </c>
      <c r="D78" s="9"/>
      <c r="E78" s="9"/>
      <c r="F78" s="290"/>
      <c r="G78" s="290"/>
      <c r="H78" s="290"/>
      <c r="I78" s="290"/>
      <c r="J78" s="291"/>
      <c r="K78" s="290"/>
      <c r="L78" s="290"/>
      <c r="M78" s="290"/>
      <c r="N78" s="290"/>
      <c r="O78" s="291"/>
      <c r="P78" s="290"/>
      <c r="Q78" s="290"/>
      <c r="R78" s="290"/>
      <c r="S78" s="290"/>
      <c r="T78" s="291"/>
      <c r="U78" s="290"/>
      <c r="V78" s="233">
        <v>0</v>
      </c>
      <c r="W78" s="233">
        <v>0</v>
      </c>
      <c r="X78" s="233">
        <v>0</v>
      </c>
      <c r="Y78" s="291"/>
      <c r="Z78" s="233">
        <v>0</v>
      </c>
      <c r="AA78" s="233">
        <v>0</v>
      </c>
      <c r="AB78" s="233">
        <v>0</v>
      </c>
      <c r="AC78" s="233">
        <v>0</v>
      </c>
      <c r="AD78" s="291"/>
      <c r="AE78" s="234">
        <v>0</v>
      </c>
      <c r="AF78" s="234">
        <v>0</v>
      </c>
      <c r="AG78" s="234">
        <v>0</v>
      </c>
      <c r="AH78" s="9"/>
      <c r="AI78" s="9"/>
    </row>
    <row r="79" spans="1:35" ht="12.75" customHeight="1">
      <c r="A79" s="9"/>
      <c r="B79" s="9"/>
      <c r="C79" s="103"/>
      <c r="D79" s="9"/>
      <c r="E79" s="9"/>
      <c r="F79" s="816"/>
      <c r="G79" s="816"/>
      <c r="H79" s="816"/>
      <c r="I79" s="816"/>
      <c r="J79" s="291"/>
      <c r="K79" s="816"/>
      <c r="L79" s="816"/>
      <c r="M79" s="816"/>
      <c r="N79" s="816"/>
      <c r="O79" s="291"/>
      <c r="P79" s="816"/>
      <c r="Q79" s="816"/>
      <c r="R79" s="816"/>
      <c r="S79" s="816"/>
      <c r="T79" s="291"/>
      <c r="U79" s="816"/>
      <c r="V79" s="817"/>
      <c r="W79" s="817"/>
      <c r="X79" s="817"/>
      <c r="Y79" s="291"/>
      <c r="Z79" s="817"/>
      <c r="AA79" s="817"/>
      <c r="AB79" s="817"/>
      <c r="AC79" s="817"/>
      <c r="AD79" s="291"/>
      <c r="AE79" s="234"/>
      <c r="AF79" s="234"/>
      <c r="AG79" s="234"/>
      <c r="AH79" s="9"/>
      <c r="AI79" s="9"/>
    </row>
    <row r="80" spans="1:35" ht="12.75" hidden="1" customHeight="1">
      <c r="A80" s="808"/>
      <c r="B80" s="808"/>
      <c r="C80" s="808" t="e">
        <f>Model!#REF!</f>
        <v>#REF!</v>
      </c>
      <c r="D80" s="808"/>
      <c r="E80" s="808"/>
      <c r="F80" s="872" t="e">
        <f>Model!#REF!</f>
        <v>#REF!</v>
      </c>
      <c r="G80" s="872" t="e">
        <f>Model!#REF!</f>
        <v>#REF!</v>
      </c>
      <c r="H80" s="872" t="e">
        <f>Model!#REF!</f>
        <v>#REF!</v>
      </c>
      <c r="I80" s="872" t="e">
        <f>Model!#REF!</f>
        <v>#REF!</v>
      </c>
      <c r="J80" s="873" t="e">
        <f>Model!#REF!</f>
        <v>#REF!</v>
      </c>
      <c r="K80" s="872" t="e">
        <f>Model!#REF!</f>
        <v>#REF!</v>
      </c>
      <c r="L80" s="872" t="e">
        <f>Model!#REF!</f>
        <v>#REF!</v>
      </c>
      <c r="M80" s="872" t="e">
        <f>Model!#REF!</f>
        <v>#REF!</v>
      </c>
      <c r="N80" s="872" t="e">
        <f>Model!#REF!</f>
        <v>#REF!</v>
      </c>
      <c r="O80" s="873" t="e">
        <f>Model!#REF!</f>
        <v>#REF!</v>
      </c>
      <c r="P80" s="872" t="e">
        <f>Model!#REF!</f>
        <v>#REF!</v>
      </c>
      <c r="Q80" s="872" t="e">
        <f>Model!#REF!</f>
        <v>#REF!</v>
      </c>
      <c r="R80" s="872" t="e">
        <f>Model!#REF!</f>
        <v>#REF!</v>
      </c>
      <c r="S80" s="872" t="e">
        <f>Model!#REF!</f>
        <v>#REF!</v>
      </c>
      <c r="T80" s="873" t="e">
        <f>Model!#REF!</f>
        <v>#REF!</v>
      </c>
      <c r="U80" s="872" t="e">
        <f>Model!#REF!</f>
        <v>#REF!</v>
      </c>
      <c r="V80" s="874">
        <f>IF(Case_Scenario="Bull",V81,IF(Case_Scenario="Base",V82,IF(Case_Scenario="bear",V83,"N/A")))</f>
        <v>0.55000000000000004</v>
      </c>
      <c r="W80" s="874">
        <f>IF(Case_Scenario="Bull",W81,IF(Case_Scenario="Base",W82,IF(Case_Scenario="bear",W83,"N/A")))</f>
        <v>0.54500000000000004</v>
      </c>
      <c r="X80" s="874">
        <f>IF(Case_Scenario="Bull",X81,IF(Case_Scenario="Base",X82,IF(Case_Scenario="bear",X83,"N/A")))</f>
        <v>0.54500000000000004</v>
      </c>
      <c r="Y80" s="873" t="e">
        <f>Model!#REF!</f>
        <v>#REF!</v>
      </c>
      <c r="Z80" s="874">
        <f>IF(Case_Scenario="Bull",Z81,IF(Case_Scenario="Base",Z82,IF(Case_Scenario="bear",Z83,"N/A")))</f>
        <v>0.54</v>
      </c>
      <c r="AA80" s="874">
        <f>IF(Case_Scenario="Bull",AA81,IF(Case_Scenario="Base",AA82,IF(Case_Scenario="bear",AA83,"N/A")))</f>
        <v>0.54</v>
      </c>
      <c r="AB80" s="874">
        <f>IF(Case_Scenario="Bull",AB81,IF(Case_Scenario="Base",AB82,IF(Case_Scenario="bear",AB83,"N/A")))</f>
        <v>0.54</v>
      </c>
      <c r="AC80" s="874">
        <f>IF(Case_Scenario="Bull",AC81,IF(Case_Scenario="Base",AC82,IF(Case_Scenario="bear",AC83,"N/A")))</f>
        <v>0.54</v>
      </c>
      <c r="AD80" s="873" t="e">
        <f>Model!#REF!</f>
        <v>#REF!</v>
      </c>
      <c r="AE80" s="873">
        <f>IF(Case_Scenario="Bull",AE81,IF(Case_Scenario="Base",AE82,IF(Case_Scenario="bear",AE83,"N/A")))</f>
        <v>0.14499999999999999</v>
      </c>
      <c r="AF80" s="873">
        <f>IF(Case_Scenario="Bull",AF81,IF(Case_Scenario="Base",AF82,IF(Case_Scenario="bear",AF83,"N/A")))</f>
        <v>0.14499999999999999</v>
      </c>
      <c r="AG80" s="873">
        <f>IF(Case_Scenario="Bull",AG81,IF(Case_Scenario="Base",AG82,IF(Case_Scenario="bear",AG83,"N/A")))</f>
        <v>0.14499999999999999</v>
      </c>
      <c r="AH80" s="9"/>
      <c r="AI80" s="9"/>
    </row>
    <row r="81" spans="1:35" ht="10.5" hidden="1" customHeight="1">
      <c r="A81" s="808"/>
      <c r="B81" s="808"/>
      <c r="C81" s="810" t="s">
        <v>245</v>
      </c>
      <c r="D81" s="808"/>
      <c r="E81" s="808"/>
      <c r="F81" s="872"/>
      <c r="G81" s="872"/>
      <c r="H81" s="872"/>
      <c r="I81" s="872"/>
      <c r="J81" s="873"/>
      <c r="K81" s="872"/>
      <c r="L81" s="872"/>
      <c r="M81" s="872"/>
      <c r="N81" s="872"/>
      <c r="O81" s="873"/>
      <c r="P81" s="872"/>
      <c r="Q81" s="872"/>
      <c r="R81" s="872"/>
      <c r="S81" s="872"/>
      <c r="T81" s="873"/>
      <c r="U81" s="872"/>
      <c r="V81" s="875">
        <v>0</v>
      </c>
      <c r="W81" s="875">
        <v>0</v>
      </c>
      <c r="X81" s="875">
        <v>0</v>
      </c>
      <c r="Y81" s="873"/>
      <c r="Z81" s="875">
        <v>0</v>
      </c>
      <c r="AA81" s="875">
        <v>0</v>
      </c>
      <c r="AB81" s="875">
        <v>0</v>
      </c>
      <c r="AC81" s="875">
        <v>0</v>
      </c>
      <c r="AD81" s="873"/>
      <c r="AE81" s="876">
        <v>0</v>
      </c>
      <c r="AF81" s="876">
        <v>0</v>
      </c>
      <c r="AG81" s="876">
        <v>0</v>
      </c>
      <c r="AH81" s="9"/>
      <c r="AI81" s="9"/>
    </row>
    <row r="82" spans="1:35" ht="12.75" hidden="1" customHeight="1">
      <c r="A82" s="808"/>
      <c r="B82" s="808"/>
      <c r="C82" s="810" t="s">
        <v>246</v>
      </c>
      <c r="D82" s="808"/>
      <c r="E82" s="808"/>
      <c r="F82" s="872"/>
      <c r="G82" s="872"/>
      <c r="H82" s="872"/>
      <c r="I82" s="872"/>
      <c r="J82" s="873"/>
      <c r="K82" s="872"/>
      <c r="L82" s="872"/>
      <c r="M82" s="872"/>
      <c r="N82" s="872"/>
      <c r="O82" s="873"/>
      <c r="P82" s="872"/>
      <c r="Q82" s="872"/>
      <c r="R82" s="872"/>
      <c r="S82" s="872"/>
      <c r="T82" s="873"/>
      <c r="U82" s="872"/>
      <c r="V82" s="875">
        <v>0.55000000000000004</v>
      </c>
      <c r="W82" s="875">
        <v>0.54500000000000004</v>
      </c>
      <c r="X82" s="875">
        <v>0.54500000000000004</v>
      </c>
      <c r="Y82" s="873"/>
      <c r="Z82" s="875">
        <v>0.54</v>
      </c>
      <c r="AA82" s="875">
        <v>0.54</v>
      </c>
      <c r="AB82" s="875">
        <v>0.54</v>
      </c>
      <c r="AC82" s="875">
        <v>0.54</v>
      </c>
      <c r="AD82" s="873"/>
      <c r="AE82" s="876">
        <v>0.14499999999999999</v>
      </c>
      <c r="AF82" s="876">
        <v>0.14499999999999999</v>
      </c>
      <c r="AG82" s="876">
        <v>0.14499999999999999</v>
      </c>
      <c r="AH82" s="9"/>
      <c r="AI82" s="9"/>
    </row>
    <row r="83" spans="1:35" ht="12.75" hidden="1" customHeight="1">
      <c r="A83" s="808"/>
      <c r="B83" s="808"/>
      <c r="C83" s="810" t="s">
        <v>247</v>
      </c>
      <c r="D83" s="808"/>
      <c r="E83" s="808"/>
      <c r="F83" s="872"/>
      <c r="G83" s="872"/>
      <c r="H83" s="872"/>
      <c r="I83" s="872"/>
      <c r="J83" s="873"/>
      <c r="K83" s="872"/>
      <c r="L83" s="872"/>
      <c r="M83" s="872"/>
      <c r="N83" s="872"/>
      <c r="O83" s="873"/>
      <c r="P83" s="872"/>
      <c r="Q83" s="872"/>
      <c r="R83" s="872"/>
      <c r="S83" s="872"/>
      <c r="T83" s="873"/>
      <c r="U83" s="872"/>
      <c r="V83" s="875">
        <v>0</v>
      </c>
      <c r="W83" s="875">
        <v>0</v>
      </c>
      <c r="X83" s="875">
        <v>0</v>
      </c>
      <c r="Y83" s="873"/>
      <c r="Z83" s="875">
        <v>0</v>
      </c>
      <c r="AA83" s="875">
        <v>0</v>
      </c>
      <c r="AB83" s="875">
        <v>0</v>
      </c>
      <c r="AC83" s="875">
        <v>0</v>
      </c>
      <c r="AD83" s="873"/>
      <c r="AE83" s="876">
        <v>0</v>
      </c>
      <c r="AF83" s="876">
        <v>0</v>
      </c>
      <c r="AG83" s="876">
        <v>0</v>
      </c>
      <c r="AH83" s="9"/>
      <c r="AI83" s="9"/>
    </row>
    <row r="84" spans="1:35" ht="12.75" hidden="1" customHeight="1">
      <c r="A84" s="9"/>
      <c r="B84" s="9"/>
      <c r="C84" s="103"/>
      <c r="D84" s="9"/>
      <c r="E84" s="9"/>
      <c r="F84" s="290"/>
      <c r="G84" s="290"/>
      <c r="H84" s="290"/>
      <c r="I84" s="290"/>
      <c r="J84" s="291"/>
      <c r="K84" s="290"/>
      <c r="L84" s="290"/>
      <c r="M84" s="290"/>
      <c r="N84" s="290"/>
      <c r="O84" s="291"/>
      <c r="P84" s="290"/>
      <c r="Q84" s="290"/>
      <c r="R84" s="290"/>
      <c r="S84" s="290"/>
      <c r="T84" s="291"/>
      <c r="U84" s="290"/>
      <c r="V84" s="233"/>
      <c r="W84" s="233"/>
      <c r="X84" s="233"/>
      <c r="Y84" s="291"/>
      <c r="Z84" s="233"/>
      <c r="AA84" s="233"/>
      <c r="AB84" s="233"/>
      <c r="AC84" s="233"/>
      <c r="AD84" s="291"/>
      <c r="AE84" s="234"/>
      <c r="AF84" s="234"/>
      <c r="AG84" s="234"/>
      <c r="AH84" s="9"/>
      <c r="AI84" s="9"/>
    </row>
    <row r="85" spans="1:35" ht="12.75" hidden="1" customHeight="1">
      <c r="A85" s="9"/>
      <c r="B85" s="9"/>
      <c r="C85" s="394" t="str">
        <f>'Segment Analysis'!C51</f>
        <v>Segment D&amp;A Mix</v>
      </c>
      <c r="D85" s="9"/>
      <c r="E85" s="9"/>
      <c r="F85" s="290"/>
      <c r="G85" s="290"/>
      <c r="H85" s="290"/>
      <c r="I85" s="290"/>
      <c r="J85" s="291"/>
      <c r="K85" s="290"/>
      <c r="L85" s="290"/>
      <c r="M85" s="290"/>
      <c r="N85" s="290"/>
      <c r="O85" s="291"/>
      <c r="P85" s="290"/>
      <c r="Q85" s="290"/>
      <c r="R85" s="290"/>
      <c r="S85" s="290"/>
      <c r="T85" s="291"/>
      <c r="U85" s="290"/>
      <c r="V85" s="233"/>
      <c r="W85" s="233"/>
      <c r="X85" s="233"/>
      <c r="Y85" s="291"/>
      <c r="Z85" s="233"/>
      <c r="AA85" s="233"/>
      <c r="AB85" s="233"/>
      <c r="AC85" s="233"/>
      <c r="AD85" s="291"/>
      <c r="AE85" s="234"/>
      <c r="AF85" s="234"/>
      <c r="AG85" s="234"/>
      <c r="AH85" s="9"/>
      <c r="AI85" s="9"/>
    </row>
    <row r="86" spans="1:35" ht="12.75" hidden="1" customHeight="1">
      <c r="A86" s="9"/>
      <c r="B86" s="9"/>
      <c r="C86" s="394" t="str">
        <f>'Segment Analysis'!C52</f>
        <v>Total Company D&amp;A</v>
      </c>
      <c r="D86" s="9"/>
      <c r="E86" s="9"/>
      <c r="F86" s="424" t="str">
        <f>'Segment Analysis'!F52</f>
        <v>N/A</v>
      </c>
      <c r="G86" s="424" t="str">
        <f>'Segment Analysis'!G52</f>
        <v>N/A</v>
      </c>
      <c r="H86" s="424" t="str">
        <f>'Segment Analysis'!H52</f>
        <v>N/A</v>
      </c>
      <c r="I86" s="424" t="str">
        <f>'Segment Analysis'!I52</f>
        <v>N/A</v>
      </c>
      <c r="J86" s="294" t="str">
        <f>'Segment Analysis'!J52</f>
        <v>N/A</v>
      </c>
      <c r="K86" s="424" t="str">
        <f>'Segment Analysis'!K52</f>
        <v>N/A</v>
      </c>
      <c r="L86" s="424" t="str">
        <f>'Segment Analysis'!L52</f>
        <v>N/A</v>
      </c>
      <c r="M86" s="424" t="str">
        <f>'Segment Analysis'!M52</f>
        <v>N/A</v>
      </c>
      <c r="N86" s="424" t="str">
        <f>'Segment Analysis'!N52</f>
        <v>N/A</v>
      </c>
      <c r="O86" s="294" t="str">
        <f>'Segment Analysis'!O52</f>
        <v>N/A</v>
      </c>
      <c r="P86" s="424" t="str">
        <f>'Segment Analysis'!P52</f>
        <v>N/A</v>
      </c>
      <c r="Q86" s="424" t="str">
        <f>'Segment Analysis'!Q52</f>
        <v>N/A</v>
      </c>
      <c r="R86" s="424" t="str">
        <f>'Segment Analysis'!R52</f>
        <v>N/A</v>
      </c>
      <c r="S86" s="424" t="str">
        <f>'Segment Analysis'!S52</f>
        <v>N/A</v>
      </c>
      <c r="T86" s="294" t="str">
        <f>'Segment Analysis'!T52</f>
        <v>N/A</v>
      </c>
      <c r="U86" s="424" t="str">
        <f>'Segment Analysis'!U52</f>
        <v>N/A</v>
      </c>
      <c r="V86" s="233">
        <v>1</v>
      </c>
      <c r="W86" s="233">
        <v>1</v>
      </c>
      <c r="X86" s="233">
        <v>1</v>
      </c>
      <c r="Y86" s="294" t="e">
        <f>'Segment Analysis'!Y52</f>
        <v>#DIV/0!</v>
      </c>
      <c r="Z86" s="233">
        <v>1</v>
      </c>
      <c r="AA86" s="233">
        <v>1</v>
      </c>
      <c r="AB86" s="233">
        <v>1</v>
      </c>
      <c r="AC86" s="233">
        <v>1</v>
      </c>
      <c r="AD86" s="294" t="e">
        <f>'Segment Analysis'!AD52</f>
        <v>#DIV/0!</v>
      </c>
      <c r="AE86" s="234">
        <v>1</v>
      </c>
      <c r="AF86" s="234">
        <v>1</v>
      </c>
      <c r="AG86" s="234">
        <v>1</v>
      </c>
      <c r="AH86" s="9"/>
      <c r="AI86" s="9"/>
    </row>
    <row r="87" spans="1:35" ht="12.75" hidden="1" customHeight="1">
      <c r="A87" s="9"/>
      <c r="B87" s="9"/>
      <c r="C87" s="394" t="str">
        <f>'Segment Analysis'!C53</f>
        <v>Incentive Fees</v>
      </c>
      <c r="D87" s="9"/>
      <c r="E87" s="9"/>
      <c r="F87" s="424" t="str">
        <f>'Segment Analysis'!F53</f>
        <v>N/A</v>
      </c>
      <c r="G87" s="424" t="str">
        <f>'Segment Analysis'!G53</f>
        <v>N/A</v>
      </c>
      <c r="H87" s="424" t="str">
        <f>'Segment Analysis'!H53</f>
        <v>N/A</v>
      </c>
      <c r="I87" s="424" t="str">
        <f>'Segment Analysis'!I53</f>
        <v>N/A</v>
      </c>
      <c r="J87" s="294" t="str">
        <f>'Segment Analysis'!J53</f>
        <v>N/A</v>
      </c>
      <c r="K87" s="424" t="str">
        <f>'Segment Analysis'!K53</f>
        <v>N/A</v>
      </c>
      <c r="L87" s="424" t="str">
        <f>'Segment Analysis'!L53</f>
        <v>N/A</v>
      </c>
      <c r="M87" s="424" t="str">
        <f>'Segment Analysis'!M53</f>
        <v>N/A</v>
      </c>
      <c r="N87" s="424" t="str">
        <f>'Segment Analysis'!N53</f>
        <v>N/A</v>
      </c>
      <c r="O87" s="294" t="str">
        <f>'Segment Analysis'!O53</f>
        <v>N/A</v>
      </c>
      <c r="P87" s="424" t="str">
        <f>'Segment Analysis'!P53</f>
        <v>N/A</v>
      </c>
      <c r="Q87" s="424" t="str">
        <f>'Segment Analysis'!Q53</f>
        <v>N/A</v>
      </c>
      <c r="R87" s="424" t="str">
        <f>'Segment Analysis'!R53</f>
        <v>N/A</v>
      </c>
      <c r="S87" s="424" t="str">
        <f>'Segment Analysis'!S53</f>
        <v>N/A</v>
      </c>
      <c r="T87" s="294" t="str">
        <f>'Segment Analysis'!T53</f>
        <v>N/A</v>
      </c>
      <c r="U87" s="424" t="str">
        <f>'Segment Analysis'!U53</f>
        <v>N/A</v>
      </c>
      <c r="V87" s="233">
        <v>0</v>
      </c>
      <c r="W87" s="233">
        <v>0</v>
      </c>
      <c r="X87" s="233">
        <v>0</v>
      </c>
      <c r="Y87" s="294" t="e">
        <f>'Segment Analysis'!Y53</f>
        <v>#DIV/0!</v>
      </c>
      <c r="Z87" s="233">
        <v>0</v>
      </c>
      <c r="AA87" s="233">
        <v>0</v>
      </c>
      <c r="AB87" s="233">
        <v>0</v>
      </c>
      <c r="AC87" s="233">
        <v>0</v>
      </c>
      <c r="AD87" s="294" t="e">
        <f>'Segment Analysis'!AD53</f>
        <v>#DIV/0!</v>
      </c>
      <c r="AE87" s="234">
        <v>0</v>
      </c>
      <c r="AF87" s="234">
        <v>0</v>
      </c>
      <c r="AG87" s="234">
        <v>0</v>
      </c>
      <c r="AH87" s="9"/>
      <c r="AI87" s="9"/>
    </row>
    <row r="88" spans="1:35" ht="12.75" hidden="1" customHeight="1">
      <c r="A88" s="9"/>
      <c r="B88" s="9"/>
      <c r="C88" s="394" t="str">
        <f>'Segment Analysis'!C54</f>
        <v>Segment 3</v>
      </c>
      <c r="D88" s="9"/>
      <c r="E88" s="9"/>
      <c r="F88" s="424" t="str">
        <f>'Segment Analysis'!F54</f>
        <v>N/A</v>
      </c>
      <c r="G88" s="424" t="str">
        <f>'Segment Analysis'!G54</f>
        <v>N/A</v>
      </c>
      <c r="H88" s="424" t="str">
        <f>'Segment Analysis'!H54</f>
        <v>N/A</v>
      </c>
      <c r="I88" s="424" t="str">
        <f>'Segment Analysis'!I54</f>
        <v>N/A</v>
      </c>
      <c r="J88" s="294" t="str">
        <f>'Segment Analysis'!J54</f>
        <v>N/A</v>
      </c>
      <c r="K88" s="424" t="str">
        <f>'Segment Analysis'!K54</f>
        <v>N/A</v>
      </c>
      <c r="L88" s="424" t="str">
        <f>'Segment Analysis'!L54</f>
        <v>N/A</v>
      </c>
      <c r="M88" s="424" t="str">
        <f>'Segment Analysis'!M54</f>
        <v>N/A</v>
      </c>
      <c r="N88" s="424" t="str">
        <f>'Segment Analysis'!N54</f>
        <v>N/A</v>
      </c>
      <c r="O88" s="294" t="str">
        <f>'Segment Analysis'!O54</f>
        <v>N/A</v>
      </c>
      <c r="P88" s="424" t="str">
        <f>'Segment Analysis'!P54</f>
        <v>N/A</v>
      </c>
      <c r="Q88" s="424" t="str">
        <f>'Segment Analysis'!Q54</f>
        <v>N/A</v>
      </c>
      <c r="R88" s="424" t="str">
        <f>'Segment Analysis'!R54</f>
        <v>N/A</v>
      </c>
      <c r="S88" s="424" t="str">
        <f>'Segment Analysis'!S54</f>
        <v>N/A</v>
      </c>
      <c r="T88" s="294" t="str">
        <f>'Segment Analysis'!T54</f>
        <v>N/A</v>
      </c>
      <c r="U88" s="424" t="str">
        <f>'Segment Analysis'!U54</f>
        <v>N/A</v>
      </c>
      <c r="V88" s="233">
        <v>0</v>
      </c>
      <c r="W88" s="233">
        <v>0</v>
      </c>
      <c r="X88" s="233">
        <v>0</v>
      </c>
      <c r="Y88" s="294" t="e">
        <f>'Segment Analysis'!Y54</f>
        <v>#DIV/0!</v>
      </c>
      <c r="Z88" s="233">
        <v>0</v>
      </c>
      <c r="AA88" s="233">
        <v>0</v>
      </c>
      <c r="AB88" s="233">
        <v>0</v>
      </c>
      <c r="AC88" s="233">
        <v>0</v>
      </c>
      <c r="AD88" s="294" t="e">
        <f>'Segment Analysis'!AD54</f>
        <v>#DIV/0!</v>
      </c>
      <c r="AE88" s="234">
        <v>0</v>
      </c>
      <c r="AF88" s="234">
        <v>0</v>
      </c>
      <c r="AG88" s="234">
        <v>0</v>
      </c>
      <c r="AH88" s="9"/>
      <c r="AI88" s="9"/>
    </row>
    <row r="89" spans="1:35" ht="12.75" hidden="1" customHeight="1">
      <c r="A89" s="9"/>
      <c r="B89" s="9"/>
      <c r="C89" s="394" t="str">
        <f>'Segment Analysis'!C55</f>
        <v>Segment 4</v>
      </c>
      <c r="D89" s="9"/>
      <c r="E89" s="9"/>
      <c r="F89" s="424" t="str">
        <f>'Segment Analysis'!F55</f>
        <v>N/A</v>
      </c>
      <c r="G89" s="424" t="str">
        <f>'Segment Analysis'!G55</f>
        <v>N/A</v>
      </c>
      <c r="H89" s="424" t="str">
        <f>'Segment Analysis'!H55</f>
        <v>N/A</v>
      </c>
      <c r="I89" s="424" t="str">
        <f>'Segment Analysis'!I55</f>
        <v>N/A</v>
      </c>
      <c r="J89" s="294" t="str">
        <f>'Segment Analysis'!J55</f>
        <v>N/A</v>
      </c>
      <c r="K89" s="424" t="str">
        <f>'Segment Analysis'!K55</f>
        <v>N/A</v>
      </c>
      <c r="L89" s="424" t="str">
        <f>'Segment Analysis'!L55</f>
        <v>N/A</v>
      </c>
      <c r="M89" s="424" t="str">
        <f>'Segment Analysis'!M55</f>
        <v>N/A</v>
      </c>
      <c r="N89" s="424" t="str">
        <f>'Segment Analysis'!N55</f>
        <v>N/A</v>
      </c>
      <c r="O89" s="294" t="str">
        <f>'Segment Analysis'!O55</f>
        <v>N/A</v>
      </c>
      <c r="P89" s="424" t="str">
        <f>'Segment Analysis'!P55</f>
        <v>N/A</v>
      </c>
      <c r="Q89" s="424" t="str">
        <f>'Segment Analysis'!Q55</f>
        <v>N/A</v>
      </c>
      <c r="R89" s="424" t="str">
        <f>'Segment Analysis'!R55</f>
        <v>N/A</v>
      </c>
      <c r="S89" s="424" t="str">
        <f>'Segment Analysis'!S55</f>
        <v>N/A</v>
      </c>
      <c r="T89" s="294" t="str">
        <f>'Segment Analysis'!T55</f>
        <v>N/A</v>
      </c>
      <c r="U89" s="424" t="str">
        <f>'Segment Analysis'!U55</f>
        <v>N/A</v>
      </c>
      <c r="V89" s="233">
        <v>0</v>
      </c>
      <c r="W89" s="233">
        <v>0</v>
      </c>
      <c r="X89" s="233">
        <v>0</v>
      </c>
      <c r="Y89" s="294" t="e">
        <f>'Segment Analysis'!Y55</f>
        <v>#DIV/0!</v>
      </c>
      <c r="Z89" s="233">
        <v>0</v>
      </c>
      <c r="AA89" s="233">
        <v>0</v>
      </c>
      <c r="AB89" s="233">
        <v>0</v>
      </c>
      <c r="AC89" s="233">
        <v>0</v>
      </c>
      <c r="AD89" s="294" t="e">
        <f>'Segment Analysis'!AD55</f>
        <v>#DIV/0!</v>
      </c>
      <c r="AE89" s="234">
        <v>0</v>
      </c>
      <c r="AF89" s="234">
        <v>0</v>
      </c>
      <c r="AG89" s="234">
        <v>0</v>
      </c>
      <c r="AH89" s="9"/>
      <c r="AI89" s="9"/>
    </row>
    <row r="90" spans="1:35" ht="12.75" hidden="1" customHeight="1">
      <c r="A90" s="9"/>
      <c r="B90" s="9"/>
      <c r="C90" s="394" t="str">
        <f>'Segment Analysis'!C56</f>
        <v>Segment 5</v>
      </c>
      <c r="D90" s="9"/>
      <c r="E90" s="9"/>
      <c r="F90" s="424" t="str">
        <f>'Segment Analysis'!F56</f>
        <v>N/A</v>
      </c>
      <c r="G90" s="424" t="str">
        <f>'Segment Analysis'!G56</f>
        <v>N/A</v>
      </c>
      <c r="H90" s="424" t="str">
        <f>'Segment Analysis'!H56</f>
        <v>N/A</v>
      </c>
      <c r="I90" s="424" t="str">
        <f>'Segment Analysis'!I56</f>
        <v>N/A</v>
      </c>
      <c r="J90" s="294" t="str">
        <f>'Segment Analysis'!J56</f>
        <v>N/A</v>
      </c>
      <c r="K90" s="424" t="str">
        <f>'Segment Analysis'!K56</f>
        <v>N/A</v>
      </c>
      <c r="L90" s="424" t="str">
        <f>'Segment Analysis'!L56</f>
        <v>N/A</v>
      </c>
      <c r="M90" s="424" t="str">
        <f>'Segment Analysis'!M56</f>
        <v>N/A</v>
      </c>
      <c r="N90" s="424" t="str">
        <f>'Segment Analysis'!N56</f>
        <v>N/A</v>
      </c>
      <c r="O90" s="294" t="str">
        <f>'Segment Analysis'!O56</f>
        <v>N/A</v>
      </c>
      <c r="P90" s="424" t="str">
        <f>'Segment Analysis'!P56</f>
        <v>N/A</v>
      </c>
      <c r="Q90" s="424" t="str">
        <f>'Segment Analysis'!Q56</f>
        <v>N/A</v>
      </c>
      <c r="R90" s="424" t="str">
        <f>'Segment Analysis'!R56</f>
        <v>N/A</v>
      </c>
      <c r="S90" s="424" t="str">
        <f>'Segment Analysis'!S56</f>
        <v>N/A</v>
      </c>
      <c r="T90" s="294" t="str">
        <f>'Segment Analysis'!T56</f>
        <v>N/A</v>
      </c>
      <c r="U90" s="424" t="str">
        <f>'Segment Analysis'!U56</f>
        <v>N/A</v>
      </c>
      <c r="V90" s="233">
        <v>0</v>
      </c>
      <c r="W90" s="233">
        <v>0</v>
      </c>
      <c r="X90" s="233">
        <v>0</v>
      </c>
      <c r="Y90" s="294" t="e">
        <f>'Segment Analysis'!Y56</f>
        <v>#DIV/0!</v>
      </c>
      <c r="Z90" s="233">
        <v>0</v>
      </c>
      <c r="AA90" s="233">
        <v>0</v>
      </c>
      <c r="AB90" s="233">
        <v>0</v>
      </c>
      <c r="AC90" s="233">
        <v>0</v>
      </c>
      <c r="AD90" s="294" t="e">
        <f>'Segment Analysis'!AD56</f>
        <v>#DIV/0!</v>
      </c>
      <c r="AE90" s="234">
        <v>0</v>
      </c>
      <c r="AF90" s="234">
        <v>0</v>
      </c>
      <c r="AG90" s="234">
        <v>0</v>
      </c>
      <c r="AH90" s="9"/>
      <c r="AI90" s="9"/>
    </row>
    <row r="91" spans="1:35" ht="12.75" hidden="1" customHeight="1">
      <c r="A91" s="9"/>
      <c r="B91" s="9"/>
      <c r="C91" s="394" t="str">
        <f>'Segment Analysis'!C57</f>
        <v>Segment 6</v>
      </c>
      <c r="D91" s="9"/>
      <c r="E91" s="9"/>
      <c r="F91" s="424" t="str">
        <f>'Segment Analysis'!F57</f>
        <v>N/A</v>
      </c>
      <c r="G91" s="424" t="str">
        <f>'Segment Analysis'!G57</f>
        <v>N/A</v>
      </c>
      <c r="H91" s="424" t="str">
        <f>'Segment Analysis'!H57</f>
        <v>N/A</v>
      </c>
      <c r="I91" s="424" t="str">
        <f>'Segment Analysis'!I57</f>
        <v>N/A</v>
      </c>
      <c r="J91" s="294" t="str">
        <f>'Segment Analysis'!J57</f>
        <v>N/A</v>
      </c>
      <c r="K91" s="424" t="str">
        <f>'Segment Analysis'!K57</f>
        <v>N/A</v>
      </c>
      <c r="L91" s="424" t="str">
        <f>'Segment Analysis'!L57</f>
        <v>N/A</v>
      </c>
      <c r="M91" s="424" t="str">
        <f>'Segment Analysis'!M57</f>
        <v>N/A</v>
      </c>
      <c r="N91" s="424" t="str">
        <f>'Segment Analysis'!N57</f>
        <v>N/A</v>
      </c>
      <c r="O91" s="294" t="str">
        <f>'Segment Analysis'!O57</f>
        <v>N/A</v>
      </c>
      <c r="P91" s="424" t="str">
        <f>'Segment Analysis'!P57</f>
        <v>N/A</v>
      </c>
      <c r="Q91" s="424" t="str">
        <f>'Segment Analysis'!Q57</f>
        <v>N/A</v>
      </c>
      <c r="R91" s="424" t="str">
        <f>'Segment Analysis'!R57</f>
        <v>N/A</v>
      </c>
      <c r="S91" s="424" t="str">
        <f>'Segment Analysis'!S57</f>
        <v>N/A</v>
      </c>
      <c r="T91" s="294" t="str">
        <f>'Segment Analysis'!T57</f>
        <v>N/A</v>
      </c>
      <c r="U91" s="424" t="str">
        <f>'Segment Analysis'!U57</f>
        <v>N/A</v>
      </c>
      <c r="V91" s="233">
        <v>0</v>
      </c>
      <c r="W91" s="233">
        <v>0</v>
      </c>
      <c r="X91" s="233">
        <v>0</v>
      </c>
      <c r="Y91" s="294" t="e">
        <f>'Segment Analysis'!Y57</f>
        <v>#DIV/0!</v>
      </c>
      <c r="Z91" s="233">
        <v>0</v>
      </c>
      <c r="AA91" s="233">
        <v>0</v>
      </c>
      <c r="AB91" s="233">
        <v>0</v>
      </c>
      <c r="AC91" s="233">
        <v>0</v>
      </c>
      <c r="AD91" s="294" t="e">
        <f>'Segment Analysis'!AD57</f>
        <v>#DIV/0!</v>
      </c>
      <c r="AE91" s="234">
        <v>0</v>
      </c>
      <c r="AF91" s="234">
        <v>0</v>
      </c>
      <c r="AG91" s="234">
        <v>0</v>
      </c>
      <c r="AH91" s="9"/>
      <c r="AI91" s="9"/>
    </row>
    <row r="92" spans="1:35" ht="12.75" hidden="1" customHeight="1">
      <c r="A92" s="180" t="s">
        <v>0</v>
      </c>
      <c r="B92" s="9"/>
      <c r="C92" s="9"/>
      <c r="D92" s="9"/>
      <c r="E92" s="9"/>
      <c r="F92" s="290"/>
      <c r="G92" s="290"/>
      <c r="H92" s="290"/>
      <c r="I92" s="290"/>
      <c r="J92" s="291"/>
      <c r="K92" s="290"/>
      <c r="L92" s="290"/>
      <c r="M92" s="290"/>
      <c r="N92" s="290"/>
      <c r="O92" s="291"/>
      <c r="P92" s="290"/>
      <c r="Q92" s="290"/>
      <c r="R92" s="290"/>
      <c r="S92" s="290"/>
      <c r="T92" s="291"/>
      <c r="U92" s="290"/>
      <c r="V92" s="233"/>
      <c r="W92" s="233"/>
      <c r="X92" s="233"/>
      <c r="Y92" s="291"/>
      <c r="Z92" s="233"/>
      <c r="AA92" s="233"/>
      <c r="AB92" s="233"/>
      <c r="AC92" s="233"/>
      <c r="AD92" s="291"/>
      <c r="AE92" s="234"/>
      <c r="AF92" s="234"/>
      <c r="AG92" s="234"/>
      <c r="AH92" s="180" t="s">
        <v>0</v>
      </c>
      <c r="AI92" s="180"/>
    </row>
    <row r="93" spans="1:35" ht="12.75" customHeight="1">
      <c r="A93" s="180"/>
      <c r="B93" s="9"/>
      <c r="C93" s="9" t="str">
        <f>Model!C215</f>
        <v>% Change in Investments</v>
      </c>
      <c r="D93" s="9"/>
      <c r="E93" s="9"/>
      <c r="F93" s="290"/>
      <c r="G93" s="290">
        <f>Model!G215</f>
        <v>2.2708728380163024E-3</v>
      </c>
      <c r="H93" s="290">
        <f>Model!H215</f>
        <v>-0.32740796628010171</v>
      </c>
      <c r="I93" s="290">
        <f>Model!I215</f>
        <v>0.10341382749303185</v>
      </c>
      <c r="J93" s="291">
        <f>Model!J215</f>
        <v>0</v>
      </c>
      <c r="K93" s="290">
        <f>Model!K215</f>
        <v>6.4796074444646967E-2</v>
      </c>
      <c r="L93" s="290">
        <f>Model!L215</f>
        <v>0.19458345727199511</v>
      </c>
      <c r="M93" s="290">
        <f>Model!M215</f>
        <v>-0.23537421245759393</v>
      </c>
      <c r="N93" s="290">
        <f>Model!N215</f>
        <v>5.9147778900347614E-2</v>
      </c>
      <c r="O93" s="291">
        <f>Model!O215</f>
        <v>3.0121468498839565E-2</v>
      </c>
      <c r="P93" s="290">
        <f>Model!P215</f>
        <v>4.7291156099360965E-2</v>
      </c>
      <c r="Q93" s="290">
        <f>Model!Q215</f>
        <v>6.4817055793364498E-2</v>
      </c>
      <c r="R93" s="290">
        <f>Model!R215</f>
        <v>5.0169931933081724E-2</v>
      </c>
      <c r="S93" s="290">
        <f>Model!S215</f>
        <v>7.378886219385361E-2</v>
      </c>
      <c r="T93" s="291">
        <f>Model!T215</f>
        <v>0.25753739827399502</v>
      </c>
      <c r="U93" s="290">
        <f>Model!U215</f>
        <v>0.127121019305793</v>
      </c>
      <c r="V93" s="292">
        <f>IF(Case_Scenario="Bull",V94,IF(Case_Scenario="Base",V95,IF(Case_Scenario="bear",V96,"N/A")))</f>
        <v>0.03</v>
      </c>
      <c r="W93" s="292">
        <f>IF(Case_Scenario="Bull",W94,IF(Case_Scenario="Base",W95,IF(Case_Scenario="bear",W96,"N/A")))</f>
        <v>0.03</v>
      </c>
      <c r="X93" s="292">
        <f>IF(Case_Scenario="Bull",X94,IF(Case_Scenario="Base",X95,IF(Case_Scenario="bear",X96,"N/A")))</f>
        <v>0.03</v>
      </c>
      <c r="Y93" s="291">
        <f>Model!Y215</f>
        <v>0.23163557006296132</v>
      </c>
      <c r="Z93" s="292">
        <f>IF(Case_Scenario="Bull",Z94,IF(Case_Scenario="Base",Z95,IF(Case_Scenario="bear",Z96,"N/A")))</f>
        <v>7.0000000000000007E-2</v>
      </c>
      <c r="AA93" s="292">
        <f>IF(Case_Scenario="Bull",AA94,IF(Case_Scenario="Base",AA95,IF(Case_Scenario="bear",AA96,"N/A")))</f>
        <v>0.06</v>
      </c>
      <c r="AB93" s="292">
        <f>IF(Case_Scenario="Bull",AB94,IF(Case_Scenario="Base",AB95,IF(Case_Scenario="bear",AB96,"N/A")))</f>
        <v>5.5E-2</v>
      </c>
      <c r="AC93" s="292">
        <f>IF(Case_Scenario="Bull",AC94,IF(Case_Scenario="Base",AC95,IF(Case_Scenario="bear",AC96,"N/A")))</f>
        <v>0.05</v>
      </c>
      <c r="AD93" s="291">
        <f>Model!AD215</f>
        <v>0.25641005000000039</v>
      </c>
      <c r="AE93" s="291">
        <f>IF(Case_Scenario="Bull",AE94,IF(Case_Scenario="Base",AE95,IF(Case_Scenario="bear",AE96,"N/A")))</f>
        <v>0.15</v>
      </c>
      <c r="AF93" s="291">
        <f>IF(Case_Scenario="Bull",AF94,IF(Case_Scenario="Base",AF95,IF(Case_Scenario="bear",AF96,"N/A")))</f>
        <v>0.15</v>
      </c>
      <c r="AG93" s="291">
        <f>IF(Case_Scenario="Bull",AG94,IF(Case_Scenario="Base",AG95,IF(Case_Scenario="bear",AG96,"N/A")))</f>
        <v>0.15</v>
      </c>
      <c r="AH93" s="9"/>
      <c r="AI93" s="9"/>
    </row>
    <row r="94" spans="1:35" ht="12.75" customHeight="1">
      <c r="A94" s="9"/>
      <c r="B94" s="9"/>
      <c r="C94" s="103" t="s">
        <v>245</v>
      </c>
      <c r="D94" s="9"/>
      <c r="E94" s="9"/>
      <c r="F94" s="290"/>
      <c r="G94" s="290"/>
      <c r="H94" s="290"/>
      <c r="I94" s="290"/>
      <c r="J94" s="291"/>
      <c r="K94" s="290"/>
      <c r="L94" s="290"/>
      <c r="M94" s="290"/>
      <c r="N94" s="290"/>
      <c r="O94" s="291"/>
      <c r="P94" s="290"/>
      <c r="Q94" s="290"/>
      <c r="R94" s="290"/>
      <c r="S94" s="290"/>
      <c r="T94" s="291"/>
      <c r="U94" s="290"/>
      <c r="V94" s="233">
        <f>V95+0.02</f>
        <v>0.05</v>
      </c>
      <c r="W94" s="233">
        <f t="shared" ref="W94:X94" si="30">W95+0.02</f>
        <v>0.05</v>
      </c>
      <c r="X94" s="233">
        <f t="shared" si="30"/>
        <v>0.05</v>
      </c>
      <c r="Y94" s="291"/>
      <c r="Z94" s="233">
        <f>Z95+0.01</f>
        <v>0.08</v>
      </c>
      <c r="AA94" s="233">
        <f t="shared" ref="AA94:AC94" si="31">AA95+0.01</f>
        <v>6.9999999999999993E-2</v>
      </c>
      <c r="AB94" s="233">
        <f t="shared" si="31"/>
        <v>6.5000000000000002E-2</v>
      </c>
      <c r="AC94" s="233">
        <f t="shared" si="31"/>
        <v>6.0000000000000005E-2</v>
      </c>
      <c r="AD94" s="291"/>
      <c r="AE94" s="234">
        <f>AE95+0.01</f>
        <v>0.16</v>
      </c>
      <c r="AF94" s="234">
        <f>AF95+0.01</f>
        <v>0.16</v>
      </c>
      <c r="AG94" s="234">
        <f>AG95+0.01</f>
        <v>0.16</v>
      </c>
      <c r="AH94" s="9"/>
      <c r="AI94" s="9"/>
    </row>
    <row r="95" spans="1:35" ht="12.75" customHeight="1">
      <c r="A95" s="9"/>
      <c r="B95" s="9"/>
      <c r="C95" s="103" t="s">
        <v>246</v>
      </c>
      <c r="D95" s="9"/>
      <c r="E95" s="9"/>
      <c r="F95" s="290"/>
      <c r="G95" s="290"/>
      <c r="H95" s="290"/>
      <c r="I95" s="290"/>
      <c r="J95" s="291"/>
      <c r="K95" s="290"/>
      <c r="L95" s="290"/>
      <c r="M95" s="290"/>
      <c r="N95" s="290"/>
      <c r="O95" s="291"/>
      <c r="P95" s="290"/>
      <c r="Q95" s="290"/>
      <c r="R95" s="290"/>
      <c r="S95" s="290"/>
      <c r="T95" s="291"/>
      <c r="U95" s="290"/>
      <c r="V95" s="233">
        <v>0.03</v>
      </c>
      <c r="W95" s="233">
        <v>0.03</v>
      </c>
      <c r="X95" s="233">
        <v>0.03</v>
      </c>
      <c r="Y95" s="291"/>
      <c r="Z95" s="233">
        <v>7.0000000000000007E-2</v>
      </c>
      <c r="AA95" s="233">
        <v>0.06</v>
      </c>
      <c r="AB95" s="233">
        <v>5.5E-2</v>
      </c>
      <c r="AC95" s="233">
        <v>0.05</v>
      </c>
      <c r="AD95" s="291"/>
      <c r="AE95" s="234">
        <v>0.15</v>
      </c>
      <c r="AF95" s="234">
        <v>0.15</v>
      </c>
      <c r="AG95" s="234">
        <v>0.15</v>
      </c>
      <c r="AH95" s="9"/>
      <c r="AI95" s="9"/>
    </row>
    <row r="96" spans="1:35" ht="12.75" customHeight="1">
      <c r="A96" s="9"/>
      <c r="B96" s="9"/>
      <c r="C96" s="103" t="s">
        <v>247</v>
      </c>
      <c r="D96" s="9"/>
      <c r="E96" s="9"/>
      <c r="F96" s="290"/>
      <c r="G96" s="290"/>
      <c r="H96" s="290"/>
      <c r="I96" s="290"/>
      <c r="J96" s="291"/>
      <c r="K96" s="290"/>
      <c r="L96" s="290"/>
      <c r="M96" s="290"/>
      <c r="N96" s="290"/>
      <c r="O96" s="291"/>
      <c r="P96" s="290"/>
      <c r="Q96" s="290"/>
      <c r="R96" s="290"/>
      <c r="S96" s="290"/>
      <c r="T96" s="291"/>
      <c r="U96" s="290"/>
      <c r="V96" s="233">
        <f>V95-0.04</f>
        <v>-1.0000000000000002E-2</v>
      </c>
      <c r="W96" s="233">
        <f t="shared" ref="W96:X96" si="32">W95-0.04</f>
        <v>-1.0000000000000002E-2</v>
      </c>
      <c r="X96" s="233">
        <f t="shared" si="32"/>
        <v>-1.0000000000000002E-2</v>
      </c>
      <c r="Y96" s="291"/>
      <c r="Z96" s="233">
        <f>Z95-0.06</f>
        <v>1.0000000000000009E-2</v>
      </c>
      <c r="AA96" s="233">
        <f t="shared" ref="AA96:AC96" si="33">AA95-0.06</f>
        <v>0</v>
      </c>
      <c r="AB96" s="233">
        <f t="shared" si="33"/>
        <v>-4.9999999999999975E-3</v>
      </c>
      <c r="AC96" s="233">
        <f t="shared" si="33"/>
        <v>-9.999999999999995E-3</v>
      </c>
      <c r="AD96" s="291"/>
      <c r="AE96" s="234">
        <f>AE95-0.1</f>
        <v>4.9999999999999989E-2</v>
      </c>
      <c r="AF96" s="234">
        <f t="shared" ref="AF96:AG96" si="34">AF95-0.1</f>
        <v>4.9999999999999989E-2</v>
      </c>
      <c r="AG96" s="234">
        <f t="shared" si="34"/>
        <v>4.9999999999999989E-2</v>
      </c>
      <c r="AH96" s="9"/>
      <c r="AI96" s="9"/>
    </row>
    <row r="97" spans="1:35" ht="12.75" customHeight="1">
      <c r="A97" s="9"/>
      <c r="B97" s="9"/>
      <c r="C97" s="9"/>
      <c r="D97" s="9"/>
      <c r="E97" s="9"/>
      <c r="F97" s="290"/>
      <c r="G97" s="290"/>
      <c r="H97" s="290"/>
      <c r="I97" s="290"/>
      <c r="J97" s="291"/>
      <c r="K97" s="290"/>
      <c r="L97" s="290"/>
      <c r="M97" s="290"/>
      <c r="N97" s="290"/>
      <c r="O97" s="291"/>
      <c r="P97" s="290"/>
      <c r="Q97" s="290"/>
      <c r="R97" s="290"/>
      <c r="S97" s="290"/>
      <c r="T97" s="291"/>
      <c r="U97" s="290"/>
      <c r="V97" s="233"/>
      <c r="W97" s="233"/>
      <c r="X97" s="233"/>
      <c r="Y97" s="291"/>
      <c r="Z97" s="233"/>
      <c r="AA97" s="233"/>
      <c r="AB97" s="233"/>
      <c r="AC97" s="233"/>
      <c r="AD97" s="291"/>
      <c r="AE97" s="234"/>
      <c r="AF97" s="234"/>
      <c r="AG97" s="234"/>
      <c r="AH97" s="9"/>
      <c r="AI97" s="9"/>
    </row>
    <row r="98" spans="1:35" ht="12.75" customHeight="1">
      <c r="A98" s="9"/>
      <c r="B98" s="9"/>
      <c r="C98" s="414" t="s">
        <v>456</v>
      </c>
      <c r="D98" s="415"/>
      <c r="E98" s="415"/>
      <c r="F98" s="416"/>
      <c r="G98" s="417"/>
      <c r="H98" s="417"/>
      <c r="I98" s="417"/>
      <c r="J98" s="417"/>
      <c r="K98" s="417"/>
      <c r="L98" s="417"/>
      <c r="M98" s="417"/>
      <c r="N98" s="417"/>
      <c r="O98" s="417"/>
      <c r="P98" s="417"/>
      <c r="Q98" s="417"/>
      <c r="R98" s="417"/>
      <c r="S98" s="417"/>
      <c r="T98" s="417"/>
      <c r="U98" s="417"/>
      <c r="V98" s="417"/>
      <c r="W98" s="417"/>
      <c r="X98" s="417"/>
      <c r="Y98" s="417"/>
      <c r="Z98" s="417"/>
      <c r="AA98" s="417"/>
      <c r="AB98" s="417"/>
      <c r="AC98" s="417"/>
      <c r="AD98" s="417"/>
      <c r="AE98" s="417"/>
      <c r="AF98" s="417"/>
      <c r="AG98" s="418"/>
      <c r="AH98" s="9"/>
      <c r="AI98" s="9"/>
    </row>
    <row r="99" spans="1:35" ht="12.75" customHeight="1">
      <c r="A99" s="9"/>
      <c r="B99" s="9"/>
      <c r="C99" s="9"/>
      <c r="D99" s="9"/>
      <c r="E99" s="9"/>
      <c r="F99" s="290"/>
      <c r="G99" s="290"/>
      <c r="H99" s="290"/>
      <c r="I99" s="290"/>
      <c r="J99" s="291"/>
      <c r="K99" s="290"/>
      <c r="L99" s="290"/>
      <c r="M99" s="290"/>
      <c r="N99" s="290"/>
      <c r="O99" s="291"/>
      <c r="P99" s="290"/>
      <c r="Q99" s="290"/>
      <c r="R99" s="290"/>
      <c r="S99" s="290"/>
      <c r="T99" s="291"/>
      <c r="U99" s="290"/>
      <c r="V99" s="292"/>
      <c r="W99" s="292"/>
      <c r="X99" s="292"/>
      <c r="Y99" s="291"/>
      <c r="Z99" s="292"/>
      <c r="AA99" s="292"/>
      <c r="AB99" s="292"/>
      <c r="AC99" s="292"/>
      <c r="AD99" s="291"/>
      <c r="AE99" s="132"/>
      <c r="AF99" s="132"/>
      <c r="AG99" s="132"/>
      <c r="AH99" s="9"/>
      <c r="AI99" s="9"/>
    </row>
    <row r="100" spans="1:35" ht="12.75" customHeight="1">
      <c r="A100" s="9"/>
      <c r="B100" s="9"/>
      <c r="C100" s="9" t="str">
        <f>Model!C201</f>
        <v>Capex as a % of Sales</v>
      </c>
      <c r="D100" s="9"/>
      <c r="E100" s="9"/>
      <c r="F100" s="290">
        <f>Model!F201</f>
        <v>0</v>
      </c>
      <c r="G100" s="290">
        <f>Model!G201</f>
        <v>-3.9769986047905569E-3</v>
      </c>
      <c r="H100" s="290">
        <f>Model!H201</f>
        <v>-1.2355005744684259E-2</v>
      </c>
      <c r="I100" s="290">
        <f>Model!I201</f>
        <v>-6.6319111962265904E-3</v>
      </c>
      <c r="J100" s="291">
        <f>Model!J201</f>
        <v>-5.537557233717817E-3</v>
      </c>
      <c r="K100" s="290">
        <f>Model!K201</f>
        <v>3.2022521333685265E-2</v>
      </c>
      <c r="L100" s="290">
        <f>Model!L201</f>
        <v>1.2618619754721137E-2</v>
      </c>
      <c r="M100" s="290">
        <f>Model!M201</f>
        <v>3.7041767786434939E-3</v>
      </c>
      <c r="N100" s="290">
        <f>Model!N201</f>
        <v>-7.8283757393938242E-3</v>
      </c>
      <c r="O100" s="291">
        <f>Model!O201</f>
        <v>8.4608967900592462E-3</v>
      </c>
      <c r="P100" s="290">
        <f>Model!P201</f>
        <v>-1.7943282959979883E-3</v>
      </c>
      <c r="Q100" s="290">
        <f>Model!Q201</f>
        <v>1.1333408889391762E-3</v>
      </c>
      <c r="R100" s="290">
        <f>Model!R201</f>
        <v>1.2587587141405288E-2</v>
      </c>
      <c r="S100" s="290">
        <f>Model!S201</f>
        <v>8.2132411995575385E-3</v>
      </c>
      <c r="T100" s="291">
        <f>Model!T201</f>
        <v>4.9946420857154179E-3</v>
      </c>
      <c r="U100" s="290">
        <f>Model!U201</f>
        <v>-1.319633094261132E-2</v>
      </c>
      <c r="V100" s="292">
        <f>IF(Case_Scenario="Bull",V101,IF(Case_Scenario="Base",V102,IF(Case_Scenario="bear",V103,"N/A")))</f>
        <v>1.2E-2</v>
      </c>
      <c r="W100" s="292">
        <f>IF(Case_Scenario="Bull",W101,IF(Case_Scenario="Base",W102,IF(Case_Scenario="bear",W103,"N/A")))</f>
        <v>1.2E-2</v>
      </c>
      <c r="X100" s="292">
        <f>IF(Case_Scenario="Bull",X101,IF(Case_Scenario="Base",X102,IF(Case_Scenario="bear",X103,"N/A")))</f>
        <v>0.01</v>
      </c>
      <c r="Y100" s="291">
        <f>Model!Y201</f>
        <v>5.6651604484816483E-3</v>
      </c>
      <c r="Z100" s="292">
        <f>IF(Case_Scenario="Bull",Z101,IF(Case_Scenario="Base",Z102,IF(Case_Scenario="bear",Z103,"N/A")))</f>
        <v>8.0000000000000002E-3</v>
      </c>
      <c r="AA100" s="292">
        <f>IF(Case_Scenario="Bull",AA101,IF(Case_Scenario="Base",AA102,IF(Case_Scenario="bear",AA103,"N/A")))</f>
        <v>8.0000000000000002E-3</v>
      </c>
      <c r="AB100" s="292">
        <f>IF(Case_Scenario="Bull",AB101,IF(Case_Scenario="Base",AB102,IF(Case_Scenario="bear",AB103,"N/A")))</f>
        <v>8.0000000000000002E-3</v>
      </c>
      <c r="AC100" s="292">
        <f>IF(Case_Scenario="Bull",AC101,IF(Case_Scenario="Base",AC102,IF(Case_Scenario="bear",AC103,"N/A")))</f>
        <v>8.0000000000000002E-3</v>
      </c>
      <c r="AD100" s="291">
        <f>Model!AD201</f>
        <v>8.0000000000000019E-3</v>
      </c>
      <c r="AE100" s="291">
        <f>IF(Case_Scenario="Bull",AE101,IF(Case_Scenario="Base",AE102,IF(Case_Scenario="bear",AE103,"N/A")))</f>
        <v>8.0000000000000002E-3</v>
      </c>
      <c r="AF100" s="291">
        <f>IF(Case_Scenario="Bull",AF101,IF(Case_Scenario="Base",AF102,IF(Case_Scenario="bear",AF103,"N/A")))</f>
        <v>8.0000000000000002E-3</v>
      </c>
      <c r="AG100" s="291">
        <f>IF(Case_Scenario="Bull",AG101,IF(Case_Scenario="Base",AG102,IF(Case_Scenario="bear",AG103,"N/A")))</f>
        <v>8.0000000000000002E-3</v>
      </c>
      <c r="AH100" s="9"/>
      <c r="AI100" s="9"/>
    </row>
    <row r="101" spans="1:35" ht="12.75" customHeight="1">
      <c r="A101" s="9"/>
      <c r="B101" s="9"/>
      <c r="C101" s="103" t="s">
        <v>245</v>
      </c>
      <c r="D101" s="9"/>
      <c r="E101" s="9"/>
      <c r="F101" s="290"/>
      <c r="G101" s="290"/>
      <c r="H101" s="290"/>
      <c r="I101" s="290"/>
      <c r="J101" s="291"/>
      <c r="K101" s="290"/>
      <c r="L101" s="290"/>
      <c r="M101" s="290"/>
      <c r="N101" s="290"/>
      <c r="O101" s="291"/>
      <c r="P101" s="290"/>
      <c r="Q101" s="290"/>
      <c r="R101" s="290"/>
      <c r="S101" s="290"/>
      <c r="T101" s="291"/>
      <c r="U101" s="290"/>
      <c r="V101" s="233">
        <f>V102-0.002</f>
        <v>0.01</v>
      </c>
      <c r="W101" s="233">
        <f t="shared" ref="W101:Z101" si="35">W102-0.002</f>
        <v>0.01</v>
      </c>
      <c r="X101" s="233">
        <f t="shared" si="35"/>
        <v>8.0000000000000002E-3</v>
      </c>
      <c r="Y101" s="291"/>
      <c r="Z101" s="233">
        <f t="shared" si="35"/>
        <v>6.0000000000000001E-3</v>
      </c>
      <c r="AA101" s="233">
        <f t="shared" ref="AA101" si="36">AA102-0.002</f>
        <v>6.0000000000000001E-3</v>
      </c>
      <c r="AB101" s="233">
        <f t="shared" ref="AB101" si="37">AB102-0.002</f>
        <v>6.0000000000000001E-3</v>
      </c>
      <c r="AC101" s="233">
        <f t="shared" ref="AC101" si="38">AC102-0.002</f>
        <v>6.0000000000000001E-3</v>
      </c>
      <c r="AD101" s="291"/>
      <c r="AE101" s="234">
        <f>AE102-0.001</f>
        <v>7.0000000000000001E-3</v>
      </c>
      <c r="AF101" s="234">
        <f t="shared" ref="AF101:AG101" si="39">AF102-0.001</f>
        <v>7.0000000000000001E-3</v>
      </c>
      <c r="AG101" s="234">
        <f t="shared" si="39"/>
        <v>7.0000000000000001E-3</v>
      </c>
      <c r="AH101" s="9"/>
      <c r="AI101" s="9"/>
    </row>
    <row r="102" spans="1:35" ht="12.75" customHeight="1">
      <c r="A102" s="9"/>
      <c r="B102" s="9"/>
      <c r="C102" s="103" t="s">
        <v>246</v>
      </c>
      <c r="D102" s="9"/>
      <c r="E102" s="9"/>
      <c r="F102" s="290"/>
      <c r="G102" s="290"/>
      <c r="H102" s="290"/>
      <c r="I102" s="290"/>
      <c r="J102" s="291"/>
      <c r="K102" s="290"/>
      <c r="L102" s="290"/>
      <c r="M102" s="290"/>
      <c r="N102" s="290"/>
      <c r="O102" s="291"/>
      <c r="P102" s="290"/>
      <c r="Q102" s="290"/>
      <c r="R102" s="290"/>
      <c r="S102" s="290"/>
      <c r="T102" s="291"/>
      <c r="U102" s="290"/>
      <c r="V102" s="827">
        <v>1.2E-2</v>
      </c>
      <c r="W102" s="827">
        <v>1.2E-2</v>
      </c>
      <c r="X102" s="827">
        <v>0.01</v>
      </c>
      <c r="Y102" s="291"/>
      <c r="Z102" s="233">
        <v>8.0000000000000002E-3</v>
      </c>
      <c r="AA102" s="233">
        <v>8.0000000000000002E-3</v>
      </c>
      <c r="AB102" s="233">
        <v>8.0000000000000002E-3</v>
      </c>
      <c r="AC102" s="233">
        <v>8.0000000000000002E-3</v>
      </c>
      <c r="AD102" s="291"/>
      <c r="AE102" s="234">
        <v>8.0000000000000002E-3</v>
      </c>
      <c r="AF102" s="234">
        <v>8.0000000000000002E-3</v>
      </c>
      <c r="AG102" s="234">
        <v>8.0000000000000002E-3</v>
      </c>
      <c r="AH102" s="9"/>
      <c r="AI102" s="9"/>
    </row>
    <row r="103" spans="1:35" ht="12.75" customHeight="1">
      <c r="A103" s="9"/>
      <c r="B103" s="9"/>
      <c r="C103" s="103" t="s">
        <v>247</v>
      </c>
      <c r="D103" s="9"/>
      <c r="E103" s="9"/>
      <c r="F103" s="290"/>
      <c r="G103" s="290"/>
      <c r="H103" s="290"/>
      <c r="I103" s="290"/>
      <c r="J103" s="291"/>
      <c r="K103" s="290"/>
      <c r="L103" s="290"/>
      <c r="M103" s="290"/>
      <c r="N103" s="290"/>
      <c r="O103" s="291"/>
      <c r="P103" s="290"/>
      <c r="Q103" s="290"/>
      <c r="R103" s="290"/>
      <c r="S103" s="290"/>
      <c r="T103" s="291"/>
      <c r="U103" s="290"/>
      <c r="V103" s="233">
        <f>V102+0.002</f>
        <v>1.4E-2</v>
      </c>
      <c r="W103" s="233">
        <f t="shared" ref="W103:Z103" si="40">W102+0.002</f>
        <v>1.4E-2</v>
      </c>
      <c r="X103" s="233">
        <f t="shared" si="40"/>
        <v>1.2E-2</v>
      </c>
      <c r="Y103" s="291"/>
      <c r="Z103" s="233">
        <f t="shared" si="40"/>
        <v>0.01</v>
      </c>
      <c r="AA103" s="233">
        <f t="shared" ref="AA103" si="41">AA102+0.002</f>
        <v>0.01</v>
      </c>
      <c r="AB103" s="233">
        <f t="shared" ref="AB103" si="42">AB102+0.002</f>
        <v>0.01</v>
      </c>
      <c r="AC103" s="233">
        <f t="shared" ref="AC103:AE103" si="43">AC102+0.002</f>
        <v>0.01</v>
      </c>
      <c r="AD103" s="291"/>
      <c r="AE103" s="870">
        <f t="shared" si="43"/>
        <v>0.01</v>
      </c>
      <c r="AF103" s="870">
        <f t="shared" ref="AF103" si="44">AF102+0.002</f>
        <v>0.01</v>
      </c>
      <c r="AG103" s="870">
        <f t="shared" ref="AG103" si="45">AG102+0.002</f>
        <v>0.01</v>
      </c>
      <c r="AH103" s="9"/>
      <c r="AI103" s="9"/>
    </row>
    <row r="104" spans="1:35" ht="12.75" customHeight="1">
      <c r="A104" s="9"/>
      <c r="B104" s="9"/>
      <c r="C104" s="9"/>
      <c r="D104" s="9"/>
      <c r="E104" s="9"/>
      <c r="F104" s="290"/>
      <c r="G104" s="290"/>
      <c r="H104" s="290"/>
      <c r="I104" s="290"/>
      <c r="J104" s="291"/>
      <c r="K104" s="290"/>
      <c r="L104" s="290"/>
      <c r="M104" s="290"/>
      <c r="N104" s="290"/>
      <c r="O104" s="291"/>
      <c r="P104" s="290"/>
      <c r="Q104" s="290"/>
      <c r="R104" s="290"/>
      <c r="S104" s="290"/>
      <c r="T104" s="291"/>
      <c r="U104" s="290"/>
      <c r="V104" s="233"/>
      <c r="W104" s="233"/>
      <c r="X104" s="233"/>
      <c r="Y104" s="291"/>
      <c r="Z104" s="233"/>
      <c r="AA104" s="233"/>
      <c r="AB104" s="233"/>
      <c r="AC104" s="233"/>
      <c r="AD104" s="291"/>
      <c r="AE104" s="234"/>
      <c r="AF104" s="234"/>
      <c r="AG104" s="234"/>
      <c r="AH104" s="9"/>
      <c r="AI104" s="9"/>
    </row>
    <row r="105" spans="1:35" ht="12.75" hidden="1" customHeight="1">
      <c r="A105" s="9"/>
      <c r="B105" s="9"/>
      <c r="C105" s="9" t="str">
        <f>Model!C86</f>
        <v>Proceeds From/(Acquisitions of) Businesses</v>
      </c>
      <c r="D105" s="9"/>
      <c r="E105" s="9"/>
      <c r="F105" s="238">
        <f>Model!F86</f>
        <v>0</v>
      </c>
      <c r="G105" s="238">
        <f>Model!G86</f>
        <v>0</v>
      </c>
      <c r="H105" s="238">
        <f>Model!H86</f>
        <v>0</v>
      </c>
      <c r="I105" s="238">
        <f>Model!I86</f>
        <v>0</v>
      </c>
      <c r="J105" s="239">
        <f>Model!J86</f>
        <v>0</v>
      </c>
      <c r="K105" s="238">
        <f>Model!K86</f>
        <v>0</v>
      </c>
      <c r="L105" s="238">
        <f>Model!L86</f>
        <v>0</v>
      </c>
      <c r="M105" s="238">
        <f>Model!M86</f>
        <v>0</v>
      </c>
      <c r="N105" s="238">
        <f>Model!N86</f>
        <v>0</v>
      </c>
      <c r="O105" s="239">
        <f>Model!O86</f>
        <v>0</v>
      </c>
      <c r="P105" s="238">
        <f>Model!P86</f>
        <v>0</v>
      </c>
      <c r="Q105" s="238">
        <f>Model!Q86</f>
        <v>0</v>
      </c>
      <c r="R105" s="238">
        <f>Model!R86</f>
        <v>0</v>
      </c>
      <c r="S105" s="238">
        <f>Model!S86</f>
        <v>0</v>
      </c>
      <c r="T105" s="239">
        <f>Model!T86</f>
        <v>0</v>
      </c>
      <c r="U105" s="238">
        <f>Model!U86</f>
        <v>0</v>
      </c>
      <c r="V105" s="419">
        <v>0</v>
      </c>
      <c r="W105" s="419">
        <v>0</v>
      </c>
      <c r="X105" s="419">
        <v>0</v>
      </c>
      <c r="Y105" s="239">
        <f>Model!Y86</f>
        <v>0</v>
      </c>
      <c r="Z105" s="419">
        <v>0</v>
      </c>
      <c r="AA105" s="419">
        <v>0</v>
      </c>
      <c r="AB105" s="419">
        <v>0</v>
      </c>
      <c r="AC105" s="419">
        <v>0</v>
      </c>
      <c r="AD105" s="239">
        <f>Model!AD86</f>
        <v>0</v>
      </c>
      <c r="AE105" s="420">
        <v>0</v>
      </c>
      <c r="AF105" s="420">
        <v>0</v>
      </c>
      <c r="AG105" s="420">
        <v>0</v>
      </c>
      <c r="AH105" s="9"/>
      <c r="AI105" s="9"/>
    </row>
    <row r="106" spans="1:35" ht="12.75" hidden="1" customHeight="1">
      <c r="A106" s="9"/>
      <c r="B106" s="9"/>
      <c r="C106" s="9"/>
      <c r="D106" s="9"/>
      <c r="E106" s="9"/>
      <c r="F106" s="290"/>
      <c r="G106" s="290"/>
      <c r="H106" s="290"/>
      <c r="I106" s="290"/>
      <c r="J106" s="291"/>
      <c r="K106" s="290"/>
      <c r="L106" s="290"/>
      <c r="M106" s="290"/>
      <c r="N106" s="290"/>
      <c r="O106" s="291"/>
      <c r="P106" s="290"/>
      <c r="Q106" s="290"/>
      <c r="R106" s="290"/>
      <c r="S106" s="290"/>
      <c r="T106" s="291"/>
      <c r="U106" s="290"/>
      <c r="V106" s="233"/>
      <c r="W106" s="233"/>
      <c r="X106" s="233"/>
      <c r="Y106" s="291"/>
      <c r="Z106" s="233"/>
      <c r="AA106" s="233"/>
      <c r="AB106" s="233"/>
      <c r="AC106" s="233"/>
      <c r="AD106" s="291"/>
      <c r="AE106" s="234"/>
      <c r="AF106" s="234"/>
      <c r="AG106" s="234"/>
      <c r="AH106" s="9"/>
      <c r="AI106" s="9"/>
    </row>
    <row r="107" spans="1:35" ht="12.75" customHeight="1">
      <c r="A107" s="9"/>
      <c r="B107" s="9"/>
      <c r="C107" s="414" t="s">
        <v>457</v>
      </c>
      <c r="D107" s="415"/>
      <c r="E107" s="415"/>
      <c r="F107" s="416"/>
      <c r="G107" s="417"/>
      <c r="H107" s="417"/>
      <c r="I107" s="417"/>
      <c r="J107" s="417"/>
      <c r="K107" s="417"/>
      <c r="L107" s="417"/>
      <c r="M107" s="417"/>
      <c r="N107" s="417"/>
      <c r="O107" s="417"/>
      <c r="P107" s="417"/>
      <c r="Q107" s="417"/>
      <c r="R107" s="417"/>
      <c r="S107" s="417"/>
      <c r="T107" s="417"/>
      <c r="U107" s="417"/>
      <c r="V107" s="417"/>
      <c r="W107" s="417"/>
      <c r="X107" s="417"/>
      <c r="Y107" s="417"/>
      <c r="Z107" s="417"/>
      <c r="AA107" s="417"/>
      <c r="AB107" s="417"/>
      <c r="AC107" s="417"/>
      <c r="AD107" s="417"/>
      <c r="AE107" s="417"/>
      <c r="AF107" s="417"/>
      <c r="AG107" s="418"/>
      <c r="AH107" s="9"/>
      <c r="AI107" s="9"/>
    </row>
    <row r="108" spans="1:35" ht="12.75" customHeight="1">
      <c r="A108" s="9"/>
      <c r="B108" s="9"/>
      <c r="C108" s="9"/>
      <c r="D108" s="9"/>
      <c r="E108" s="9"/>
      <c r="F108" s="290"/>
      <c r="G108" s="290"/>
      <c r="H108" s="290"/>
      <c r="I108" s="290"/>
      <c r="J108" s="291"/>
      <c r="K108" s="290"/>
      <c r="L108" s="290"/>
      <c r="M108" s="290"/>
      <c r="N108" s="290"/>
      <c r="O108" s="291"/>
      <c r="P108" s="290"/>
      <c r="Q108" s="290"/>
      <c r="R108" s="290"/>
      <c r="S108" s="290"/>
      <c r="T108" s="291"/>
      <c r="U108" s="290"/>
      <c r="V108" s="292"/>
      <c r="W108" s="292"/>
      <c r="X108" s="292"/>
      <c r="Y108" s="291"/>
      <c r="Z108" s="292"/>
      <c r="AA108" s="292"/>
      <c r="AB108" s="292"/>
      <c r="AC108" s="292"/>
      <c r="AD108" s="291"/>
      <c r="AE108" s="132"/>
      <c r="AF108" s="132"/>
      <c r="AG108" s="132"/>
      <c r="AH108" s="9"/>
      <c r="AI108" s="9"/>
    </row>
    <row r="109" spans="1:35" ht="12.75" customHeight="1">
      <c r="A109" s="9"/>
      <c r="B109" s="9"/>
      <c r="C109" s="9" t="str">
        <f>Model!C274</f>
        <v>Dividends YoY Growth Rate</v>
      </c>
      <c r="D109" s="9"/>
      <c r="E109" s="9"/>
      <c r="F109" s="290"/>
      <c r="G109" s="290"/>
      <c r="H109" s="290"/>
      <c r="I109" s="290"/>
      <c r="J109" s="291"/>
      <c r="K109" s="290">
        <f>Model!K274</f>
        <v>0.16658914728682173</v>
      </c>
      <c r="L109" s="290">
        <f>Model!L274</f>
        <v>0.29852713178294588</v>
      </c>
      <c r="M109" s="290">
        <f>Model!M274</f>
        <v>0.13154172560113153</v>
      </c>
      <c r="N109" s="290">
        <f>Model!N274</f>
        <v>-0.43718592964824121</v>
      </c>
      <c r="O109" s="291"/>
      <c r="P109" s="290">
        <f>Model!P274</f>
        <v>0.16951292444680721</v>
      </c>
      <c r="Q109" s="290">
        <f>Model!Q274</f>
        <v>0.16410960539669261</v>
      </c>
      <c r="R109" s="290">
        <f>Model!R274</f>
        <v>0.15476190476190466</v>
      </c>
      <c r="S109" s="290">
        <f>Model!S274</f>
        <v>0.160535714285714</v>
      </c>
      <c r="T109" s="291"/>
      <c r="U109" s="290">
        <f>Model!U274</f>
        <v>0.14960227272727256</v>
      </c>
      <c r="V109" s="292">
        <f>IF(Case_Scenario="Bull",V110,IF(Case_Scenario="Base",V111,IF(Case_Scenario="bear",V112,"N/A")))</f>
        <v>0.15</v>
      </c>
      <c r="W109" s="292">
        <f>IF(Case_Scenario="Bull",W110,IF(Case_Scenario="Base",W111,IF(Case_Scenario="bear",W112,"N/A")))</f>
        <v>0.15</v>
      </c>
      <c r="X109" s="292">
        <f>IF(Case_Scenario="Bull",X110,IF(Case_Scenario="Base",X111,IF(Case_Scenario="bear",X112,"N/A")))</f>
        <v>0.15</v>
      </c>
      <c r="Y109" s="291"/>
      <c r="Z109" s="292">
        <f>IF(Case_Scenario="Bull",Z110,IF(Case_Scenario="Base",Z111,IF(Case_Scenario="bear",Z112,"N/A")))</f>
        <v>0.15</v>
      </c>
      <c r="AA109" s="292">
        <f>IF(Case_Scenario="Bull",AA110,IF(Case_Scenario="Base",AA111,IF(Case_Scenario="bear",AA112,"N/A")))</f>
        <v>0.15</v>
      </c>
      <c r="AB109" s="292">
        <f>IF(Case_Scenario="Bull",AB110,IF(Case_Scenario="Base",AB111,IF(Case_Scenario="bear",AB112,"N/A")))</f>
        <v>0.15</v>
      </c>
      <c r="AC109" s="292">
        <f>IF(Case_Scenario="Bull",AC110,IF(Case_Scenario="Base",AC111,IF(Case_Scenario="bear",AC112,"N/A")))</f>
        <v>0.15</v>
      </c>
      <c r="AD109" s="291"/>
      <c r="AE109" s="291">
        <f>IF(Case_Scenario="Bull",AE110,IF(Case_Scenario="Base",AE111,IF(Case_Scenario="bear",AE112,"N/A")))</f>
        <v>0.15</v>
      </c>
      <c r="AF109" s="291">
        <f>IF(Case_Scenario="Bull",AF110,IF(Case_Scenario="Base",AF111,IF(Case_Scenario="bear",AF112,"N/A")))</f>
        <v>0.15</v>
      </c>
      <c r="AG109" s="291">
        <f>IF(Case_Scenario="Bull",AG110,IF(Case_Scenario="Base",AG111,IF(Case_Scenario="bear",AG112,"N/A")))</f>
        <v>0.15</v>
      </c>
      <c r="AH109" s="9"/>
      <c r="AI109" s="9"/>
    </row>
    <row r="110" spans="1:35" ht="12.75" customHeight="1">
      <c r="A110" s="9"/>
      <c r="B110" s="9"/>
      <c r="C110" s="103" t="s">
        <v>245</v>
      </c>
      <c r="D110" s="9"/>
      <c r="E110" s="9"/>
      <c r="F110" s="290"/>
      <c r="G110" s="290"/>
      <c r="H110" s="290"/>
      <c r="I110" s="290"/>
      <c r="J110" s="291"/>
      <c r="K110" s="290"/>
      <c r="L110" s="290"/>
      <c r="M110" s="290"/>
      <c r="N110" s="290"/>
      <c r="O110" s="291"/>
      <c r="P110" s="290"/>
      <c r="Q110" s="290"/>
      <c r="R110" s="290"/>
      <c r="S110" s="290"/>
      <c r="T110" s="291"/>
      <c r="U110" s="290"/>
      <c r="V110" s="233">
        <f>V111+0.05</f>
        <v>0.2</v>
      </c>
      <c r="W110" s="233">
        <f t="shared" ref="W110:Z110" si="46">W111+0.05</f>
        <v>0.2</v>
      </c>
      <c r="X110" s="233">
        <f t="shared" si="46"/>
        <v>0.2</v>
      </c>
      <c r="Y110" s="291"/>
      <c r="Z110" s="233">
        <f t="shared" si="46"/>
        <v>0.2</v>
      </c>
      <c r="AA110" s="233">
        <f t="shared" ref="AA110" si="47">AA111+0.05</f>
        <v>0.2</v>
      </c>
      <c r="AB110" s="233">
        <f t="shared" ref="AB110" si="48">AB111+0.05</f>
        <v>0.2</v>
      </c>
      <c r="AC110" s="233">
        <f t="shared" ref="AC110:AE110" si="49">AC111+0.05</f>
        <v>0.2</v>
      </c>
      <c r="AD110" s="291"/>
      <c r="AE110" s="870">
        <f t="shared" si="49"/>
        <v>0.2</v>
      </c>
      <c r="AF110" s="870">
        <f t="shared" ref="AF110" si="50">AF111+0.05</f>
        <v>0.2</v>
      </c>
      <c r="AG110" s="870">
        <f t="shared" ref="AG110" si="51">AG111+0.05</f>
        <v>0.2</v>
      </c>
      <c r="AH110" s="9"/>
      <c r="AI110" s="9"/>
    </row>
    <row r="111" spans="1:35" ht="12.75" customHeight="1">
      <c r="A111" s="9"/>
      <c r="B111" s="9"/>
      <c r="C111" s="103" t="s">
        <v>246</v>
      </c>
      <c r="D111" s="9"/>
      <c r="E111" s="9"/>
      <c r="F111" s="290"/>
      <c r="G111" s="290"/>
      <c r="H111" s="290"/>
      <c r="I111" s="290"/>
      <c r="J111" s="291"/>
      <c r="K111" s="290"/>
      <c r="L111" s="290"/>
      <c r="M111" s="290"/>
      <c r="N111" s="290"/>
      <c r="O111" s="291"/>
      <c r="P111" s="290"/>
      <c r="Q111" s="290"/>
      <c r="R111" s="290"/>
      <c r="S111" s="290"/>
      <c r="T111" s="291"/>
      <c r="U111" s="290"/>
      <c r="V111" s="233">
        <v>0.15</v>
      </c>
      <c r="W111" s="233">
        <v>0.15</v>
      </c>
      <c r="X111" s="233">
        <v>0.15</v>
      </c>
      <c r="Y111" s="291"/>
      <c r="Z111" s="233">
        <v>0.15</v>
      </c>
      <c r="AA111" s="233">
        <v>0.15</v>
      </c>
      <c r="AB111" s="233">
        <v>0.15</v>
      </c>
      <c r="AC111" s="233">
        <v>0.15</v>
      </c>
      <c r="AD111" s="291"/>
      <c r="AE111" s="234">
        <v>0.15</v>
      </c>
      <c r="AF111" s="234">
        <v>0.15</v>
      </c>
      <c r="AG111" s="234">
        <v>0.15</v>
      </c>
      <c r="AH111" s="9"/>
      <c r="AI111" s="9"/>
    </row>
    <row r="112" spans="1:35" ht="12.75" customHeight="1">
      <c r="A112" s="9"/>
      <c r="B112" s="9"/>
      <c r="C112" s="103" t="s">
        <v>247</v>
      </c>
      <c r="D112" s="9"/>
      <c r="E112" s="9"/>
      <c r="F112" s="290"/>
      <c r="G112" s="290"/>
      <c r="H112" s="290"/>
      <c r="I112" s="290"/>
      <c r="J112" s="291"/>
      <c r="K112" s="290"/>
      <c r="L112" s="290"/>
      <c r="M112" s="290"/>
      <c r="N112" s="290"/>
      <c r="O112" s="291"/>
      <c r="P112" s="290"/>
      <c r="Q112" s="290"/>
      <c r="R112" s="290"/>
      <c r="S112" s="290"/>
      <c r="T112" s="291"/>
      <c r="U112" s="290"/>
      <c r="V112" s="233">
        <f>V111-0.15</f>
        <v>0</v>
      </c>
      <c r="W112" s="233">
        <f t="shared" ref="W112:X112" si="52">W111-0.15</f>
        <v>0</v>
      </c>
      <c r="X112" s="233">
        <f t="shared" si="52"/>
        <v>0</v>
      </c>
      <c r="Y112" s="291"/>
      <c r="Z112" s="233">
        <f>Z111-0.12</f>
        <v>0.03</v>
      </c>
      <c r="AA112" s="233">
        <f>AA111-0.12</f>
        <v>0.03</v>
      </c>
      <c r="AB112" s="233">
        <f>AB111-0.15</f>
        <v>0</v>
      </c>
      <c r="AC112" s="233">
        <f>AC111-0.15</f>
        <v>0</v>
      </c>
      <c r="AD112" s="291"/>
      <c r="AE112" s="870">
        <f>AE111-0.125</f>
        <v>2.4999999999999994E-2</v>
      </c>
      <c r="AF112" s="870">
        <f t="shared" ref="AF112:AG112" si="53">AF111-0.125</f>
        <v>2.4999999999999994E-2</v>
      </c>
      <c r="AG112" s="870">
        <f t="shared" si="53"/>
        <v>2.4999999999999994E-2</v>
      </c>
      <c r="AH112" s="9"/>
      <c r="AI112" s="9"/>
    </row>
    <row r="113" spans="1:35" ht="12.75" customHeight="1">
      <c r="A113" s="9"/>
      <c r="B113" s="9"/>
      <c r="C113" s="9"/>
      <c r="D113" s="9"/>
      <c r="E113" s="9"/>
      <c r="F113" s="290"/>
      <c r="G113" s="290"/>
      <c r="H113" s="290"/>
      <c r="I113" s="290"/>
      <c r="J113" s="291"/>
      <c r="K113" s="290"/>
      <c r="L113" s="290"/>
      <c r="M113" s="290"/>
      <c r="N113" s="290"/>
      <c r="O113" s="291"/>
      <c r="P113" s="290"/>
      <c r="Q113" s="290"/>
      <c r="R113" s="290"/>
      <c r="S113" s="290"/>
      <c r="T113" s="291"/>
      <c r="U113" s="290"/>
      <c r="V113" s="233"/>
      <c r="W113" s="233"/>
      <c r="X113" s="233"/>
      <c r="Y113" s="291"/>
      <c r="Z113" s="233"/>
      <c r="AA113" s="233"/>
      <c r="AB113" s="233"/>
      <c r="AC113" s="233"/>
      <c r="AD113" s="291"/>
      <c r="AE113" s="234"/>
      <c r="AF113" s="234"/>
      <c r="AG113" s="234"/>
      <c r="AH113" s="9"/>
      <c r="AI113" s="9"/>
    </row>
    <row r="114" spans="1:35" ht="12.75" customHeight="1">
      <c r="A114" s="9"/>
      <c r="B114" s="9"/>
      <c r="C114" s="9" t="s">
        <v>860</v>
      </c>
      <c r="D114" s="9"/>
      <c r="E114" s="9"/>
      <c r="F114" s="825">
        <f>Model!F154/Model!F28</f>
        <v>2.9405205558302394</v>
      </c>
      <c r="G114" s="825">
        <f>Model!G154/Model!G28</f>
        <v>2.6743946486549919</v>
      </c>
      <c r="H114" s="825">
        <f>Model!H154/Model!H28</f>
        <v>1.0647103262665849</v>
      </c>
      <c r="I114" s="825">
        <f>Model!I154/Model!I28</f>
        <v>1.407490158527503</v>
      </c>
      <c r="J114" s="291">
        <f>Model!J154/Model!J28</f>
        <v>0.3002309206756274</v>
      </c>
      <c r="K114" s="825">
        <f>Model!K154/Model!K28</f>
        <v>1.6549661300255123</v>
      </c>
      <c r="L114" s="825">
        <f>Model!L154/Model!L28</f>
        <v>2.5146442195529493</v>
      </c>
      <c r="M114" s="825">
        <f>Model!M154/Model!M28</f>
        <v>1.2466390982245497</v>
      </c>
      <c r="N114" s="825">
        <f>Model!N154/Model!N28</f>
        <v>0.85362126057793009</v>
      </c>
      <c r="O114" s="291">
        <f>Model!O154/Model!O28</f>
        <v>0.27228884772191347</v>
      </c>
      <c r="P114" s="825">
        <f>Model!P154/Model!P28</f>
        <v>0.8664979083113491</v>
      </c>
      <c r="Q114" s="825">
        <f>Model!Q154/Model!Q28</f>
        <v>1.3022886819245463</v>
      </c>
      <c r="R114" s="825">
        <f>Model!R154/Model!R28</f>
        <v>1.2645116812570947</v>
      </c>
      <c r="S114" s="825">
        <f>Model!S154/Model!S28</f>
        <v>1.043647366054967</v>
      </c>
      <c r="T114" s="291">
        <f>Model!T154/Model!T28</f>
        <v>0.28979583821904054</v>
      </c>
      <c r="U114" s="825">
        <f>Model!U154/Model!U28</f>
        <v>1.3426215346844133</v>
      </c>
      <c r="V114" s="292">
        <f>IF(Case_Scenario="Bull",V115,IF(Case_Scenario="Base",V116,IF(Case_Scenario="bear",V117,"N/A")))</f>
        <v>1.1000000000000001</v>
      </c>
      <c r="W114" s="292">
        <f>IF(Case_Scenario="Bull",W115,IF(Case_Scenario="Base",W116,IF(Case_Scenario="bear",W117,"N/A")))</f>
        <v>1.1000000000000001</v>
      </c>
      <c r="X114" s="292">
        <f>IF(Case_Scenario="Bull",X115,IF(Case_Scenario="Base",X116,IF(Case_Scenario="bear",X117,"N/A")))</f>
        <v>1.1000000000000001</v>
      </c>
      <c r="Y114" s="291">
        <f>Model!Y154/Model!Y28</f>
        <v>0.30356996519424867</v>
      </c>
      <c r="Z114" s="292">
        <f>IF(Case_Scenario="Bull",Z115,IF(Case_Scenario="Base",Z116,IF(Case_Scenario="bear",Z117,"N/A")))</f>
        <v>1.1000000000000001</v>
      </c>
      <c r="AA114" s="292">
        <f>IF(Case_Scenario="Bull",AA115,IF(Case_Scenario="Base",AA116,IF(Case_Scenario="bear",AA117,"N/A")))</f>
        <v>1.1000000000000001</v>
      </c>
      <c r="AB114" s="292">
        <f>IF(Case_Scenario="Bull",AB115,IF(Case_Scenario="Base",AB116,IF(Case_Scenario="bear",AB117,"N/A")))</f>
        <v>1.05</v>
      </c>
      <c r="AC114" s="292">
        <f>IF(Case_Scenario="Bull",AC115,IF(Case_Scenario="Base",AC116,IF(Case_Scenario="bear",AC117,"N/A")))</f>
        <v>1.05</v>
      </c>
      <c r="AD114" s="291">
        <f>Model!AD154/Model!AD28</f>
        <v>0.28153871124322966</v>
      </c>
      <c r="AE114" s="291">
        <f>IF(Case_Scenario="Bull",AE115,IF(Case_Scenario="Base",AE116,IF(Case_Scenario="bear",AE117,"N/A")))</f>
        <v>0.28000000000000003</v>
      </c>
      <c r="AF114" s="291">
        <f>IF(Case_Scenario="Bull",AF115,IF(Case_Scenario="Base",AF116,IF(Case_Scenario="bear",AF117,"N/A")))</f>
        <v>0.28999999999999998</v>
      </c>
      <c r="AG114" s="291">
        <f>IF(Case_Scenario="Bull",AG115,IF(Case_Scenario="Base",AG116,IF(Case_Scenario="bear",AG117,"N/A")))</f>
        <v>0.28999999999999998</v>
      </c>
      <c r="AH114" s="826"/>
      <c r="AI114" s="9"/>
    </row>
    <row r="115" spans="1:35" ht="12.75" customHeight="1">
      <c r="A115" s="9"/>
      <c r="B115" s="9"/>
      <c r="C115" s="103" t="s">
        <v>245</v>
      </c>
      <c r="D115" s="9"/>
      <c r="E115" s="9"/>
      <c r="F115" s="823"/>
      <c r="G115" s="823"/>
      <c r="H115" s="823"/>
      <c r="I115" s="823"/>
      <c r="J115" s="239"/>
      <c r="K115" s="823"/>
      <c r="L115" s="823"/>
      <c r="M115" s="823"/>
      <c r="N115" s="823"/>
      <c r="O115" s="239"/>
      <c r="P115" s="823"/>
      <c r="Q115" s="823"/>
      <c r="R115" s="823"/>
      <c r="S115" s="823"/>
      <c r="T115" s="239"/>
      <c r="U115" s="823"/>
      <c r="V115" s="233">
        <f>V116-0.05</f>
        <v>1.05</v>
      </c>
      <c r="W115" s="233">
        <f t="shared" ref="W115:X115" si="54">W116-0.05</f>
        <v>1.05</v>
      </c>
      <c r="X115" s="233">
        <f t="shared" si="54"/>
        <v>1.05</v>
      </c>
      <c r="Y115" s="291"/>
      <c r="Z115" s="233">
        <f>Z116-0.01</f>
        <v>1.0900000000000001</v>
      </c>
      <c r="AA115" s="233">
        <f t="shared" ref="AA115:AC115" si="55">AA116-0.01</f>
        <v>1.0900000000000001</v>
      </c>
      <c r="AB115" s="233">
        <f t="shared" si="55"/>
        <v>1.04</v>
      </c>
      <c r="AC115" s="233">
        <f t="shared" si="55"/>
        <v>1.04</v>
      </c>
      <c r="AD115" s="291"/>
      <c r="AE115" s="234">
        <f>AE116-0.015</f>
        <v>0.26500000000000001</v>
      </c>
      <c r="AF115" s="234">
        <f t="shared" ref="AF115:AG115" si="56">AF116-0.015</f>
        <v>0.27499999999999997</v>
      </c>
      <c r="AG115" s="234">
        <f t="shared" si="56"/>
        <v>0.27499999999999997</v>
      </c>
      <c r="AH115" s="9"/>
      <c r="AI115" s="9"/>
    </row>
    <row r="116" spans="1:35" ht="12.75" customHeight="1">
      <c r="A116" s="9"/>
      <c r="B116" s="9"/>
      <c r="C116" s="103" t="s">
        <v>246</v>
      </c>
      <c r="D116" s="9"/>
      <c r="E116" s="9"/>
      <c r="F116" s="823"/>
      <c r="G116" s="823"/>
      <c r="H116" s="823"/>
      <c r="I116" s="823"/>
      <c r="J116" s="239"/>
      <c r="K116" s="823"/>
      <c r="L116" s="823"/>
      <c r="M116" s="823"/>
      <c r="N116" s="823"/>
      <c r="O116" s="239"/>
      <c r="P116" s="823"/>
      <c r="Q116" s="823"/>
      <c r="R116" s="823"/>
      <c r="S116" s="823"/>
      <c r="T116" s="239"/>
      <c r="U116" s="823"/>
      <c r="V116" s="827">
        <v>1.1000000000000001</v>
      </c>
      <c r="W116" s="827">
        <v>1.1000000000000001</v>
      </c>
      <c r="X116" s="827">
        <v>1.1000000000000001</v>
      </c>
      <c r="Y116" s="291"/>
      <c r="Z116" s="233">
        <v>1.1000000000000001</v>
      </c>
      <c r="AA116" s="233">
        <v>1.1000000000000001</v>
      </c>
      <c r="AB116" s="233">
        <v>1.05</v>
      </c>
      <c r="AC116" s="233">
        <v>1.05</v>
      </c>
      <c r="AD116" s="291"/>
      <c r="AE116" s="234">
        <v>0.28000000000000003</v>
      </c>
      <c r="AF116" s="234">
        <v>0.28999999999999998</v>
      </c>
      <c r="AG116" s="234">
        <v>0.28999999999999998</v>
      </c>
      <c r="AH116" s="9"/>
      <c r="AI116" s="9"/>
    </row>
    <row r="117" spans="1:35" ht="12.75" customHeight="1">
      <c r="A117" s="9"/>
      <c r="B117" s="9"/>
      <c r="C117" s="103" t="s">
        <v>247</v>
      </c>
      <c r="D117" s="9"/>
      <c r="E117" s="9"/>
      <c r="F117" s="823"/>
      <c r="G117" s="823"/>
      <c r="H117" s="823"/>
      <c r="I117" s="823"/>
      <c r="J117" s="239"/>
      <c r="K117" s="823"/>
      <c r="L117" s="823"/>
      <c r="M117" s="823"/>
      <c r="N117" s="823"/>
      <c r="O117" s="239"/>
      <c r="P117" s="823"/>
      <c r="Q117" s="823"/>
      <c r="R117" s="823"/>
      <c r="S117" s="823"/>
      <c r="T117" s="239"/>
      <c r="U117" s="823"/>
      <c r="V117" s="233">
        <f>V116+0.1</f>
        <v>1.2000000000000002</v>
      </c>
      <c r="W117" s="233">
        <f t="shared" ref="W117:Z117" si="57">W116+0.1</f>
        <v>1.2000000000000002</v>
      </c>
      <c r="X117" s="233">
        <f t="shared" si="57"/>
        <v>1.2000000000000002</v>
      </c>
      <c r="Y117" s="291"/>
      <c r="Z117" s="233">
        <f t="shared" si="57"/>
        <v>1.2000000000000002</v>
      </c>
      <c r="AA117" s="233">
        <f t="shared" ref="AA117" si="58">AA116+0.1</f>
        <v>1.2000000000000002</v>
      </c>
      <c r="AB117" s="233">
        <f t="shared" ref="AB117" si="59">AB116+0.1</f>
        <v>1.1500000000000001</v>
      </c>
      <c r="AC117" s="233">
        <f t="shared" ref="AC117" si="60">AC116+0.1</f>
        <v>1.1500000000000001</v>
      </c>
      <c r="AD117" s="291"/>
      <c r="AE117" s="234">
        <f>AE116+0.03</f>
        <v>0.31000000000000005</v>
      </c>
      <c r="AF117" s="234">
        <f t="shared" ref="AF117:AG117" si="61">AF116+0.03</f>
        <v>0.31999999999999995</v>
      </c>
      <c r="AG117" s="234">
        <f t="shared" si="61"/>
        <v>0.31999999999999995</v>
      </c>
      <c r="AH117" s="9"/>
      <c r="AI117" s="9"/>
    </row>
    <row r="118" spans="1:35" ht="12.75" customHeight="1">
      <c r="A118" s="180" t="s">
        <v>0</v>
      </c>
      <c r="B118" s="9"/>
      <c r="C118" s="9"/>
      <c r="D118" s="9"/>
      <c r="E118" s="9"/>
      <c r="F118" s="290"/>
      <c r="G118" s="290"/>
      <c r="H118" s="290"/>
      <c r="I118" s="290"/>
      <c r="J118" s="291"/>
      <c r="K118" s="290"/>
      <c r="L118" s="290"/>
      <c r="M118" s="290"/>
      <c r="N118" s="290"/>
      <c r="O118" s="291"/>
      <c r="P118" s="290"/>
      <c r="Q118" s="290"/>
      <c r="R118" s="290"/>
      <c r="S118" s="290"/>
      <c r="T118" s="291"/>
      <c r="U118" s="290"/>
      <c r="V118" s="233"/>
      <c r="W118" s="233"/>
      <c r="X118" s="233"/>
      <c r="Y118" s="291"/>
      <c r="Z118" s="233"/>
      <c r="AA118" s="233"/>
      <c r="AB118" s="233"/>
      <c r="AC118" s="233"/>
      <c r="AD118" s="291"/>
      <c r="AE118" s="234"/>
      <c r="AF118" s="234"/>
      <c r="AG118" s="234"/>
      <c r="AH118" s="180" t="s">
        <v>0</v>
      </c>
      <c r="AI118" s="180"/>
    </row>
    <row r="119" spans="1:35" ht="12.75" customHeight="1">
      <c r="A119" s="9"/>
      <c r="B119" s="9"/>
      <c r="C119" s="9" t="str">
        <f>Model!C100</f>
        <v>Effect of FX Rate Changes on Cash</v>
      </c>
      <c r="D119" s="9"/>
      <c r="E119" s="9"/>
      <c r="F119" s="238">
        <f>Model!F100</f>
        <v>0</v>
      </c>
      <c r="G119" s="238">
        <f>Model!G100</f>
        <v>0</v>
      </c>
      <c r="H119" s="238">
        <f>Model!H100</f>
        <v>0</v>
      </c>
      <c r="I119" s="238">
        <f>Model!I100</f>
        <v>0</v>
      </c>
      <c r="J119" s="239">
        <f>Model!J100</f>
        <v>0</v>
      </c>
      <c r="K119" s="238">
        <f>Model!K100</f>
        <v>0</v>
      </c>
      <c r="L119" s="238">
        <f>Model!L100</f>
        <v>0</v>
      </c>
      <c r="M119" s="238">
        <f>Model!M100</f>
        <v>0</v>
      </c>
      <c r="N119" s="238">
        <f>Model!N100</f>
        <v>0</v>
      </c>
      <c r="O119" s="239">
        <f>Model!O100</f>
        <v>0</v>
      </c>
      <c r="P119" s="238">
        <f>Model!P100</f>
        <v>0</v>
      </c>
      <c r="Q119" s="238">
        <f>Model!Q100</f>
        <v>0</v>
      </c>
      <c r="R119" s="238">
        <f>Model!R100</f>
        <v>0</v>
      </c>
      <c r="S119" s="238">
        <f>Model!S100</f>
        <v>0</v>
      </c>
      <c r="T119" s="239">
        <f>Model!T100</f>
        <v>0</v>
      </c>
      <c r="U119" s="238">
        <f>Model!U100</f>
        <v>0</v>
      </c>
      <c r="V119" s="419">
        <v>0</v>
      </c>
      <c r="W119" s="419">
        <v>0</v>
      </c>
      <c r="X119" s="419">
        <v>0</v>
      </c>
      <c r="Y119" s="239">
        <f>Model!Y100</f>
        <v>0</v>
      </c>
      <c r="Z119" s="419">
        <v>0</v>
      </c>
      <c r="AA119" s="419">
        <v>0</v>
      </c>
      <c r="AB119" s="419">
        <v>0</v>
      </c>
      <c r="AC119" s="419">
        <v>0</v>
      </c>
      <c r="AD119" s="239">
        <f>Model!AD100</f>
        <v>0</v>
      </c>
      <c r="AE119" s="420">
        <v>0</v>
      </c>
      <c r="AF119" s="420">
        <v>0</v>
      </c>
      <c r="AG119" s="420">
        <v>0</v>
      </c>
      <c r="AH119" s="9"/>
      <c r="AI119" s="9"/>
    </row>
    <row r="120" spans="1:35" ht="12.75" customHeight="1">
      <c r="A120" s="9"/>
      <c r="B120" s="9"/>
      <c r="C120" s="9"/>
      <c r="D120" s="9"/>
      <c r="E120" s="9"/>
      <c r="F120" s="290"/>
      <c r="G120" s="290"/>
      <c r="H120" s="290"/>
      <c r="I120" s="290"/>
      <c r="J120" s="291"/>
      <c r="K120" s="290"/>
      <c r="L120" s="290"/>
      <c r="M120" s="290"/>
      <c r="N120" s="290"/>
      <c r="O120" s="291"/>
      <c r="P120" s="290"/>
      <c r="Q120" s="290"/>
      <c r="R120" s="290"/>
      <c r="S120" s="290"/>
      <c r="T120" s="291"/>
      <c r="U120" s="290"/>
      <c r="V120" s="233"/>
      <c r="W120" s="233"/>
      <c r="X120" s="233"/>
      <c r="Y120" s="291"/>
      <c r="Z120" s="233"/>
      <c r="AA120" s="233"/>
      <c r="AB120" s="233"/>
      <c r="AC120" s="233"/>
      <c r="AD120" s="291"/>
      <c r="AE120" s="234"/>
      <c r="AF120" s="234"/>
      <c r="AG120" s="234"/>
      <c r="AH120" s="9"/>
      <c r="AI120" s="9"/>
    </row>
    <row r="121" spans="1:35" ht="12.75" customHeight="1">
      <c r="A121" s="9"/>
      <c r="B121" s="9"/>
      <c r="C121" s="263" t="s">
        <v>458</v>
      </c>
      <c r="D121" s="286"/>
      <c r="E121" s="286"/>
      <c r="F121" s="264" t="str">
        <f>Model!F$25</f>
        <v>1Q23</v>
      </c>
      <c r="G121" s="138" t="str">
        <f>Model!G$25</f>
        <v>2Q23</v>
      </c>
      <c r="H121" s="138" t="str">
        <f>Model!H$25</f>
        <v>3Q23</v>
      </c>
      <c r="I121" s="138" t="str">
        <f>Model!I$25</f>
        <v>4Q23</v>
      </c>
      <c r="J121" s="138">
        <f>Model!J$25</f>
        <v>2023</v>
      </c>
      <c r="K121" s="138" t="str">
        <f>Model!K$25</f>
        <v>1Q24</v>
      </c>
      <c r="L121" s="138" t="str">
        <f>Model!L$25</f>
        <v>2Q24</v>
      </c>
      <c r="M121" s="138" t="str">
        <f>Model!M$25</f>
        <v>3Q24</v>
      </c>
      <c r="N121" s="138" t="str">
        <f>Model!N$25</f>
        <v>4Q24</v>
      </c>
      <c r="O121" s="138">
        <f>Model!O$25</f>
        <v>2024</v>
      </c>
      <c r="P121" s="138" t="str">
        <f>Model!P$25</f>
        <v>1Q25</v>
      </c>
      <c r="Q121" s="138" t="str">
        <f>Model!Q$25</f>
        <v>2Q25</v>
      </c>
      <c r="R121" s="138" t="str">
        <f>Model!R$25</f>
        <v>3Q25</v>
      </c>
      <c r="S121" s="138" t="str">
        <f>Model!S$25</f>
        <v>4Q25</v>
      </c>
      <c r="T121" s="138">
        <f>Model!T$25</f>
        <v>2025</v>
      </c>
      <c r="U121" s="138" t="str">
        <f>Model!U$25</f>
        <v>1Q26</v>
      </c>
      <c r="V121" s="138" t="str">
        <f>Model!V$25</f>
        <v>2Q26e</v>
      </c>
      <c r="W121" s="138" t="str">
        <f>Model!W$25</f>
        <v>3Q26e</v>
      </c>
      <c r="X121" s="138" t="str">
        <f>Model!X$25</f>
        <v>4Q26e</v>
      </c>
      <c r="Y121" s="138" t="str">
        <f>Model!Y$25</f>
        <v>2026e</v>
      </c>
      <c r="Z121" s="138" t="str">
        <f>Model!Z$25</f>
        <v>1Q27e</v>
      </c>
      <c r="AA121" s="138" t="str">
        <f>Model!AA$25</f>
        <v>2Q27e</v>
      </c>
      <c r="AB121" s="138" t="str">
        <f>Model!AB$25</f>
        <v>3Q27e</v>
      </c>
      <c r="AC121" s="138" t="str">
        <f>Model!AC$25</f>
        <v>4Q27e</v>
      </c>
      <c r="AD121" s="138" t="str">
        <f>Model!AD$25</f>
        <v>2027e</v>
      </c>
      <c r="AE121" s="138" t="str">
        <f>Model!AE$25</f>
        <v>2028e</v>
      </c>
      <c r="AF121" s="138" t="str">
        <f>Model!AF$25</f>
        <v>2029e</v>
      </c>
      <c r="AG121" s="265" t="str">
        <f>Model!AG$25</f>
        <v>2030e</v>
      </c>
      <c r="AH121" s="9"/>
      <c r="AI121" s="9"/>
    </row>
    <row r="122" spans="1:35" ht="12.75" customHeight="1">
      <c r="A122" s="9"/>
      <c r="B122" s="9"/>
      <c r="C122" s="409" t="s">
        <v>459</v>
      </c>
      <c r="D122" s="410"/>
      <c r="E122" s="410"/>
      <c r="F122" s="421"/>
      <c r="G122" s="422"/>
      <c r="H122" s="422"/>
      <c r="I122" s="422"/>
      <c r="J122" s="422"/>
      <c r="K122" s="422"/>
      <c r="L122" s="422"/>
      <c r="M122" s="422"/>
      <c r="N122" s="422"/>
      <c r="O122" s="422"/>
      <c r="P122" s="422"/>
      <c r="Q122" s="422"/>
      <c r="R122" s="422"/>
      <c r="S122" s="422"/>
      <c r="T122" s="422"/>
      <c r="U122" s="422"/>
      <c r="V122" s="422"/>
      <c r="W122" s="422"/>
      <c r="X122" s="422"/>
      <c r="Y122" s="422"/>
      <c r="Z122" s="422"/>
      <c r="AA122" s="422"/>
      <c r="AB122" s="422"/>
      <c r="AC122" s="422"/>
      <c r="AD122" s="422"/>
      <c r="AE122" s="422"/>
      <c r="AF122" s="422"/>
      <c r="AG122" s="423"/>
      <c r="AH122" s="9"/>
      <c r="AI122" s="9"/>
    </row>
    <row r="123" spans="1:35" ht="12.75" customHeight="1">
      <c r="A123" s="9"/>
      <c r="B123" s="9"/>
      <c r="C123" s="9"/>
      <c r="D123" s="9"/>
      <c r="E123" s="9"/>
      <c r="F123" s="290"/>
      <c r="G123" s="290"/>
      <c r="H123" s="290"/>
      <c r="I123" s="290"/>
      <c r="J123" s="291"/>
      <c r="K123" s="290"/>
      <c r="L123" s="290"/>
      <c r="M123" s="290"/>
      <c r="N123" s="290"/>
      <c r="O123" s="291"/>
      <c r="P123" s="290"/>
      <c r="Q123" s="290"/>
      <c r="R123" s="290"/>
      <c r="S123" s="290"/>
      <c r="T123" s="291"/>
      <c r="U123" s="290"/>
      <c r="V123" s="292"/>
      <c r="W123" s="292"/>
      <c r="X123" s="292"/>
      <c r="Y123" s="291"/>
      <c r="Z123" s="292"/>
      <c r="AA123" s="292"/>
      <c r="AB123" s="292"/>
      <c r="AC123" s="292"/>
      <c r="AD123" s="291"/>
      <c r="AE123" s="132"/>
      <c r="AF123" s="132"/>
      <c r="AG123" s="132"/>
      <c r="AH123" s="9"/>
      <c r="AI123" s="9"/>
    </row>
    <row r="124" spans="1:35" ht="12.75" customHeight="1">
      <c r="A124" s="9"/>
      <c r="B124" s="9"/>
      <c r="C124" s="9" t="str">
        <f>Model!C183</f>
        <v>Days Sales Outstanding</v>
      </c>
      <c r="D124" s="9"/>
      <c r="E124" s="9"/>
      <c r="F124" s="290"/>
      <c r="G124" s="238">
        <f>Model!G183</f>
        <v>27.433134266080767</v>
      </c>
      <c r="H124" s="238">
        <f>Model!H183</f>
        <v>36.043722555361448</v>
      </c>
      <c r="I124" s="238">
        <f>Model!I183</f>
        <v>40.463914600844063</v>
      </c>
      <c r="J124" s="239">
        <f>Model!J183</f>
        <v>33.172044413932397</v>
      </c>
      <c r="K124" s="238">
        <f>Model!K183</f>
        <v>40.669401857050318</v>
      </c>
      <c r="L124" s="238">
        <f>Model!L183</f>
        <v>45.782590876131032</v>
      </c>
      <c r="M124" s="238">
        <f>Model!M183</f>
        <v>47.574291097202703</v>
      </c>
      <c r="N124" s="238">
        <f>Model!N183</f>
        <v>45.837783375314864</v>
      </c>
      <c r="O124" s="239">
        <f>Model!O183</f>
        <v>51.217057391819324</v>
      </c>
      <c r="P124" s="238">
        <f>Model!P183</f>
        <v>57.045153026213455</v>
      </c>
      <c r="Q124" s="238">
        <f>Model!Q183</f>
        <v>71.771571810478733</v>
      </c>
      <c r="R124" s="238">
        <f>Model!R183</f>
        <v>63.187702438473572</v>
      </c>
      <c r="S124" s="238">
        <f>Model!S183</f>
        <v>73.664176428098784</v>
      </c>
      <c r="T124" s="239">
        <f>Model!T183</f>
        <v>74.156079409339043</v>
      </c>
      <c r="U124" s="238">
        <f>Model!U183</f>
        <v>86.817536002909776</v>
      </c>
      <c r="V124" s="240">
        <f>IF(Case_Scenario="Bull",V125,IF(Case_Scenario="Base",V126,IF(Case_Scenario="bear",V127,"N/A")))</f>
        <v>79</v>
      </c>
      <c r="W124" s="240">
        <f>IF(Case_Scenario="Bull",W125,IF(Case_Scenario="Base",W126,IF(Case_Scenario="bear",W127,"N/A")))</f>
        <v>79</v>
      </c>
      <c r="X124" s="240">
        <f>IF(Case_Scenario="Bull",X125,IF(Case_Scenario="Base",X126,IF(Case_Scenario="bear",X127,"N/A")))</f>
        <v>79</v>
      </c>
      <c r="Y124" s="239">
        <f>Model!Y183</f>
        <v>86.432473818167892</v>
      </c>
      <c r="Z124" s="240">
        <f>IF(Case_Scenario="Bull",Z125,IF(Case_Scenario="Base",Z126,IF(Case_Scenario="bear",Z127,"N/A")))</f>
        <v>86</v>
      </c>
      <c r="AA124" s="240">
        <f>IF(Case_Scenario="Bull",AA125,IF(Case_Scenario="Base",AA126,IF(Case_Scenario="bear",AA127,"N/A")))</f>
        <v>86</v>
      </c>
      <c r="AB124" s="240">
        <f>IF(Case_Scenario="Bull",AB125,IF(Case_Scenario="Base",AB126,IF(Case_Scenario="bear",AB127,"N/A")))</f>
        <v>86</v>
      </c>
      <c r="AC124" s="240">
        <f>IF(Case_Scenario="Bull",AC125,IF(Case_Scenario="Base",AC126,IF(Case_Scenario="bear",AC127,"N/A")))</f>
        <v>86</v>
      </c>
      <c r="AD124" s="239">
        <f>Model!AD183</f>
        <v>80.054628900311897</v>
      </c>
      <c r="AE124" s="239">
        <f>IF(Case_Scenario="Bull",AE125,IF(Case_Scenario="Base",AE126,IF(Case_Scenario="bear",AE127,"N/A")))</f>
        <v>78</v>
      </c>
      <c r="AF124" s="239">
        <f>IF(Case_Scenario="Bull",AF125,IF(Case_Scenario="Base",AF126,IF(Case_Scenario="bear",AF127,"N/A")))</f>
        <v>80</v>
      </c>
      <c r="AG124" s="239">
        <f>IF(Case_Scenario="Bull",AG125,IF(Case_Scenario="Base",AG126,IF(Case_Scenario="bear",AG127,"N/A")))</f>
        <v>80</v>
      </c>
      <c r="AH124" s="9"/>
      <c r="AI124" s="9"/>
    </row>
    <row r="125" spans="1:35" ht="12.75" customHeight="1">
      <c r="A125" s="9"/>
      <c r="B125" s="9"/>
      <c r="C125" s="103" t="s">
        <v>245</v>
      </c>
      <c r="D125" s="9"/>
      <c r="E125" s="9"/>
      <c r="F125" s="290"/>
      <c r="G125" s="290"/>
      <c r="H125" s="290"/>
      <c r="I125" s="290"/>
      <c r="J125" s="291"/>
      <c r="K125" s="290"/>
      <c r="L125" s="290"/>
      <c r="M125" s="290"/>
      <c r="N125" s="290"/>
      <c r="O125" s="291"/>
      <c r="P125" s="290"/>
      <c r="Q125" s="290"/>
      <c r="R125" s="290"/>
      <c r="S125" s="290"/>
      <c r="T125" s="291"/>
      <c r="U125" s="290"/>
      <c r="V125" s="425">
        <f>V126-3</f>
        <v>76</v>
      </c>
      <c r="W125" s="425">
        <f t="shared" ref="W125:X125" si="62">W126-3</f>
        <v>76</v>
      </c>
      <c r="X125" s="425">
        <f t="shared" si="62"/>
        <v>76</v>
      </c>
      <c r="Y125" s="291"/>
      <c r="Z125" s="425">
        <f>Z126-2</f>
        <v>84</v>
      </c>
      <c r="AA125" s="425">
        <f t="shared" ref="AA125:AC125" si="63">AA126-2</f>
        <v>84</v>
      </c>
      <c r="AB125" s="425">
        <f t="shared" si="63"/>
        <v>84</v>
      </c>
      <c r="AC125" s="425">
        <f t="shared" si="63"/>
        <v>84</v>
      </c>
      <c r="AD125" s="291"/>
      <c r="AE125" s="426">
        <f>AE126-2</f>
        <v>76</v>
      </c>
      <c r="AF125" s="426">
        <f t="shared" ref="AF125:AG125" si="64">AF126-2</f>
        <v>78</v>
      </c>
      <c r="AG125" s="426">
        <f t="shared" si="64"/>
        <v>78</v>
      </c>
      <c r="AH125" s="9"/>
      <c r="AI125" s="9"/>
    </row>
    <row r="126" spans="1:35" ht="12.75" customHeight="1">
      <c r="A126" s="9"/>
      <c r="B126" s="9"/>
      <c r="C126" s="103" t="s">
        <v>246</v>
      </c>
      <c r="D126" s="9"/>
      <c r="E126" s="9"/>
      <c r="F126" s="290"/>
      <c r="G126" s="290"/>
      <c r="H126" s="290"/>
      <c r="I126" s="290"/>
      <c r="J126" s="291"/>
      <c r="K126" s="290"/>
      <c r="L126" s="290"/>
      <c r="M126" s="290"/>
      <c r="N126" s="290"/>
      <c r="O126" s="291"/>
      <c r="P126" s="290"/>
      <c r="Q126" s="290"/>
      <c r="R126" s="290"/>
      <c r="S126" s="290"/>
      <c r="T126" s="291"/>
      <c r="U126" s="290"/>
      <c r="V126" s="425">
        <v>79</v>
      </c>
      <c r="W126" s="425">
        <v>79</v>
      </c>
      <c r="X126" s="425">
        <v>79</v>
      </c>
      <c r="Y126" s="291"/>
      <c r="Z126" s="425">
        <v>86</v>
      </c>
      <c r="AA126" s="425">
        <v>86</v>
      </c>
      <c r="AB126" s="425">
        <v>86</v>
      </c>
      <c r="AC126" s="425">
        <v>86</v>
      </c>
      <c r="AD126" s="291"/>
      <c r="AE126" s="426">
        <v>78</v>
      </c>
      <c r="AF126" s="426">
        <v>80</v>
      </c>
      <c r="AG126" s="426">
        <v>80</v>
      </c>
      <c r="AH126" s="9"/>
      <c r="AI126" s="9"/>
    </row>
    <row r="127" spans="1:35" ht="12.75" customHeight="1">
      <c r="A127" s="9"/>
      <c r="B127" s="9"/>
      <c r="C127" s="103" t="s">
        <v>247</v>
      </c>
      <c r="D127" s="9"/>
      <c r="E127" s="9"/>
      <c r="F127" s="290"/>
      <c r="G127" s="290"/>
      <c r="H127" s="290"/>
      <c r="I127" s="290"/>
      <c r="J127" s="291"/>
      <c r="K127" s="290"/>
      <c r="L127" s="290"/>
      <c r="M127" s="290"/>
      <c r="N127" s="290"/>
      <c r="O127" s="291"/>
      <c r="P127" s="290"/>
      <c r="Q127" s="290"/>
      <c r="R127" s="290"/>
      <c r="S127" s="290"/>
      <c r="T127" s="291"/>
      <c r="U127" s="290"/>
      <c r="V127" s="425">
        <f>V126+5</f>
        <v>84</v>
      </c>
      <c r="W127" s="425">
        <f t="shared" ref="W127:X127" si="65">W126+5</f>
        <v>84</v>
      </c>
      <c r="X127" s="425">
        <f t="shared" si="65"/>
        <v>84</v>
      </c>
      <c r="Y127" s="291"/>
      <c r="Z127" s="425">
        <f>Z126+2.5</f>
        <v>88.5</v>
      </c>
      <c r="AA127" s="425">
        <f t="shared" ref="AA127:AC127" si="66">AA126+2.5</f>
        <v>88.5</v>
      </c>
      <c r="AB127" s="425">
        <f t="shared" si="66"/>
        <v>88.5</v>
      </c>
      <c r="AC127" s="425">
        <f t="shared" si="66"/>
        <v>88.5</v>
      </c>
      <c r="AD127" s="291"/>
      <c r="AE127" s="426">
        <f>AE126+3</f>
        <v>81</v>
      </c>
      <c r="AF127" s="426">
        <f t="shared" ref="AF127:AG127" si="67">AF126+3</f>
        <v>83</v>
      </c>
      <c r="AG127" s="426">
        <f t="shared" si="67"/>
        <v>83</v>
      </c>
      <c r="AH127" s="9"/>
      <c r="AI127" s="9"/>
    </row>
    <row r="128" spans="1:35" ht="12.75" customHeight="1">
      <c r="A128" s="9"/>
      <c r="B128" s="9"/>
      <c r="C128" s="9"/>
      <c r="D128" s="9"/>
      <c r="E128" s="9"/>
      <c r="F128" s="290"/>
      <c r="G128" s="290"/>
      <c r="H128" s="290"/>
      <c r="I128" s="290"/>
      <c r="J128" s="291"/>
      <c r="K128" s="290"/>
      <c r="L128" s="290"/>
      <c r="M128" s="290"/>
      <c r="N128" s="290"/>
      <c r="O128" s="291"/>
      <c r="P128" s="290"/>
      <c r="Q128" s="290"/>
      <c r="R128" s="290"/>
      <c r="S128" s="290"/>
      <c r="T128" s="291"/>
      <c r="U128" s="290"/>
      <c r="V128" s="233"/>
      <c r="W128" s="233"/>
      <c r="X128" s="233"/>
      <c r="Y128" s="291"/>
      <c r="Z128" s="233"/>
      <c r="AA128" s="233"/>
      <c r="AB128" s="233"/>
      <c r="AC128" s="233"/>
      <c r="AD128" s="291"/>
      <c r="AE128" s="234"/>
      <c r="AF128" s="234"/>
      <c r="AG128" s="234"/>
      <c r="AH128" s="9"/>
      <c r="AI128" s="9"/>
    </row>
    <row r="129" spans="1:49" ht="12.75" customHeight="1">
      <c r="A129" s="9"/>
      <c r="B129" s="9"/>
      <c r="C129" s="9" t="str">
        <f>Model!C184</f>
        <v>Days Inventory Outstanding</v>
      </c>
      <c r="D129" s="9"/>
      <c r="E129" s="9"/>
      <c r="F129" s="290"/>
      <c r="G129" s="238">
        <f>Model!G184</f>
        <v>0</v>
      </c>
      <c r="H129" s="238">
        <f>Model!H184</f>
        <v>0</v>
      </c>
      <c r="I129" s="238">
        <f>Model!I184</f>
        <v>0</v>
      </c>
      <c r="J129" s="239">
        <f>Model!J184</f>
        <v>0</v>
      </c>
      <c r="K129" s="238">
        <f>Model!K184</f>
        <v>0</v>
      </c>
      <c r="L129" s="238">
        <f>Model!L184</f>
        <v>0</v>
      </c>
      <c r="M129" s="238">
        <f>Model!M184</f>
        <v>0</v>
      </c>
      <c r="N129" s="238">
        <f>Model!N184</f>
        <v>0</v>
      </c>
      <c r="O129" s="239">
        <f>Model!O184</f>
        <v>0</v>
      </c>
      <c r="P129" s="238">
        <f>Model!P184</f>
        <v>0</v>
      </c>
      <c r="Q129" s="238">
        <f>Model!Q184</f>
        <v>0</v>
      </c>
      <c r="R129" s="238">
        <f>Model!R184</f>
        <v>0</v>
      </c>
      <c r="S129" s="238">
        <f>Model!S184</f>
        <v>0</v>
      </c>
      <c r="T129" s="239">
        <f>Model!T184</f>
        <v>0</v>
      </c>
      <c r="U129" s="238">
        <f>Model!U184</f>
        <v>0</v>
      </c>
      <c r="V129" s="240">
        <f>IF(Case_Scenario="Bull",V130,IF(Case_Scenario="Base",V131,IF(Case_Scenario="bear",V132,"N/A")))</f>
        <v>0</v>
      </c>
      <c r="W129" s="240">
        <f>IF(Case_Scenario="Bull",W130,IF(Case_Scenario="Base",W131,IF(Case_Scenario="bear",W132,"N/A")))</f>
        <v>0</v>
      </c>
      <c r="X129" s="240">
        <f>IF(Case_Scenario="Bull",X130,IF(Case_Scenario="Base",X131,IF(Case_Scenario="bear",X132,"N/A")))</f>
        <v>0</v>
      </c>
      <c r="Y129" s="239">
        <f>Model!Y184</f>
        <v>0</v>
      </c>
      <c r="Z129" s="240">
        <f>IF(Case_Scenario="Bull",Z130,IF(Case_Scenario="Base",Z131,IF(Case_Scenario="bear",Z132,"N/A")))</f>
        <v>0</v>
      </c>
      <c r="AA129" s="240">
        <f>IF(Case_Scenario="Bull",AA130,IF(Case_Scenario="Base",AA131,IF(Case_Scenario="bear",AA132,"N/A")))</f>
        <v>0</v>
      </c>
      <c r="AB129" s="240">
        <f>IF(Case_Scenario="Bull",AB130,IF(Case_Scenario="Base",AB131,IF(Case_Scenario="bear",AB132,"N/A")))</f>
        <v>0</v>
      </c>
      <c r="AC129" s="240">
        <f>IF(Case_Scenario="Bull",AC130,IF(Case_Scenario="Base",AC131,IF(Case_Scenario="bear",AC132,"N/A")))</f>
        <v>0</v>
      </c>
      <c r="AD129" s="239">
        <f>Model!AD184</f>
        <v>0</v>
      </c>
      <c r="AE129" s="239">
        <f>IF(Case_Scenario="Bull",AE130,IF(Case_Scenario="Base",AE131,IF(Case_Scenario="bear",AE132,"N/A")))</f>
        <v>0</v>
      </c>
      <c r="AF129" s="239">
        <f>IF(Case_Scenario="Bull",AF130,IF(Case_Scenario="Base",AF131,IF(Case_Scenario="bear",AF132,"N/A")))</f>
        <v>0</v>
      </c>
      <c r="AG129" s="239">
        <f>IF(Case_Scenario="Bull",AG130,IF(Case_Scenario="Base",AG131,IF(Case_Scenario="bear",AG132,"N/A")))</f>
        <v>0</v>
      </c>
      <c r="AH129" s="9"/>
      <c r="AI129" s="9"/>
    </row>
    <row r="130" spans="1:49" ht="12.75" customHeight="1">
      <c r="A130" s="9"/>
      <c r="B130" s="9"/>
      <c r="C130" s="103" t="s">
        <v>245</v>
      </c>
      <c r="D130" s="9"/>
      <c r="E130" s="9"/>
      <c r="F130" s="290"/>
      <c r="G130" s="290"/>
      <c r="H130" s="290"/>
      <c r="I130" s="290"/>
      <c r="J130" s="291"/>
      <c r="K130" s="290"/>
      <c r="L130" s="290"/>
      <c r="M130" s="290"/>
      <c r="N130" s="290"/>
      <c r="O130" s="291"/>
      <c r="P130" s="290"/>
      <c r="Q130" s="290"/>
      <c r="R130" s="290"/>
      <c r="S130" s="290"/>
      <c r="T130" s="291"/>
      <c r="U130" s="290"/>
      <c r="V130" s="425">
        <v>0</v>
      </c>
      <c r="W130" s="425">
        <v>0</v>
      </c>
      <c r="X130" s="425">
        <v>0</v>
      </c>
      <c r="Y130" s="291"/>
      <c r="Z130" s="425">
        <v>0</v>
      </c>
      <c r="AA130" s="425">
        <v>0</v>
      </c>
      <c r="AB130" s="425">
        <v>0</v>
      </c>
      <c r="AC130" s="425">
        <v>0</v>
      </c>
      <c r="AD130" s="291"/>
      <c r="AE130" s="426">
        <v>0</v>
      </c>
      <c r="AF130" s="426">
        <v>0</v>
      </c>
      <c r="AG130" s="426">
        <v>0</v>
      </c>
      <c r="AH130" s="9"/>
      <c r="AI130" s="9"/>
    </row>
    <row r="131" spans="1:49" ht="12.75" customHeight="1">
      <c r="A131" s="9"/>
      <c r="B131" s="9"/>
      <c r="C131" s="103" t="s">
        <v>246</v>
      </c>
      <c r="D131" s="9"/>
      <c r="E131" s="9"/>
      <c r="F131" s="290"/>
      <c r="G131" s="290"/>
      <c r="H131" s="290"/>
      <c r="I131" s="290"/>
      <c r="J131" s="291"/>
      <c r="K131" s="290"/>
      <c r="L131" s="290"/>
      <c r="M131" s="290"/>
      <c r="N131" s="290"/>
      <c r="O131" s="291"/>
      <c r="P131" s="290"/>
      <c r="Q131" s="290"/>
      <c r="R131" s="290"/>
      <c r="S131" s="290"/>
      <c r="T131" s="291"/>
      <c r="U131" s="290"/>
      <c r="V131" s="425">
        <v>0</v>
      </c>
      <c r="W131" s="425">
        <v>0</v>
      </c>
      <c r="X131" s="425">
        <v>0</v>
      </c>
      <c r="Y131" s="291"/>
      <c r="Z131" s="425">
        <v>0</v>
      </c>
      <c r="AA131" s="425">
        <v>0</v>
      </c>
      <c r="AB131" s="425">
        <v>0</v>
      </c>
      <c r="AC131" s="425">
        <v>0</v>
      </c>
      <c r="AD131" s="291"/>
      <c r="AE131" s="426">
        <v>0</v>
      </c>
      <c r="AF131" s="426">
        <v>0</v>
      </c>
      <c r="AG131" s="426">
        <v>0</v>
      </c>
      <c r="AH131" s="9"/>
      <c r="AI131" s="9"/>
    </row>
    <row r="132" spans="1:49" ht="12.75" customHeight="1">
      <c r="A132" s="9"/>
      <c r="B132" s="9"/>
      <c r="C132" s="103" t="s">
        <v>247</v>
      </c>
      <c r="D132" s="9"/>
      <c r="E132" s="9"/>
      <c r="F132" s="290"/>
      <c r="G132" s="290"/>
      <c r="H132" s="290"/>
      <c r="I132" s="290"/>
      <c r="J132" s="291"/>
      <c r="K132" s="290"/>
      <c r="L132" s="290"/>
      <c r="M132" s="290"/>
      <c r="N132" s="290"/>
      <c r="O132" s="291"/>
      <c r="P132" s="290"/>
      <c r="Q132" s="290"/>
      <c r="R132" s="290"/>
      <c r="S132" s="290"/>
      <c r="T132" s="291"/>
      <c r="U132" s="290"/>
      <c r="V132" s="425">
        <v>0</v>
      </c>
      <c r="W132" s="425">
        <v>0</v>
      </c>
      <c r="X132" s="425">
        <v>0</v>
      </c>
      <c r="Y132" s="291"/>
      <c r="Z132" s="425">
        <v>0</v>
      </c>
      <c r="AA132" s="425">
        <v>0</v>
      </c>
      <c r="AB132" s="425">
        <v>0</v>
      </c>
      <c r="AC132" s="425">
        <v>0</v>
      </c>
      <c r="AD132" s="291"/>
      <c r="AE132" s="426">
        <v>0</v>
      </c>
      <c r="AF132" s="426">
        <v>0</v>
      </c>
      <c r="AG132" s="426">
        <v>0</v>
      </c>
      <c r="AH132" s="9"/>
      <c r="AI132" s="9"/>
    </row>
    <row r="133" spans="1:49" ht="12.75" customHeight="1">
      <c r="A133" s="9"/>
      <c r="B133" s="9"/>
      <c r="C133" s="9"/>
      <c r="D133" s="9"/>
      <c r="E133" s="9"/>
      <c r="F133" s="290"/>
      <c r="G133" s="290"/>
      <c r="H133" s="290"/>
      <c r="I133" s="290"/>
      <c r="J133" s="291"/>
      <c r="K133" s="290"/>
      <c r="L133" s="290"/>
      <c r="M133" s="290"/>
      <c r="N133" s="290"/>
      <c r="O133" s="291"/>
      <c r="P133" s="290"/>
      <c r="Q133" s="290"/>
      <c r="R133" s="290"/>
      <c r="S133" s="290"/>
      <c r="T133" s="291"/>
      <c r="U133" s="290"/>
      <c r="V133" s="233"/>
      <c r="W133" s="233"/>
      <c r="X133" s="233"/>
      <c r="Y133" s="291"/>
      <c r="Z133" s="233"/>
      <c r="AA133" s="233"/>
      <c r="AB133" s="233"/>
      <c r="AC133" s="233"/>
      <c r="AD133" s="291"/>
      <c r="AE133" s="234"/>
      <c r="AF133" s="234"/>
      <c r="AG133" s="234"/>
      <c r="AH133" s="9"/>
      <c r="AI133" s="9"/>
    </row>
    <row r="134" spans="1:49" ht="12.75" customHeight="1">
      <c r="A134" s="9"/>
      <c r="B134" s="9"/>
      <c r="C134" s="9" t="str">
        <f>Model!C187</f>
        <v>Prepaid &amp; Other Current Assets as a % of Sales</v>
      </c>
      <c r="D134" s="9"/>
      <c r="E134" s="9"/>
      <c r="F134" s="290">
        <f>Model!F187</f>
        <v>2.6476101218369259E-2</v>
      </c>
      <c r="G134" s="290">
        <f>Model!G187</f>
        <v>2.620744285509382E-2</v>
      </c>
      <c r="H134" s="290">
        <f>Model!H187</f>
        <v>3.5369154980562513E-2</v>
      </c>
      <c r="I134" s="290">
        <f>Model!I187</f>
        <v>4.8336259176508148E-2</v>
      </c>
      <c r="J134" s="291">
        <f>Model!J187</f>
        <v>4.1242319192515219E-2</v>
      </c>
      <c r="K134" s="290">
        <f>Model!K187</f>
        <v>4.1537704839367542E-2</v>
      </c>
      <c r="L134" s="290">
        <f>Model!L187</f>
        <v>3.8070635896465838E-2</v>
      </c>
      <c r="M134" s="290">
        <f>Model!M187</f>
        <v>4.8641269638523436E-2</v>
      </c>
      <c r="N134" s="290">
        <f>Model!N187</f>
        <v>3.425692695214106E-2</v>
      </c>
      <c r="O134" s="291">
        <f>Model!O187</f>
        <v>4.3709216708014198E-2</v>
      </c>
      <c r="P134" s="290">
        <f>Model!P187</f>
        <v>3.3665258652678019E-2</v>
      </c>
      <c r="Q134" s="290">
        <f>Model!Q187</f>
        <v>6.5125434169561125E-2</v>
      </c>
      <c r="R134" s="290">
        <f>Model!R187</f>
        <v>5.4443691645717066E-2</v>
      </c>
      <c r="S134" s="290">
        <f>Model!S187</f>
        <v>4.2690164820455311E-2</v>
      </c>
      <c r="T134" s="291">
        <f>Model!T187</f>
        <v>4.7416138823278595E-2</v>
      </c>
      <c r="U134" s="290">
        <f>Model!U187</f>
        <v>5.2491219495561445E-2</v>
      </c>
      <c r="V134" s="292">
        <f>IF(Case_Scenario="Bull",V135,IF(Case_Scenario="Base",V136,IF(Case_Scenario="bear",V137,"N/A")))</f>
        <v>0.05</v>
      </c>
      <c r="W134" s="292">
        <f>IF(Case_Scenario="Bull",W135,IF(Case_Scenario="Base",W136,IF(Case_Scenario="bear",W137,"N/A")))</f>
        <v>0.05</v>
      </c>
      <c r="X134" s="292">
        <f>IF(Case_Scenario="Bull",X135,IF(Case_Scenario="Base",X136,IF(Case_Scenario="bear",X137,"N/A")))</f>
        <v>0.05</v>
      </c>
      <c r="Y134" s="291">
        <f>Model!Y187</f>
        <v>5.519453912622703E-2</v>
      </c>
      <c r="Z134" s="292">
        <f>IF(Case_Scenario="Bull",Z135,IF(Case_Scenario="Base",Z136,IF(Case_Scenario="bear",Z137,"N/A")))</f>
        <v>0.05</v>
      </c>
      <c r="AA134" s="292">
        <f>IF(Case_Scenario="Bull",AA135,IF(Case_Scenario="Base",AA136,IF(Case_Scenario="bear",AA137,"N/A")))</f>
        <v>0.05</v>
      </c>
      <c r="AB134" s="292">
        <f>IF(Case_Scenario="Bull",AB135,IF(Case_Scenario="Base",AB136,IF(Case_Scenario="bear",AB137,"N/A")))</f>
        <v>0.05</v>
      </c>
      <c r="AC134" s="292">
        <f>IF(Case_Scenario="Bull",AC135,IF(Case_Scenario="Base",AC136,IF(Case_Scenario="bear",AC137,"N/A")))</f>
        <v>0.05</v>
      </c>
      <c r="AD134" s="291">
        <f>Model!AD187</f>
        <v>5.3626421189186604E-2</v>
      </c>
      <c r="AE134" s="291">
        <f>IF(Case_Scenario="Bull",AE135,IF(Case_Scenario="Base",AE136,IF(Case_Scenario="bear",AE137,"N/A")))</f>
        <v>5.5E-2</v>
      </c>
      <c r="AF134" s="291">
        <f>IF(Case_Scenario="Bull",AF135,IF(Case_Scenario="Base",AF136,IF(Case_Scenario="bear",AF137,"N/A")))</f>
        <v>5.5E-2</v>
      </c>
      <c r="AG134" s="291">
        <f>IF(Case_Scenario="Bull",AG135,IF(Case_Scenario="Base",AG136,IF(Case_Scenario="bear",AG137,"N/A")))</f>
        <v>5.5E-2</v>
      </c>
      <c r="AH134" s="9"/>
      <c r="AI134" s="9"/>
    </row>
    <row r="135" spans="1:49" ht="12.75" customHeight="1">
      <c r="A135" s="9"/>
      <c r="B135" s="9"/>
      <c r="C135" s="103" t="s">
        <v>245</v>
      </c>
      <c r="D135" s="9"/>
      <c r="E135" s="9"/>
      <c r="F135" s="290"/>
      <c r="G135" s="290"/>
      <c r="H135" s="290"/>
      <c r="I135" s="290"/>
      <c r="J135" s="291"/>
      <c r="K135" s="290"/>
      <c r="L135" s="290"/>
      <c r="M135" s="290"/>
      <c r="N135" s="290"/>
      <c r="O135" s="291"/>
      <c r="P135" s="290"/>
      <c r="Q135" s="290"/>
      <c r="R135" s="290"/>
      <c r="S135" s="290"/>
      <c r="T135" s="291"/>
      <c r="U135" s="290"/>
      <c r="V135" s="233">
        <f>V136-0.01</f>
        <v>0.04</v>
      </c>
      <c r="W135" s="233">
        <f t="shared" ref="W135:Z135" si="68">W136-0.01</f>
        <v>0.04</v>
      </c>
      <c r="X135" s="233">
        <f t="shared" si="68"/>
        <v>0.04</v>
      </c>
      <c r="Z135" s="233">
        <f t="shared" si="68"/>
        <v>0.04</v>
      </c>
      <c r="AA135" s="233">
        <f t="shared" ref="AA135" si="69">AA136-0.01</f>
        <v>0.04</v>
      </c>
      <c r="AB135" s="233">
        <f t="shared" ref="AB135" si="70">AB136-0.01</f>
        <v>0.04</v>
      </c>
      <c r="AC135" s="233">
        <f t="shared" ref="AC135:AE135" si="71">AC136-0.01</f>
        <v>0.04</v>
      </c>
      <c r="AD135" s="291"/>
      <c r="AE135" s="870">
        <f t="shared" si="71"/>
        <v>4.4999999999999998E-2</v>
      </c>
      <c r="AF135" s="870">
        <f t="shared" ref="AF135" si="72">AF136-0.01</f>
        <v>4.4999999999999998E-2</v>
      </c>
      <c r="AG135" s="870">
        <f t="shared" ref="AG135" si="73">AG136-0.01</f>
        <v>4.4999999999999998E-2</v>
      </c>
      <c r="AH135" s="9"/>
      <c r="AI135" s="9"/>
    </row>
    <row r="136" spans="1:49" ht="12.75" customHeight="1">
      <c r="A136" s="9"/>
      <c r="B136" s="9"/>
      <c r="C136" s="103" t="s">
        <v>246</v>
      </c>
      <c r="D136" s="9"/>
      <c r="E136" s="9"/>
      <c r="F136" s="290"/>
      <c r="G136" s="290"/>
      <c r="H136" s="290"/>
      <c r="I136" s="290"/>
      <c r="J136" s="291"/>
      <c r="K136" s="290"/>
      <c r="L136" s="290"/>
      <c r="M136" s="290"/>
      <c r="N136" s="290"/>
      <c r="O136" s="291"/>
      <c r="P136" s="290"/>
      <c r="Q136" s="290"/>
      <c r="R136" s="290"/>
      <c r="S136" s="290"/>
      <c r="T136" s="291"/>
      <c r="U136" s="290"/>
      <c r="V136" s="233">
        <v>0.05</v>
      </c>
      <c r="W136" s="233">
        <v>0.05</v>
      </c>
      <c r="X136" s="233">
        <v>0.05</v>
      </c>
      <c r="Y136" s="291"/>
      <c r="Z136" s="233">
        <v>0.05</v>
      </c>
      <c r="AA136" s="233">
        <v>0.05</v>
      </c>
      <c r="AB136" s="233">
        <v>0.05</v>
      </c>
      <c r="AC136" s="233">
        <v>0.05</v>
      </c>
      <c r="AD136" s="291"/>
      <c r="AE136" s="234">
        <v>5.5E-2</v>
      </c>
      <c r="AF136" s="234">
        <v>5.5E-2</v>
      </c>
      <c r="AG136" s="234">
        <v>5.5E-2</v>
      </c>
      <c r="AH136" s="9"/>
      <c r="AI136" s="9"/>
    </row>
    <row r="137" spans="1:49" ht="12.75" customHeight="1">
      <c r="A137" s="9"/>
      <c r="B137" s="9"/>
      <c r="C137" s="103" t="s">
        <v>247</v>
      </c>
      <c r="D137" s="9"/>
      <c r="E137" s="9"/>
      <c r="F137" s="290"/>
      <c r="G137" s="290"/>
      <c r="H137" s="290"/>
      <c r="I137" s="290"/>
      <c r="J137" s="291"/>
      <c r="K137" s="290"/>
      <c r="L137" s="290"/>
      <c r="M137" s="290"/>
      <c r="N137" s="290"/>
      <c r="O137" s="291"/>
      <c r="P137" s="290"/>
      <c r="Q137" s="290"/>
      <c r="R137" s="290"/>
      <c r="S137" s="290"/>
      <c r="T137" s="291"/>
      <c r="U137" s="290"/>
      <c r="V137" s="233">
        <f>V136+0.015</f>
        <v>6.5000000000000002E-2</v>
      </c>
      <c r="W137" s="233">
        <f t="shared" ref="W137:Z137" si="74">W136+0.015</f>
        <v>6.5000000000000002E-2</v>
      </c>
      <c r="X137" s="233">
        <f t="shared" si="74"/>
        <v>6.5000000000000002E-2</v>
      </c>
      <c r="Y137" s="291"/>
      <c r="Z137" s="233">
        <f t="shared" si="74"/>
        <v>6.5000000000000002E-2</v>
      </c>
      <c r="AA137" s="233">
        <f t="shared" ref="AA137" si="75">AA136+0.015</f>
        <v>6.5000000000000002E-2</v>
      </c>
      <c r="AB137" s="233">
        <f t="shared" ref="AB137" si="76">AB136+0.015</f>
        <v>6.5000000000000002E-2</v>
      </c>
      <c r="AC137" s="233">
        <f t="shared" ref="AC137:AE137" si="77">AC136+0.015</f>
        <v>6.5000000000000002E-2</v>
      </c>
      <c r="AD137" s="291"/>
      <c r="AE137" s="870">
        <f t="shared" si="77"/>
        <v>7.0000000000000007E-2</v>
      </c>
      <c r="AF137" s="870">
        <f t="shared" ref="AF137" si="78">AF136+0.015</f>
        <v>7.0000000000000007E-2</v>
      </c>
      <c r="AG137" s="870">
        <f t="shared" ref="AG137" si="79">AG136+0.015</f>
        <v>7.0000000000000007E-2</v>
      </c>
      <c r="AH137" s="9"/>
      <c r="AI137" s="9"/>
    </row>
    <row r="138" spans="1:49" ht="12.75" customHeight="1">
      <c r="A138" s="9"/>
      <c r="B138" s="9"/>
      <c r="C138" s="103"/>
      <c r="D138" s="9"/>
      <c r="E138" s="9"/>
      <c r="F138" s="816"/>
      <c r="G138" s="816"/>
      <c r="H138" s="816"/>
      <c r="I138" s="816"/>
      <c r="J138" s="291"/>
      <c r="K138" s="816"/>
      <c r="L138" s="816"/>
      <c r="M138" s="816"/>
      <c r="N138" s="816"/>
      <c r="O138" s="291"/>
      <c r="P138" s="816"/>
      <c r="Q138" s="816"/>
      <c r="R138" s="816"/>
      <c r="S138" s="816"/>
      <c r="T138" s="291"/>
      <c r="U138" s="816"/>
      <c r="V138" s="817"/>
      <c r="W138" s="817"/>
      <c r="X138" s="817"/>
      <c r="Y138" s="291"/>
      <c r="Z138" s="817"/>
      <c r="AA138" s="817"/>
      <c r="AB138" s="817"/>
      <c r="AC138" s="817"/>
      <c r="AD138" s="291"/>
      <c r="AE138" s="234"/>
      <c r="AF138" s="234"/>
      <c r="AG138" s="234"/>
      <c r="AH138" s="9"/>
      <c r="AI138" s="9"/>
    </row>
    <row r="139" spans="1:49" ht="12.75" customHeight="1">
      <c r="A139" s="9"/>
      <c r="B139" s="9"/>
      <c r="C139" s="9" t="s">
        <v>862</v>
      </c>
      <c r="D139" s="9"/>
      <c r="E139" s="9"/>
      <c r="F139" s="816">
        <f>Model!F140/Model!F28</f>
        <v>1.3322805127334714</v>
      </c>
      <c r="G139" s="816">
        <f>Model!G140/Model!G28</f>
        <v>1.170945743307559</v>
      </c>
      <c r="H139" s="816">
        <f>Model!H140/Model!H28</f>
        <v>1.4120197680091917</v>
      </c>
      <c r="I139" s="816">
        <f>Model!I140/Model!I28</f>
        <v>1.5489413767422067</v>
      </c>
      <c r="J139" s="291">
        <f>Model!J140/Model!J28</f>
        <v>0.33040379912738083</v>
      </c>
      <c r="K139" s="816">
        <f>Model!K140/Model!K28</f>
        <v>1.3901325207738511</v>
      </c>
      <c r="L139" s="816">
        <f>Model!L140/Model!L28</f>
        <v>1.3699832907720926</v>
      </c>
      <c r="M139" s="816">
        <f>Model!M140/Model!M28</f>
        <v>1.3876133605824499</v>
      </c>
      <c r="N139" s="816">
        <f>Model!N140/Model!N28</f>
        <v>1.1401352842951349</v>
      </c>
      <c r="O139" s="291">
        <f>Model!O140/Model!O28</f>
        <v>0.36368133872115155</v>
      </c>
      <c r="P139" s="816">
        <f>Model!P140/Model!P28</f>
        <v>1.0183753450142581</v>
      </c>
      <c r="Q139" s="816">
        <f>Model!Q140/Model!Q28</f>
        <v>1.3356489043260289</v>
      </c>
      <c r="R139" s="816">
        <f>Model!R140/Model!R28</f>
        <v>1.1887781482339936</v>
      </c>
      <c r="S139" s="816">
        <f>Model!S140/Model!S28</f>
        <v>1.2155596975345122</v>
      </c>
      <c r="T139" s="291">
        <f>Model!T140/Model!T28</f>
        <v>0.33753176878495972</v>
      </c>
      <c r="U139" s="816">
        <f>Model!U140/Model!U28</f>
        <v>1.3676445515407085</v>
      </c>
      <c r="V139" s="292">
        <f>IF(Case_Scenario="Bull",V140,IF(Case_Scenario="Base",V141,IF(Case_Scenario="bear",V142,"N/A")))</f>
        <v>1.30850490123846</v>
      </c>
      <c r="W139" s="292">
        <f>IF(Case_Scenario="Bull",W140,IF(Case_Scenario="Base",W141,IF(Case_Scenario="bear",W142,"N/A")))</f>
        <v>1.2327526848324133</v>
      </c>
      <c r="X139" s="292">
        <f>IF(Case_Scenario="Bull",X140,IF(Case_Scenario="Base",X141,IF(Case_Scenario="bear",X142,"N/A")))</f>
        <v>1.1374048186805688</v>
      </c>
      <c r="Y139" s="291">
        <f>Model!Y140/Model!Y28</f>
        <v>0.31389267383511904</v>
      </c>
      <c r="Z139" s="292">
        <f>IF(Case_Scenario="Bull",Z140,IF(Case_Scenario="Base",Z141,IF(Case_Scenario="bear",Z142,"N/A")))</f>
        <v>1.0718438300928534</v>
      </c>
      <c r="AA139" s="292">
        <f>IF(Case_Scenario="Bull",AA140,IF(Case_Scenario="Base",AA141,IF(Case_Scenario="bear",AA142,"N/A")))</f>
        <v>1.0111734246158994</v>
      </c>
      <c r="AB139" s="292">
        <f>IF(Case_Scenario="Bull",AB140,IF(Case_Scenario="Base",AB141,IF(Case_Scenario="bear",AB142,"N/A")))</f>
        <v>0.96546675411248106</v>
      </c>
      <c r="AC139" s="292">
        <f>IF(Case_Scenario="Bull",AC140,IF(Case_Scenario="Base",AC141,IF(Case_Scenario="bear",AC142,"N/A")))</f>
        <v>0.9228501572179002</v>
      </c>
      <c r="AD139" s="291">
        <f>Model!AD140/Model!AD28</f>
        <v>0.24744575612737096</v>
      </c>
      <c r="AE139" s="291">
        <f>IF(Case_Scenario="Bull",AE140,IF(Case_Scenario="Base",AE141,IF(Case_Scenario="bear",AE142,"N/A")))</f>
        <v>0.23125771600688869</v>
      </c>
      <c r="AF139" s="291">
        <f>IF(Case_Scenario="Bull",AF140,IF(Case_Scenario="Base",AF141,IF(Case_Scenario="bear",AF142,"N/A")))</f>
        <v>0.21920162654681397</v>
      </c>
      <c r="AG139" s="291">
        <f>IF(Case_Scenario="Bull",AG140,IF(Case_Scenario="Base",AG141,IF(Case_Scenario="bear",AG142,"N/A")))</f>
        <v>0.20576624933504697</v>
      </c>
      <c r="AH139" s="9"/>
      <c r="AI139" s="9"/>
    </row>
    <row r="140" spans="1:49" ht="12.75" customHeight="1">
      <c r="A140" s="9"/>
      <c r="B140" s="9"/>
      <c r="C140" s="103" t="s">
        <v>245</v>
      </c>
      <c r="D140" s="9"/>
      <c r="E140" s="9"/>
      <c r="F140" s="816"/>
      <c r="G140" s="816"/>
      <c r="H140" s="816"/>
      <c r="I140" s="816"/>
      <c r="J140" s="291"/>
      <c r="K140" s="816"/>
      <c r="L140" s="816"/>
      <c r="M140" s="816"/>
      <c r="N140" s="816"/>
      <c r="O140" s="291"/>
      <c r="P140" s="816"/>
      <c r="Q140" s="816"/>
      <c r="R140" s="816"/>
      <c r="S140" s="816"/>
      <c r="T140" s="291"/>
      <c r="U140" s="816"/>
      <c r="V140" s="233">
        <f>V141</f>
        <v>1.30850490123846</v>
      </c>
      <c r="W140" s="233">
        <f>W141</f>
        <v>1.2327526848324133</v>
      </c>
      <c r="X140" s="233">
        <f t="shared" ref="X140" si="80">X141</f>
        <v>1.1374048186805688</v>
      </c>
      <c r="Y140" s="291"/>
      <c r="Z140" s="233">
        <f>Z141</f>
        <v>1.0718438300928534</v>
      </c>
      <c r="AA140" s="233">
        <f t="shared" ref="AA140:AC140" si="81">AA141</f>
        <v>1.0111734246158994</v>
      </c>
      <c r="AB140" s="233">
        <f t="shared" si="81"/>
        <v>0.96546675411248106</v>
      </c>
      <c r="AC140" s="233">
        <f t="shared" si="81"/>
        <v>0.9228501572179002</v>
      </c>
      <c r="AD140" s="291"/>
      <c r="AE140" s="234">
        <f>AE141</f>
        <v>0.23125771600688869</v>
      </c>
      <c r="AF140" s="234">
        <f t="shared" ref="AF140:AG140" si="82">AF141</f>
        <v>0.21920162654681397</v>
      </c>
      <c r="AG140" s="234">
        <f t="shared" si="82"/>
        <v>0.20576624933504697</v>
      </c>
      <c r="AH140" s="9"/>
      <c r="AI140" s="9"/>
      <c r="AK140" s="9"/>
      <c r="AL140" s="9"/>
      <c r="AM140" s="9"/>
      <c r="AN140" s="9"/>
      <c r="AO140" s="9"/>
      <c r="AP140" s="9"/>
      <c r="AQ140" s="9"/>
      <c r="AR140" s="9"/>
      <c r="AS140" s="9"/>
      <c r="AT140" s="9"/>
      <c r="AU140" s="9"/>
      <c r="AV140" s="9"/>
    </row>
    <row r="141" spans="1:49" ht="12.75" customHeight="1">
      <c r="A141" s="9"/>
      <c r="B141" s="9"/>
      <c r="C141" s="103" t="s">
        <v>246</v>
      </c>
      <c r="D141" s="9"/>
      <c r="E141" s="9"/>
      <c r="F141" s="816"/>
      <c r="G141" s="816"/>
      <c r="H141" s="816"/>
      <c r="I141" s="816"/>
      <c r="J141" s="291"/>
      <c r="K141" s="816"/>
      <c r="L141" s="816"/>
      <c r="M141" s="816"/>
      <c r="N141" s="816"/>
      <c r="O141" s="291"/>
      <c r="P141" s="816"/>
      <c r="Q141" s="816"/>
      <c r="R141" s="816"/>
      <c r="S141" s="816"/>
      <c r="T141" s="291"/>
      <c r="U141" s="816"/>
      <c r="V141" s="233">
        <f>Model!U140/Model!V28</f>
        <v>1.30850490123846</v>
      </c>
      <c r="W141" s="233">
        <f>Model!V140/Model!W28</f>
        <v>1.2327526848324133</v>
      </c>
      <c r="X141" s="233">
        <f>Model!W140/Model!X28</f>
        <v>1.1374048186805688</v>
      </c>
      <c r="Y141" s="291"/>
      <c r="Z141" s="233">
        <f>Model!Y140/Model!Z28</f>
        <v>1.0718438300928534</v>
      </c>
      <c r="AA141" s="233">
        <f>Model!Z140/Model!AA28</f>
        <v>1.0111734246158994</v>
      </c>
      <c r="AB141" s="233">
        <f>Model!AA140/Model!AB28</f>
        <v>0.96546675411248106</v>
      </c>
      <c r="AC141" s="233">
        <f>Model!AB140/Model!AC28</f>
        <v>0.9228501572179002</v>
      </c>
      <c r="AD141" s="291"/>
      <c r="AE141" s="870">
        <f>Model!AD140/Model!AE28</f>
        <v>0.23125771600688869</v>
      </c>
      <c r="AF141" s="870">
        <f>Model!AE140/Model!AF28</f>
        <v>0.21920162654681397</v>
      </c>
      <c r="AG141" s="870">
        <f>Model!AF140/Model!AG28</f>
        <v>0.20576624933504697</v>
      </c>
      <c r="AH141" s="9"/>
      <c r="AI141" s="9"/>
    </row>
    <row r="142" spans="1:49" ht="12.75" customHeight="1">
      <c r="A142" s="9"/>
      <c r="B142" s="9"/>
      <c r="C142" s="103" t="s">
        <v>247</v>
      </c>
      <c r="D142" s="9"/>
      <c r="E142" s="9"/>
      <c r="F142" s="816"/>
      <c r="G142" s="816"/>
      <c r="H142" s="816"/>
      <c r="I142" s="816"/>
      <c r="J142" s="291"/>
      <c r="K142" s="816"/>
      <c r="L142" s="816"/>
      <c r="M142" s="816"/>
      <c r="N142" s="816"/>
      <c r="O142" s="291"/>
      <c r="P142" s="816"/>
      <c r="Q142" s="816"/>
      <c r="R142" s="816"/>
      <c r="S142" s="816"/>
      <c r="T142" s="291"/>
      <c r="U142" s="816"/>
      <c r="V142" s="233">
        <f>V141</f>
        <v>1.30850490123846</v>
      </c>
      <c r="W142" s="233">
        <f t="shared" ref="W142:X142" si="83">W141</f>
        <v>1.2327526848324133</v>
      </c>
      <c r="X142" s="233">
        <f t="shared" si="83"/>
        <v>1.1374048186805688</v>
      </c>
      <c r="Y142" s="291"/>
      <c r="Z142" s="233">
        <f>Z141</f>
        <v>1.0718438300928534</v>
      </c>
      <c r="AA142" s="233">
        <f t="shared" ref="AA142:AC142" si="84">AA141</f>
        <v>1.0111734246158994</v>
      </c>
      <c r="AB142" s="233">
        <f t="shared" si="84"/>
        <v>0.96546675411248106</v>
      </c>
      <c r="AC142" s="233">
        <f t="shared" si="84"/>
        <v>0.9228501572179002</v>
      </c>
      <c r="AD142" s="291"/>
      <c r="AE142" s="234">
        <f>AE141</f>
        <v>0.23125771600688869</v>
      </c>
      <c r="AF142" s="234">
        <f t="shared" ref="AF142:AG142" si="85">AF141</f>
        <v>0.21920162654681397</v>
      </c>
      <c r="AG142" s="234">
        <f t="shared" si="85"/>
        <v>0.20576624933504697</v>
      </c>
      <c r="AH142" s="9"/>
      <c r="AI142" s="9"/>
      <c r="AL142" s="9"/>
      <c r="AM142" s="9"/>
      <c r="AN142" s="9"/>
      <c r="AO142" s="9"/>
      <c r="AP142" s="9"/>
      <c r="AQ142" s="9"/>
      <c r="AR142" s="9"/>
      <c r="AS142" s="9"/>
      <c r="AT142" s="9"/>
      <c r="AU142" s="9"/>
      <c r="AV142" s="9"/>
      <c r="AW142" s="9"/>
    </row>
    <row r="143" spans="1:49" ht="12.75" customHeight="1">
      <c r="A143" s="9"/>
      <c r="B143" s="9"/>
      <c r="C143" s="103"/>
      <c r="D143" s="9"/>
      <c r="E143" s="9"/>
      <c r="F143" s="290"/>
      <c r="G143" s="290"/>
      <c r="H143" s="290"/>
      <c r="I143" s="290"/>
      <c r="J143" s="291"/>
      <c r="K143" s="290"/>
      <c r="L143" s="290"/>
      <c r="M143" s="290"/>
      <c r="N143" s="290"/>
      <c r="O143" s="291"/>
      <c r="P143" s="290"/>
      <c r="Q143" s="290"/>
      <c r="R143" s="290"/>
      <c r="S143" s="290"/>
      <c r="T143" s="291"/>
      <c r="U143" s="290"/>
      <c r="V143" s="233"/>
      <c r="W143" s="233"/>
      <c r="X143" s="233"/>
      <c r="Y143" s="291"/>
      <c r="Z143" s="233"/>
      <c r="AA143" s="233"/>
      <c r="AB143" s="233"/>
      <c r="AC143" s="233"/>
      <c r="AD143" s="291"/>
      <c r="AE143" s="234"/>
      <c r="AF143" s="234"/>
      <c r="AG143" s="234"/>
      <c r="AH143" s="9"/>
      <c r="AI143" s="9"/>
    </row>
    <row r="144" spans="1:49" ht="12.75" customHeight="1">
      <c r="A144" s="9"/>
      <c r="B144" s="9"/>
      <c r="C144" s="9" t="str">
        <f>Model!C231</f>
        <v>Deferred Income Taxes as a % of Revenue</v>
      </c>
      <c r="D144" s="9"/>
      <c r="E144" s="9"/>
      <c r="F144" s="816">
        <f>Model!F231</f>
        <v>1.8160343593414459</v>
      </c>
      <c r="G144" s="816">
        <f>Model!G231</f>
        <v>1.5465113246665187</v>
      </c>
      <c r="H144" s="816">
        <f>Model!H231</f>
        <v>1.8111808867274188</v>
      </c>
      <c r="I144" s="816">
        <f>Model!I231</f>
        <v>2.0739085718338832</v>
      </c>
      <c r="J144" s="291">
        <f>Model!J231</f>
        <v>0.44238425124774705</v>
      </c>
      <c r="K144" s="816">
        <f>Model!K231</f>
        <v>1.8335292753345007</v>
      </c>
      <c r="L144" s="816">
        <f>Model!L231</f>
        <v>1.8111463160881489</v>
      </c>
      <c r="M144" s="816">
        <f>Model!M231</f>
        <v>1.8035668667773661</v>
      </c>
      <c r="N144" s="816">
        <f>Model!N231</f>
        <v>1.4823932301248126</v>
      </c>
      <c r="O144" s="291">
        <f>Model!O231</f>
        <v>0.47285507419083422</v>
      </c>
      <c r="P144" s="816">
        <f>Model!P231</f>
        <v>1.3180485027779048</v>
      </c>
      <c r="Q144" s="816">
        <f>Model!Q231</f>
        <v>1.7145914306095376</v>
      </c>
      <c r="R144" s="816">
        <f>Model!R231</f>
        <v>1.5155086443085446</v>
      </c>
      <c r="S144" s="816">
        <f>Model!S231</f>
        <v>1.5584195824683162</v>
      </c>
      <c r="T144" s="291">
        <f>Model!T231</f>
        <v>0.43273573420256845</v>
      </c>
      <c r="U144" s="816">
        <f>Model!U231</f>
        <v>1.7161481717227978</v>
      </c>
      <c r="V144" s="292">
        <f>IF(Case_Scenario="Bull",V145,IF(Case_Scenario="Base",V146,IF(Case_Scenario="bear",V147,"N/A")))</f>
        <v>1.55</v>
      </c>
      <c r="W144" s="292">
        <f>IF(Case_Scenario="Bull",W145,IF(Case_Scenario="Base",W146,IF(Case_Scenario="bear",W147,"N/A")))</f>
        <v>1.55</v>
      </c>
      <c r="X144" s="292">
        <f>IF(Case_Scenario="Bull",X145,IF(Case_Scenario="Base",X146,IF(Case_Scenario="bear",X147,"N/A")))</f>
        <v>1.55</v>
      </c>
      <c r="Y144" s="291">
        <f>Model!Y231</f>
        <v>0.4277576782282595</v>
      </c>
      <c r="Z144" s="292">
        <f>IF(Case_Scenario="Bull",Z145,IF(Case_Scenario="Base",Z146,IF(Case_Scenario="bear",Z147,"N/A")))</f>
        <v>1.55</v>
      </c>
      <c r="AA144" s="292">
        <f>IF(Case_Scenario="Bull",AA145,IF(Case_Scenario="Base",AA146,IF(Case_Scenario="bear",AA147,"N/A")))</f>
        <v>1.55</v>
      </c>
      <c r="AB144" s="292">
        <f>IF(Case_Scenario="Bull",AB145,IF(Case_Scenario="Base",AB146,IF(Case_Scenario="bear",AB147,"N/A")))</f>
        <v>1.55</v>
      </c>
      <c r="AC144" s="292">
        <f>IF(Case_Scenario="Bull",AC145,IF(Case_Scenario="Base",AC146,IF(Case_Scenario="bear",AC147,"N/A")))</f>
        <v>1.55</v>
      </c>
      <c r="AD144" s="291">
        <f>Model!AD231</f>
        <v>0.41560476421619619</v>
      </c>
      <c r="AE144" s="291">
        <f>IF(Case_Scenario="Bull",AE145,IF(Case_Scenario="Base",AE146,IF(Case_Scenario="bear",AE147,"N/A")))</f>
        <v>0.42</v>
      </c>
      <c r="AF144" s="291">
        <f>IF(Case_Scenario="Bull",AF145,IF(Case_Scenario="Base",AF146,IF(Case_Scenario="bear",AF147,"N/A")))</f>
        <v>0.42</v>
      </c>
      <c r="AG144" s="291">
        <f>IF(Case_Scenario="Bull",AG145,IF(Case_Scenario="Base",AG146,IF(Case_Scenario="bear",AG147,"N/A")))</f>
        <v>0.42</v>
      </c>
      <c r="AH144" s="9"/>
      <c r="AI144" s="9"/>
    </row>
    <row r="145" spans="1:35" ht="12.75" customHeight="1">
      <c r="A145" s="9"/>
      <c r="B145" s="9"/>
      <c r="C145" s="103" t="s">
        <v>245</v>
      </c>
      <c r="D145" s="9"/>
      <c r="E145" s="9"/>
      <c r="F145" s="816"/>
      <c r="G145" s="816"/>
      <c r="H145" s="816"/>
      <c r="I145" s="816"/>
      <c r="J145" s="291"/>
      <c r="K145" s="816"/>
      <c r="L145" s="816"/>
      <c r="M145" s="816"/>
      <c r="N145" s="816"/>
      <c r="O145" s="291"/>
      <c r="P145" s="816"/>
      <c r="Q145" s="816"/>
      <c r="R145" s="816"/>
      <c r="S145" s="816"/>
      <c r="T145" s="291"/>
      <c r="U145" s="816"/>
      <c r="V145" s="233">
        <f>V146+0.05</f>
        <v>1.6</v>
      </c>
      <c r="W145" s="233">
        <f t="shared" ref="W145:Z145" si="86">W146+0.05</f>
        <v>1.6</v>
      </c>
      <c r="X145" s="233">
        <f t="shared" si="86"/>
        <v>1.6</v>
      </c>
      <c r="Y145" s="291"/>
      <c r="Z145" s="233">
        <f t="shared" si="86"/>
        <v>1.6</v>
      </c>
      <c r="AA145" s="233">
        <f t="shared" ref="AA145" si="87">AA146+0.05</f>
        <v>1.6</v>
      </c>
      <c r="AB145" s="233">
        <f t="shared" ref="AB145" si="88">AB146+0.05</f>
        <v>1.6</v>
      </c>
      <c r="AC145" s="233">
        <f t="shared" ref="AC145" si="89">AC146+0.05</f>
        <v>1.6</v>
      </c>
      <c r="AD145" s="291"/>
      <c r="AE145" s="234">
        <f>AE146+0.02</f>
        <v>0.44</v>
      </c>
      <c r="AF145" s="234">
        <f t="shared" ref="AF145:AG145" si="90">AF146+0.02</f>
        <v>0.44</v>
      </c>
      <c r="AG145" s="234">
        <f t="shared" si="90"/>
        <v>0.44</v>
      </c>
      <c r="AH145" s="9"/>
      <c r="AI145" s="9"/>
    </row>
    <row r="146" spans="1:35" ht="12.75" customHeight="1">
      <c r="A146" s="9"/>
      <c r="B146" s="9"/>
      <c r="C146" s="103" t="s">
        <v>246</v>
      </c>
      <c r="D146" s="9"/>
      <c r="E146" s="9"/>
      <c r="F146" s="816"/>
      <c r="G146" s="816"/>
      <c r="H146" s="816"/>
      <c r="I146" s="816"/>
      <c r="J146" s="291"/>
      <c r="K146" s="816"/>
      <c r="L146" s="816"/>
      <c r="M146" s="816"/>
      <c r="N146" s="816"/>
      <c r="O146" s="291"/>
      <c r="P146" s="816"/>
      <c r="Q146" s="816"/>
      <c r="R146" s="816"/>
      <c r="S146" s="816"/>
      <c r="T146" s="291"/>
      <c r="U146" s="816"/>
      <c r="V146" s="233">
        <v>1.55</v>
      </c>
      <c r="W146" s="233">
        <v>1.55</v>
      </c>
      <c r="X146" s="233">
        <v>1.55</v>
      </c>
      <c r="Y146" s="291"/>
      <c r="Z146" s="233">
        <v>1.55</v>
      </c>
      <c r="AA146" s="233">
        <v>1.55</v>
      </c>
      <c r="AB146" s="233">
        <v>1.55</v>
      </c>
      <c r="AC146" s="233">
        <v>1.55</v>
      </c>
      <c r="AD146" s="291"/>
      <c r="AE146" s="234">
        <v>0.42</v>
      </c>
      <c r="AF146" s="234">
        <v>0.42</v>
      </c>
      <c r="AG146" s="234">
        <v>0.42</v>
      </c>
      <c r="AH146" s="9"/>
      <c r="AI146" s="9"/>
    </row>
    <row r="147" spans="1:35" ht="12.75" customHeight="1">
      <c r="A147" s="9"/>
      <c r="B147" s="9"/>
      <c r="C147" s="103" t="s">
        <v>247</v>
      </c>
      <c r="D147" s="9"/>
      <c r="E147" s="9"/>
      <c r="F147" s="816"/>
      <c r="G147" s="816"/>
      <c r="H147" s="816"/>
      <c r="I147" s="816"/>
      <c r="J147" s="291"/>
      <c r="K147" s="816"/>
      <c r="L147" s="816"/>
      <c r="M147" s="816"/>
      <c r="N147" s="816"/>
      <c r="O147" s="291"/>
      <c r="P147" s="816"/>
      <c r="Q147" s="816"/>
      <c r="R147" s="816"/>
      <c r="S147" s="816"/>
      <c r="T147" s="291"/>
      <c r="U147" s="816"/>
      <c r="V147" s="233">
        <f>V146-0.05</f>
        <v>1.5</v>
      </c>
      <c r="W147" s="233">
        <f t="shared" ref="W147:Z147" si="91">W146-0.05</f>
        <v>1.5</v>
      </c>
      <c r="X147" s="233">
        <f t="shared" si="91"/>
        <v>1.5</v>
      </c>
      <c r="Y147" s="291"/>
      <c r="Z147" s="233">
        <f t="shared" si="91"/>
        <v>1.5</v>
      </c>
      <c r="AA147" s="233">
        <f t="shared" ref="AA147" si="92">AA146-0.05</f>
        <v>1.5</v>
      </c>
      <c r="AB147" s="233">
        <f t="shared" ref="AB147" si="93">AB146-0.05</f>
        <v>1.5</v>
      </c>
      <c r="AC147" s="233">
        <f t="shared" ref="AC147" si="94">AC146-0.05</f>
        <v>1.5</v>
      </c>
      <c r="AD147" s="291"/>
      <c r="AE147" s="234">
        <f>AE146-0.02</f>
        <v>0.39999999999999997</v>
      </c>
      <c r="AF147" s="234">
        <f t="shared" ref="AF147:AG147" si="95">AF146-0.02</f>
        <v>0.39999999999999997</v>
      </c>
      <c r="AG147" s="234">
        <f t="shared" si="95"/>
        <v>0.39999999999999997</v>
      </c>
      <c r="AH147" s="9"/>
      <c r="AI147" s="9"/>
    </row>
    <row r="148" spans="1:35" ht="12.75" customHeight="1">
      <c r="A148" s="9"/>
      <c r="B148" s="9"/>
      <c r="C148" s="9"/>
      <c r="D148" s="9"/>
      <c r="E148" s="9"/>
      <c r="F148" s="816"/>
      <c r="G148" s="816"/>
      <c r="H148" s="816"/>
      <c r="I148" s="816"/>
      <c r="J148" s="291"/>
      <c r="K148" s="816"/>
      <c r="L148" s="816"/>
      <c r="M148" s="816"/>
      <c r="N148" s="816"/>
      <c r="O148" s="291"/>
      <c r="P148" s="816"/>
      <c r="Q148" s="816"/>
      <c r="R148" s="816"/>
      <c r="S148" s="816"/>
      <c r="T148" s="291"/>
      <c r="U148" s="816"/>
      <c r="V148" s="233"/>
      <c r="W148" s="233"/>
      <c r="X148" s="233"/>
      <c r="Y148" s="291"/>
      <c r="Z148" s="233"/>
      <c r="AA148" s="233"/>
      <c r="AB148" s="233"/>
      <c r="AC148" s="233"/>
      <c r="AD148" s="291"/>
      <c r="AE148" s="234"/>
      <c r="AF148" s="234"/>
      <c r="AG148" s="234"/>
      <c r="AH148" s="9"/>
      <c r="AI148" s="9"/>
    </row>
    <row r="149" spans="1:35" ht="12.75" customHeight="1">
      <c r="A149" s="9"/>
      <c r="B149" s="9"/>
      <c r="C149" s="9" t="str">
        <f>Model!C233</f>
        <v>Total Other LT Liabilities as a % of Revenue</v>
      </c>
      <c r="D149" s="9"/>
      <c r="E149" s="9"/>
      <c r="F149" s="825">
        <f>Model!F233</f>
        <v>0.86976510785261485</v>
      </c>
      <c r="G149" s="825">
        <f>Model!G233</f>
        <v>0.7910836995214563</v>
      </c>
      <c r="H149" s="825">
        <f>Model!H233</f>
        <v>0.89765805750979755</v>
      </c>
      <c r="I149" s="825">
        <f>Model!I233</f>
        <v>1.0514859736851438</v>
      </c>
      <c r="J149" s="291">
        <f>Model!J233</f>
        <v>0.89240722984077636</v>
      </c>
      <c r="K149" s="825">
        <f>Model!K233</f>
        <v>0.96206722810048229</v>
      </c>
      <c r="L149" s="825">
        <f>Model!L233</f>
        <v>0.99395472745042401</v>
      </c>
      <c r="M149" s="825">
        <f>Model!M233</f>
        <v>0.91628879805850039</v>
      </c>
      <c r="N149" s="825">
        <f>Model!N233</f>
        <v>0.6551042934367306</v>
      </c>
      <c r="O149" s="291">
        <f>Model!O233</f>
        <v>0.86110298605017332</v>
      </c>
      <c r="P149" s="825">
        <f>Model!P233</f>
        <v>0.63621899954760563</v>
      </c>
      <c r="Q149" s="825">
        <f>Model!Q233</f>
        <v>0.80331868879125867</v>
      </c>
      <c r="R149" s="825">
        <f>Model!R233</f>
        <v>0.71372451132466819</v>
      </c>
      <c r="S149" s="825">
        <f>Model!S233</f>
        <v>0.67908755234299623</v>
      </c>
      <c r="T149" s="291">
        <f>Model!T233</f>
        <v>0.7015697847296638</v>
      </c>
      <c r="U149" s="825">
        <f>Model!U233</f>
        <v>0.91418974982666323</v>
      </c>
      <c r="V149" s="292">
        <f>IF(Case_Scenario="Bull",V150,IF(Case_Scenario="Base",V151,IF(Case_Scenario="bear",V152,"N/A")))</f>
        <v>0.85</v>
      </c>
      <c r="W149" s="292">
        <f>IF(Case_Scenario="Bull",W150,IF(Case_Scenario="Base",W151,IF(Case_Scenario="bear",W152,"N/A")))</f>
        <v>0.85</v>
      </c>
      <c r="X149" s="292">
        <f>IF(Case_Scenario="Bull",X150,IF(Case_Scenario="Base",X151,IF(Case_Scenario="bear",X152,"N/A")))</f>
        <v>0.85</v>
      </c>
      <c r="Y149" s="291">
        <f>Model!Y236</f>
        <v>0</v>
      </c>
      <c r="Z149" s="292">
        <f>IF(Case_Scenario="Bull",Z150,IF(Case_Scenario="Base",Z151,IF(Case_Scenario="bear",Z152,"N/A")))</f>
        <v>0.85</v>
      </c>
      <c r="AA149" s="292">
        <f>IF(Case_Scenario="Bull",AA150,IF(Case_Scenario="Base",AA151,IF(Case_Scenario="bear",AA152,"N/A")))</f>
        <v>0.85</v>
      </c>
      <c r="AB149" s="292">
        <f>IF(Case_Scenario="Bull",AB150,IF(Case_Scenario="Base",AB151,IF(Case_Scenario="bear",AB152,"N/A")))</f>
        <v>0.85</v>
      </c>
      <c r="AC149" s="292">
        <f>IF(Case_Scenario="Bull",AC150,IF(Case_Scenario="Base",AC151,IF(Case_Scenario="bear",AC152,"N/A")))</f>
        <v>0.85</v>
      </c>
      <c r="AD149" s="291">
        <f>Model!AD236</f>
        <v>0</v>
      </c>
      <c r="AE149" s="291">
        <f>IF(Case_Scenario="Bull",AE150,IF(Case_Scenario="Base",AE151,IF(Case_Scenario="bear",AE152,"N/A")))</f>
        <v>0.85</v>
      </c>
      <c r="AF149" s="291">
        <f>IF(Case_Scenario="Bull",AF150,IF(Case_Scenario="Base",AF151,IF(Case_Scenario="bear",AF152,"N/A")))</f>
        <v>0.85</v>
      </c>
      <c r="AG149" s="291">
        <f>IF(Case_Scenario="Bull",AG150,IF(Case_Scenario="Base",AG151,IF(Case_Scenario="bear",AG152,"N/A")))</f>
        <v>0.85</v>
      </c>
      <c r="AH149" s="9"/>
      <c r="AI149" s="9"/>
    </row>
    <row r="150" spans="1:35" ht="12.75" customHeight="1">
      <c r="A150" s="9"/>
      <c r="B150" s="9"/>
      <c r="C150" s="9" t="s">
        <v>245</v>
      </c>
      <c r="D150" s="9"/>
      <c r="E150" s="9"/>
      <c r="F150" s="825"/>
      <c r="G150" s="825"/>
      <c r="H150" s="825"/>
      <c r="I150" s="825"/>
      <c r="J150" s="291"/>
      <c r="K150" s="825"/>
      <c r="L150" s="825"/>
      <c r="M150" s="825"/>
      <c r="N150" s="825"/>
      <c r="O150" s="291"/>
      <c r="P150" s="825"/>
      <c r="Q150" s="825"/>
      <c r="R150" s="825"/>
      <c r="S150" s="825"/>
      <c r="T150" s="291"/>
      <c r="U150" s="825"/>
      <c r="V150" s="233">
        <f>V151-0.05</f>
        <v>0.79999999999999993</v>
      </c>
      <c r="W150" s="233">
        <f t="shared" ref="W150:Z150" si="96">W151-0.05</f>
        <v>0.79999999999999993</v>
      </c>
      <c r="X150" s="233">
        <f t="shared" si="96"/>
        <v>0.79999999999999993</v>
      </c>
      <c r="Y150" s="291"/>
      <c r="Z150" s="233">
        <f t="shared" si="96"/>
        <v>0.79999999999999993</v>
      </c>
      <c r="AA150" s="233">
        <f t="shared" ref="AA150" si="97">AA151-0.05</f>
        <v>0.79999999999999993</v>
      </c>
      <c r="AB150" s="233">
        <f t="shared" ref="AB150" si="98">AB151-0.05</f>
        <v>0.79999999999999993</v>
      </c>
      <c r="AC150" s="233">
        <f t="shared" ref="AC150:AE150" si="99">AC151-0.05</f>
        <v>0.79999999999999993</v>
      </c>
      <c r="AD150" s="291"/>
      <c r="AE150" s="870">
        <f t="shared" si="99"/>
        <v>0.79999999999999993</v>
      </c>
      <c r="AF150" s="870">
        <f t="shared" ref="AF150" si="100">AF151-0.05</f>
        <v>0.79999999999999993</v>
      </c>
      <c r="AG150" s="870">
        <f t="shared" ref="AG150" si="101">AG151-0.05</f>
        <v>0.79999999999999993</v>
      </c>
      <c r="AH150" s="9"/>
      <c r="AI150" s="9"/>
    </row>
    <row r="151" spans="1:35" ht="12.75" customHeight="1">
      <c r="A151" s="9"/>
      <c r="B151" s="9"/>
      <c r="C151" s="9" t="s">
        <v>246</v>
      </c>
      <c r="D151" s="9"/>
      <c r="E151" s="9"/>
      <c r="F151" s="825"/>
      <c r="G151" s="825"/>
      <c r="H151" s="825"/>
      <c r="I151" s="825"/>
      <c r="J151" s="291"/>
      <c r="K151" s="825"/>
      <c r="L151" s="825"/>
      <c r="M151" s="825"/>
      <c r="N151" s="825"/>
      <c r="O151" s="291"/>
      <c r="P151" s="825"/>
      <c r="Q151" s="825"/>
      <c r="R151" s="825"/>
      <c r="S151" s="825"/>
      <c r="T151" s="291"/>
      <c r="U151" s="825"/>
      <c r="V151" s="233">
        <v>0.85</v>
      </c>
      <c r="W151" s="233">
        <v>0.85</v>
      </c>
      <c r="X151" s="233">
        <v>0.85</v>
      </c>
      <c r="Y151" s="291"/>
      <c r="Z151" s="233">
        <v>0.85</v>
      </c>
      <c r="AA151" s="233">
        <v>0.85</v>
      </c>
      <c r="AB151" s="233">
        <v>0.85</v>
      </c>
      <c r="AC151" s="233">
        <v>0.85</v>
      </c>
      <c r="AD151" s="291"/>
      <c r="AE151" s="234">
        <v>0.85</v>
      </c>
      <c r="AF151" s="234">
        <v>0.85</v>
      </c>
      <c r="AG151" s="234">
        <v>0.85</v>
      </c>
      <c r="AH151" s="9"/>
      <c r="AI151" s="9"/>
    </row>
    <row r="152" spans="1:35" ht="12.75" customHeight="1">
      <c r="A152" s="9"/>
      <c r="B152" s="9"/>
      <c r="C152" s="9" t="s">
        <v>247</v>
      </c>
      <c r="D152" s="9"/>
      <c r="E152" s="9"/>
      <c r="F152" s="825"/>
      <c r="G152" s="825"/>
      <c r="H152" s="825"/>
      <c r="I152" s="825"/>
      <c r="J152" s="291"/>
      <c r="K152" s="825"/>
      <c r="L152" s="825"/>
      <c r="M152" s="825"/>
      <c r="N152" s="825"/>
      <c r="O152" s="291"/>
      <c r="P152" s="825"/>
      <c r="Q152" s="825"/>
      <c r="R152" s="825"/>
      <c r="S152" s="825"/>
      <c r="T152" s="291"/>
      <c r="U152" s="825"/>
      <c r="V152" s="233">
        <f>V151+0.05</f>
        <v>0.9</v>
      </c>
      <c r="W152" s="233">
        <f t="shared" ref="W152:Z152" si="102">W151+0.05</f>
        <v>0.9</v>
      </c>
      <c r="X152" s="233">
        <f t="shared" si="102"/>
        <v>0.9</v>
      </c>
      <c r="Y152" s="291"/>
      <c r="Z152" s="233">
        <f t="shared" si="102"/>
        <v>0.9</v>
      </c>
      <c r="AA152" s="233">
        <f t="shared" ref="AA152" si="103">AA151+0.05</f>
        <v>0.9</v>
      </c>
      <c r="AB152" s="233">
        <f t="shared" ref="AB152" si="104">AB151+0.05</f>
        <v>0.9</v>
      </c>
      <c r="AC152" s="233">
        <f t="shared" ref="AC152:AE152" si="105">AC151+0.05</f>
        <v>0.9</v>
      </c>
      <c r="AD152" s="291"/>
      <c r="AE152" s="870">
        <f t="shared" si="105"/>
        <v>0.9</v>
      </c>
      <c r="AF152" s="870">
        <f t="shared" ref="AF152" si="106">AF151+0.05</f>
        <v>0.9</v>
      </c>
      <c r="AG152" s="870">
        <f t="shared" ref="AG152" si="107">AG151+0.05</f>
        <v>0.9</v>
      </c>
      <c r="AH152" s="9"/>
      <c r="AI152" s="9"/>
    </row>
    <row r="153" spans="1:35" ht="12.75" customHeight="1">
      <c r="A153" s="9"/>
      <c r="B153" s="9"/>
      <c r="C153" s="9"/>
      <c r="D153" s="9"/>
      <c r="E153" s="9"/>
      <c r="F153" s="825"/>
      <c r="G153" s="825"/>
      <c r="H153" s="825"/>
      <c r="I153" s="825"/>
      <c r="J153" s="291"/>
      <c r="K153" s="825"/>
      <c r="L153" s="825"/>
      <c r="M153" s="825"/>
      <c r="N153" s="825"/>
      <c r="O153" s="291"/>
      <c r="P153" s="825"/>
      <c r="Q153" s="825"/>
      <c r="R153" s="825"/>
      <c r="S153" s="825"/>
      <c r="T153" s="291"/>
      <c r="U153" s="825"/>
      <c r="V153" s="233"/>
      <c r="W153" s="233"/>
      <c r="X153" s="233"/>
      <c r="Y153" s="291"/>
      <c r="Z153" s="233"/>
      <c r="AA153" s="233"/>
      <c r="AB153" s="233"/>
      <c r="AC153" s="233"/>
      <c r="AD153" s="291"/>
      <c r="AE153" s="234"/>
      <c r="AF153" s="234"/>
      <c r="AG153" s="234"/>
      <c r="AH153" s="9"/>
      <c r="AI153" s="9"/>
    </row>
    <row r="154" spans="1:35" ht="12.75" hidden="1" customHeight="1">
      <c r="A154" s="9"/>
      <c r="B154" s="9"/>
      <c r="C154" s="9"/>
      <c r="D154" s="9"/>
      <c r="E154" s="9"/>
      <c r="F154" s="290"/>
      <c r="G154" s="290"/>
      <c r="H154" s="290"/>
      <c r="I154" s="290"/>
      <c r="J154" s="291"/>
      <c r="K154" s="290"/>
      <c r="L154" s="290"/>
      <c r="M154" s="290"/>
      <c r="N154" s="290"/>
      <c r="O154" s="291"/>
      <c r="P154" s="290"/>
      <c r="Q154" s="290"/>
      <c r="R154" s="290"/>
      <c r="S154" s="290"/>
      <c r="T154" s="291"/>
      <c r="U154" s="290"/>
      <c r="V154" s="233"/>
      <c r="W154" s="233"/>
      <c r="X154" s="233"/>
      <c r="Y154" s="291"/>
      <c r="Z154" s="233"/>
      <c r="AA154" s="233"/>
      <c r="AB154" s="233"/>
      <c r="AC154" s="233"/>
      <c r="AD154" s="291"/>
      <c r="AE154" s="234"/>
      <c r="AF154" s="234"/>
      <c r="AG154" s="234"/>
      <c r="AH154" s="9"/>
      <c r="AI154" s="9"/>
    </row>
    <row r="155" spans="1:35" ht="12.75" customHeight="1">
      <c r="A155" s="9"/>
      <c r="B155" s="9"/>
      <c r="C155" s="414" t="s">
        <v>460</v>
      </c>
      <c r="D155" s="415"/>
      <c r="E155" s="415"/>
      <c r="F155" s="416"/>
      <c r="G155" s="417"/>
      <c r="H155" s="417"/>
      <c r="I155" s="417"/>
      <c r="J155" s="417"/>
      <c r="K155" s="417"/>
      <c r="L155" s="417"/>
      <c r="M155" s="417"/>
      <c r="N155" s="417"/>
      <c r="O155" s="417"/>
      <c r="P155" s="417"/>
      <c r="Q155" s="417"/>
      <c r="R155" s="417"/>
      <c r="S155" s="417"/>
      <c r="T155" s="417"/>
      <c r="U155" s="417"/>
      <c r="V155" s="417"/>
      <c r="W155" s="417"/>
      <c r="X155" s="417"/>
      <c r="Y155" s="417"/>
      <c r="Z155" s="417"/>
      <c r="AA155" s="417"/>
      <c r="AB155" s="417"/>
      <c r="AC155" s="417"/>
      <c r="AD155" s="417"/>
      <c r="AE155" s="417"/>
      <c r="AF155" s="417"/>
      <c r="AG155" s="418"/>
      <c r="AH155" s="9"/>
      <c r="AI155" s="9"/>
    </row>
    <row r="156" spans="1:35" ht="12.75" customHeight="1">
      <c r="A156" s="9"/>
      <c r="B156" s="9"/>
      <c r="C156" s="9"/>
      <c r="D156" s="9"/>
      <c r="E156" s="9"/>
      <c r="F156" s="290"/>
      <c r="G156" s="290"/>
      <c r="H156" s="290"/>
      <c r="I156" s="290"/>
      <c r="J156" s="291"/>
      <c r="K156" s="290"/>
      <c r="L156" s="290"/>
      <c r="M156" s="290"/>
      <c r="N156" s="290"/>
      <c r="O156" s="291"/>
      <c r="P156" s="290"/>
      <c r="Q156" s="290"/>
      <c r="R156" s="290"/>
      <c r="S156" s="290"/>
      <c r="T156" s="291"/>
      <c r="U156" s="290"/>
      <c r="V156" s="292"/>
      <c r="W156" s="292"/>
      <c r="X156" s="292"/>
      <c r="Y156" s="291"/>
      <c r="Z156" s="292"/>
      <c r="AA156" s="292"/>
      <c r="AB156" s="292"/>
      <c r="AC156" s="292"/>
      <c r="AD156" s="291"/>
      <c r="AE156" s="132"/>
      <c r="AF156" s="132"/>
      <c r="AG156" s="132"/>
      <c r="AH156" s="9"/>
      <c r="AI156" s="9"/>
    </row>
    <row r="157" spans="1:35" ht="12.75" customHeight="1">
      <c r="A157" s="9"/>
      <c r="B157" s="9"/>
      <c r="C157" s="9" t="str">
        <f>Model!C185</f>
        <v>Days Payables Outstanding</v>
      </c>
      <c r="D157" s="9"/>
      <c r="E157" s="9"/>
      <c r="F157" s="290"/>
      <c r="G157" s="238">
        <f>Model!G185</f>
        <v>2.9999521531100477</v>
      </c>
      <c r="H157" s="238">
        <f>Model!H185</f>
        <v>2.6698790269750923</v>
      </c>
      <c r="I157" s="238">
        <f>Model!I185</f>
        <v>4.7809131112195278</v>
      </c>
      <c r="J157" s="239">
        <f>Model!J185</f>
        <v>3.8381462465508704</v>
      </c>
      <c r="K157" s="238">
        <f>Model!K185</f>
        <v>6.5049644783018055</v>
      </c>
      <c r="L157" s="238">
        <f>Model!L185</f>
        <v>5.819077147546964</v>
      </c>
      <c r="M157" s="238">
        <f>Model!M185</f>
        <v>4.2687153106809266</v>
      </c>
      <c r="N157" s="238">
        <f>Model!N185</f>
        <v>3.8762206557589076</v>
      </c>
      <c r="O157" s="239">
        <f>Model!O185</f>
        <v>5.0165652138625116</v>
      </c>
      <c r="P157" s="238">
        <f>Model!P185</f>
        <v>3.8597834204630312</v>
      </c>
      <c r="Q157" s="238">
        <f>Model!Q185</f>
        <v>6.1062651708188911</v>
      </c>
      <c r="R157" s="238">
        <f>Model!R185</f>
        <v>5.8059845038308175</v>
      </c>
      <c r="S157" s="238">
        <f>Model!S185</f>
        <v>4.3272982579314592</v>
      </c>
      <c r="T157" s="239">
        <f>Model!T185</f>
        <v>5.0255164463145574</v>
      </c>
      <c r="U157" s="238">
        <f>Model!U185</f>
        <v>5.4450259135407091</v>
      </c>
      <c r="V157" s="240">
        <f>IF(Case_Scenario="Bull",V158,IF(Case_Scenario="Base",V159,IF(Case_Scenario="bear",V160,"N/A")))</f>
        <v>5.5</v>
      </c>
      <c r="W157" s="240">
        <f>IF(Case_Scenario="Bull",W158,IF(Case_Scenario="Base",W159,IF(Case_Scenario="bear",W160,"N/A")))</f>
        <v>5.5</v>
      </c>
      <c r="X157" s="240">
        <f>IF(Case_Scenario="Bull",X158,IF(Case_Scenario="Base",X159,IF(Case_Scenario="bear",X160,"N/A")))</f>
        <v>5.5</v>
      </c>
      <c r="Y157" s="239">
        <f>Model!Y185</f>
        <v>5.593758122614525</v>
      </c>
      <c r="Z157" s="240">
        <f>IF(Case_Scenario="Bull",Z158,IF(Case_Scenario="Base",Z159,IF(Case_Scenario="bear",Z160,"N/A")))</f>
        <v>6</v>
      </c>
      <c r="AA157" s="240">
        <f>IF(Case_Scenario="Bull",AA158,IF(Case_Scenario="Base",AA159,IF(Case_Scenario="bear",AA160,"N/A")))</f>
        <v>5.5</v>
      </c>
      <c r="AB157" s="240">
        <f>IF(Case_Scenario="Bull",AB158,IF(Case_Scenario="Base",AB159,IF(Case_Scenario="bear",AB160,"N/A")))</f>
        <v>5.5</v>
      </c>
      <c r="AC157" s="240">
        <f>IF(Case_Scenario="Bull",AC158,IF(Case_Scenario="Base",AC159,IF(Case_Scenario="bear",AC160,"N/A")))</f>
        <v>5.5</v>
      </c>
      <c r="AD157" s="239">
        <f>Model!AD185</f>
        <v>5.6147599864982052</v>
      </c>
      <c r="AE157" s="239">
        <f>IF(Case_Scenario="Bull",AE158,IF(Case_Scenario="Base",AE159,IF(Case_Scenario="bear",AE160,"N/A")))</f>
        <v>5.5</v>
      </c>
      <c r="AF157" s="239">
        <f>IF(Case_Scenario="Bull",AF158,IF(Case_Scenario="Base",AF159,IF(Case_Scenario="bear",AF160,"N/A")))</f>
        <v>5.5</v>
      </c>
      <c r="AG157" s="239">
        <f>IF(Case_Scenario="Bull",AG158,IF(Case_Scenario="Base",AG159,IF(Case_Scenario="bear",AG160,"N/A")))</f>
        <v>5.5</v>
      </c>
      <c r="AH157" s="9"/>
      <c r="AI157" s="9"/>
    </row>
    <row r="158" spans="1:35" ht="12.75" customHeight="1">
      <c r="A158" s="9"/>
      <c r="B158" s="9"/>
      <c r="C158" s="103" t="s">
        <v>245</v>
      </c>
      <c r="D158" s="9"/>
      <c r="E158" s="9"/>
      <c r="F158" s="290"/>
      <c r="G158" s="290"/>
      <c r="H158" s="290"/>
      <c r="I158" s="290"/>
      <c r="J158" s="291"/>
      <c r="K158" s="290"/>
      <c r="L158" s="290"/>
      <c r="M158" s="290"/>
      <c r="N158" s="290"/>
      <c r="O158" s="291"/>
      <c r="P158" s="290"/>
      <c r="Q158" s="290"/>
      <c r="R158" s="290"/>
      <c r="S158" s="290"/>
      <c r="T158" s="291"/>
      <c r="U158" s="290"/>
      <c r="V158" s="425">
        <f>V159+1</f>
        <v>6.5</v>
      </c>
      <c r="W158" s="425">
        <f t="shared" ref="W158:X158" si="108">W159+1</f>
        <v>6.5</v>
      </c>
      <c r="X158" s="425">
        <f t="shared" si="108"/>
        <v>6.5</v>
      </c>
      <c r="Y158" s="291"/>
      <c r="Z158" s="425">
        <f>Z159+1</f>
        <v>7</v>
      </c>
      <c r="AA158" s="425">
        <f t="shared" ref="AA158:AC158" si="109">AA159+1</f>
        <v>6.5</v>
      </c>
      <c r="AB158" s="425">
        <f t="shared" si="109"/>
        <v>6.5</v>
      </c>
      <c r="AC158" s="425">
        <f t="shared" si="109"/>
        <v>6.5</v>
      </c>
      <c r="AD158" s="291"/>
      <c r="AE158" s="426">
        <f>AE159+1</f>
        <v>6.5</v>
      </c>
      <c r="AF158" s="426">
        <f t="shared" ref="AF158:AG158" si="110">AF159+1</f>
        <v>6.5</v>
      </c>
      <c r="AG158" s="426">
        <f t="shared" si="110"/>
        <v>6.5</v>
      </c>
      <c r="AH158" s="9"/>
      <c r="AI158" s="9"/>
    </row>
    <row r="159" spans="1:35" ht="12.75" customHeight="1">
      <c r="A159" s="9"/>
      <c r="B159" s="9"/>
      <c r="C159" s="103" t="s">
        <v>246</v>
      </c>
      <c r="D159" s="9"/>
      <c r="E159" s="9"/>
      <c r="F159" s="290"/>
      <c r="G159" s="290"/>
      <c r="H159" s="290"/>
      <c r="I159" s="290"/>
      <c r="J159" s="291"/>
      <c r="K159" s="290"/>
      <c r="L159" s="290"/>
      <c r="M159" s="290"/>
      <c r="N159" s="290"/>
      <c r="O159" s="291"/>
      <c r="P159" s="290"/>
      <c r="Q159" s="290"/>
      <c r="R159" s="290"/>
      <c r="S159" s="290"/>
      <c r="T159" s="291"/>
      <c r="U159" s="290"/>
      <c r="V159" s="425">
        <v>5.5</v>
      </c>
      <c r="W159" s="425">
        <v>5.5</v>
      </c>
      <c r="X159" s="425">
        <v>5.5</v>
      </c>
      <c r="Y159" s="291"/>
      <c r="Z159" s="425">
        <v>6</v>
      </c>
      <c r="AA159" s="425">
        <v>5.5</v>
      </c>
      <c r="AB159" s="425">
        <v>5.5</v>
      </c>
      <c r="AC159" s="425">
        <v>5.5</v>
      </c>
      <c r="AD159" s="291"/>
      <c r="AE159" s="426">
        <v>5.5</v>
      </c>
      <c r="AF159" s="426">
        <v>5.5</v>
      </c>
      <c r="AG159" s="426">
        <v>5.5</v>
      </c>
      <c r="AH159" s="9"/>
      <c r="AI159" s="9"/>
    </row>
    <row r="160" spans="1:35" ht="12.75" customHeight="1">
      <c r="A160" s="9"/>
      <c r="B160" s="9"/>
      <c r="C160" s="103" t="s">
        <v>247</v>
      </c>
      <c r="D160" s="9"/>
      <c r="E160" s="9"/>
      <c r="F160" s="290"/>
      <c r="G160" s="290"/>
      <c r="H160" s="290"/>
      <c r="I160" s="290"/>
      <c r="J160" s="291"/>
      <c r="K160" s="290"/>
      <c r="L160" s="290"/>
      <c r="M160" s="290"/>
      <c r="N160" s="290"/>
      <c r="O160" s="291"/>
      <c r="P160" s="290"/>
      <c r="Q160" s="290"/>
      <c r="R160" s="290"/>
      <c r="S160" s="290"/>
      <c r="T160" s="291"/>
      <c r="U160" s="290"/>
      <c r="V160" s="425">
        <f>V159-1</f>
        <v>4.5</v>
      </c>
      <c r="W160" s="425">
        <f t="shared" ref="W160:X160" si="111">W159-1</f>
        <v>4.5</v>
      </c>
      <c r="X160" s="425">
        <f t="shared" si="111"/>
        <v>4.5</v>
      </c>
      <c r="Y160" s="291"/>
      <c r="Z160" s="425">
        <f>Z159-1</f>
        <v>5</v>
      </c>
      <c r="AA160" s="425">
        <f t="shared" ref="AA160:AC160" si="112">AA159-1</f>
        <v>4.5</v>
      </c>
      <c r="AB160" s="425">
        <f t="shared" si="112"/>
        <v>4.5</v>
      </c>
      <c r="AC160" s="425">
        <f t="shared" si="112"/>
        <v>4.5</v>
      </c>
      <c r="AD160" s="291"/>
      <c r="AE160" s="426">
        <f>AE159-1</f>
        <v>4.5</v>
      </c>
      <c r="AF160" s="426">
        <f t="shared" ref="AF160:AG160" si="113">AF159-1</f>
        <v>4.5</v>
      </c>
      <c r="AG160" s="426">
        <f t="shared" si="113"/>
        <v>4.5</v>
      </c>
      <c r="AH160" s="9"/>
      <c r="AI160" s="9"/>
    </row>
    <row r="161" spans="1:35" ht="12.75" customHeight="1">
      <c r="A161" s="9"/>
      <c r="B161" s="9"/>
      <c r="C161" s="9"/>
      <c r="D161" s="9"/>
      <c r="E161" s="9"/>
      <c r="F161" s="290"/>
      <c r="G161" s="290"/>
      <c r="H161" s="290"/>
      <c r="I161" s="290"/>
      <c r="J161" s="291"/>
      <c r="K161" s="290"/>
      <c r="L161" s="290"/>
      <c r="M161" s="290"/>
      <c r="N161" s="290"/>
      <c r="O161" s="291"/>
      <c r="P161" s="290"/>
      <c r="Q161" s="290"/>
      <c r="R161" s="290"/>
      <c r="S161" s="290"/>
      <c r="T161" s="291"/>
      <c r="U161" s="290"/>
      <c r="V161" s="233"/>
      <c r="W161" s="233"/>
      <c r="X161" s="233"/>
      <c r="Y161" s="291"/>
      <c r="Z161" s="233"/>
      <c r="AA161" s="233"/>
      <c r="AB161" s="233"/>
      <c r="AC161" s="233"/>
      <c r="AD161" s="291"/>
      <c r="AE161" s="234"/>
      <c r="AF161" s="234"/>
      <c r="AG161" s="234"/>
      <c r="AH161" s="9"/>
      <c r="AI161" s="9"/>
    </row>
    <row r="162" spans="1:35" ht="12.75" customHeight="1">
      <c r="A162" s="9"/>
      <c r="B162" s="9"/>
      <c r="C162" s="9" t="str">
        <f>Model!C188</f>
        <v>Accrued Liabilities as a % of Operating Expenses</v>
      </c>
      <c r="D162" s="9"/>
      <c r="E162" s="9"/>
      <c r="F162" s="290">
        <f>Model!F188</f>
        <v>0.21394523812785074</v>
      </c>
      <c r="G162" s="290">
        <f>Model!G188</f>
        <v>0.26844198564593302</v>
      </c>
      <c r="H162" s="290">
        <f>Model!H188</f>
        <v>0.36296274729593991</v>
      </c>
      <c r="I162" s="290">
        <f>Model!I188</f>
        <v>0.21624620323885368</v>
      </c>
      <c r="J162" s="291">
        <f>Model!J188</f>
        <v>0.19028462025820433</v>
      </c>
      <c r="K162" s="290">
        <f>Model!K188</f>
        <v>0.21672872264543924</v>
      </c>
      <c r="L162" s="290">
        <f>Model!L188</f>
        <v>0.26751567782937469</v>
      </c>
      <c r="M162" s="290">
        <f>Model!M188</f>
        <v>0.32508799241911468</v>
      </c>
      <c r="N162" s="290">
        <f>Model!N188</f>
        <v>0.20862165599603352</v>
      </c>
      <c r="O162" s="291">
        <f>Model!O188</f>
        <v>0.25134972810648487</v>
      </c>
      <c r="P162" s="290">
        <f>Model!P188</f>
        <v>0.25514609783420467</v>
      </c>
      <c r="Q162" s="290">
        <f>Model!Q188</f>
        <v>0.30240197084787512</v>
      </c>
      <c r="R162" s="290">
        <f>Model!R188</f>
        <v>0.30152692378348589</v>
      </c>
      <c r="S162" s="290">
        <f>Model!S188</f>
        <v>0.2097481240949581</v>
      </c>
      <c r="T162" s="291">
        <f>Model!T188</f>
        <v>0.24116131994319029</v>
      </c>
      <c r="U162" s="290">
        <f>Model!U188</f>
        <v>0.27882313124475916</v>
      </c>
      <c r="V162" s="292">
        <f>IF(Case_Scenario="Bull",V163,IF(Case_Scenario="Base",V164,IF(Case_Scenario="bear",V165,"N/A")))</f>
        <v>0.27500000000000002</v>
      </c>
      <c r="W162" s="292">
        <f>IF(Case_Scenario="Bull",W163,IF(Case_Scenario="Base",W164,IF(Case_Scenario="bear",W165,"N/A")))</f>
        <v>0.27500000000000002</v>
      </c>
      <c r="X162" s="292">
        <f>IF(Case_Scenario="Bull",X163,IF(Case_Scenario="Base",X164,IF(Case_Scenario="bear",X165,"N/A")))</f>
        <v>0.27500000000000002</v>
      </c>
      <c r="Y162" s="291">
        <f>Model!Y188</f>
        <v>0.30411929401501092</v>
      </c>
      <c r="Z162" s="292">
        <f>IF(Case_Scenario="Bull",Z163,IF(Case_Scenario="Base",Z164,IF(Case_Scenario="bear",Z165,"N/A")))</f>
        <v>0.28000000000000003</v>
      </c>
      <c r="AA162" s="292">
        <f>IF(Case_Scenario="Bull",AA163,IF(Case_Scenario="Base",AA164,IF(Case_Scenario="bear",AA165,"N/A")))</f>
        <v>0.28000000000000003</v>
      </c>
      <c r="AB162" s="292">
        <f>IF(Case_Scenario="Bull",AB163,IF(Case_Scenario="Base",AB164,IF(Case_Scenario="bear",AB165,"N/A")))</f>
        <v>0.28000000000000003</v>
      </c>
      <c r="AC162" s="292">
        <f>IF(Case_Scenario="Bull",AC163,IF(Case_Scenario="Base",AC164,IF(Case_Scenario="bear",AC165,"N/A")))</f>
        <v>0.28000000000000003</v>
      </c>
      <c r="AD162" s="291">
        <f>Model!AD188</f>
        <v>0.30030795865944498</v>
      </c>
      <c r="AE162" s="291">
        <f>IF(Case_Scenario="Bull",AE163,IF(Case_Scenario="Base",AE164,IF(Case_Scenario="bear",AE165,"N/A")))</f>
        <v>0.3</v>
      </c>
      <c r="AF162" s="291">
        <f>IF(Case_Scenario="Bull",AF163,IF(Case_Scenario="Base",AF164,IF(Case_Scenario="bear",AF165,"N/A")))</f>
        <v>0.3</v>
      </c>
      <c r="AG162" s="291">
        <f>IF(Case_Scenario="Bull",AG163,IF(Case_Scenario="Base",AG164,IF(Case_Scenario="bear",AG165,"N/A")))</f>
        <v>0.3</v>
      </c>
      <c r="AH162" s="9"/>
      <c r="AI162" s="9"/>
    </row>
    <row r="163" spans="1:35" ht="12.75" customHeight="1">
      <c r="A163" s="9"/>
      <c r="B163" s="9"/>
      <c r="C163" s="103" t="s">
        <v>245</v>
      </c>
      <c r="D163" s="9"/>
      <c r="E163" s="9"/>
      <c r="F163" s="290"/>
      <c r="G163" s="290"/>
      <c r="H163" s="290"/>
      <c r="I163" s="290"/>
      <c r="J163" s="291"/>
      <c r="K163" s="290"/>
      <c r="L163" s="290"/>
      <c r="M163" s="290"/>
      <c r="N163" s="290"/>
      <c r="O163" s="291"/>
      <c r="P163" s="290"/>
      <c r="Q163" s="290"/>
      <c r="R163" s="290"/>
      <c r="S163" s="290"/>
      <c r="T163" s="291"/>
      <c r="U163" s="290"/>
      <c r="V163" s="233">
        <f>V164+0.02</f>
        <v>0.29500000000000004</v>
      </c>
      <c r="W163" s="233">
        <f t="shared" ref="W163:Z163" si="114">W164+0.02</f>
        <v>0.29500000000000004</v>
      </c>
      <c r="X163" s="233">
        <f t="shared" si="114"/>
        <v>0.29500000000000004</v>
      </c>
      <c r="Y163" s="291"/>
      <c r="Z163" s="233">
        <f t="shared" si="114"/>
        <v>0.30000000000000004</v>
      </c>
      <c r="AA163" s="233">
        <f t="shared" ref="AA163" si="115">AA164+0.02</f>
        <v>0.30000000000000004</v>
      </c>
      <c r="AB163" s="233">
        <f t="shared" ref="AB163" si="116">AB164+0.02</f>
        <v>0.30000000000000004</v>
      </c>
      <c r="AC163" s="233">
        <f t="shared" ref="AC163:AE163" si="117">AC164+0.02</f>
        <v>0.30000000000000004</v>
      </c>
      <c r="AD163" s="291"/>
      <c r="AE163" s="870">
        <f t="shared" si="117"/>
        <v>0.32</v>
      </c>
      <c r="AF163" s="870">
        <f t="shared" ref="AF163" si="118">AF164+0.02</f>
        <v>0.32</v>
      </c>
      <c r="AG163" s="870">
        <f t="shared" ref="AG163" si="119">AG164+0.02</f>
        <v>0.32</v>
      </c>
      <c r="AH163" s="9"/>
      <c r="AI163" s="9"/>
    </row>
    <row r="164" spans="1:35" ht="12.75" customHeight="1">
      <c r="A164" s="9"/>
      <c r="B164" s="9"/>
      <c r="C164" s="103" t="s">
        <v>246</v>
      </c>
      <c r="D164" s="9"/>
      <c r="E164" s="9"/>
      <c r="F164" s="290"/>
      <c r="G164" s="290"/>
      <c r="H164" s="290"/>
      <c r="I164" s="290"/>
      <c r="J164" s="291"/>
      <c r="K164" s="290"/>
      <c r="L164" s="290"/>
      <c r="M164" s="290"/>
      <c r="N164" s="290"/>
      <c r="O164" s="291"/>
      <c r="P164" s="290"/>
      <c r="Q164" s="290"/>
      <c r="R164" s="290"/>
      <c r="S164" s="290"/>
      <c r="T164" s="291"/>
      <c r="U164" s="290"/>
      <c r="V164" s="233">
        <v>0.27500000000000002</v>
      </c>
      <c r="W164" s="233">
        <v>0.27500000000000002</v>
      </c>
      <c r="X164" s="233">
        <v>0.27500000000000002</v>
      </c>
      <c r="Y164" s="291"/>
      <c r="Z164" s="233">
        <v>0.28000000000000003</v>
      </c>
      <c r="AA164" s="233">
        <v>0.28000000000000003</v>
      </c>
      <c r="AB164" s="233">
        <v>0.28000000000000003</v>
      </c>
      <c r="AC164" s="233">
        <v>0.28000000000000003</v>
      </c>
      <c r="AD164" s="291"/>
      <c r="AE164" s="234">
        <v>0.3</v>
      </c>
      <c r="AF164" s="234">
        <v>0.3</v>
      </c>
      <c r="AG164" s="234">
        <v>0.3</v>
      </c>
      <c r="AH164" s="9"/>
      <c r="AI164" s="9"/>
    </row>
    <row r="165" spans="1:35" ht="12.75" customHeight="1">
      <c r="A165" s="9"/>
      <c r="B165" s="9"/>
      <c r="C165" s="103" t="s">
        <v>247</v>
      </c>
      <c r="D165" s="9"/>
      <c r="E165" s="9"/>
      <c r="F165" s="290"/>
      <c r="G165" s="290"/>
      <c r="H165" s="290"/>
      <c r="I165" s="290"/>
      <c r="J165" s="291"/>
      <c r="K165" s="290"/>
      <c r="L165" s="290"/>
      <c r="M165" s="290"/>
      <c r="N165" s="290"/>
      <c r="O165" s="291"/>
      <c r="P165" s="290"/>
      <c r="Q165" s="290"/>
      <c r="R165" s="290"/>
      <c r="S165" s="290"/>
      <c r="T165" s="291"/>
      <c r="U165" s="290"/>
      <c r="V165" s="233">
        <f>V164-0.035</f>
        <v>0.24000000000000002</v>
      </c>
      <c r="W165" s="233">
        <f t="shared" ref="W165:Z165" si="120">W164-0.035</f>
        <v>0.24000000000000002</v>
      </c>
      <c r="X165" s="233">
        <f t="shared" si="120"/>
        <v>0.24000000000000002</v>
      </c>
      <c r="Y165" s="291"/>
      <c r="Z165" s="233">
        <f t="shared" si="120"/>
        <v>0.24500000000000002</v>
      </c>
      <c r="AA165" s="233">
        <f t="shared" ref="AA165" si="121">AA164-0.035</f>
        <v>0.24500000000000002</v>
      </c>
      <c r="AB165" s="233">
        <f t="shared" ref="AB165" si="122">AB164-0.035</f>
        <v>0.24500000000000002</v>
      </c>
      <c r="AC165" s="233">
        <f t="shared" ref="AC165:AE165" si="123">AC164-0.035</f>
        <v>0.24500000000000002</v>
      </c>
      <c r="AD165" s="291"/>
      <c r="AE165" s="870">
        <f t="shared" si="123"/>
        <v>0.26500000000000001</v>
      </c>
      <c r="AF165" s="870">
        <f t="shared" ref="AF165" si="124">AF164-0.035</f>
        <v>0.26500000000000001</v>
      </c>
      <c r="AG165" s="870">
        <f t="shared" ref="AG165" si="125">AG164-0.035</f>
        <v>0.26500000000000001</v>
      </c>
      <c r="AH165" s="9"/>
      <c r="AI165" s="9"/>
    </row>
    <row r="166" spans="1:35" ht="12.75" customHeight="1">
      <c r="A166" s="9"/>
      <c r="B166" s="9"/>
      <c r="C166" s="9"/>
      <c r="D166" s="9"/>
      <c r="E166" s="9"/>
      <c r="F166" s="290"/>
      <c r="G166" s="290"/>
      <c r="H166" s="290"/>
      <c r="I166" s="290"/>
      <c r="J166" s="291"/>
      <c r="K166" s="290"/>
      <c r="L166" s="290"/>
      <c r="M166" s="290"/>
      <c r="N166" s="290"/>
      <c r="O166" s="291"/>
      <c r="P166" s="290"/>
      <c r="Q166" s="290"/>
      <c r="R166" s="290"/>
      <c r="S166" s="290"/>
      <c r="T166" s="291"/>
      <c r="U166" s="290"/>
      <c r="V166" s="233"/>
      <c r="W166" s="233"/>
      <c r="X166" s="233"/>
      <c r="Y166" s="291"/>
      <c r="Z166" s="233"/>
      <c r="AA166" s="233"/>
      <c r="AB166" s="233"/>
      <c r="AC166" s="233"/>
      <c r="AD166" s="291"/>
      <c r="AE166" s="234"/>
      <c r="AF166" s="234"/>
      <c r="AG166" s="234"/>
      <c r="AH166" s="9"/>
      <c r="AI166" s="9"/>
    </row>
    <row r="167" spans="1:35" ht="12.75" hidden="1" customHeight="1">
      <c r="A167" s="9"/>
      <c r="B167" s="9"/>
      <c r="C167" s="9" t="str">
        <f>Model!C189</f>
        <v>Other Current Liabilities as a % of Operating Expenses</v>
      </c>
      <c r="D167" s="9"/>
      <c r="E167" s="9"/>
      <c r="F167" s="290">
        <f>Model!F189</f>
        <v>0</v>
      </c>
      <c r="G167" s="290">
        <f>Model!G189</f>
        <v>0</v>
      </c>
      <c r="H167" s="290">
        <f>Model!H189</f>
        <v>0</v>
      </c>
      <c r="I167" s="290">
        <f>Model!I189</f>
        <v>0</v>
      </c>
      <c r="J167" s="291">
        <f>Model!J189</f>
        <v>0</v>
      </c>
      <c r="K167" s="290">
        <f>Model!K189</f>
        <v>0</v>
      </c>
      <c r="L167" s="290">
        <f>Model!L189</f>
        <v>0</v>
      </c>
      <c r="M167" s="290">
        <f>Model!M189</f>
        <v>0</v>
      </c>
      <c r="N167" s="290">
        <f>Model!N189</f>
        <v>0</v>
      </c>
      <c r="O167" s="291">
        <f>Model!O189</f>
        <v>0</v>
      </c>
      <c r="P167" s="290">
        <f>Model!P189</f>
        <v>0</v>
      </c>
      <c r="Q167" s="290">
        <f>Model!Q189</f>
        <v>0</v>
      </c>
      <c r="R167" s="290">
        <f>Model!R189</f>
        <v>0</v>
      </c>
      <c r="S167" s="290">
        <f>Model!S189</f>
        <v>0</v>
      </c>
      <c r="T167" s="291">
        <f>Model!T189</f>
        <v>0</v>
      </c>
      <c r="U167" s="290">
        <f>Model!U189</f>
        <v>0</v>
      </c>
      <c r="V167" s="292">
        <f>IF(Case_Scenario="Bull",V168,IF(Case_Scenario="Base",V169,IF(Case_Scenario="bear",V170,"N/A")))</f>
        <v>0</v>
      </c>
      <c r="W167" s="292">
        <f>IF(Case_Scenario="Bull",W168,IF(Case_Scenario="Base",W169,IF(Case_Scenario="bear",W170,"N/A")))</f>
        <v>0</v>
      </c>
      <c r="X167" s="292">
        <f>IF(Case_Scenario="Bull",X168,IF(Case_Scenario="Base",X169,IF(Case_Scenario="bear",X170,"N/A")))</f>
        <v>0</v>
      </c>
      <c r="Y167" s="291">
        <f>Model!Y189</f>
        <v>0</v>
      </c>
      <c r="Z167" s="292">
        <f>IF(Case_Scenario="Bull",Z168,IF(Case_Scenario="Base",Z169,IF(Case_Scenario="bear",Z170,"N/A")))</f>
        <v>0</v>
      </c>
      <c r="AA167" s="292">
        <f>IF(Case_Scenario="Bull",AA168,IF(Case_Scenario="Base",AA169,IF(Case_Scenario="bear",AA170,"N/A")))</f>
        <v>0</v>
      </c>
      <c r="AB167" s="292">
        <f>IF(Case_Scenario="Bull",AB168,IF(Case_Scenario="Base",AB169,IF(Case_Scenario="bear",AB170,"N/A")))</f>
        <v>0</v>
      </c>
      <c r="AC167" s="292">
        <f>IF(Case_Scenario="Bull",AC168,IF(Case_Scenario="Base",AC169,IF(Case_Scenario="bear",AC170,"N/A")))</f>
        <v>0</v>
      </c>
      <c r="AD167" s="291">
        <f>Model!AD189</f>
        <v>0</v>
      </c>
      <c r="AE167" s="291">
        <f>IF(Case_Scenario="Bull",AE168,IF(Case_Scenario="Base",AE169,IF(Case_Scenario="bear",AE170,"N/A")))</f>
        <v>0</v>
      </c>
      <c r="AF167" s="291">
        <f>IF(Case_Scenario="Bull",AF168,IF(Case_Scenario="Base",AF169,IF(Case_Scenario="bear",AF170,"N/A")))</f>
        <v>0</v>
      </c>
      <c r="AG167" s="291">
        <f>IF(Case_Scenario="Bull",AG168,IF(Case_Scenario="Base",AG169,IF(Case_Scenario="bear",AG170,"N/A")))</f>
        <v>0</v>
      </c>
      <c r="AH167" s="9"/>
      <c r="AI167" s="9"/>
    </row>
    <row r="168" spans="1:35" ht="12.75" hidden="1" customHeight="1">
      <c r="A168" s="9"/>
      <c r="B168" s="9"/>
      <c r="C168" s="103" t="s">
        <v>245</v>
      </c>
      <c r="D168" s="9"/>
      <c r="E168" s="9"/>
      <c r="F168" s="290"/>
      <c r="G168" s="290"/>
      <c r="H168" s="290"/>
      <c r="I168" s="290"/>
      <c r="J168" s="291"/>
      <c r="K168" s="290"/>
      <c r="L168" s="290"/>
      <c r="M168" s="290"/>
      <c r="N168" s="290"/>
      <c r="O168" s="291"/>
      <c r="P168" s="290"/>
      <c r="Q168" s="290"/>
      <c r="R168" s="290"/>
      <c r="S168" s="290"/>
      <c r="T168" s="291"/>
      <c r="U168" s="290"/>
      <c r="V168" s="233">
        <v>0</v>
      </c>
      <c r="W168" s="233">
        <v>0</v>
      </c>
      <c r="X168" s="233">
        <v>0</v>
      </c>
      <c r="Y168" s="291"/>
      <c r="Z168" s="233">
        <v>0</v>
      </c>
      <c r="AA168" s="233">
        <v>0</v>
      </c>
      <c r="AB168" s="233">
        <v>0</v>
      </c>
      <c r="AC168" s="233">
        <v>0</v>
      </c>
      <c r="AD168" s="291"/>
      <c r="AE168" s="234">
        <v>0</v>
      </c>
      <c r="AF168" s="234">
        <v>0</v>
      </c>
      <c r="AG168" s="234">
        <v>0</v>
      </c>
      <c r="AH168" s="9"/>
      <c r="AI168" s="9"/>
    </row>
    <row r="169" spans="1:35" ht="12.75" hidden="1" customHeight="1">
      <c r="A169" s="180" t="s">
        <v>0</v>
      </c>
      <c r="B169" s="180" t="s">
        <v>0</v>
      </c>
      <c r="C169" s="103" t="s">
        <v>246</v>
      </c>
      <c r="D169" s="9"/>
      <c r="E169" s="9"/>
      <c r="F169" s="290"/>
      <c r="G169" s="290"/>
      <c r="H169" s="290"/>
      <c r="I169" s="290"/>
      <c r="J169" s="291"/>
      <c r="K169" s="290"/>
      <c r="L169" s="290"/>
      <c r="M169" s="290"/>
      <c r="N169" s="290"/>
      <c r="O169" s="291"/>
      <c r="P169" s="290"/>
      <c r="Q169" s="290"/>
      <c r="R169" s="290"/>
      <c r="S169" s="290"/>
      <c r="T169" s="291"/>
      <c r="U169" s="290"/>
      <c r="V169" s="233">
        <v>0</v>
      </c>
      <c r="W169" s="233">
        <v>0</v>
      </c>
      <c r="X169" s="233">
        <v>0</v>
      </c>
      <c r="Y169" s="291"/>
      <c r="Z169" s="233">
        <v>0</v>
      </c>
      <c r="AA169" s="233">
        <v>0</v>
      </c>
      <c r="AB169" s="233">
        <v>0</v>
      </c>
      <c r="AC169" s="233">
        <v>0</v>
      </c>
      <c r="AD169" s="291"/>
      <c r="AE169" s="234">
        <v>0</v>
      </c>
      <c r="AF169" s="234">
        <v>0</v>
      </c>
      <c r="AG169" s="234">
        <v>0</v>
      </c>
      <c r="AH169" s="9"/>
      <c r="AI169" s="9"/>
    </row>
    <row r="170" spans="1:35" ht="12.75" hidden="1" customHeight="1">
      <c r="A170" s="9"/>
      <c r="B170" s="9"/>
      <c r="C170" s="103" t="s">
        <v>247</v>
      </c>
      <c r="D170" s="9"/>
      <c r="E170" s="9"/>
      <c r="F170" s="290"/>
      <c r="G170" s="290"/>
      <c r="H170" s="290"/>
      <c r="I170" s="290"/>
      <c r="J170" s="291"/>
      <c r="K170" s="290"/>
      <c r="L170" s="290"/>
      <c r="M170" s="290"/>
      <c r="N170" s="290"/>
      <c r="O170" s="291"/>
      <c r="P170" s="290"/>
      <c r="Q170" s="290"/>
      <c r="R170" s="290"/>
      <c r="S170" s="290"/>
      <c r="T170" s="291"/>
      <c r="U170" s="290"/>
      <c r="V170" s="233">
        <v>0</v>
      </c>
      <c r="W170" s="233">
        <v>0</v>
      </c>
      <c r="X170" s="233">
        <v>0</v>
      </c>
      <c r="Y170" s="291"/>
      <c r="Z170" s="233">
        <v>0</v>
      </c>
      <c r="AA170" s="233">
        <v>0</v>
      </c>
      <c r="AB170" s="233">
        <v>0</v>
      </c>
      <c r="AC170" s="233">
        <v>0</v>
      </c>
      <c r="AD170" s="291"/>
      <c r="AE170" s="234">
        <v>0</v>
      </c>
      <c r="AF170" s="234">
        <v>0</v>
      </c>
      <c r="AG170" s="234">
        <v>0</v>
      </c>
      <c r="AH170" s="9"/>
      <c r="AI170" s="9"/>
    </row>
    <row r="171" spans="1:35" ht="12.75" hidden="1" customHeight="1">
      <c r="A171" s="9"/>
      <c r="B171" s="9"/>
      <c r="C171" s="103"/>
      <c r="D171" s="9"/>
      <c r="E171" s="9"/>
      <c r="F171" s="290"/>
      <c r="G171" s="290"/>
      <c r="H171" s="290"/>
      <c r="I171" s="290"/>
      <c r="J171" s="291"/>
      <c r="K171" s="290"/>
      <c r="L171" s="290"/>
      <c r="M171" s="290"/>
      <c r="N171" s="290"/>
      <c r="O171" s="291"/>
      <c r="P171" s="290"/>
      <c r="Q171" s="290"/>
      <c r="R171" s="290"/>
      <c r="S171" s="290"/>
      <c r="T171" s="291"/>
      <c r="U171" s="290"/>
      <c r="V171" s="233"/>
      <c r="W171" s="233"/>
      <c r="X171" s="233"/>
      <c r="Y171" s="291"/>
      <c r="Z171" s="233"/>
      <c r="AA171" s="233"/>
      <c r="AB171" s="233"/>
      <c r="AC171" s="233"/>
      <c r="AD171" s="291"/>
      <c r="AE171" s="234"/>
      <c r="AF171" s="234"/>
      <c r="AG171" s="234"/>
      <c r="AH171" s="9"/>
      <c r="AI171" s="9"/>
    </row>
    <row r="172" spans="1:35" ht="12.75" customHeight="1">
      <c r="A172" s="180" t="s">
        <v>0</v>
      </c>
      <c r="B172" s="180" t="s">
        <v>0</v>
      </c>
      <c r="C172" s="414" t="s">
        <v>461</v>
      </c>
      <c r="D172" s="415"/>
      <c r="E172" s="415"/>
      <c r="F172" s="416"/>
      <c r="G172" s="417"/>
      <c r="H172" s="417"/>
      <c r="I172" s="417"/>
      <c r="J172" s="417"/>
      <c r="K172" s="417"/>
      <c r="L172" s="417"/>
      <c r="M172" s="417"/>
      <c r="N172" s="417"/>
      <c r="O172" s="417"/>
      <c r="P172" s="417"/>
      <c r="Q172" s="417"/>
      <c r="R172" s="417"/>
      <c r="S172" s="417"/>
      <c r="T172" s="417"/>
      <c r="U172" s="417"/>
      <c r="V172" s="417"/>
      <c r="W172" s="417"/>
      <c r="X172" s="417"/>
      <c r="Y172" s="417"/>
      <c r="Z172" s="417"/>
      <c r="AA172" s="417"/>
      <c r="AB172" s="417"/>
      <c r="AC172" s="417"/>
      <c r="AD172" s="417"/>
      <c r="AE172" s="417"/>
      <c r="AF172" s="417"/>
      <c r="AG172" s="418"/>
      <c r="AH172" s="9"/>
      <c r="AI172" s="9"/>
    </row>
    <row r="173" spans="1:35" ht="12.75" customHeight="1">
      <c r="A173" s="9"/>
      <c r="B173" s="9"/>
      <c r="C173" s="9"/>
      <c r="D173" s="9"/>
      <c r="E173" s="9"/>
      <c r="F173" s="290"/>
      <c r="G173" s="290"/>
      <c r="H173" s="290"/>
      <c r="I173" s="290"/>
      <c r="J173" s="291"/>
      <c r="K173" s="290"/>
      <c r="L173" s="290"/>
      <c r="M173" s="290"/>
      <c r="N173" s="290"/>
      <c r="O173" s="291"/>
      <c r="P173" s="290"/>
      <c r="Q173" s="290"/>
      <c r="R173" s="290"/>
      <c r="S173" s="290"/>
      <c r="T173" s="291"/>
      <c r="U173" s="290"/>
      <c r="V173" s="292"/>
      <c r="W173" s="292"/>
      <c r="X173" s="292"/>
      <c r="Y173" s="291"/>
      <c r="Z173" s="292"/>
      <c r="AA173" s="292"/>
      <c r="AB173" s="292"/>
      <c r="AC173" s="292"/>
      <c r="AD173" s="291"/>
      <c r="AE173" s="132"/>
      <c r="AF173" s="132"/>
      <c r="AG173" s="132"/>
      <c r="AH173" s="9"/>
      <c r="AI173" s="9"/>
    </row>
    <row r="174" spans="1:35" ht="12.75" customHeight="1">
      <c r="A174" s="9"/>
      <c r="B174" s="9"/>
      <c r="C174" s="9" t="str">
        <f>Model!C309</f>
        <v>Issuance of Debt</v>
      </c>
      <c r="D174" s="9"/>
      <c r="E174" s="9"/>
      <c r="F174" s="266">
        <f>Model!F309</f>
        <v>0</v>
      </c>
      <c r="G174" s="266">
        <f>Model!G309</f>
        <v>0</v>
      </c>
      <c r="H174" s="266">
        <f>Model!H309</f>
        <v>5.0109999999999957</v>
      </c>
      <c r="I174" s="266">
        <f>Model!I309</f>
        <v>14.406999999999982</v>
      </c>
      <c r="J174" s="197">
        <f>F174</f>
        <v>0</v>
      </c>
      <c r="K174" s="266">
        <f>Model!K309</f>
        <v>0</v>
      </c>
      <c r="L174" s="266">
        <f>Model!L309</f>
        <v>0</v>
      </c>
      <c r="M174" s="266">
        <f>Model!M309</f>
        <v>0</v>
      </c>
      <c r="N174" s="266">
        <f>Model!N309</f>
        <v>0</v>
      </c>
      <c r="O174" s="197">
        <f>K174</f>
        <v>0</v>
      </c>
      <c r="P174" s="266">
        <f>Model!P309</f>
        <v>0</v>
      </c>
      <c r="Q174" s="266">
        <f>Model!Q309</f>
        <v>0</v>
      </c>
      <c r="R174" s="266">
        <f>Model!R309</f>
        <v>97.052999999999997</v>
      </c>
      <c r="S174" s="266">
        <f>Model!S309</f>
        <v>0</v>
      </c>
      <c r="T174" s="197">
        <f>P174</f>
        <v>0</v>
      </c>
      <c r="U174" s="266">
        <f>Model!U309</f>
        <v>0</v>
      </c>
      <c r="V174" s="201">
        <f>IF(Case_Scenario="Bull",V175,IF(Case_Scenario="Base",V176,IF(Case_Scenario="bear",V177,"N/A")))</f>
        <v>0</v>
      </c>
      <c r="W174" s="201">
        <f>IF(Case_Scenario="Bull",W175,IF(Case_Scenario="Base",W176,IF(Case_Scenario="bear",W177,"N/A")))</f>
        <v>0</v>
      </c>
      <c r="X174" s="201">
        <f>IF(Case_Scenario="Bull",X175,IF(Case_Scenario="Base",X176,IF(Case_Scenario="bear",X177,"N/A")))</f>
        <v>0</v>
      </c>
      <c r="Y174" s="197">
        <f>SUM(U174:X174)</f>
        <v>0</v>
      </c>
      <c r="Z174" s="201">
        <f>IF(Case_Scenario="Bull",Z175,IF(Case_Scenario="Base",Z176,IF(Case_Scenario="bear",Z177,"N/A")))</f>
        <v>0</v>
      </c>
      <c r="AA174" s="201">
        <f>IF(Case_Scenario="Bull",AA175,IF(Case_Scenario="Base",AA176,IF(Case_Scenario="bear",AA177,"N/A")))</f>
        <v>0</v>
      </c>
      <c r="AB174" s="201">
        <f>IF(Case_Scenario="Bull",AB175,IF(Case_Scenario="Base",AB176,IF(Case_Scenario="bear",AB177,"N/A")))</f>
        <v>0</v>
      </c>
      <c r="AC174" s="201">
        <f>IF(Case_Scenario="Bull",AC175,IF(Case_Scenario="Base",AC176,IF(Case_Scenario="bear",AC177,"N/A")))</f>
        <v>0</v>
      </c>
      <c r="AD174" s="197">
        <f>SUM(Z174:AC174)</f>
        <v>0</v>
      </c>
      <c r="AE174" s="202">
        <f>IF(Case_Scenario="Bull",AE175,IF(Case_Scenario="Base",AE176,IF(Case_Scenario="bear",AE177,"N/A")))</f>
        <v>0</v>
      </c>
      <c r="AF174" s="202">
        <f>IF(Case_Scenario="Bull",AF175,IF(Case_Scenario="Base",AF176,IF(Case_Scenario="bear",AF177,"N/A")))</f>
        <v>0</v>
      </c>
      <c r="AG174" s="202">
        <f>IF(Case_Scenario="Bull",AG175,IF(Case_Scenario="Base",AG176,IF(Case_Scenario="bear",AG177,"N/A")))</f>
        <v>0</v>
      </c>
      <c r="AH174" s="180" t="s">
        <v>0</v>
      </c>
      <c r="AI174" s="180"/>
    </row>
    <row r="175" spans="1:35" ht="12.75" customHeight="1">
      <c r="A175" s="9"/>
      <c r="B175" s="9"/>
      <c r="C175" s="103" t="s">
        <v>245</v>
      </c>
      <c r="D175" s="9"/>
      <c r="E175" s="9"/>
      <c r="F175" s="290"/>
      <c r="G175" s="290"/>
      <c r="H175" s="290"/>
      <c r="I175" s="290"/>
      <c r="J175" s="291"/>
      <c r="K175" s="290"/>
      <c r="L175" s="290"/>
      <c r="M175" s="290"/>
      <c r="N175" s="290"/>
      <c r="O175" s="291"/>
      <c r="P175" s="290"/>
      <c r="Q175" s="290"/>
      <c r="R175" s="290"/>
      <c r="S175" s="290"/>
      <c r="T175" s="291"/>
      <c r="U175" s="290"/>
      <c r="V175" s="428">
        <v>0</v>
      </c>
      <c r="W175" s="428">
        <v>0</v>
      </c>
      <c r="X175" s="428">
        <v>0</v>
      </c>
      <c r="Y175" s="291"/>
      <c r="Z175" s="428">
        <v>0</v>
      </c>
      <c r="AA175" s="428">
        <v>0</v>
      </c>
      <c r="AB175" s="428">
        <v>0</v>
      </c>
      <c r="AC175" s="428">
        <v>0</v>
      </c>
      <c r="AD175" s="291"/>
      <c r="AE175" s="429">
        <v>0</v>
      </c>
      <c r="AF175" s="429">
        <v>0</v>
      </c>
      <c r="AG175" s="429">
        <v>0</v>
      </c>
      <c r="AH175" s="9"/>
      <c r="AI175" s="9"/>
    </row>
    <row r="176" spans="1:35" ht="12.75" customHeight="1">
      <c r="A176" s="9"/>
      <c r="B176" s="9"/>
      <c r="C176" s="103" t="s">
        <v>246</v>
      </c>
      <c r="D176" s="9"/>
      <c r="E176" s="9"/>
      <c r="F176" s="290"/>
      <c r="G176" s="290"/>
      <c r="H176" s="290"/>
      <c r="I176" s="290"/>
      <c r="J176" s="291"/>
      <c r="K176" s="290"/>
      <c r="L176" s="290"/>
      <c r="M176" s="290"/>
      <c r="N176" s="290"/>
      <c r="O176" s="291"/>
      <c r="P176" s="290"/>
      <c r="Q176" s="290"/>
      <c r="R176" s="290"/>
      <c r="S176" s="290"/>
      <c r="T176" s="291"/>
      <c r="U176" s="290"/>
      <c r="V176" s="428">
        <v>0</v>
      </c>
      <c r="W176" s="428">
        <v>0</v>
      </c>
      <c r="X176" s="428">
        <v>0</v>
      </c>
      <c r="Y176" s="291"/>
      <c r="Z176" s="428">
        <v>0</v>
      </c>
      <c r="AA176" s="428">
        <v>0</v>
      </c>
      <c r="AB176" s="428">
        <v>0</v>
      </c>
      <c r="AC176" s="428">
        <v>0</v>
      </c>
      <c r="AD176" s="291"/>
      <c r="AE176" s="429">
        <v>0</v>
      </c>
      <c r="AF176" s="429">
        <v>0</v>
      </c>
      <c r="AG176" s="429">
        <v>0</v>
      </c>
      <c r="AH176" s="9"/>
      <c r="AI176" s="9"/>
    </row>
    <row r="177" spans="1:35" ht="12.75" customHeight="1">
      <c r="A177" s="9"/>
      <c r="B177" s="9"/>
      <c r="C177" s="103" t="s">
        <v>247</v>
      </c>
      <c r="D177" s="9"/>
      <c r="E177" s="9"/>
      <c r="F177" s="290"/>
      <c r="G177" s="290"/>
      <c r="H177" s="290"/>
      <c r="I177" s="290"/>
      <c r="J177" s="291"/>
      <c r="K177" s="290"/>
      <c r="L177" s="290"/>
      <c r="M177" s="290"/>
      <c r="N177" s="290"/>
      <c r="O177" s="291"/>
      <c r="P177" s="290"/>
      <c r="Q177" s="290"/>
      <c r="R177" s="290"/>
      <c r="S177" s="290"/>
      <c r="T177" s="291"/>
      <c r="U177" s="290"/>
      <c r="V177" s="428">
        <v>0</v>
      </c>
      <c r="W177" s="428">
        <v>0</v>
      </c>
      <c r="X177" s="428">
        <v>0</v>
      </c>
      <c r="Y177" s="291"/>
      <c r="Z177" s="428">
        <v>0</v>
      </c>
      <c r="AA177" s="428">
        <v>0</v>
      </c>
      <c r="AB177" s="428">
        <v>0</v>
      </c>
      <c r="AC177" s="428">
        <v>0</v>
      </c>
      <c r="AD177" s="291"/>
      <c r="AE177" s="429">
        <v>0</v>
      </c>
      <c r="AF177" s="429">
        <v>0</v>
      </c>
      <c r="AG177" s="429">
        <v>0</v>
      </c>
      <c r="AH177" s="9"/>
      <c r="AI177" s="9"/>
    </row>
    <row r="178" spans="1:35" ht="12.75" customHeight="1">
      <c r="A178" s="9"/>
      <c r="B178" s="9"/>
      <c r="C178" s="103"/>
      <c r="D178" s="9"/>
      <c r="E178" s="9"/>
      <c r="F178" s="290"/>
      <c r="G178" s="290"/>
      <c r="H178" s="290"/>
      <c r="I178" s="290"/>
      <c r="J178" s="291"/>
      <c r="K178" s="290"/>
      <c r="L178" s="290"/>
      <c r="M178" s="290"/>
      <c r="N178" s="290"/>
      <c r="O178" s="291"/>
      <c r="P178" s="290"/>
      <c r="Q178" s="290"/>
      <c r="R178" s="290"/>
      <c r="S178" s="290"/>
      <c r="T178" s="291"/>
      <c r="U178" s="290"/>
      <c r="V178" s="428"/>
      <c r="W178" s="428"/>
      <c r="X178" s="428"/>
      <c r="Y178" s="291"/>
      <c r="Z178" s="428"/>
      <c r="AA178" s="428"/>
      <c r="AB178" s="428"/>
      <c r="AC178" s="428"/>
      <c r="AD178" s="291"/>
      <c r="AE178" s="430"/>
      <c r="AF178" s="430"/>
      <c r="AG178" s="430"/>
      <c r="AH178" s="9"/>
      <c r="AI178" s="9"/>
    </row>
    <row r="179" spans="1:35" ht="12.75" customHeight="1">
      <c r="A179" s="9"/>
      <c r="B179" s="9"/>
      <c r="C179" s="9" t="str">
        <f>Model!C310</f>
        <v>Repayment of Debt</v>
      </c>
      <c r="D179" s="9"/>
      <c r="E179" s="9"/>
      <c r="F179" s="266">
        <f>Model!F310</f>
        <v>0</v>
      </c>
      <c r="G179" s="266">
        <f>Model!G310</f>
        <v>-26.769999999999982</v>
      </c>
      <c r="H179" s="266">
        <f>Model!H310</f>
        <v>0</v>
      </c>
      <c r="I179" s="266">
        <f>Model!I310</f>
        <v>0</v>
      </c>
      <c r="J179" s="197">
        <f>Model!J310</f>
        <v>-7.3520000000000039</v>
      </c>
      <c r="K179" s="266">
        <f>Model!K310</f>
        <v>-15.593999999999994</v>
      </c>
      <c r="L179" s="266">
        <f>Model!L310</f>
        <v>-0.59299999999998931</v>
      </c>
      <c r="M179" s="266">
        <f>Model!M310</f>
        <v>-0.59399999999999409</v>
      </c>
      <c r="N179" s="266">
        <f>Model!N310</f>
        <v>-0.59300000000001774</v>
      </c>
      <c r="O179" s="197">
        <f>Model!O310</f>
        <v>-17.373999999999995</v>
      </c>
      <c r="P179" s="266">
        <f>Model!P310</f>
        <v>-0.59399999999999409</v>
      </c>
      <c r="Q179" s="266">
        <f>Model!Q310</f>
        <v>-0.59399999999999409</v>
      </c>
      <c r="R179" s="266">
        <f>Model!R310</f>
        <v>0</v>
      </c>
      <c r="S179" s="266">
        <f>Model!S310</f>
        <v>-1.7210000000000036</v>
      </c>
      <c r="T179" s="197">
        <f>Model!T310</f>
        <v>0</v>
      </c>
      <c r="U179" s="266">
        <f>Model!U310</f>
        <v>-1.7210000000000036</v>
      </c>
      <c r="V179" s="201">
        <f>IF(Case_Scenario="Bull",V180,IF(Case_Scenario="Base",V181,IF(Case_Scenario="bear",V182,"N/A")))</f>
        <v>-1.5</v>
      </c>
      <c r="W179" s="201">
        <f>IF(Case_Scenario="Bull",W180,IF(Case_Scenario="Base",W181,IF(Case_Scenario="bear",W182,"N/A")))</f>
        <v>-1.5</v>
      </c>
      <c r="X179" s="201">
        <f>IF(Case_Scenario="Bull",X180,IF(Case_Scenario="Base",X181,IF(Case_Scenario="bear",X182,"N/A")))</f>
        <v>-1.5</v>
      </c>
      <c r="Y179" s="197">
        <f>SUM(U179:X179)</f>
        <v>-6.2210000000000036</v>
      </c>
      <c r="Z179" s="201">
        <f>IF(Case_Scenario="Bull",Z180,IF(Case_Scenario="Base",Z181,IF(Case_Scenario="bear",Z182,"N/A")))</f>
        <v>-1.5</v>
      </c>
      <c r="AA179" s="201">
        <f>IF(Case_Scenario="Bull",AA180,IF(Case_Scenario="Base",AA181,IF(Case_Scenario="bear",AA182,"N/A")))</f>
        <v>-1.5</v>
      </c>
      <c r="AB179" s="201">
        <f>IF(Case_Scenario="Bull",AB180,IF(Case_Scenario="Base",AB181,IF(Case_Scenario="bear",AB182,"N/A")))</f>
        <v>-1.5</v>
      </c>
      <c r="AC179" s="201">
        <f>IF(Case_Scenario="Bull",AC180,IF(Case_Scenario="Base",AC181,IF(Case_Scenario="bear",AC182,"N/A")))</f>
        <v>-1.5</v>
      </c>
      <c r="AD179" s="197">
        <f>SUM(Z179:AC179)</f>
        <v>-6</v>
      </c>
      <c r="AE179" s="202">
        <f>IF(Case_Scenario="Bull",AE180,IF(Case_Scenario="Base",AE181,IF(Case_Scenario="bear",AE182,"N/A")))</f>
        <v>-6</v>
      </c>
      <c r="AF179" s="202">
        <f>IF(Case_Scenario="Bull",AF180,IF(Case_Scenario="Base",AF181,IF(Case_Scenario="bear",AF182,"N/A")))</f>
        <v>-6</v>
      </c>
      <c r="AG179" s="202">
        <f>IF(Case_Scenario="Bull",AG180,IF(Case_Scenario="Base",AG181,IF(Case_Scenario="bear",AG182,"N/A")))</f>
        <v>-6</v>
      </c>
      <c r="AH179" s="9"/>
      <c r="AI179" s="9"/>
    </row>
    <row r="180" spans="1:35" ht="12.75" customHeight="1">
      <c r="A180" s="9"/>
      <c r="B180" s="9"/>
      <c r="C180" s="103" t="s">
        <v>245</v>
      </c>
      <c r="D180" s="9"/>
      <c r="E180" s="9"/>
      <c r="F180" s="290"/>
      <c r="G180" s="290"/>
      <c r="H180" s="290"/>
      <c r="I180" s="290"/>
      <c r="J180" s="291"/>
      <c r="K180" s="290"/>
      <c r="L180" s="290"/>
      <c r="M180" s="290"/>
      <c r="N180" s="290"/>
      <c r="O180" s="291"/>
      <c r="P180" s="290"/>
      <c r="Q180" s="290"/>
      <c r="R180" s="290"/>
      <c r="S180" s="290"/>
      <c r="T180" s="291"/>
      <c r="U180" s="290"/>
      <c r="V180" s="431">
        <f>V181-0.25</f>
        <v>-1.75</v>
      </c>
      <c r="W180" s="431">
        <f t="shared" ref="W180:X180" si="126">W181-0.25</f>
        <v>-1.75</v>
      </c>
      <c r="X180" s="431">
        <f t="shared" si="126"/>
        <v>-1.75</v>
      </c>
      <c r="Y180" s="291"/>
      <c r="Z180" s="431">
        <f>Z181-0.25</f>
        <v>-1.75</v>
      </c>
      <c r="AA180" s="431">
        <f t="shared" ref="AA180:AC180" si="127">AA181-0.25</f>
        <v>-1.75</v>
      </c>
      <c r="AB180" s="431">
        <f t="shared" si="127"/>
        <v>-1.75</v>
      </c>
      <c r="AC180" s="431">
        <f t="shared" si="127"/>
        <v>-1.75</v>
      </c>
      <c r="AD180" s="291"/>
      <c r="AE180" s="432">
        <f>AE181-0.5</f>
        <v>-6.5</v>
      </c>
      <c r="AF180" s="432">
        <f t="shared" ref="AF180:AG180" si="128">AF181-0.5</f>
        <v>-6.5</v>
      </c>
      <c r="AG180" s="432">
        <f t="shared" si="128"/>
        <v>-6.5</v>
      </c>
      <c r="AH180" s="9"/>
      <c r="AI180" s="9"/>
    </row>
    <row r="181" spans="1:35" ht="12.75" customHeight="1">
      <c r="A181" s="9"/>
      <c r="B181" s="9"/>
      <c r="C181" s="103" t="s">
        <v>246</v>
      </c>
      <c r="D181" s="9"/>
      <c r="E181" s="9"/>
      <c r="F181" s="290"/>
      <c r="G181" s="290"/>
      <c r="H181" s="290"/>
      <c r="I181" s="290"/>
      <c r="J181" s="291"/>
      <c r="K181" s="290"/>
      <c r="L181" s="290"/>
      <c r="M181" s="290"/>
      <c r="N181" s="290"/>
      <c r="O181" s="291"/>
      <c r="P181" s="290"/>
      <c r="Q181" s="290"/>
      <c r="R181" s="290"/>
      <c r="S181" s="290"/>
      <c r="T181" s="291"/>
      <c r="U181" s="290"/>
      <c r="V181" s="431">
        <v>-1.5</v>
      </c>
      <c r="W181" s="431">
        <v>-1.5</v>
      </c>
      <c r="X181" s="431">
        <v>-1.5</v>
      </c>
      <c r="Y181" s="291"/>
      <c r="Z181" s="431">
        <v>-1.5</v>
      </c>
      <c r="AA181" s="431">
        <v>-1.5</v>
      </c>
      <c r="AB181" s="431">
        <v>-1.5</v>
      </c>
      <c r="AC181" s="431">
        <v>-1.5</v>
      </c>
      <c r="AD181" s="291"/>
      <c r="AE181" s="432">
        <v>-6</v>
      </c>
      <c r="AF181" s="432">
        <v>-6</v>
      </c>
      <c r="AG181" s="432">
        <v>-6</v>
      </c>
      <c r="AH181" s="9"/>
      <c r="AI181" s="9"/>
    </row>
    <row r="182" spans="1:35" ht="12.75" customHeight="1">
      <c r="A182" s="9"/>
      <c r="B182" s="9"/>
      <c r="C182" s="103" t="s">
        <v>247</v>
      </c>
      <c r="D182" s="9"/>
      <c r="E182" s="9"/>
      <c r="F182" s="290"/>
      <c r="G182" s="290"/>
      <c r="H182" s="290"/>
      <c r="I182" s="290"/>
      <c r="J182" s="291"/>
      <c r="K182" s="290"/>
      <c r="L182" s="290"/>
      <c r="M182" s="290"/>
      <c r="N182" s="290"/>
      <c r="O182" s="291"/>
      <c r="P182" s="290"/>
      <c r="Q182" s="290"/>
      <c r="R182" s="290"/>
      <c r="S182" s="290"/>
      <c r="T182" s="291"/>
      <c r="U182" s="290"/>
      <c r="V182" s="431">
        <f>V181+0.25</f>
        <v>-1.25</v>
      </c>
      <c r="W182" s="431">
        <f t="shared" ref="W182:X182" si="129">W181+0.25</f>
        <v>-1.25</v>
      </c>
      <c r="X182" s="431">
        <f t="shared" si="129"/>
        <v>-1.25</v>
      </c>
      <c r="Y182" s="291"/>
      <c r="Z182" s="431">
        <f>Z181+0.25</f>
        <v>-1.25</v>
      </c>
      <c r="AA182" s="431">
        <f t="shared" ref="AA182:AC182" si="130">AA181+0.25</f>
        <v>-1.25</v>
      </c>
      <c r="AB182" s="431">
        <f t="shared" si="130"/>
        <v>-1.25</v>
      </c>
      <c r="AC182" s="431">
        <f t="shared" si="130"/>
        <v>-1.25</v>
      </c>
      <c r="AD182" s="291"/>
      <c r="AE182" s="432">
        <f>AE181+0.5</f>
        <v>-5.5</v>
      </c>
      <c r="AF182" s="432">
        <f t="shared" ref="AF182:AG182" si="131">AF181+0.5</f>
        <v>-5.5</v>
      </c>
      <c r="AG182" s="432">
        <f t="shared" si="131"/>
        <v>-5.5</v>
      </c>
      <c r="AH182" s="9"/>
      <c r="AI182" s="9"/>
    </row>
    <row r="183" spans="1:35" s="9" customFormat="1" ht="12.75" customHeight="1">
      <c r="C183" s="103"/>
      <c r="F183" s="290"/>
      <c r="G183" s="290"/>
      <c r="H183" s="290"/>
      <c r="I183" s="290"/>
      <c r="J183" s="291"/>
      <c r="K183" s="290"/>
      <c r="L183" s="290"/>
      <c r="M183" s="290"/>
      <c r="N183" s="290"/>
      <c r="O183" s="291"/>
      <c r="P183" s="290"/>
      <c r="Q183" s="290"/>
      <c r="R183" s="290"/>
      <c r="S183" s="290"/>
      <c r="T183" s="291"/>
      <c r="U183" s="290"/>
      <c r="V183" s="431"/>
      <c r="W183" s="431"/>
      <c r="X183" s="431"/>
      <c r="Y183" s="291"/>
      <c r="Z183" s="431"/>
      <c r="AA183" s="431"/>
      <c r="AB183" s="431"/>
      <c r="AC183" s="431"/>
      <c r="AD183" s="291"/>
      <c r="AE183" s="432"/>
      <c r="AF183" s="432"/>
      <c r="AG183" s="432"/>
    </row>
    <row r="184" spans="1:35" ht="12.75" customHeight="1">
      <c r="A184" s="9"/>
      <c r="B184" s="9"/>
      <c r="C184" s="263" t="s">
        <v>462</v>
      </c>
      <c r="D184" s="286"/>
      <c r="E184" s="286"/>
      <c r="F184" s="264" t="str">
        <f>Model!F$25</f>
        <v>1Q23</v>
      </c>
      <c r="G184" s="138" t="str">
        <f>Model!G$25</f>
        <v>2Q23</v>
      </c>
      <c r="H184" s="138" t="str">
        <f>Model!H$25</f>
        <v>3Q23</v>
      </c>
      <c r="I184" s="138" t="str">
        <f>Model!I$25</f>
        <v>4Q23</v>
      </c>
      <c r="J184" s="138">
        <f>Model!J$25</f>
        <v>2023</v>
      </c>
      <c r="K184" s="138" t="str">
        <f>Model!K$25</f>
        <v>1Q24</v>
      </c>
      <c r="L184" s="138" t="str">
        <f>Model!L$25</f>
        <v>2Q24</v>
      </c>
      <c r="M184" s="138" t="str">
        <f>Model!M$25</f>
        <v>3Q24</v>
      </c>
      <c r="N184" s="138" t="str">
        <f>Model!N$25</f>
        <v>4Q24</v>
      </c>
      <c r="O184" s="138">
        <f>Model!O$25</f>
        <v>2024</v>
      </c>
      <c r="P184" s="138" t="str">
        <f>Model!P$25</f>
        <v>1Q25</v>
      </c>
      <c r="Q184" s="138" t="str">
        <f>Model!Q$25</f>
        <v>2Q25</v>
      </c>
      <c r="R184" s="138" t="str">
        <f>Model!R$25</f>
        <v>3Q25</v>
      </c>
      <c r="S184" s="138" t="str">
        <f>Model!S$25</f>
        <v>4Q25</v>
      </c>
      <c r="T184" s="138">
        <f>Model!T$25</f>
        <v>2025</v>
      </c>
      <c r="U184" s="138" t="str">
        <f>Model!U$25</f>
        <v>1Q26</v>
      </c>
      <c r="V184" s="138" t="str">
        <f>Model!V$25</f>
        <v>2Q26e</v>
      </c>
      <c r="W184" s="138" t="str">
        <f>Model!W$25</f>
        <v>3Q26e</v>
      </c>
      <c r="X184" s="138" t="str">
        <f>Model!X$25</f>
        <v>4Q26e</v>
      </c>
      <c r="Y184" s="138" t="str">
        <f>Model!Y$25</f>
        <v>2026e</v>
      </c>
      <c r="Z184" s="138" t="str">
        <f>Model!Z$25</f>
        <v>1Q27e</v>
      </c>
      <c r="AA184" s="138" t="str">
        <f>Model!AA$25</f>
        <v>2Q27e</v>
      </c>
      <c r="AB184" s="138" t="str">
        <f>Model!AB$25</f>
        <v>3Q27e</v>
      </c>
      <c r="AC184" s="138" t="str">
        <f>Model!AC$25</f>
        <v>4Q27e</v>
      </c>
      <c r="AD184" s="138" t="str">
        <f>Model!AD$25</f>
        <v>2027e</v>
      </c>
      <c r="AE184" s="138" t="str">
        <f>Model!AE$25</f>
        <v>2028e</v>
      </c>
      <c r="AF184" s="138" t="str">
        <f>Model!AF$25</f>
        <v>2029e</v>
      </c>
      <c r="AG184" s="265" t="str">
        <f>Model!AG$25</f>
        <v>2030e</v>
      </c>
      <c r="AH184" s="9"/>
      <c r="AI184" s="9"/>
    </row>
    <row r="185" spans="1:35" ht="12.75" customHeight="1">
      <c r="A185" s="9"/>
      <c r="B185" s="9"/>
      <c r="C185" s="414" t="s">
        <v>463</v>
      </c>
      <c r="D185" s="415"/>
      <c r="E185" s="415"/>
      <c r="F185" s="416"/>
      <c r="G185" s="417"/>
      <c r="H185" s="417"/>
      <c r="I185" s="417"/>
      <c r="J185" s="417"/>
      <c r="K185" s="417"/>
      <c r="L185" s="417"/>
      <c r="M185" s="417"/>
      <c r="N185" s="417"/>
      <c r="O185" s="417"/>
      <c r="P185" s="417"/>
      <c r="Q185" s="417"/>
      <c r="R185" s="417"/>
      <c r="S185" s="417"/>
      <c r="T185" s="417"/>
      <c r="U185" s="417"/>
      <c r="V185" s="417"/>
      <c r="W185" s="417"/>
      <c r="X185" s="417"/>
      <c r="Y185" s="417"/>
      <c r="Z185" s="417"/>
      <c r="AA185" s="417"/>
      <c r="AB185" s="417"/>
      <c r="AC185" s="417"/>
      <c r="AD185" s="417"/>
      <c r="AE185" s="417"/>
      <c r="AF185" s="417"/>
      <c r="AG185" s="418"/>
      <c r="AH185" s="9"/>
      <c r="AI185" s="9"/>
    </row>
    <row r="186" spans="1:35" ht="12.75" customHeight="1">
      <c r="A186" s="9"/>
      <c r="B186" s="9"/>
      <c r="C186" s="103"/>
      <c r="D186" s="9"/>
      <c r="E186" s="9"/>
      <c r="F186" s="290"/>
      <c r="G186" s="290"/>
      <c r="H186" s="290"/>
      <c r="I186" s="290"/>
      <c r="J186" s="291"/>
      <c r="K186" s="290"/>
      <c r="L186" s="290"/>
      <c r="M186" s="290"/>
      <c r="N186" s="290"/>
      <c r="O186" s="291"/>
      <c r="P186" s="290"/>
      <c r="Q186" s="290"/>
      <c r="R186" s="290"/>
      <c r="S186" s="290"/>
      <c r="T186" s="291"/>
      <c r="U186" s="290"/>
      <c r="V186" s="431"/>
      <c r="W186" s="431"/>
      <c r="X186" s="431"/>
      <c r="Y186" s="291"/>
      <c r="Z186" s="431"/>
      <c r="AA186" s="431"/>
      <c r="AB186" s="431"/>
      <c r="AC186" s="431"/>
      <c r="AD186" s="291"/>
      <c r="AE186" s="432"/>
      <c r="AF186" s="432"/>
      <c r="AG186" s="432"/>
      <c r="AH186" s="9"/>
      <c r="AI186" s="9"/>
    </row>
    <row r="187" spans="1:35" ht="12.75" customHeight="1">
      <c r="A187" s="9"/>
      <c r="B187" s="9"/>
      <c r="C187" s="9" t="str">
        <f>Model!C273</f>
        <v>Share Repurchase Guidance</v>
      </c>
      <c r="D187" s="9"/>
      <c r="E187" s="9"/>
      <c r="F187" s="266">
        <f>Model!F273</f>
        <v>2.7E-2</v>
      </c>
      <c r="G187" s="266">
        <f>Model!G273</f>
        <v>1.2929999999999999</v>
      </c>
      <c r="H187" s="266">
        <f>Model!H273</f>
        <v>0.99099999999999999</v>
      </c>
      <c r="I187" s="266">
        <f>Model!I273</f>
        <v>35.061</v>
      </c>
      <c r="J187" s="197">
        <f>Model!J273</f>
        <v>37.372</v>
      </c>
      <c r="K187" s="266">
        <f>Model!K273</f>
        <v>2.5000000000000001E-2</v>
      </c>
      <c r="L187" s="266">
        <f>Model!L273</f>
        <v>3.08</v>
      </c>
      <c r="M187" s="266">
        <f>Model!M273</f>
        <v>0.505</v>
      </c>
      <c r="N187" s="266">
        <f>Model!N273</f>
        <v>34.947000000000003</v>
      </c>
      <c r="O187" s="197">
        <f>Model!O273</f>
        <v>38.557000000000002</v>
      </c>
      <c r="P187" s="266">
        <f>Model!P273</f>
        <v>1.6E-2</v>
      </c>
      <c r="Q187" s="266">
        <f>Model!Q273</f>
        <v>2.96</v>
      </c>
      <c r="R187" s="266">
        <f>Model!R273</f>
        <v>1.6E-2</v>
      </c>
      <c r="S187" s="266">
        <f>Model!S273</f>
        <v>32.283999999999999</v>
      </c>
      <c r="T187" s="197">
        <f>Model!T273</f>
        <v>35.275999999999996</v>
      </c>
      <c r="U187" s="266">
        <f>Model!U273</f>
        <v>1.7999999999999999E-2</v>
      </c>
      <c r="V187" s="427">
        <f>IF(Case_Scenario="Bull",V188,IF(Case_Scenario="Base",V189,IF(Case_Scenario="bear",V190,"N/A")))</f>
        <v>0</v>
      </c>
      <c r="W187" s="427">
        <f>IF(Case_Scenario="Bull",W188,IF(Case_Scenario="Base",W189,IF(Case_Scenario="bear",W190,"N/A")))</f>
        <v>0</v>
      </c>
      <c r="X187" s="427">
        <f>IF(Case_Scenario="Bull",X188,IF(Case_Scenario="Base",X189,IF(Case_Scenario="bear",X190,"N/A")))</f>
        <v>35</v>
      </c>
      <c r="Y187" s="197">
        <f>SUM(U187:X187)</f>
        <v>35.018000000000001</v>
      </c>
      <c r="Z187" s="427">
        <f>IF(Case_Scenario="Bull",Z188,IF(Case_Scenario="Base",Z189,IF(Case_Scenario="bear",Z190,"N/A")))</f>
        <v>0</v>
      </c>
      <c r="AA187" s="427">
        <f>IF(Case_Scenario="Bull",AA188,IF(Case_Scenario="Base",AA189,IF(Case_Scenario="bear",AA190,"N/A")))</f>
        <v>0</v>
      </c>
      <c r="AB187" s="427">
        <f>IF(Case_Scenario="Bull",AB188,IF(Case_Scenario="Base",AB189,IF(Case_Scenario="bear",AB190,"N/A")))</f>
        <v>0</v>
      </c>
      <c r="AC187" s="427">
        <f>IF(Case_Scenario="Bull",AC188,IF(Case_Scenario="Base",AC189,IF(Case_Scenario="bear",AC190,"N/A")))</f>
        <v>35</v>
      </c>
      <c r="AD187" s="197">
        <f>SUM(Z187:AC187)</f>
        <v>35</v>
      </c>
      <c r="AE187" s="202">
        <f>IF(Case_Scenario="Bull",AE188,IF(Case_Scenario="Base",AE189,IF(Case_Scenario="bear",AE190,"N/A")))</f>
        <v>35</v>
      </c>
      <c r="AF187" s="202">
        <f>IF(Case_Scenario="Bull",AF188,IF(Case_Scenario="Base",AF189,IF(Case_Scenario="bear",AF190,"N/A")))</f>
        <v>35</v>
      </c>
      <c r="AG187" s="202">
        <f>IF(Case_Scenario="Bull",AG188,IF(Case_Scenario="Base",AG189,IF(Case_Scenario="bear",AG190,"N/A")))</f>
        <v>35</v>
      </c>
      <c r="AH187" s="9"/>
      <c r="AI187" s="9"/>
    </row>
    <row r="188" spans="1:35" ht="12.75" customHeight="1">
      <c r="A188" s="9"/>
      <c r="B188" s="9"/>
      <c r="C188" s="103" t="s">
        <v>245</v>
      </c>
      <c r="D188" s="9"/>
      <c r="E188" s="9"/>
      <c r="F188" s="290"/>
      <c r="G188" s="290"/>
      <c r="H188" s="290"/>
      <c r="I188" s="290"/>
      <c r="J188" s="291"/>
      <c r="K188" s="290"/>
      <c r="L188" s="290"/>
      <c r="M188" s="290"/>
      <c r="N188" s="290"/>
      <c r="O188" s="291"/>
      <c r="P188" s="290"/>
      <c r="Q188" s="290"/>
      <c r="R188" s="290"/>
      <c r="S188" s="290"/>
      <c r="T188" s="291"/>
      <c r="U188" s="290"/>
      <c r="V188" s="428">
        <v>0</v>
      </c>
      <c r="W188" s="428">
        <v>0</v>
      </c>
      <c r="X188" s="428">
        <v>35</v>
      </c>
      <c r="Y188" s="291"/>
      <c r="Z188" s="428">
        <v>0</v>
      </c>
      <c r="AA188" s="428">
        <v>0</v>
      </c>
      <c r="AB188" s="428">
        <v>0</v>
      </c>
      <c r="AC188" s="428">
        <v>35</v>
      </c>
      <c r="AD188" s="291"/>
      <c r="AE188" s="432">
        <v>35</v>
      </c>
      <c r="AF188" s="432">
        <v>35</v>
      </c>
      <c r="AG188" s="432">
        <v>35</v>
      </c>
      <c r="AH188" s="9"/>
      <c r="AI188" s="9"/>
    </row>
    <row r="189" spans="1:35" ht="12.75" customHeight="1">
      <c r="A189" s="9"/>
      <c r="B189" s="9"/>
      <c r="C189" s="103" t="s">
        <v>246</v>
      </c>
      <c r="D189" s="9"/>
      <c r="E189" s="9"/>
      <c r="F189" s="290"/>
      <c r="G189" s="290"/>
      <c r="H189" s="290"/>
      <c r="I189" s="290"/>
      <c r="J189" s="291"/>
      <c r="K189" s="290"/>
      <c r="L189" s="290"/>
      <c r="M189" s="290"/>
      <c r="N189" s="290"/>
      <c r="O189" s="291"/>
      <c r="P189" s="290"/>
      <c r="Q189" s="290"/>
      <c r="R189" s="290"/>
      <c r="S189" s="290"/>
      <c r="T189" s="291"/>
      <c r="U189" s="290"/>
      <c r="V189" s="428">
        <v>0</v>
      </c>
      <c r="W189" s="428">
        <v>0</v>
      </c>
      <c r="X189" s="428">
        <v>35</v>
      </c>
      <c r="Y189" s="291"/>
      <c r="Z189" s="428">
        <v>0</v>
      </c>
      <c r="AA189" s="428">
        <v>0</v>
      </c>
      <c r="AB189" s="428">
        <v>0</v>
      </c>
      <c r="AC189" s="428">
        <v>35</v>
      </c>
      <c r="AD189" s="291"/>
      <c r="AE189" s="432">
        <v>35</v>
      </c>
      <c r="AF189" s="432">
        <v>35</v>
      </c>
      <c r="AG189" s="432">
        <v>35</v>
      </c>
      <c r="AH189" s="9"/>
      <c r="AI189" s="9"/>
    </row>
    <row r="190" spans="1:35" ht="12.75" customHeight="1">
      <c r="A190" s="9"/>
      <c r="B190" s="9"/>
      <c r="C190" s="103" t="s">
        <v>247</v>
      </c>
      <c r="D190" s="9"/>
      <c r="E190" s="9"/>
      <c r="F190" s="290"/>
      <c r="G190" s="290"/>
      <c r="H190" s="290"/>
      <c r="I190" s="290"/>
      <c r="J190" s="291"/>
      <c r="K190" s="290"/>
      <c r="L190" s="290"/>
      <c r="M190" s="290"/>
      <c r="N190" s="290"/>
      <c r="O190" s="291"/>
      <c r="P190" s="290"/>
      <c r="Q190" s="290"/>
      <c r="R190" s="290"/>
      <c r="S190" s="290"/>
      <c r="T190" s="291"/>
      <c r="U190" s="290"/>
      <c r="V190" s="428">
        <v>0</v>
      </c>
      <c r="W190" s="428">
        <v>0</v>
      </c>
      <c r="X190" s="428">
        <v>35</v>
      </c>
      <c r="Y190" s="291"/>
      <c r="Z190" s="428">
        <v>0</v>
      </c>
      <c r="AA190" s="428">
        <v>0</v>
      </c>
      <c r="AB190" s="428">
        <v>0</v>
      </c>
      <c r="AC190" s="428">
        <v>35</v>
      </c>
      <c r="AD190" s="291"/>
      <c r="AE190" s="432">
        <v>35</v>
      </c>
      <c r="AF190" s="432">
        <v>35</v>
      </c>
      <c r="AG190" s="432">
        <v>35</v>
      </c>
      <c r="AH190" s="9"/>
      <c r="AI190" s="9"/>
    </row>
    <row r="191" spans="1:35" ht="12.75" customHeight="1">
      <c r="A191" s="9"/>
      <c r="B191" s="9"/>
      <c r="C191" s="9"/>
      <c r="D191" s="9"/>
      <c r="E191" s="9"/>
      <c r="F191" s="310"/>
      <c r="G191" s="310"/>
      <c r="H191" s="310"/>
      <c r="I191" s="310"/>
      <c r="J191" s="311"/>
      <c r="K191" s="310"/>
      <c r="L191" s="310"/>
      <c r="M191" s="310"/>
      <c r="N191" s="310"/>
      <c r="O191" s="311"/>
      <c r="P191" s="310"/>
      <c r="Q191" s="310"/>
      <c r="R191" s="310"/>
      <c r="S191" s="310"/>
      <c r="T191" s="311"/>
      <c r="U191" s="310"/>
      <c r="V191" s="254"/>
      <c r="W191" s="254"/>
      <c r="X191" s="428"/>
      <c r="Y191" s="255"/>
      <c r="Z191" s="254"/>
      <c r="AA191" s="254"/>
      <c r="AB191" s="254"/>
      <c r="AC191" s="254"/>
      <c r="AD191" s="9"/>
      <c r="AE191" s="255"/>
      <c r="AF191" s="255"/>
      <c r="AG191" s="255"/>
      <c r="AH191" s="9"/>
      <c r="AI191" s="9"/>
    </row>
    <row r="192" spans="1:35" ht="12.75" customHeight="1">
      <c r="A192" s="9"/>
      <c r="B192" s="9"/>
      <c r="C192" s="50" t="s">
        <v>256</v>
      </c>
      <c r="D192" s="12"/>
      <c r="E192" s="12"/>
      <c r="F192" s="226"/>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2"/>
      <c r="AH192" s="9"/>
      <c r="AI192" s="9"/>
    </row>
    <row r="193" spans="1:35" ht="12.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row>
    <row r="194" spans="1:35" ht="12.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row>
    <row r="195" spans="1:35" ht="12.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row>
    <row r="196" spans="1:35" ht="12.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row>
    <row r="197" spans="1:35" ht="12.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row>
    <row r="198" spans="1:35" ht="12.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row>
    <row r="199" spans="1:35" ht="12.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row>
    <row r="200" spans="1:35" ht="12.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row>
    <row r="201" spans="1:35" ht="12.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row>
    <row r="202" spans="1:35" ht="12.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row>
    <row r="203" spans="1:35" ht="12.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row>
    <row r="204" spans="1:35" ht="12.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row>
    <row r="205" spans="1:35" ht="12.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row>
    <row r="206" spans="1:35" ht="12.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row>
    <row r="207" spans="1:35" ht="12.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row>
    <row r="208" spans="1:35" ht="12.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row>
    <row r="209" spans="1:35" ht="12.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row>
    <row r="210" spans="1:35" ht="12.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row>
    <row r="211" spans="1:35" ht="12.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row>
    <row r="212" spans="1:35" ht="12.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row>
    <row r="213" spans="1:35" ht="12.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row>
    <row r="214" spans="1:35" ht="12.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row>
    <row r="215" spans="1:35" ht="12.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row>
    <row r="216" spans="1:35" ht="12.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row>
    <row r="217" spans="1:35" ht="12.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row>
    <row r="218" spans="1:35" ht="12.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row>
    <row r="219" spans="1:35" ht="12.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row>
    <row r="220" spans="1:35" ht="12.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row>
    <row r="221" spans="1:35" ht="12.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row>
    <row r="222" spans="1:35" ht="12.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row>
    <row r="223" spans="1:35" ht="12.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row>
    <row r="224" spans="1:35" ht="12.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row>
    <row r="225" spans="1:35" ht="12.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row>
    <row r="226" spans="1:35" ht="12.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row>
    <row r="227" spans="1:35" ht="12.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row>
    <row r="228" spans="1:35" ht="12.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row>
    <row r="229" spans="1:35" ht="12.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row>
    <row r="230" spans="1:35" ht="12.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row>
    <row r="231" spans="1:35" ht="12.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row>
    <row r="232" spans="1:35" ht="12.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row>
    <row r="233" spans="1:35" ht="12.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row>
    <row r="234" spans="1:35" ht="12.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row>
    <row r="235" spans="1:35" ht="12.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row>
    <row r="236" spans="1:35" ht="12.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row>
    <row r="237" spans="1:35" ht="12.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row>
    <row r="238" spans="1:35" ht="12.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row>
    <row r="239" spans="1:35" ht="12.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row>
    <row r="240" spans="1:35" ht="12.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row>
    <row r="241" spans="1:35" ht="12.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row>
    <row r="242" spans="1:35" ht="12.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row>
    <row r="243" spans="1:35" ht="12.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row>
    <row r="244" spans="1:35" ht="12.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row>
    <row r="245" spans="1:35" ht="12.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row>
    <row r="246" spans="1:35" ht="12.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row>
    <row r="247" spans="1:35" ht="12.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row>
    <row r="248" spans="1:35" ht="12.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row>
    <row r="249" spans="1:35" ht="12.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row>
    <row r="250" spans="1:35" ht="12.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row>
    <row r="251" spans="1:35" ht="12.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row>
    <row r="252" spans="1:35" ht="12.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row>
    <row r="253" spans="1:35" ht="12.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row>
    <row r="254" spans="1:35" ht="12.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row>
    <row r="255" spans="1:35" ht="12.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row>
    <row r="256" spans="1:35" ht="12.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row>
    <row r="257" spans="1:35" ht="12.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row>
    <row r="258" spans="1:35" ht="12.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row>
    <row r="259" spans="1:35" ht="12.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row>
    <row r="260" spans="1:35" ht="12.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row>
    <row r="261" spans="1:35" ht="12.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row>
    <row r="262" spans="1:35" ht="12.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row>
    <row r="263" spans="1:35" ht="12.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row>
    <row r="264" spans="1:35" ht="12.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row>
    <row r="265" spans="1:35" ht="12.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row>
    <row r="266" spans="1:35" ht="12.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row>
    <row r="267" spans="1:35" ht="12.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row>
    <row r="268" spans="1:35" ht="12.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row>
    <row r="269" spans="1:35" ht="12.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row>
    <row r="270" spans="1:35" ht="12.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row>
    <row r="271" spans="1:35" ht="12.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row>
    <row r="272" spans="1:35" ht="12.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row>
    <row r="273" spans="1:35" ht="12.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row>
    <row r="274" spans="1:35" ht="12.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row>
    <row r="275" spans="1:35" ht="12.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row>
    <row r="276" spans="1:35" ht="12.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row>
    <row r="277" spans="1:35" ht="12.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row>
    <row r="278" spans="1:35" ht="12.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row>
    <row r="279" spans="1:35" ht="12.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row>
    <row r="280" spans="1:35" ht="12.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row>
    <row r="281" spans="1:35" ht="12.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row>
    <row r="282" spans="1:35" ht="12.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row>
    <row r="283" spans="1:35" ht="12.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row>
    <row r="284" spans="1:35" ht="12.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row>
    <row r="285" spans="1:35" ht="12.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row>
    <row r="286" spans="1:35" ht="12.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row>
    <row r="287" spans="1:35" ht="12.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row>
    <row r="288" spans="1:35" ht="12.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row>
    <row r="289" spans="1:35" ht="12.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row>
    <row r="290" spans="1:35" ht="12.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row>
    <row r="291" spans="1:35" ht="12.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row>
    <row r="292" spans="1:35" ht="12.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row>
    <row r="293" spans="1:35" ht="12.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row>
    <row r="294" spans="1:35" ht="12.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row>
    <row r="295" spans="1:35" ht="12.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row>
    <row r="296" spans="1:35" ht="12.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row>
    <row r="297" spans="1:35" ht="12.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row>
    <row r="298" spans="1:35" ht="12.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row>
    <row r="299" spans="1:35" ht="12.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row>
    <row r="300" spans="1:35" ht="12.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row>
    <row r="301" spans="1:35" ht="12.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row>
    <row r="302" spans="1:35" ht="12.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row>
    <row r="303" spans="1:35" ht="12.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row>
    <row r="304" spans="1:35" ht="12.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row>
    <row r="305" spans="1:35" ht="12.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row>
    <row r="306" spans="1:35" ht="12.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row>
    <row r="307" spans="1:35" ht="12.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row>
    <row r="308" spans="1:35" ht="12.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row>
    <row r="309" spans="1:35" ht="12.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row>
    <row r="310" spans="1:35" ht="12.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row>
    <row r="311" spans="1:35" ht="12.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row>
    <row r="312" spans="1:35" ht="12.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row>
    <row r="313" spans="1:35" ht="12.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row>
    <row r="314" spans="1:35" ht="12.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row>
    <row r="315" spans="1:35" ht="12.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row>
    <row r="316" spans="1:35" ht="12.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row>
    <row r="317" spans="1:35" ht="12.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row>
    <row r="318" spans="1:35" ht="12.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row>
    <row r="319" spans="1:35" ht="12.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row>
    <row r="320" spans="1:35" ht="12.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row>
    <row r="321" spans="1:35" ht="12.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row>
    <row r="322" spans="1:35" ht="12.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row>
    <row r="323" spans="1:35" ht="12.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row>
    <row r="324" spans="1:35" ht="12.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row>
    <row r="325" spans="1:35" ht="12.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row>
    <row r="326" spans="1:35" ht="12.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row>
    <row r="327" spans="1:35" ht="12.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row>
    <row r="328" spans="1:35" ht="12.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row>
    <row r="329" spans="1:35" ht="12.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row>
    <row r="330" spans="1:35" ht="12.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row>
    <row r="331" spans="1:35" ht="12.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row>
    <row r="332" spans="1:35" ht="12.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row>
    <row r="333" spans="1:35" ht="12.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row>
    <row r="334" spans="1:35" ht="12.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row>
    <row r="335" spans="1:35" ht="12.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row>
    <row r="336" spans="1:35" ht="12.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row>
    <row r="337" spans="1:35" ht="12.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row>
    <row r="338" spans="1:35" ht="12.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row>
    <row r="339" spans="1:35" ht="12.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row>
    <row r="340" spans="1:35" ht="12.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row>
    <row r="341" spans="1:35" ht="12.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row>
    <row r="342" spans="1:35" ht="12.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row>
    <row r="343" spans="1:35" ht="12.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row>
    <row r="344" spans="1:35" ht="12.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row>
    <row r="345" spans="1:35" ht="12.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row>
    <row r="346" spans="1:35" ht="12.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row>
    <row r="347" spans="1:35" ht="12.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row>
    <row r="348" spans="1:35" ht="12.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row>
    <row r="349" spans="1:35" ht="12.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row>
    <row r="350" spans="1:35" ht="12.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row>
    <row r="351" spans="1:35" ht="12.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row>
    <row r="352" spans="1:35" ht="12.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row>
    <row r="353" spans="1:35" ht="12.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row>
    <row r="354" spans="1:35" ht="12.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row>
    <row r="355" spans="1:35" ht="12.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row>
    <row r="356" spans="1:35" ht="12.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row>
    <row r="357" spans="1:35" ht="12.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row>
    <row r="358" spans="1:35" ht="12.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row>
    <row r="359" spans="1:35" ht="12.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row>
    <row r="360" spans="1:35" ht="12.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row>
    <row r="361" spans="1:35" ht="12.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row>
    <row r="362" spans="1:35" ht="12.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row>
    <row r="363" spans="1:35" ht="12.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row>
    <row r="364" spans="1:35" ht="12.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row>
    <row r="365" spans="1:35" ht="12.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row>
    <row r="366" spans="1:35" ht="12.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row>
    <row r="367" spans="1:35" ht="12.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row>
    <row r="368" spans="1:35" ht="12.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row>
    <row r="369" spans="1:35" ht="12.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row>
    <row r="370" spans="1:35" ht="12.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row>
    <row r="371" spans="1:35" ht="12.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row>
    <row r="372" spans="1:35" ht="12.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row>
    <row r="373" spans="1:35" ht="12.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row>
    <row r="374" spans="1:35" ht="12.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row>
    <row r="375" spans="1:35" ht="12.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row>
    <row r="376" spans="1:35" ht="12.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row>
    <row r="377" spans="1:35" ht="12.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row>
    <row r="378" spans="1:35" ht="12.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row>
    <row r="379" spans="1:35" ht="12.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row>
    <row r="380" spans="1:35" ht="12.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row>
    <row r="381" spans="1:35" ht="12.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row>
    <row r="382" spans="1:35" ht="12.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row>
    <row r="383" spans="1:35" ht="12.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row>
    <row r="384" spans="1:35" ht="12.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row>
    <row r="385" spans="1:35" ht="12.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row>
    <row r="386" spans="1:35" ht="12.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row>
    <row r="387" spans="1:35" ht="12.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row>
    <row r="388" spans="1:35" ht="12.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row>
    <row r="389" spans="1:35" ht="12.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row>
    <row r="390" spans="1:35" ht="12.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row>
    <row r="391" spans="1:35" ht="12.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row>
    <row r="392" spans="1:35" ht="12.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row>
    <row r="393" spans="1:35" ht="12.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row>
    <row r="394" spans="1:35" ht="12.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row>
    <row r="395" spans="1:35" ht="12.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row>
    <row r="396" spans="1:35" ht="12.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row>
    <row r="397" spans="1:35" ht="12.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row>
    <row r="398" spans="1:35" ht="12.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row>
    <row r="399" spans="1:35" ht="12.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row>
    <row r="400" spans="1:35" ht="12.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row>
    <row r="401" spans="1:35" ht="12.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row>
    <row r="402" spans="1:35" ht="12.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row>
    <row r="403" spans="1:35" ht="12.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row>
    <row r="404" spans="1:35" ht="12.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row>
    <row r="405" spans="1:35" ht="12.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row>
    <row r="406" spans="1:35" ht="12.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row>
    <row r="407" spans="1:35" ht="12.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row>
    <row r="408" spans="1:35" ht="12.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row>
    <row r="409" spans="1:35" ht="12.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row>
    <row r="410" spans="1:35" ht="12.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row>
    <row r="411" spans="1:35" ht="12.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row>
    <row r="412" spans="1:35" ht="12.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row>
    <row r="413" spans="1:35" ht="12.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row>
    <row r="414" spans="1:35" ht="12.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row>
    <row r="415" spans="1:35" ht="12.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row>
    <row r="416" spans="1:35" ht="12.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row>
    <row r="417" spans="1:35" ht="12.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row>
    <row r="418" spans="1:35" ht="12.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row>
    <row r="419" spans="1:35" ht="12.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row>
    <row r="420" spans="1:35" ht="12.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row>
    <row r="421" spans="1:35" ht="12.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row>
    <row r="422" spans="1:35" ht="12.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row>
    <row r="423" spans="1:35" ht="12.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row>
    <row r="424" spans="1:35" ht="12.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row>
    <row r="425" spans="1:35" ht="12.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row>
    <row r="426" spans="1:35" ht="12.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row>
    <row r="427" spans="1:35" ht="12.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row>
    <row r="428" spans="1:35" ht="12.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row>
    <row r="429" spans="1:35" ht="12.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row>
    <row r="430" spans="1:35" ht="12.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row>
    <row r="431" spans="1:35" ht="12.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row>
    <row r="432" spans="1:35" ht="12.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row>
    <row r="433" spans="1:35" ht="12.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row>
    <row r="434" spans="1:35" ht="12.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row>
    <row r="435" spans="1:35" ht="12.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row>
    <row r="436" spans="1:35" ht="12.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row>
    <row r="437" spans="1:35" ht="12.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row>
    <row r="438" spans="1:35" ht="12.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row>
    <row r="439" spans="1:35" ht="12.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row>
    <row r="440" spans="1:35" ht="12.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row>
    <row r="441" spans="1:35" ht="12.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row>
    <row r="442" spans="1:35" ht="12.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row>
    <row r="443" spans="1:35" ht="12.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row>
    <row r="444" spans="1:35" ht="12.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row>
    <row r="445" spans="1:35" ht="12.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row>
    <row r="446" spans="1:35" ht="12.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row>
    <row r="447" spans="1:35" ht="12.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row>
    <row r="448" spans="1:35" ht="12.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row>
    <row r="449" spans="1:35" ht="12.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row>
    <row r="450" spans="1:35" ht="12.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row>
    <row r="451" spans="1:35" ht="12.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row>
    <row r="452" spans="1:35" ht="12.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row>
    <row r="453" spans="1:35" ht="12.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row>
    <row r="454" spans="1:35" ht="12.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row>
    <row r="455" spans="1:35" ht="12.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row>
    <row r="456" spans="1:35" ht="12.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row>
    <row r="457" spans="1:35" ht="12.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row>
    <row r="458" spans="1:35" ht="12.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row>
    <row r="459" spans="1:35" ht="12.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row>
    <row r="460" spans="1:35" ht="12.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row>
    <row r="461" spans="1:35" ht="12.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row>
    <row r="462" spans="1:35" ht="12.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row>
    <row r="463" spans="1:35" ht="12.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row>
    <row r="464" spans="1:35" ht="12.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row>
    <row r="465" spans="1:35" ht="12.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row>
    <row r="466" spans="1:35" ht="12.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row>
    <row r="467" spans="1:35" ht="12.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row>
    <row r="468" spans="1:35" ht="12.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row>
    <row r="469" spans="1:35" ht="12.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row>
    <row r="470" spans="1:35" ht="12.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row>
    <row r="471" spans="1:35" ht="12.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row>
    <row r="472" spans="1:35" ht="12.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row>
    <row r="473" spans="1:35" ht="12.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row>
    <row r="474" spans="1:35" ht="12.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row>
    <row r="475" spans="1:35" ht="12.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row>
    <row r="476" spans="1:35" ht="12.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row>
    <row r="477" spans="1:35" ht="12.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row>
    <row r="478" spans="1:35" ht="12.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row>
    <row r="479" spans="1:35" ht="12.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row>
    <row r="480" spans="1:35" ht="12.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row>
    <row r="481" spans="1:35" ht="12.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row>
    <row r="482" spans="1:35" ht="12.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row>
    <row r="483" spans="1:35" ht="12.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row>
    <row r="484" spans="1:35" ht="12.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row>
    <row r="485" spans="1:35" ht="12.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row>
    <row r="486" spans="1:35" ht="12.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row>
    <row r="487" spans="1:35" ht="12.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row>
    <row r="488" spans="1:35" ht="12.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row>
    <row r="489" spans="1:35" ht="12.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row>
    <row r="490" spans="1:35" ht="12.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row>
    <row r="491" spans="1:35" ht="12.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row>
    <row r="492" spans="1:35" ht="12.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row>
    <row r="493" spans="1:35" ht="12.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row>
    <row r="494" spans="1:35" ht="12.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row>
    <row r="495" spans="1:35" ht="12.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row>
    <row r="496" spans="1:35" ht="12.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row>
    <row r="497" spans="1:35" ht="12.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row>
    <row r="498" spans="1:35" ht="12.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row>
    <row r="499" spans="1:35" ht="12.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row>
    <row r="500" spans="1:35" ht="12.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row>
    <row r="501" spans="1:35" ht="12.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row>
    <row r="502" spans="1:35" ht="12.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row>
    <row r="503" spans="1:35" ht="12.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row>
    <row r="504" spans="1:35" ht="12.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row>
    <row r="505" spans="1:35" ht="12.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row>
    <row r="506" spans="1:35" ht="12.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row>
    <row r="507" spans="1:35" ht="12.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row>
    <row r="508" spans="1:35" ht="12.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row>
    <row r="509" spans="1:35" ht="12.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row>
    <row r="510" spans="1:35" ht="12.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row>
    <row r="511" spans="1:35" ht="12.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row>
    <row r="512" spans="1:35" ht="12.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row>
    <row r="513" spans="1:35" ht="12.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row>
    <row r="514" spans="1:35" ht="12.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row>
    <row r="515" spans="1:35" ht="12.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row>
    <row r="516" spans="1:35" ht="12.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row>
    <row r="517" spans="1:35" ht="12.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row>
    <row r="518" spans="1:35" ht="12.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row>
    <row r="519" spans="1:35" ht="12.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row>
    <row r="520" spans="1:35" ht="12.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row>
    <row r="521" spans="1:35" ht="12.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row>
    <row r="522" spans="1:35" ht="12.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row>
    <row r="523" spans="1:35" ht="12.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row>
    <row r="524" spans="1:35" ht="12.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row>
    <row r="525" spans="1:35" ht="12.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row>
    <row r="526" spans="1:35" ht="12.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row>
    <row r="527" spans="1:35" ht="12.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row>
    <row r="528" spans="1:35" ht="12.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row>
    <row r="529" spans="1:35" ht="12.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row>
    <row r="530" spans="1:35" ht="12.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row>
    <row r="531" spans="1:35" ht="12.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row>
    <row r="532" spans="1:35" ht="12.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row>
    <row r="533" spans="1:35" ht="12.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row>
    <row r="534" spans="1:35" ht="12.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row>
    <row r="535" spans="1:35" ht="12.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row>
    <row r="536" spans="1:35" ht="12.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row>
    <row r="537" spans="1:35" ht="12.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row>
    <row r="538" spans="1:35" ht="12.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row>
    <row r="539" spans="1:35" ht="12.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row>
    <row r="540" spans="1:35" ht="12.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row>
    <row r="541" spans="1:35" ht="12.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row>
    <row r="542" spans="1:35" ht="12.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row>
    <row r="543" spans="1:35" ht="12.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row>
    <row r="544" spans="1:35" ht="12.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row>
    <row r="545" spans="1:35" ht="12.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row>
    <row r="546" spans="1:35" ht="12.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row>
    <row r="547" spans="1:35" ht="12.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row>
    <row r="548" spans="1:35" ht="12.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row>
    <row r="549" spans="1:35" ht="12.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row>
    <row r="550" spans="1:35" ht="12.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row>
    <row r="551" spans="1:35" ht="12.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row>
    <row r="552" spans="1:35" ht="12.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row>
    <row r="553" spans="1:35" ht="12.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row>
    <row r="554" spans="1:35" ht="12.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row>
    <row r="555" spans="1:35" ht="12.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row>
    <row r="556" spans="1:35" ht="12.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row>
    <row r="557" spans="1:35" ht="12.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row>
    <row r="558" spans="1:35" ht="12.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row>
    <row r="559" spans="1:35" ht="12.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row>
    <row r="560" spans="1:35" ht="12.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row>
    <row r="561" spans="1:35" ht="12.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row>
    <row r="562" spans="1:35" ht="12.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row>
    <row r="563" spans="1:35" ht="12.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row>
    <row r="564" spans="1:35" ht="12.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row>
    <row r="565" spans="1:35" ht="12.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row>
    <row r="566" spans="1:35" ht="12.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row>
    <row r="567" spans="1:35" ht="12.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row>
    <row r="568" spans="1:35" ht="12.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row>
    <row r="569" spans="1:35" ht="12.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row>
    <row r="570" spans="1:35" ht="12.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row>
    <row r="571" spans="1:35" ht="12.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row>
    <row r="572" spans="1:35" ht="12.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row>
    <row r="573" spans="1:35" ht="12.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row>
    <row r="574" spans="1:35" ht="12.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row>
    <row r="575" spans="1:35" ht="12.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row>
    <row r="576" spans="1:35" ht="12.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row>
    <row r="577" spans="1:35" ht="12.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row>
    <row r="578" spans="1:35" ht="12.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row>
    <row r="579" spans="1:35" ht="12.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row>
    <row r="580" spans="1:35" ht="12.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row>
    <row r="581" spans="1:35" ht="12.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row>
    <row r="582" spans="1:35" ht="12.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row>
    <row r="583" spans="1:35" ht="12.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row>
    <row r="584" spans="1:35" ht="12.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row>
    <row r="585" spans="1:35" ht="12.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row>
    <row r="586" spans="1:35" ht="12.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row>
    <row r="587" spans="1:35" ht="12.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row>
    <row r="588" spans="1:35" ht="12.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row>
    <row r="589" spans="1:35" ht="12.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row>
    <row r="590" spans="1:35" ht="12.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row>
    <row r="591" spans="1:35" ht="12.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row>
    <row r="592" spans="1:35" ht="12.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row>
    <row r="593" spans="1:35" ht="12.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row>
    <row r="594" spans="1:35" ht="12.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row>
    <row r="595" spans="1:35" ht="12.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row>
    <row r="596" spans="1:35" ht="12.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row>
    <row r="597" spans="1:35" ht="12.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row>
    <row r="598" spans="1:35" ht="12.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row>
    <row r="599" spans="1:35" ht="12.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row>
    <row r="600" spans="1:35" ht="12.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row>
    <row r="601" spans="1:35" ht="12.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row>
    <row r="602" spans="1:35" ht="12.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row>
    <row r="603" spans="1:35" ht="12.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row>
    <row r="604" spans="1:35" ht="12.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row>
    <row r="605" spans="1:35" ht="12.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row>
    <row r="606" spans="1:35" ht="12.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row>
    <row r="607" spans="1:35" ht="12.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row>
    <row r="608" spans="1:35" ht="12.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row>
    <row r="609" spans="1:35" ht="12.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row>
    <row r="610" spans="1:35" ht="12.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row>
    <row r="611" spans="1:35" ht="12.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row>
    <row r="612" spans="1:35" ht="12.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row>
    <row r="613" spans="1:35" ht="12.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row>
    <row r="614" spans="1:35" ht="12.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row>
    <row r="615" spans="1:35" ht="12.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row>
    <row r="616" spans="1:35" ht="12.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row>
    <row r="617" spans="1:35" ht="12.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row>
    <row r="618" spans="1:35" ht="12.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row>
    <row r="619" spans="1:35" ht="12.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row>
    <row r="620" spans="1:35" ht="12.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row>
    <row r="621" spans="1:35" ht="12.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row>
    <row r="622" spans="1:35" ht="12.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row>
    <row r="623" spans="1:35" ht="12.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row>
    <row r="624" spans="1:35" ht="12.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row>
    <row r="625" spans="1:35" ht="12.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row>
    <row r="626" spans="1:35" ht="12.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row>
    <row r="627" spans="1:35" ht="12.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row>
    <row r="628" spans="1:35" ht="12.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row>
    <row r="629" spans="1:35" ht="12.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row>
    <row r="630" spans="1:35" ht="12.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row>
    <row r="631" spans="1:35" ht="12.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row>
    <row r="632" spans="1:35" ht="12.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row>
    <row r="633" spans="1:35" ht="12.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row>
    <row r="634" spans="1:35" ht="12.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row>
    <row r="635" spans="1:35" ht="12.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row>
    <row r="636" spans="1:35" ht="12.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row>
    <row r="637" spans="1:35" ht="12.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row>
    <row r="638" spans="1:35" ht="12.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row>
    <row r="639" spans="1:35" ht="12.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row>
    <row r="640" spans="1:35" ht="12.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row>
    <row r="641" spans="1:35" ht="12.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row>
    <row r="642" spans="1:35" ht="12.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row>
    <row r="643" spans="1:35" ht="12.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row>
    <row r="644" spans="1:35" ht="12.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row>
    <row r="645" spans="1:35" ht="12.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row>
    <row r="646" spans="1:35" ht="12.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row>
    <row r="647" spans="1:35" ht="12.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row>
    <row r="648" spans="1:35" ht="12.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row>
    <row r="649" spans="1:35" ht="12.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row>
    <row r="650" spans="1:35" ht="12.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row>
    <row r="651" spans="1:35" ht="12.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row>
    <row r="652" spans="1:35" ht="12.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row>
    <row r="653" spans="1:35" ht="12.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row>
    <row r="654" spans="1:35" ht="12.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row>
    <row r="655" spans="1:35" ht="12.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row>
    <row r="656" spans="1:35" ht="12.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row>
    <row r="657" spans="1:35" ht="12.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row>
    <row r="658" spans="1:35" ht="12.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row>
    <row r="659" spans="1:35" ht="12.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row>
    <row r="660" spans="1:35" ht="12.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row>
    <row r="661" spans="1:35" ht="12.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row>
    <row r="662" spans="1:35" ht="12.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row>
    <row r="663" spans="1:35" ht="12.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row>
    <row r="664" spans="1:35" ht="12.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row>
    <row r="665" spans="1:35" ht="12.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row>
    <row r="666" spans="1:35" ht="12.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row>
    <row r="667" spans="1:35" ht="12.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row>
    <row r="668" spans="1:35" ht="12.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row>
    <row r="669" spans="1:35" ht="12.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row>
    <row r="670" spans="1:35" ht="12.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row>
    <row r="671" spans="1:35" ht="12.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row>
    <row r="672" spans="1:35" ht="12.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row>
    <row r="673" spans="1:35" ht="12.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row>
    <row r="674" spans="1:35" ht="12.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row>
    <row r="675" spans="1:35" ht="12.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row>
    <row r="676" spans="1:35" ht="12.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row>
    <row r="677" spans="1:35" ht="12.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row>
    <row r="678" spans="1:35" ht="12.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row>
    <row r="679" spans="1:35" ht="12.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row>
    <row r="680" spans="1:35" ht="12.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row>
    <row r="681" spans="1:35" ht="12.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row>
    <row r="682" spans="1:35" ht="12.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row>
    <row r="683" spans="1:35" ht="12.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row>
    <row r="684" spans="1:35" ht="12.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row>
    <row r="685" spans="1:35" ht="12.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row>
    <row r="686" spans="1:35" ht="12.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row>
    <row r="687" spans="1:35" ht="12.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row>
    <row r="688" spans="1:35" ht="12.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row>
    <row r="689" spans="1:35" ht="12.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row>
    <row r="690" spans="1:35" ht="12.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row>
    <row r="691" spans="1:35" ht="12.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row>
    <row r="692" spans="1:35" ht="12.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row>
    <row r="693" spans="1:35" ht="12.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row>
    <row r="694" spans="1:35" ht="12.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row>
    <row r="695" spans="1:35" ht="12.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row>
    <row r="696" spans="1:35" ht="12.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row>
    <row r="697" spans="1:35" ht="12.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row>
    <row r="698" spans="1:35" ht="12.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row>
    <row r="699" spans="1:35" ht="12.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row>
    <row r="700" spans="1:35" ht="12.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row>
    <row r="701" spans="1:35" ht="12.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row>
    <row r="702" spans="1:35" ht="12.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row>
    <row r="703" spans="1:35" ht="12.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row>
    <row r="704" spans="1:35" ht="12.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row>
    <row r="705" spans="1:35" ht="12.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row>
    <row r="706" spans="1:35" ht="12.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row>
    <row r="707" spans="1:35" ht="12.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row>
    <row r="708" spans="1:35" ht="12.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row>
    <row r="709" spans="1:35" ht="12.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row>
    <row r="710" spans="1:35" ht="12.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row>
    <row r="711" spans="1:35" ht="12.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row>
    <row r="712" spans="1:35" ht="12.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row>
    <row r="713" spans="1:35" ht="12.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row>
    <row r="714" spans="1:35" ht="12.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row>
    <row r="715" spans="1:35" ht="12.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row>
    <row r="716" spans="1:35" ht="12.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row>
    <row r="717" spans="1:35" ht="12.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row>
    <row r="718" spans="1:35" ht="12.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row>
    <row r="719" spans="1:35" ht="12.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row>
    <row r="720" spans="1:35" ht="12.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row>
    <row r="721" spans="1:35" ht="12.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row>
    <row r="722" spans="1:35" ht="12.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row>
    <row r="723" spans="1:35" ht="12.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row>
    <row r="724" spans="1:35" ht="12.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row>
    <row r="725" spans="1:35" ht="12.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row>
    <row r="726" spans="1:35" ht="12.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row>
    <row r="727" spans="1:35" ht="12.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row>
    <row r="728" spans="1:35" ht="12.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row>
    <row r="729" spans="1:35" ht="12.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row>
    <row r="730" spans="1:35" ht="12.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row>
    <row r="731" spans="1:35" ht="12.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row>
    <row r="732" spans="1:35" ht="12.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row>
    <row r="733" spans="1:35" ht="12.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row>
    <row r="734" spans="1:35" ht="12.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row>
    <row r="735" spans="1:35" ht="12.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row>
    <row r="736" spans="1:35" ht="12.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row>
    <row r="737" spans="1:35" ht="12.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row>
    <row r="738" spans="1:35" ht="12.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row>
    <row r="739" spans="1:35" ht="12.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row>
    <row r="740" spans="1:35" ht="12.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row>
    <row r="741" spans="1:35" ht="12.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row>
    <row r="742" spans="1:35" ht="12.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row>
    <row r="743" spans="1:35" ht="12.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row>
    <row r="744" spans="1:35" ht="12.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row>
    <row r="745" spans="1:35" ht="12.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row>
    <row r="746" spans="1:35" ht="12.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row>
    <row r="747" spans="1:35" ht="12.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row>
    <row r="748" spans="1:35" ht="12.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row>
    <row r="749" spans="1:35" ht="12.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row>
    <row r="750" spans="1:35" ht="12.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row>
    <row r="751" spans="1:35" ht="12.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row>
    <row r="752" spans="1:35" ht="12.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row>
    <row r="753" spans="1:35" ht="12.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row>
    <row r="754" spans="1:35" ht="12.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row>
    <row r="755" spans="1:35" ht="12.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row>
    <row r="756" spans="1:35" ht="12.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row>
    <row r="757" spans="1:35" ht="12.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row>
    <row r="758" spans="1:35" ht="12.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row>
    <row r="759" spans="1:35" ht="12.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row>
    <row r="760" spans="1:35" ht="12.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row>
    <row r="761" spans="1:35" ht="12.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row>
    <row r="762" spans="1:35" ht="12.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row>
    <row r="763" spans="1:35" ht="12.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row>
    <row r="764" spans="1:35" ht="12.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row>
    <row r="765" spans="1:35" ht="12.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row>
    <row r="766" spans="1:35" ht="12.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row>
    <row r="767" spans="1:35" ht="12.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row>
    <row r="768" spans="1:35" ht="12.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row>
    <row r="769" spans="1:35" ht="12.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row>
    <row r="770" spans="1:35" ht="12.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row>
    <row r="771" spans="1:35" ht="12.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row>
    <row r="772" spans="1:35" ht="12.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row>
    <row r="773" spans="1:35" ht="12.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row>
    <row r="774" spans="1:35" ht="12.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row>
    <row r="775" spans="1:35" ht="12.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row>
    <row r="776" spans="1:35" ht="12.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row>
    <row r="777" spans="1:35" ht="12.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row>
    <row r="778" spans="1:35" ht="12.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row>
    <row r="779" spans="1:35" ht="12.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row>
    <row r="780" spans="1:35" ht="12.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row>
    <row r="781" spans="1:35" ht="12.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row>
    <row r="782" spans="1:35" ht="12.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row>
    <row r="783" spans="1:35" ht="12.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row>
    <row r="784" spans="1:35" ht="12.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row>
    <row r="785" spans="1:35" ht="12.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row>
    <row r="786" spans="1:35" ht="12.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row>
    <row r="787" spans="1:35" ht="12.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row>
    <row r="788" spans="1:35" ht="12.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row>
    <row r="789" spans="1:35" ht="12.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row>
    <row r="790" spans="1:35" ht="12.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row>
    <row r="791" spans="1:35" ht="12.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row>
    <row r="792" spans="1:35" ht="12.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row>
    <row r="793" spans="1:35" ht="12.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row>
    <row r="794" spans="1:35" ht="12.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row>
    <row r="795" spans="1:35" ht="12.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row>
    <row r="796" spans="1:35" ht="12.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row>
    <row r="797" spans="1:35" ht="12.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row>
    <row r="798" spans="1:35" ht="12.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row>
    <row r="799" spans="1:35" ht="12.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row>
    <row r="800" spans="1:35" ht="12.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row>
    <row r="801" spans="1:35" ht="12.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row>
    <row r="802" spans="1:35" ht="12.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row>
    <row r="803" spans="1:35" ht="12.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row>
    <row r="804" spans="1:35" ht="12.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row>
    <row r="805" spans="1:35" ht="12.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row>
    <row r="806" spans="1:35" ht="12.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row>
    <row r="807" spans="1:35" ht="12.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row>
    <row r="808" spans="1:35" ht="12.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row>
    <row r="809" spans="1:35" ht="12.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row>
    <row r="810" spans="1:35" ht="12.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row>
    <row r="811" spans="1:35" ht="12.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row>
    <row r="812" spans="1:35" ht="12.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row>
    <row r="813" spans="1:35" ht="12.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row>
    <row r="814" spans="1:35" ht="12.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row>
    <row r="815" spans="1:35" ht="12.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row>
    <row r="816" spans="1:35" ht="12.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row>
    <row r="817" spans="1:35" ht="12.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row>
    <row r="818" spans="1:35" ht="12.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row>
    <row r="819" spans="1:35" ht="12.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row>
    <row r="820" spans="1:35" ht="12.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row>
    <row r="821" spans="1:35" ht="12.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row>
    <row r="822" spans="1:35" ht="12.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row>
    <row r="823" spans="1:35" ht="12.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row>
    <row r="824" spans="1:35" ht="12.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row>
    <row r="825" spans="1:35" ht="12.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row>
    <row r="826" spans="1:35" ht="12.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row>
    <row r="827" spans="1:35" ht="12.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row>
    <row r="828" spans="1:35" ht="12.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row>
    <row r="829" spans="1:35" ht="12.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row>
    <row r="830" spans="1:35" ht="12.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row>
    <row r="831" spans="1:35" ht="12.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row>
    <row r="832" spans="1:35" ht="12.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row>
    <row r="833" spans="1:35" ht="12.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row>
    <row r="834" spans="1:35" ht="12.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row>
    <row r="835" spans="1:35" ht="12.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row>
    <row r="836" spans="1:35" ht="12.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row>
    <row r="837" spans="1:35" ht="12.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row>
    <row r="838" spans="1:35" ht="12.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row>
    <row r="839" spans="1:35" ht="12.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row>
    <row r="840" spans="1:35" ht="12.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row>
    <row r="841" spans="1:35" ht="12.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row>
    <row r="842" spans="1:35" ht="12.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row>
    <row r="843" spans="1:35" ht="12.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row>
    <row r="844" spans="1:35" ht="12.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row>
    <row r="845" spans="1:35" ht="12.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row>
    <row r="846" spans="1:35" ht="12.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row>
    <row r="847" spans="1:35" ht="12.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row>
    <row r="848" spans="1:35" ht="12.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row>
    <row r="849" spans="1:35" ht="12.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row>
    <row r="850" spans="1:35" ht="12.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row>
    <row r="851" spans="1:35" ht="12.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row>
    <row r="852" spans="1:35" ht="12.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row>
    <row r="853" spans="1:35" ht="12.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row>
    <row r="854" spans="1:35" ht="12.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row>
    <row r="855" spans="1:35" ht="12.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row>
    <row r="856" spans="1:35" ht="12.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row>
    <row r="857" spans="1:35" ht="12.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row>
    <row r="858" spans="1:35" ht="12.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row>
    <row r="859" spans="1:35" ht="12.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row>
    <row r="860" spans="1:35" ht="12.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row>
    <row r="861" spans="1:35" ht="12.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row>
    <row r="862" spans="1:35" ht="12.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row>
    <row r="863" spans="1:35" ht="12.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row>
    <row r="864" spans="1:35" ht="12.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row>
    <row r="865" spans="1:35" ht="12.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row>
    <row r="866" spans="1:35" ht="12.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row>
    <row r="867" spans="1:35" ht="12.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row>
    <row r="868" spans="1:35" ht="12.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row>
    <row r="869" spans="1:35" ht="12.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row>
    <row r="870" spans="1:35" ht="12.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row>
    <row r="871" spans="1:35" ht="12.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row>
    <row r="872" spans="1:35" ht="12.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row>
    <row r="873" spans="1:35" ht="12.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row>
    <row r="874" spans="1:35" ht="12.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row>
    <row r="875" spans="1:35" ht="12.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row>
    <row r="876" spans="1:35" ht="12.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row>
    <row r="877" spans="1:35" ht="12.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row>
    <row r="878" spans="1:35" ht="12.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row>
    <row r="879" spans="1:35" ht="12.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row>
    <row r="880" spans="1:35" ht="12.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row>
    <row r="881" spans="1:35" ht="12.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row>
    <row r="882" spans="1:35" ht="12.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row>
    <row r="883" spans="1:35" ht="12.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row>
    <row r="884" spans="1:35" ht="12.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row>
    <row r="885" spans="1:35" ht="12.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row>
    <row r="886" spans="1:35" ht="12.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row>
    <row r="887" spans="1:35" ht="12.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row>
    <row r="888" spans="1:35" ht="12.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row>
    <row r="889" spans="1:35" ht="12.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row>
    <row r="890" spans="1:35" ht="12.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row>
    <row r="891" spans="1:35" ht="12.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row>
    <row r="892" spans="1:35" ht="12.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row>
    <row r="893" spans="1:35" ht="12.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row>
    <row r="894" spans="1:35" ht="12.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row>
    <row r="895" spans="1:35" ht="12.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row>
    <row r="896" spans="1:35" ht="12.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row>
    <row r="897" spans="1:35" ht="12.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row>
    <row r="898" spans="1:35" ht="12.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row>
    <row r="899" spans="1:35" ht="12.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row>
    <row r="900" spans="1:35" ht="12.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row>
    <row r="901" spans="1:35" ht="12.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row>
    <row r="902" spans="1:35" ht="12.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row>
    <row r="903" spans="1:35" ht="12.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row>
    <row r="904" spans="1:35" ht="12.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row>
    <row r="905" spans="1:35" ht="12.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row>
    <row r="906" spans="1:35" ht="12.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row>
    <row r="907" spans="1:35" ht="12.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row>
    <row r="908" spans="1:35" ht="12.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row>
    <row r="909" spans="1:35" ht="12.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row>
    <row r="910" spans="1:35" ht="12.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row>
    <row r="911" spans="1:35" ht="12.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row>
    <row r="912" spans="1:35" ht="12.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row>
    <row r="913" spans="1:35" ht="12.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row>
    <row r="914" spans="1:35" ht="12.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row>
    <row r="915" spans="1:35" ht="12.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row>
    <row r="916" spans="1:35" ht="12.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row>
    <row r="917" spans="1:35" ht="12.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row>
    <row r="918" spans="1:35" ht="12.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row>
    <row r="919" spans="1:35" ht="12.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row>
    <row r="920" spans="1:35" ht="12.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row>
    <row r="921" spans="1:35" ht="12.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row>
    <row r="922" spans="1:35" ht="12.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row>
    <row r="923" spans="1:35" ht="12.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row>
    <row r="924" spans="1:35" ht="12.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row>
    <row r="925" spans="1:35" ht="12.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row>
    <row r="926" spans="1:35" ht="12.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row>
    <row r="927" spans="1:35" ht="12.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row>
    <row r="928" spans="1:35" ht="12.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row>
    <row r="929" spans="1:35" ht="12.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row>
    <row r="930" spans="1:35" ht="12.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row>
    <row r="931" spans="1:35" ht="12.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row>
    <row r="932" spans="1:35" ht="12.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row>
    <row r="933" spans="1:35" ht="12.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row>
    <row r="934" spans="1:35" ht="12.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row>
    <row r="935" spans="1:35" ht="12.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row>
    <row r="936" spans="1:35" ht="12.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row>
    <row r="937" spans="1:35" ht="12.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row>
    <row r="938" spans="1:35" ht="12.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row>
    <row r="939" spans="1:35" ht="12.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row>
    <row r="940" spans="1:35" ht="12.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row>
    <row r="941" spans="1:35" ht="12.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row>
    <row r="942" spans="1:35" ht="12.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row>
    <row r="943" spans="1:35" ht="12.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row>
    <row r="944" spans="1:35" ht="12.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row>
    <row r="945" spans="1:35" ht="12.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row>
    <row r="946" spans="1:35" ht="12.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row>
    <row r="947" spans="1:35" ht="12.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row>
    <row r="948" spans="1:35" ht="12.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row>
    <row r="949" spans="1:35" ht="12.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row>
    <row r="950" spans="1:35" ht="12.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row>
    <row r="951" spans="1:35" ht="12.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row>
    <row r="952" spans="1:35" ht="12.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row>
    <row r="953" spans="1:35" ht="12.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row>
    <row r="954" spans="1:35" ht="12.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row>
    <row r="955" spans="1:35" ht="12.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row>
    <row r="956" spans="1:35" ht="12.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row>
    <row r="957" spans="1:35" ht="12.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row>
    <row r="958" spans="1:35" ht="12.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row>
    <row r="959" spans="1:35" ht="12.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row>
    <row r="960" spans="1:35" ht="12.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row>
    <row r="961" spans="1:35" ht="12.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row>
    <row r="962" spans="1:35" ht="12.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row>
    <row r="963" spans="1:35" ht="12.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row>
    <row r="964" spans="1:35" ht="12.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row>
    <row r="965" spans="1:35" ht="12.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row>
    <row r="966" spans="1:35" ht="12.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row>
    <row r="967" spans="1:35" ht="12.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row>
    <row r="968" spans="1:35" ht="12.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row>
    <row r="969" spans="1:35" ht="12.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row>
    <row r="970" spans="1:35" ht="12.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row>
    <row r="971" spans="1:35" ht="12.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row>
    <row r="972" spans="1:35" ht="12.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row>
    <row r="973" spans="1:35" ht="12.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row>
    <row r="974" spans="1:35" ht="12.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row>
    <row r="975" spans="1:35" ht="12.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row>
    <row r="976" spans="1:35" ht="12.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row>
    <row r="977" spans="1:35" ht="12.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row>
    <row r="978" spans="1:35" ht="12.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row>
    <row r="979" spans="1:35" ht="12.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row>
    <row r="980" spans="1:35" ht="12.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row>
    <row r="981" spans="1:35" ht="12.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row>
    <row r="982" spans="1:35" ht="12.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row>
    <row r="983" spans="1:35" ht="12.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row>
    <row r="984" spans="1:35" ht="12.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row>
    <row r="985" spans="1:35" ht="12.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row>
    <row r="986" spans="1:35" ht="12.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row>
    <row r="987" spans="1:35" ht="12.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row>
    <row r="988" spans="1:35" ht="12.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row>
    <row r="989" spans="1:35" ht="12.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row>
    <row r="990" spans="1:35" ht="12.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row>
    <row r="991" spans="1:35" ht="12.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row>
    <row r="992" spans="1:35" ht="12.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row>
    <row r="993" spans="1:35" ht="12.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row>
    <row r="994" spans="1:35" ht="12.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row>
    <row r="995" spans="1:35" ht="12.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row>
    <row r="996" spans="1:35" ht="12.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row>
    <row r="997" spans="1:35" ht="12.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row>
    <row r="998" spans="1:35" ht="12.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row>
    <row r="999" spans="1:35" ht="12.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row>
    <row r="1000" spans="1:35" ht="12.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row>
    <row r="1001" spans="1:35" ht="12.75" customHeight="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row>
    <row r="1002" spans="1:35" ht="12.75" customHeight="1">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row>
    <row r="1003" spans="1:35" ht="12.75" customHeight="1">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c r="AI1003" s="9"/>
    </row>
    <row r="1004" spans="1:35" ht="12.75" customHeight="1">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c r="AG1004" s="9"/>
      <c r="AH1004" s="9"/>
      <c r="AI1004" s="9"/>
    </row>
    <row r="1005" spans="1:35" ht="12.75" customHeight="1">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c r="AG1005" s="9"/>
      <c r="AH1005" s="9"/>
      <c r="AI1005" s="9"/>
    </row>
    <row r="1006" spans="1:35" ht="12.75" customHeight="1">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9"/>
      <c r="AG1006" s="9"/>
      <c r="AH1006" s="9"/>
      <c r="AI1006" s="9"/>
    </row>
    <row r="1007" spans="1:35" ht="12.75" customHeight="1">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c r="AF1007" s="9"/>
      <c r="AG1007" s="9"/>
      <c r="AH1007" s="9"/>
      <c r="AI1007" s="9"/>
    </row>
    <row r="1008" spans="1:35" ht="12.75" customHeight="1">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c r="AE1008" s="9"/>
      <c r="AF1008" s="9"/>
      <c r="AG1008" s="9"/>
      <c r="AH1008" s="9"/>
      <c r="AI1008" s="9"/>
    </row>
    <row r="1009" spans="1:35" ht="12.75" customHeight="1">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c r="AE1009" s="9"/>
      <c r="AF1009" s="9"/>
      <c r="AG1009" s="9"/>
      <c r="AH1009" s="9"/>
      <c r="AI1009" s="9"/>
    </row>
    <row r="1010" spans="1:35" ht="12.75" customHeight="1">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c r="AD1010" s="9"/>
      <c r="AE1010" s="9"/>
      <c r="AF1010" s="9"/>
      <c r="AG1010" s="9"/>
      <c r="AH1010" s="9"/>
      <c r="AI1010" s="9"/>
    </row>
    <row r="1011" spans="1:35" ht="12.75" customHeight="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c r="AD1011" s="9"/>
      <c r="AE1011" s="9"/>
      <c r="AF1011" s="9"/>
      <c r="AG1011" s="9"/>
      <c r="AH1011" s="9"/>
      <c r="AI1011" s="9"/>
    </row>
    <row r="1012" spans="1:35" ht="12.75" customHeight="1">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c r="AD1012" s="9"/>
      <c r="AE1012" s="9"/>
      <c r="AF1012" s="9"/>
      <c r="AG1012" s="9"/>
      <c r="AH1012" s="9"/>
      <c r="AI1012" s="9"/>
    </row>
    <row r="1013" spans="1:35" ht="12.75" customHeight="1">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c r="AE1013" s="9"/>
      <c r="AF1013" s="9"/>
      <c r="AG1013" s="9"/>
      <c r="AH1013" s="9"/>
      <c r="AI1013" s="9"/>
    </row>
    <row r="1014" spans="1:35" ht="12.75" customHeight="1">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c r="AB1014" s="9"/>
      <c r="AC1014" s="9"/>
      <c r="AD1014" s="9"/>
      <c r="AE1014" s="9"/>
      <c r="AF1014" s="9"/>
      <c r="AG1014" s="9"/>
      <c r="AH1014" s="9"/>
      <c r="AI1014" s="9"/>
    </row>
    <row r="1015" spans="1:35" ht="12.75" customHeight="1">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c r="AB1015" s="9"/>
      <c r="AC1015" s="9"/>
      <c r="AD1015" s="9"/>
      <c r="AE1015" s="9"/>
      <c r="AF1015" s="9"/>
      <c r="AG1015" s="9"/>
      <c r="AH1015" s="9"/>
      <c r="AI1015" s="9"/>
    </row>
    <row r="1016" spans="1:35" ht="12.75" customHeight="1">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c r="AB1016" s="9"/>
      <c r="AC1016" s="9"/>
      <c r="AD1016" s="9"/>
      <c r="AE1016" s="9"/>
      <c r="AF1016" s="9"/>
      <c r="AG1016" s="9"/>
      <c r="AH1016" s="9"/>
      <c r="AI1016" s="9"/>
    </row>
    <row r="1017" spans="1:35" ht="12.75" customHeight="1">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c r="AA1017" s="9"/>
      <c r="AB1017" s="9"/>
      <c r="AC1017" s="9"/>
      <c r="AD1017" s="9"/>
      <c r="AE1017" s="9"/>
      <c r="AF1017" s="9"/>
      <c r="AG1017" s="9"/>
      <c r="AH1017" s="9"/>
      <c r="AI1017" s="9"/>
    </row>
    <row r="1018" spans="1:35" ht="12.75" customHeight="1">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c r="AA1018" s="9"/>
      <c r="AB1018" s="9"/>
      <c r="AC1018" s="9"/>
      <c r="AD1018" s="9"/>
      <c r="AE1018" s="9"/>
      <c r="AF1018" s="9"/>
      <c r="AG1018" s="9"/>
      <c r="AH1018" s="9"/>
      <c r="AI1018" s="9"/>
    </row>
    <row r="1019" spans="1:35" ht="12.75" customHeight="1">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c r="AA1019" s="9"/>
      <c r="AB1019" s="9"/>
      <c r="AC1019" s="9"/>
      <c r="AD1019" s="9"/>
      <c r="AE1019" s="9"/>
      <c r="AF1019" s="9"/>
      <c r="AG1019" s="9"/>
      <c r="AH1019" s="9"/>
      <c r="AI1019" s="9"/>
    </row>
    <row r="1020" spans="1:35" ht="12.75" customHeight="1">
      <c r="A1020" s="9"/>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c r="AA1020" s="9"/>
      <c r="AB1020" s="9"/>
      <c r="AC1020" s="9"/>
      <c r="AD1020" s="9"/>
      <c r="AE1020" s="9"/>
      <c r="AF1020" s="9"/>
      <c r="AG1020" s="9"/>
      <c r="AH1020" s="9"/>
      <c r="AI1020" s="9"/>
    </row>
    <row r="1021" spans="1:35" ht="12.75" customHeight="1">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c r="AA1021" s="9"/>
      <c r="AB1021" s="9"/>
      <c r="AC1021" s="9"/>
      <c r="AD1021" s="9"/>
      <c r="AE1021" s="9"/>
      <c r="AF1021" s="9"/>
      <c r="AG1021" s="9"/>
      <c r="AH1021" s="9"/>
      <c r="AI1021" s="9"/>
    </row>
    <row r="1022" spans="1:35" ht="12.75" customHeight="1">
      <c r="A1022" s="9"/>
      <c r="B1022" s="9"/>
      <c r="C1022" s="9"/>
      <c r="D1022" s="9"/>
      <c r="E1022" s="9"/>
      <c r="F1022" s="9"/>
      <c r="G1022" s="9"/>
      <c r="H1022" s="9"/>
      <c r="I1022" s="9"/>
      <c r="J1022" s="9"/>
      <c r="K1022" s="9"/>
      <c r="L1022" s="9"/>
      <c r="M1022" s="9"/>
      <c r="N1022" s="9"/>
      <c r="O1022" s="9"/>
      <c r="P1022" s="9"/>
      <c r="Q1022" s="9"/>
      <c r="R1022" s="9"/>
      <c r="S1022" s="9"/>
      <c r="T1022" s="9"/>
      <c r="U1022" s="9"/>
      <c r="V1022" s="9"/>
      <c r="W1022" s="9"/>
      <c r="X1022" s="9"/>
      <c r="Y1022" s="9"/>
      <c r="Z1022" s="9"/>
      <c r="AA1022" s="9"/>
      <c r="AB1022" s="9"/>
      <c r="AC1022" s="9"/>
      <c r="AD1022" s="9"/>
      <c r="AE1022" s="9"/>
      <c r="AF1022" s="9"/>
      <c r="AG1022" s="9"/>
      <c r="AH1022" s="9"/>
      <c r="AI1022" s="9"/>
    </row>
    <row r="1023" spans="1:35" ht="12.75" customHeight="1">
      <c r="A1023" s="9"/>
      <c r="B1023" s="9"/>
      <c r="AH1023" s="9"/>
      <c r="AI1023" s="9"/>
    </row>
    <row r="1024" spans="1:35" ht="12.75" customHeight="1">
      <c r="A1024" s="9"/>
      <c r="B1024" s="9"/>
      <c r="AH1024" s="9"/>
      <c r="AI1024" s="9"/>
    </row>
    <row r="1025" spans="1:35" ht="12.75" customHeight="1">
      <c r="A1025" s="9"/>
      <c r="B1025" s="9"/>
      <c r="AH1025" s="9"/>
      <c r="AI1025" s="9"/>
    </row>
    <row r="1026" spans="1:35" ht="12.75" customHeight="1">
      <c r="A1026" s="9"/>
      <c r="B1026" s="9"/>
      <c r="AH1026" s="9"/>
      <c r="AI1026" s="9"/>
    </row>
    <row r="1027" spans="1:35" ht="12.75" customHeight="1">
      <c r="AH1027" s="9"/>
      <c r="AI1027" s="9"/>
    </row>
    <row r="1028" spans="1:35" ht="12.75" customHeight="1">
      <c r="AH1028" s="9"/>
      <c r="AI1028" s="9"/>
    </row>
    <row r="1029" spans="1:35" ht="12.75" customHeight="1">
      <c r="AH1029" s="9"/>
      <c r="AI1029" s="9"/>
    </row>
    <row r="1030" spans="1:35" ht="12.75" customHeight="1">
      <c r="AH1030" s="9"/>
      <c r="AI1030" s="9"/>
    </row>
    <row r="1031" spans="1:35" ht="12.75" customHeight="1">
      <c r="AH1031" s="9"/>
      <c r="AI1031" s="9"/>
    </row>
  </sheetData>
  <pageMargins left="0.7" right="0.7" top="0.75" bottom="0.75" header="0" footer="0"/>
  <pageSetup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D632-1C48-41BE-9F3C-795F5AE34593}">
  <dimension ref="A1:FW1"/>
  <sheetViews>
    <sheetView workbookViewId="0"/>
  </sheetViews>
  <sheetFormatPr defaultRowHeight="14.4"/>
  <sheetData>
    <row r="1" spans="1:179">
      <c r="A1">
        <v>179</v>
      </c>
      <c r="B1" t="s">
        <v>973</v>
      </c>
      <c r="C1" t="s">
        <v>974</v>
      </c>
      <c r="D1" t="s">
        <v>975</v>
      </c>
      <c r="E1" t="s">
        <v>976</v>
      </c>
      <c r="F1" t="s">
        <v>977</v>
      </c>
      <c r="G1" t="s">
        <v>978</v>
      </c>
      <c r="H1" t="s">
        <v>979</v>
      </c>
      <c r="I1" t="s">
        <v>980</v>
      </c>
      <c r="J1" t="s">
        <v>981</v>
      </c>
      <c r="K1" t="s">
        <v>982</v>
      </c>
      <c r="L1" t="s">
        <v>983</v>
      </c>
      <c r="M1" t="s">
        <v>984</v>
      </c>
      <c r="N1" t="s">
        <v>985</v>
      </c>
      <c r="O1" t="s">
        <v>986</v>
      </c>
      <c r="P1" t="s">
        <v>987</v>
      </c>
      <c r="Q1" t="s">
        <v>988</v>
      </c>
      <c r="R1" t="s">
        <v>989</v>
      </c>
      <c r="S1" t="s">
        <v>990</v>
      </c>
      <c r="T1" t="s">
        <v>991</v>
      </c>
      <c r="U1" t="s">
        <v>992</v>
      </c>
      <c r="V1" t="s">
        <v>993</v>
      </c>
      <c r="W1" t="s">
        <v>994</v>
      </c>
      <c r="X1" t="s">
        <v>995</v>
      </c>
      <c r="Y1" t="s">
        <v>996</v>
      </c>
      <c r="Z1" t="s">
        <v>997</v>
      </c>
      <c r="AA1" t="s">
        <v>998</v>
      </c>
      <c r="AB1" t="s">
        <v>999</v>
      </c>
      <c r="AC1" t="s">
        <v>1000</v>
      </c>
      <c r="AD1" t="s">
        <v>1001</v>
      </c>
      <c r="AE1" t="s">
        <v>1002</v>
      </c>
      <c r="AF1" t="s">
        <v>1003</v>
      </c>
      <c r="AG1" t="s">
        <v>1004</v>
      </c>
      <c r="AH1" t="s">
        <v>1005</v>
      </c>
      <c r="AI1" t="s">
        <v>1006</v>
      </c>
      <c r="AJ1" t="s">
        <v>1007</v>
      </c>
      <c r="AK1" t="s">
        <v>1008</v>
      </c>
      <c r="AL1" t="s">
        <v>1009</v>
      </c>
      <c r="AM1" t="s">
        <v>1010</v>
      </c>
      <c r="AN1" t="s">
        <v>1011</v>
      </c>
      <c r="AO1" t="s">
        <v>1012</v>
      </c>
      <c r="AP1" t="s">
        <v>1013</v>
      </c>
      <c r="AQ1" t="s">
        <v>1014</v>
      </c>
      <c r="AR1" t="s">
        <v>1015</v>
      </c>
      <c r="AS1" t="s">
        <v>1016</v>
      </c>
      <c r="AT1" t="s">
        <v>1017</v>
      </c>
      <c r="AU1" t="s">
        <v>1018</v>
      </c>
      <c r="AV1" t="s">
        <v>1019</v>
      </c>
      <c r="AW1" t="s">
        <v>1020</v>
      </c>
      <c r="AX1" t="s">
        <v>1021</v>
      </c>
      <c r="AY1" t="s">
        <v>1022</v>
      </c>
      <c r="AZ1" t="s">
        <v>1023</v>
      </c>
      <c r="BA1" t="s">
        <v>1024</v>
      </c>
      <c r="BB1" t="s">
        <v>1025</v>
      </c>
      <c r="BC1" t="s">
        <v>1026</v>
      </c>
      <c r="BD1" t="s">
        <v>1027</v>
      </c>
      <c r="BE1" t="s">
        <v>1028</v>
      </c>
      <c r="BF1" t="s">
        <v>1029</v>
      </c>
      <c r="BG1" t="s">
        <v>1030</v>
      </c>
      <c r="BH1" t="s">
        <v>1031</v>
      </c>
      <c r="BI1" t="s">
        <v>1032</v>
      </c>
      <c r="BJ1" t="s">
        <v>1033</v>
      </c>
      <c r="BK1" t="s">
        <v>1034</v>
      </c>
      <c r="BL1" t="s">
        <v>1035</v>
      </c>
      <c r="BM1" t="s">
        <v>1036</v>
      </c>
      <c r="BN1" t="s">
        <v>1037</v>
      </c>
      <c r="BO1" t="s">
        <v>1038</v>
      </c>
      <c r="BP1" t="s">
        <v>1039</v>
      </c>
      <c r="BQ1" t="s">
        <v>1040</v>
      </c>
      <c r="BR1" t="s">
        <v>1041</v>
      </c>
      <c r="BS1" t="s">
        <v>1042</v>
      </c>
      <c r="BT1" t="s">
        <v>1043</v>
      </c>
      <c r="BU1" t="s">
        <v>1044</v>
      </c>
      <c r="BV1" t="s">
        <v>1045</v>
      </c>
      <c r="BW1" t="s">
        <v>1046</v>
      </c>
      <c r="BX1" t="s">
        <v>1047</v>
      </c>
      <c r="BY1" t="s">
        <v>1048</v>
      </c>
      <c r="BZ1" t="s">
        <v>1049</v>
      </c>
      <c r="CA1" t="s">
        <v>1050</v>
      </c>
      <c r="CB1" t="s">
        <v>1051</v>
      </c>
      <c r="CC1" t="s">
        <v>1052</v>
      </c>
      <c r="CD1" t="s">
        <v>1053</v>
      </c>
      <c r="CE1" t="s">
        <v>1054</v>
      </c>
      <c r="CF1" t="s">
        <v>1055</v>
      </c>
      <c r="CG1" t="s">
        <v>1056</v>
      </c>
      <c r="CH1" t="s">
        <v>1057</v>
      </c>
      <c r="CI1" t="s">
        <v>1058</v>
      </c>
      <c r="CJ1" t="s">
        <v>1059</v>
      </c>
      <c r="CK1" t="s">
        <v>1060</v>
      </c>
      <c r="CL1" t="s">
        <v>1061</v>
      </c>
      <c r="CM1" t="s">
        <v>1062</v>
      </c>
      <c r="CN1" t="s">
        <v>1063</v>
      </c>
      <c r="CO1" t="s">
        <v>1064</v>
      </c>
      <c r="CP1" t="s">
        <v>1065</v>
      </c>
      <c r="CQ1" t="s">
        <v>1066</v>
      </c>
      <c r="CR1" t="s">
        <v>1067</v>
      </c>
      <c r="CS1" t="s">
        <v>1068</v>
      </c>
      <c r="CT1" t="s">
        <v>1069</v>
      </c>
      <c r="CU1" t="s">
        <v>1070</v>
      </c>
      <c r="CV1" t="s">
        <v>1071</v>
      </c>
      <c r="CW1" t="s">
        <v>1072</v>
      </c>
      <c r="CX1" t="s">
        <v>1073</v>
      </c>
      <c r="CY1" t="s">
        <v>1074</v>
      </c>
      <c r="CZ1" t="s">
        <v>1075</v>
      </c>
      <c r="DA1" t="s">
        <v>1076</v>
      </c>
      <c r="DB1" t="s">
        <v>1077</v>
      </c>
      <c r="DC1" t="s">
        <v>1078</v>
      </c>
      <c r="DD1" t="s">
        <v>1079</v>
      </c>
      <c r="DE1" t="s">
        <v>1080</v>
      </c>
      <c r="DF1" t="s">
        <v>1081</v>
      </c>
      <c r="DG1" t="s">
        <v>1082</v>
      </c>
      <c r="DH1" t="s">
        <v>1083</v>
      </c>
      <c r="DI1" t="s">
        <v>1084</v>
      </c>
      <c r="DJ1" t="s">
        <v>1085</v>
      </c>
      <c r="DK1" t="s">
        <v>1086</v>
      </c>
      <c r="DL1" t="s">
        <v>1087</v>
      </c>
      <c r="DM1" t="s">
        <v>1088</v>
      </c>
      <c r="DN1" t="s">
        <v>1089</v>
      </c>
      <c r="DO1" t="s">
        <v>1090</v>
      </c>
      <c r="DP1" t="s">
        <v>1091</v>
      </c>
      <c r="DQ1" t="s">
        <v>1092</v>
      </c>
      <c r="DR1" t="s">
        <v>1093</v>
      </c>
      <c r="DS1" t="s">
        <v>1094</v>
      </c>
      <c r="DT1" t="s">
        <v>1095</v>
      </c>
      <c r="DU1" t="s">
        <v>1096</v>
      </c>
      <c r="DV1" t="s">
        <v>1097</v>
      </c>
      <c r="DW1" t="s">
        <v>1098</v>
      </c>
      <c r="DX1" t="s">
        <v>1099</v>
      </c>
      <c r="DY1" t="s">
        <v>1100</v>
      </c>
      <c r="DZ1" t="s">
        <v>1101</v>
      </c>
      <c r="EA1" t="s">
        <v>1102</v>
      </c>
      <c r="EB1" t="s">
        <v>1103</v>
      </c>
      <c r="EC1" t="s">
        <v>1104</v>
      </c>
      <c r="ED1" t="s">
        <v>1105</v>
      </c>
      <c r="EE1" t="s">
        <v>1106</v>
      </c>
      <c r="EF1" t="s">
        <v>1107</v>
      </c>
      <c r="EG1" t="s">
        <v>1108</v>
      </c>
      <c r="EH1" t="s">
        <v>1109</v>
      </c>
      <c r="EI1" t="s">
        <v>1110</v>
      </c>
      <c r="EJ1" t="s">
        <v>1111</v>
      </c>
      <c r="EK1" t="s">
        <v>1112</v>
      </c>
      <c r="EL1" t="s">
        <v>1113</v>
      </c>
      <c r="EM1" t="s">
        <v>1114</v>
      </c>
      <c r="EN1" t="s">
        <v>1115</v>
      </c>
      <c r="EO1" t="s">
        <v>1116</v>
      </c>
      <c r="EP1" t="s">
        <v>1117</v>
      </c>
      <c r="EQ1" t="s">
        <v>1118</v>
      </c>
      <c r="ER1" t="s">
        <v>1119</v>
      </c>
      <c r="ES1" t="s">
        <v>1120</v>
      </c>
      <c r="ET1" t="s">
        <v>1121</v>
      </c>
      <c r="EU1" t="s">
        <v>1122</v>
      </c>
      <c r="EV1" t="s">
        <v>1123</v>
      </c>
      <c r="EW1" t="s">
        <v>1124</v>
      </c>
      <c r="EX1" t="s">
        <v>1125</v>
      </c>
      <c r="EY1" t="s">
        <v>1126</v>
      </c>
      <c r="EZ1" t="s">
        <v>1127</v>
      </c>
      <c r="FA1" t="s">
        <v>1128</v>
      </c>
      <c r="FB1" t="s">
        <v>1129</v>
      </c>
      <c r="FC1" t="s">
        <v>1130</v>
      </c>
      <c r="FD1" t="s">
        <v>1131</v>
      </c>
      <c r="FE1" t="s">
        <v>1132</v>
      </c>
      <c r="FF1" t="s">
        <v>1133</v>
      </c>
      <c r="FG1" t="s">
        <v>1134</v>
      </c>
      <c r="FH1" t="s">
        <v>1135</v>
      </c>
      <c r="FI1" t="s">
        <v>1136</v>
      </c>
      <c r="FJ1" t="s">
        <v>1137</v>
      </c>
      <c r="FK1" t="s">
        <v>1138</v>
      </c>
      <c r="FL1" t="s">
        <v>1139</v>
      </c>
      <c r="FM1" t="s">
        <v>1140</v>
      </c>
      <c r="FN1" t="s">
        <v>1141</v>
      </c>
      <c r="FO1" t="s">
        <v>1142</v>
      </c>
      <c r="FP1" t="s">
        <v>1143</v>
      </c>
      <c r="FQ1" t="s">
        <v>1144</v>
      </c>
      <c r="FR1" t="s">
        <v>1145</v>
      </c>
      <c r="FS1" t="s">
        <v>1146</v>
      </c>
      <c r="FT1" t="s">
        <v>1147</v>
      </c>
      <c r="FU1" t="s">
        <v>1148</v>
      </c>
      <c r="FV1" t="s">
        <v>1149</v>
      </c>
      <c r="FW1" t="s">
        <v>1150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60000"/>
  </sheetPr>
  <dimension ref="A1:BO998"/>
  <sheetViews>
    <sheetView showGridLines="0" zoomScale="80" zoomScaleNormal="80" workbookViewId="0">
      <pane ySplit="2" topLeftCell="A3" activePane="bottomLeft" state="frozen"/>
      <selection pane="bottomLeft" activeCell="C1" sqref="C1"/>
    </sheetView>
  </sheetViews>
  <sheetFormatPr defaultColWidth="14.44140625" defaultRowHeight="15" customHeight="1" outlineLevelRow="1" outlineLevelCol="1"/>
  <cols>
    <col min="1" max="1" width="2.5546875" hidden="1" customWidth="1" outlineLevel="1"/>
    <col min="2" max="2" width="22.5546875" hidden="1" customWidth="1" outlineLevel="1"/>
    <col min="3" max="3" width="1.6640625" customWidth="1" collapsed="1"/>
    <col min="4" max="4" width="22.5546875" customWidth="1"/>
    <col min="5" max="5" width="21.44140625" customWidth="1"/>
    <col min="6" max="6" width="10.5546875" customWidth="1"/>
    <col min="7" max="8" width="12.6640625" customWidth="1"/>
    <col min="9" max="9" width="11.6640625" customWidth="1"/>
    <col min="10" max="23" width="10.5546875" customWidth="1"/>
    <col min="24" max="24" width="22.5546875" hidden="1" customWidth="1" outlineLevel="1"/>
    <col min="25" max="25" width="1.6640625" customWidth="1" collapsed="1"/>
    <col min="26" max="26" width="22.5546875" hidden="1" customWidth="1" outlineLevel="1"/>
    <col min="27" max="27" width="8.6640625" hidden="1" customWidth="1" outlineLevel="1"/>
    <col min="28" max="30" width="10.5546875" hidden="1" customWidth="1" outlineLevel="1"/>
    <col min="31" max="31" width="11.6640625" hidden="1" customWidth="1" outlineLevel="1"/>
    <col min="32" max="44" width="10.5546875" hidden="1" customWidth="1" outlineLevel="1"/>
    <col min="45" max="45" width="8.6640625" customWidth="1" collapsed="1"/>
    <col min="46" max="46" width="22.5546875" hidden="1" customWidth="1" outlineLevel="1"/>
    <col min="47" max="47" width="1.6640625" customWidth="1" collapsed="1"/>
    <col min="48" max="48" width="22.5546875" hidden="1" customWidth="1" outlineLevel="1"/>
    <col min="49" max="49" width="8.6640625" hidden="1" customWidth="1" outlineLevel="1"/>
    <col min="50" max="52" width="10.5546875" hidden="1" customWidth="1" outlineLevel="1"/>
    <col min="53" max="53" width="11.6640625" hidden="1" customWidth="1" outlineLevel="1"/>
    <col min="54" max="66" width="10.5546875" hidden="1" customWidth="1" outlineLevel="1"/>
    <col min="67" max="67" width="14.44140625" collapsed="1"/>
  </cols>
  <sheetData>
    <row r="1" spans="1:66" ht="20.25" customHeight="1">
      <c r="A1" s="4"/>
      <c r="B1" s="4"/>
      <c r="C1" s="4"/>
      <c r="D1" s="5" t="str">
        <f>Company_Name&amp;" - Comparable Company Analysis"</f>
        <v>Hamilton Lane Inc. - Comparable Company Analysis</v>
      </c>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row>
    <row r="2" spans="1:66" ht="13.5" customHeight="1">
      <c r="A2" s="2"/>
      <c r="B2" s="2"/>
      <c r="C2" s="433"/>
      <c r="D2" s="7" t="str">
        <f>Cover!C2</f>
        <v>$ in Millions Except Per Share Data</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row>
    <row r="3" spans="1:66" ht="13.5" customHeight="1">
      <c r="A3" s="3"/>
      <c r="B3" s="2"/>
      <c r="C3" s="37"/>
      <c r="D3" s="9"/>
      <c r="E3" s="9"/>
      <c r="F3" s="9"/>
      <c r="G3" s="9"/>
      <c r="H3" s="9"/>
      <c r="I3" s="9"/>
      <c r="J3" s="9"/>
      <c r="K3" s="9"/>
      <c r="L3" s="9"/>
      <c r="M3" s="9"/>
      <c r="N3" s="9"/>
      <c r="O3" s="9"/>
      <c r="P3" s="9"/>
      <c r="Q3" s="9"/>
      <c r="R3" s="9"/>
      <c r="S3" s="9"/>
      <c r="T3" s="9"/>
      <c r="U3" s="9"/>
      <c r="V3" s="9"/>
      <c r="W3" s="9"/>
      <c r="X3" s="2"/>
      <c r="Y3" s="37"/>
      <c r="Z3" s="9"/>
      <c r="AA3" s="9"/>
      <c r="AB3" s="9"/>
      <c r="AC3" s="9"/>
      <c r="AD3" s="9"/>
      <c r="AE3" s="9"/>
      <c r="AF3" s="9"/>
      <c r="AG3" s="9"/>
      <c r="AH3" s="9"/>
      <c r="AI3" s="9"/>
      <c r="AJ3" s="9"/>
      <c r="AK3" s="9"/>
      <c r="AL3" s="9"/>
      <c r="AM3" s="9"/>
      <c r="AN3" s="9"/>
      <c r="AO3" s="9"/>
      <c r="AP3" s="9"/>
      <c r="AQ3" s="9"/>
      <c r="AR3" s="9"/>
      <c r="AS3" s="2"/>
      <c r="AT3" s="2"/>
      <c r="AU3" s="2"/>
      <c r="AV3" s="2"/>
      <c r="AW3" s="2"/>
      <c r="AX3" s="2"/>
      <c r="AY3" s="2"/>
      <c r="AZ3" s="2"/>
      <c r="BA3" s="2"/>
      <c r="BB3" s="2"/>
      <c r="BC3" s="2"/>
      <c r="BD3" s="2"/>
      <c r="BE3" s="2"/>
      <c r="BF3" s="2"/>
      <c r="BG3" s="2"/>
      <c r="BH3" s="2"/>
      <c r="BI3" s="2"/>
      <c r="BJ3" s="2"/>
      <c r="BK3" s="2"/>
      <c r="BL3" s="2"/>
      <c r="BM3" s="2"/>
      <c r="BN3" s="2"/>
    </row>
    <row r="4" spans="1:66" ht="13.5" customHeight="1">
      <c r="A4" s="2"/>
      <c r="B4" s="2"/>
      <c r="C4" s="37"/>
      <c r="D4" s="995" t="str">
        <f>$D$84</f>
        <v>Primary Peer Group</v>
      </c>
      <c r="E4" s="974"/>
      <c r="F4" s="974"/>
      <c r="G4" s="974"/>
      <c r="H4" s="974"/>
      <c r="I4" s="974"/>
      <c r="J4" s="974"/>
      <c r="K4" s="974"/>
      <c r="L4" s="974"/>
      <c r="M4" s="974"/>
      <c r="N4" s="974"/>
      <c r="O4" s="974"/>
      <c r="P4" s="974"/>
      <c r="Q4" s="974"/>
      <c r="R4" s="974"/>
      <c r="S4" s="974"/>
      <c r="T4" s="974"/>
      <c r="U4" s="974"/>
      <c r="V4" s="975"/>
      <c r="W4" s="9"/>
      <c r="X4" s="2"/>
      <c r="Y4" s="37"/>
      <c r="Z4" s="1027" t="str">
        <f>$G$84</f>
        <v>Defense Peer Group</v>
      </c>
      <c r="AA4" s="974"/>
      <c r="AB4" s="974"/>
      <c r="AC4" s="974"/>
      <c r="AD4" s="974"/>
      <c r="AE4" s="974"/>
      <c r="AF4" s="974"/>
      <c r="AG4" s="974"/>
      <c r="AH4" s="974"/>
      <c r="AI4" s="974"/>
      <c r="AJ4" s="974"/>
      <c r="AK4" s="974"/>
      <c r="AL4" s="974"/>
      <c r="AM4" s="974"/>
      <c r="AN4" s="974"/>
      <c r="AO4" s="974"/>
      <c r="AP4" s="974"/>
      <c r="AQ4" s="974"/>
      <c r="AR4" s="975"/>
      <c r="AS4" s="2"/>
      <c r="AT4" s="2"/>
      <c r="AU4" s="37"/>
      <c r="AV4" s="1027" t="str">
        <f>$L$84</f>
        <v>Cap. Goods Peer Group</v>
      </c>
      <c r="AW4" s="974"/>
      <c r="AX4" s="974"/>
      <c r="AY4" s="974"/>
      <c r="AZ4" s="974"/>
      <c r="BA4" s="974"/>
      <c r="BB4" s="974"/>
      <c r="BC4" s="974"/>
      <c r="BD4" s="974"/>
      <c r="BE4" s="974"/>
      <c r="BF4" s="974"/>
      <c r="BG4" s="974"/>
      <c r="BH4" s="974"/>
      <c r="BI4" s="974"/>
      <c r="BJ4" s="974"/>
      <c r="BK4" s="974"/>
      <c r="BL4" s="974"/>
      <c r="BM4" s="974"/>
      <c r="BN4" s="975"/>
    </row>
    <row r="5" spans="1:66" ht="4.5" customHeight="1">
      <c r="A5" s="2"/>
      <c r="B5" s="2"/>
      <c r="C5" s="37"/>
      <c r="D5" s="139"/>
      <c r="E5" s="434"/>
      <c r="F5" s="434"/>
      <c r="G5" s="434"/>
      <c r="H5" s="434"/>
      <c r="I5" s="434"/>
      <c r="J5" s="434"/>
      <c r="K5" s="434"/>
      <c r="L5" s="139"/>
      <c r="M5" s="434"/>
      <c r="N5" s="434"/>
      <c r="O5" s="434"/>
      <c r="P5" s="139"/>
      <c r="Q5" s="434"/>
      <c r="R5" s="434"/>
      <c r="S5" s="434"/>
      <c r="T5" s="139"/>
      <c r="U5" s="434"/>
      <c r="V5" s="434"/>
      <c r="W5" s="9"/>
      <c r="X5" s="2"/>
      <c r="Y5" s="37"/>
      <c r="Z5" s="435"/>
      <c r="AA5" s="436"/>
      <c r="AB5" s="436"/>
      <c r="AC5" s="436"/>
      <c r="AD5" s="436"/>
      <c r="AE5" s="436"/>
      <c r="AF5" s="436"/>
      <c r="AG5" s="436"/>
      <c r="AH5" s="435"/>
      <c r="AI5" s="436"/>
      <c r="AJ5" s="436"/>
      <c r="AK5" s="436"/>
      <c r="AL5" s="435"/>
      <c r="AM5" s="436"/>
      <c r="AN5" s="436"/>
      <c r="AO5" s="436"/>
      <c r="AP5" s="435"/>
      <c r="AQ5" s="436"/>
      <c r="AR5" s="436"/>
      <c r="AS5" s="2"/>
      <c r="AT5" s="2"/>
      <c r="AU5" s="37"/>
      <c r="AV5" s="435"/>
      <c r="AW5" s="436"/>
      <c r="AX5" s="436"/>
      <c r="AY5" s="436"/>
      <c r="AZ5" s="436"/>
      <c r="BA5" s="436"/>
      <c r="BB5" s="436"/>
      <c r="BC5" s="436"/>
      <c r="BD5" s="435"/>
      <c r="BE5" s="436"/>
      <c r="BF5" s="436"/>
      <c r="BG5" s="436"/>
      <c r="BH5" s="435"/>
      <c r="BI5" s="436"/>
      <c r="BJ5" s="436"/>
      <c r="BK5" s="436"/>
      <c r="BL5" s="435"/>
      <c r="BM5" s="436"/>
      <c r="BN5" s="436"/>
    </row>
    <row r="6" spans="1:66" ht="13.5" customHeight="1">
      <c r="A6" s="2"/>
      <c r="B6" s="2"/>
      <c r="C6" s="37"/>
      <c r="D6" s="9"/>
      <c r="E6" s="9"/>
      <c r="F6" s="9"/>
      <c r="G6" s="9"/>
      <c r="H6" s="9"/>
      <c r="I6" s="9"/>
      <c r="J6" s="9"/>
      <c r="K6" s="9"/>
      <c r="L6" s="9"/>
      <c r="M6" s="9"/>
      <c r="N6" s="9"/>
      <c r="O6" s="9"/>
      <c r="P6" s="9"/>
      <c r="Q6" s="1026" t="s">
        <v>464</v>
      </c>
      <c r="R6" s="978"/>
      <c r="S6" s="978"/>
      <c r="T6" s="978"/>
      <c r="U6" s="9"/>
      <c r="V6" s="9"/>
      <c r="W6" s="9"/>
      <c r="X6" s="2"/>
      <c r="Y6" s="37"/>
      <c r="Z6" s="9"/>
      <c r="AA6" s="9"/>
      <c r="AB6" s="9"/>
      <c r="AC6" s="9"/>
      <c r="AD6" s="9"/>
      <c r="AE6" s="9"/>
      <c r="AF6" s="9"/>
      <c r="AG6" s="9"/>
      <c r="AH6" s="9"/>
      <c r="AI6" s="9"/>
      <c r="AJ6" s="9"/>
      <c r="AK6" s="9"/>
      <c r="AL6" s="9"/>
      <c r="AM6" s="1026" t="s">
        <v>464</v>
      </c>
      <c r="AN6" s="978"/>
      <c r="AO6" s="978"/>
      <c r="AP6" s="978"/>
      <c r="AQ6" s="9"/>
      <c r="AR6" s="9"/>
      <c r="AS6" s="2"/>
      <c r="AT6" s="2"/>
      <c r="AU6" s="37"/>
      <c r="AV6" s="9"/>
      <c r="AW6" s="9"/>
      <c r="AX6" s="9"/>
      <c r="AY6" s="9"/>
      <c r="AZ6" s="9"/>
      <c r="BA6" s="9"/>
      <c r="BB6" s="9"/>
      <c r="BC6" s="9"/>
      <c r="BD6" s="9"/>
      <c r="BE6" s="9"/>
      <c r="BF6" s="9"/>
      <c r="BG6" s="9"/>
      <c r="BH6" s="9"/>
      <c r="BI6" s="1026" t="s">
        <v>464</v>
      </c>
      <c r="BJ6" s="978"/>
      <c r="BK6" s="978"/>
      <c r="BL6" s="978"/>
      <c r="BM6" s="9"/>
      <c r="BN6" s="9"/>
    </row>
    <row r="7" spans="1:66" ht="13.5" customHeight="1">
      <c r="A7" s="2"/>
      <c r="B7" s="2"/>
      <c r="C7" s="37"/>
      <c r="D7" s="64"/>
      <c r="E7" s="64"/>
      <c r="F7" s="64"/>
      <c r="G7" s="64" t="s">
        <v>465</v>
      </c>
      <c r="H7" s="64" t="s">
        <v>466</v>
      </c>
      <c r="I7" s="1026" t="s">
        <v>467</v>
      </c>
      <c r="J7" s="978"/>
      <c r="K7" s="1026" t="s">
        <v>376</v>
      </c>
      <c r="L7" s="978"/>
      <c r="M7" s="1026" t="s">
        <v>107</v>
      </c>
      <c r="N7" s="978"/>
      <c r="O7" s="1026" t="s">
        <v>468</v>
      </c>
      <c r="P7" s="978"/>
      <c r="Q7" s="1026" t="s">
        <v>285</v>
      </c>
      <c r="R7" s="978"/>
      <c r="S7" s="1026" t="s">
        <v>467</v>
      </c>
      <c r="T7" s="978"/>
      <c r="U7" s="1026" t="s">
        <v>469</v>
      </c>
      <c r="V7" s="978"/>
      <c r="W7" s="9"/>
      <c r="X7" s="2"/>
      <c r="Y7" s="37"/>
      <c r="Z7" s="64"/>
      <c r="AA7" s="64"/>
      <c r="AB7" s="64"/>
      <c r="AC7" s="64" t="s">
        <v>465</v>
      </c>
      <c r="AD7" s="64" t="s">
        <v>466</v>
      </c>
      <c r="AE7" s="1026" t="s">
        <v>467</v>
      </c>
      <c r="AF7" s="978"/>
      <c r="AG7" s="1026" t="s">
        <v>376</v>
      </c>
      <c r="AH7" s="978"/>
      <c r="AI7" s="1026" t="s">
        <v>107</v>
      </c>
      <c r="AJ7" s="978"/>
      <c r="AK7" s="1026" t="s">
        <v>468</v>
      </c>
      <c r="AL7" s="978"/>
      <c r="AM7" s="1026" t="s">
        <v>285</v>
      </c>
      <c r="AN7" s="978"/>
      <c r="AO7" s="1026" t="s">
        <v>467</v>
      </c>
      <c r="AP7" s="978"/>
      <c r="AQ7" s="1026" t="s">
        <v>469</v>
      </c>
      <c r="AR7" s="978"/>
      <c r="AS7" s="2"/>
      <c r="AT7" s="2"/>
      <c r="AU7" s="37"/>
      <c r="AV7" s="64"/>
      <c r="AW7" s="64"/>
      <c r="AX7" s="64"/>
      <c r="AY7" s="64" t="s">
        <v>465</v>
      </c>
      <c r="AZ7" s="64" t="s">
        <v>466</v>
      </c>
      <c r="BA7" s="1026" t="s">
        <v>467</v>
      </c>
      <c r="BB7" s="978"/>
      <c r="BC7" s="1026" t="s">
        <v>376</v>
      </c>
      <c r="BD7" s="978"/>
      <c r="BE7" s="1026" t="s">
        <v>107</v>
      </c>
      <c r="BF7" s="978"/>
      <c r="BG7" s="1026" t="s">
        <v>468</v>
      </c>
      <c r="BH7" s="978"/>
      <c r="BI7" s="1026" t="s">
        <v>285</v>
      </c>
      <c r="BJ7" s="978"/>
      <c r="BK7" s="1026" t="s">
        <v>467</v>
      </c>
      <c r="BL7" s="978"/>
      <c r="BM7" s="1026" t="s">
        <v>469</v>
      </c>
      <c r="BN7" s="978"/>
    </row>
    <row r="8" spans="1:66" ht="13.5" customHeight="1">
      <c r="A8" s="2"/>
      <c r="B8" s="2"/>
      <c r="C8" s="37"/>
      <c r="D8" s="103"/>
      <c r="E8" s="64"/>
      <c r="F8" s="437" t="s">
        <v>21</v>
      </c>
      <c r="G8" s="437" t="s">
        <v>470</v>
      </c>
      <c r="H8" s="437" t="s">
        <v>60</v>
      </c>
      <c r="I8" s="437" t="s">
        <v>471</v>
      </c>
      <c r="J8" s="438">
        <f>Next_FYE</f>
        <v>46112</v>
      </c>
      <c r="K8" s="437" t="s">
        <v>471</v>
      </c>
      <c r="L8" s="438">
        <f>Next_FYE</f>
        <v>46112</v>
      </c>
      <c r="M8" s="437" t="s">
        <v>471</v>
      </c>
      <c r="N8" s="438">
        <f>Next_FYE</f>
        <v>46112</v>
      </c>
      <c r="O8" s="437" t="s">
        <v>471</v>
      </c>
      <c r="P8" s="438">
        <f>Next_FYE</f>
        <v>46112</v>
      </c>
      <c r="Q8" s="437" t="s">
        <v>471</v>
      </c>
      <c r="R8" s="438">
        <f>Next_FYE</f>
        <v>46112</v>
      </c>
      <c r="S8" s="437" t="s">
        <v>471</v>
      </c>
      <c r="T8" s="438">
        <f>Next_FYE</f>
        <v>46112</v>
      </c>
      <c r="U8" s="437" t="s">
        <v>471</v>
      </c>
      <c r="V8" s="438">
        <f>Next_FYE</f>
        <v>46112</v>
      </c>
      <c r="W8" s="9"/>
      <c r="X8" s="2"/>
      <c r="Y8" s="37"/>
      <c r="Z8" s="103"/>
      <c r="AA8" s="64"/>
      <c r="AB8" s="437" t="s">
        <v>21</v>
      </c>
      <c r="AC8" s="437" t="s">
        <v>470</v>
      </c>
      <c r="AD8" s="437" t="s">
        <v>60</v>
      </c>
      <c r="AE8" s="437" t="s">
        <v>471</v>
      </c>
      <c r="AF8" s="438">
        <f>Next_FYE</f>
        <v>46112</v>
      </c>
      <c r="AG8" s="437" t="str">
        <f>$I$8</f>
        <v>LTM</v>
      </c>
      <c r="AH8" s="438">
        <f>$J$8</f>
        <v>46112</v>
      </c>
      <c r="AI8" s="437" t="str">
        <f>$I$8</f>
        <v>LTM</v>
      </c>
      <c r="AJ8" s="438">
        <f>$J$8</f>
        <v>46112</v>
      </c>
      <c r="AK8" s="437" t="str">
        <f>$I$8</f>
        <v>LTM</v>
      </c>
      <c r="AL8" s="438">
        <f>$J$8</f>
        <v>46112</v>
      </c>
      <c r="AM8" s="437" t="str">
        <f>$I$8</f>
        <v>LTM</v>
      </c>
      <c r="AN8" s="438">
        <f>$J$8</f>
        <v>46112</v>
      </c>
      <c r="AO8" s="437" t="str">
        <f>$I$8</f>
        <v>LTM</v>
      </c>
      <c r="AP8" s="438">
        <f>$J$8</f>
        <v>46112</v>
      </c>
      <c r="AQ8" s="437" t="str">
        <f>$I$8</f>
        <v>LTM</v>
      </c>
      <c r="AR8" s="438">
        <f>$J$8</f>
        <v>46112</v>
      </c>
      <c r="AS8" s="2"/>
      <c r="AT8" s="2"/>
      <c r="AU8" s="37"/>
      <c r="AV8" s="103"/>
      <c r="AW8" s="64"/>
      <c r="AX8" s="437" t="s">
        <v>21</v>
      </c>
      <c r="AY8" s="437" t="s">
        <v>470</v>
      </c>
      <c r="AZ8" s="437" t="s">
        <v>60</v>
      </c>
      <c r="BA8" s="437" t="s">
        <v>471</v>
      </c>
      <c r="BB8" s="438">
        <f>Next_FYE</f>
        <v>46112</v>
      </c>
      <c r="BC8" s="437" t="str">
        <f>$I$8</f>
        <v>LTM</v>
      </c>
      <c r="BD8" s="438">
        <f>$J$8</f>
        <v>46112</v>
      </c>
      <c r="BE8" s="437" t="str">
        <f>$I$8</f>
        <v>LTM</v>
      </c>
      <c r="BF8" s="438">
        <f>$J$8</f>
        <v>46112</v>
      </c>
      <c r="BG8" s="437" t="str">
        <f>$I$8</f>
        <v>LTM</v>
      </c>
      <c r="BH8" s="438">
        <f>$J$8</f>
        <v>46112</v>
      </c>
      <c r="BI8" s="437" t="str">
        <f>$I$8</f>
        <v>LTM</v>
      </c>
      <c r="BJ8" s="438">
        <f>$J$8</f>
        <v>46112</v>
      </c>
      <c r="BK8" s="437" t="str">
        <f>$I$8</f>
        <v>LTM</v>
      </c>
      <c r="BL8" s="438">
        <f>$J$8</f>
        <v>46112</v>
      </c>
      <c r="BM8" s="437" t="str">
        <f>$I$8</f>
        <v>LTM</v>
      </c>
      <c r="BN8" s="438">
        <f>$J$8</f>
        <v>46112</v>
      </c>
    </row>
    <row r="9" spans="1:66" ht="4.5" customHeight="1">
      <c r="A9" s="2"/>
      <c r="B9" s="2"/>
      <c r="C9" s="37"/>
      <c r="D9" s="64"/>
      <c r="E9" s="64"/>
      <c r="F9" s="64"/>
      <c r="G9" s="64"/>
      <c r="H9" s="64"/>
      <c r="I9" s="439"/>
      <c r="J9" s="64"/>
      <c r="K9" s="64"/>
      <c r="L9" s="64"/>
      <c r="M9" s="64"/>
      <c r="N9" s="64"/>
      <c r="O9" s="64"/>
      <c r="P9" s="64"/>
      <c r="Q9" s="64"/>
      <c r="R9" s="64"/>
      <c r="S9" s="64"/>
      <c r="T9" s="64"/>
      <c r="U9" s="64"/>
      <c r="V9" s="64"/>
      <c r="W9" s="9"/>
      <c r="X9" s="2"/>
      <c r="Y9" s="37"/>
      <c r="Z9" s="64"/>
      <c r="AA9" s="64"/>
      <c r="AB9" s="64"/>
      <c r="AC9" s="64"/>
      <c r="AD9" s="64"/>
      <c r="AE9" s="439"/>
      <c r="AF9" s="64"/>
      <c r="AG9" s="64"/>
      <c r="AH9" s="64"/>
      <c r="AI9" s="64"/>
      <c r="AJ9" s="64"/>
      <c r="AK9" s="64"/>
      <c r="AL9" s="64"/>
      <c r="AM9" s="64"/>
      <c r="AN9" s="64"/>
      <c r="AO9" s="64"/>
      <c r="AP9" s="64"/>
      <c r="AQ9" s="64"/>
      <c r="AR9" s="64"/>
      <c r="AS9" s="2"/>
      <c r="AT9" s="2"/>
      <c r="AU9" s="37"/>
      <c r="AV9" s="64"/>
      <c r="AW9" s="64"/>
      <c r="AX9" s="64"/>
      <c r="AY9" s="64"/>
      <c r="AZ9" s="64"/>
      <c r="BA9" s="439"/>
      <c r="BB9" s="64"/>
      <c r="BC9" s="64"/>
      <c r="BD9" s="64"/>
      <c r="BE9" s="64"/>
      <c r="BF9" s="64"/>
      <c r="BG9" s="64"/>
      <c r="BH9" s="64"/>
      <c r="BI9" s="64"/>
      <c r="BJ9" s="64"/>
      <c r="BK9" s="64"/>
      <c r="BL9" s="64"/>
      <c r="BM9" s="64"/>
      <c r="BN9" s="64"/>
    </row>
    <row r="10" spans="1:66" ht="13.5" customHeight="1">
      <c r="A10" s="2"/>
      <c r="B10" s="2"/>
      <c r="C10" s="37"/>
      <c r="D10" s="11" t="s">
        <v>872</v>
      </c>
      <c r="E10" s="12"/>
      <c r="F10" s="51" t="s">
        <v>840</v>
      </c>
      <c r="G10" s="440">
        <v>5552.9081999999999</v>
      </c>
      <c r="H10" s="440">
        <v>5903.1232</v>
      </c>
      <c r="I10" s="441">
        <v>0.106555</v>
      </c>
      <c r="J10" s="441">
        <v>2.8328931515380296E-2</v>
      </c>
      <c r="K10" s="441">
        <v>0.18073</v>
      </c>
      <c r="L10" s="441">
        <v>-6.1781888186765777E-2</v>
      </c>
      <c r="M10" s="441">
        <v>0.45278799999999997</v>
      </c>
      <c r="N10" s="441">
        <v>0.45032966043123324</v>
      </c>
      <c r="O10" s="441">
        <v>0.30656</v>
      </c>
      <c r="P10" s="441">
        <v>0.37422558564531466</v>
      </c>
      <c r="Q10" s="442">
        <v>15.494339999999999</v>
      </c>
      <c r="R10" s="442">
        <v>17.879371491572172</v>
      </c>
      <c r="S10" s="442">
        <v>8.0026700000000002</v>
      </c>
      <c r="T10" s="442">
        <v>8.0516112925235692</v>
      </c>
      <c r="U10" s="442">
        <v>22.971520000000002</v>
      </c>
      <c r="V10" s="443">
        <v>20.238949662425284</v>
      </c>
      <c r="W10" s="9"/>
      <c r="X10" s="2"/>
      <c r="Y10" s="37"/>
      <c r="Z10" s="11" t="str">
        <f>Z51</f>
        <v>Hamilton Lane Inc.</v>
      </c>
      <c r="AA10" s="12"/>
      <c r="AB10" s="51" t="s">
        <v>22</v>
      </c>
      <c r="AC10" s="440">
        <v>6040.9355599999999</v>
      </c>
      <c r="AD10" s="440">
        <v>5561.8385600000001</v>
      </c>
      <c r="AE10" s="444">
        <v>0.19067000000000001</v>
      </c>
      <c r="AF10" s="444">
        <v>3.4378215784057531E-2</v>
      </c>
      <c r="AG10" s="444">
        <v>0.124316</v>
      </c>
      <c r="AH10" s="444">
        <v>-0.13980789754535738</v>
      </c>
      <c r="AI10" s="444">
        <v>0.28053100000000003</v>
      </c>
      <c r="AJ10" s="444">
        <v>0.29106114754641993</v>
      </c>
      <c r="AK10" s="444">
        <v>0.15246799999999999</v>
      </c>
      <c r="AL10" s="444">
        <v>0.20242258666034044</v>
      </c>
      <c r="AM10" s="442">
        <v>0</v>
      </c>
      <c r="AN10" s="442">
        <v>24.372328847561164</v>
      </c>
      <c r="AO10" s="442">
        <v>0</v>
      </c>
      <c r="AP10" s="442">
        <v>7.0938380027498669</v>
      </c>
      <c r="AQ10" s="442">
        <v>0</v>
      </c>
      <c r="AR10" s="443">
        <v>38.06344748498806</v>
      </c>
      <c r="AS10" s="2"/>
      <c r="AT10" s="2"/>
      <c r="AU10" s="37"/>
      <c r="AV10" s="11" t="str">
        <f>Company_Name</f>
        <v>Hamilton Lane Inc.</v>
      </c>
      <c r="AW10" s="12"/>
      <c r="AX10" s="51" t="s">
        <v>22</v>
      </c>
      <c r="AY10" s="440">
        <v>6040.9355599999999</v>
      </c>
      <c r="AZ10" s="440">
        <v>5561.8385600000001</v>
      </c>
      <c r="BA10" s="444">
        <v>0.19067000000000001</v>
      </c>
      <c r="BB10" s="444">
        <v>3.4378215784057531E-2</v>
      </c>
      <c r="BC10" s="444">
        <v>0.124316</v>
      </c>
      <c r="BD10" s="444">
        <v>-0.13980789754535738</v>
      </c>
      <c r="BE10" s="444">
        <v>0.28053100000000003</v>
      </c>
      <c r="BF10" s="444">
        <v>0.29106114754641993</v>
      </c>
      <c r="BG10" s="444">
        <v>0.15246799999999999</v>
      </c>
      <c r="BH10" s="444">
        <v>0.20242258666034044</v>
      </c>
      <c r="BI10" s="442">
        <v>0</v>
      </c>
      <c r="BJ10" s="442">
        <v>24.372328847561164</v>
      </c>
      <c r="BK10" s="442">
        <v>0</v>
      </c>
      <c r="BL10" s="442">
        <v>7.0938380027498669</v>
      </c>
      <c r="BM10" s="442">
        <v>0</v>
      </c>
      <c r="BN10" s="443">
        <v>38.06344748498806</v>
      </c>
    </row>
    <row r="11" spans="1:66" ht="13.5" customHeight="1">
      <c r="A11" s="2"/>
      <c r="B11" s="2"/>
      <c r="C11" s="37"/>
      <c r="D11" s="9"/>
      <c r="E11" s="9"/>
      <c r="F11" s="64"/>
      <c r="G11" s="445"/>
      <c r="H11" s="64"/>
      <c r="I11" s="446"/>
      <c r="J11" s="446"/>
      <c r="K11" s="446"/>
      <c r="L11" s="446"/>
      <c r="M11" s="446"/>
      <c r="N11" s="446"/>
      <c r="O11" s="446"/>
      <c r="P11" s="446"/>
      <c r="Q11" s="447"/>
      <c r="R11" s="447"/>
      <c r="S11" s="447"/>
      <c r="T11" s="64"/>
      <c r="U11" s="64"/>
      <c r="V11" s="64"/>
      <c r="W11" s="9"/>
      <c r="X11" s="2"/>
      <c r="Y11" s="37"/>
      <c r="Z11" s="9"/>
      <c r="AA11" s="9"/>
      <c r="AB11" s="64"/>
      <c r="AC11" s="445"/>
      <c r="AD11" s="64"/>
      <c r="AE11" s="446"/>
      <c r="AF11" s="446"/>
      <c r="AG11" s="446"/>
      <c r="AH11" s="446"/>
      <c r="AI11" s="446"/>
      <c r="AJ11" s="446"/>
      <c r="AK11" s="446"/>
      <c r="AL11" s="446"/>
      <c r="AM11" s="447"/>
      <c r="AN11" s="447"/>
      <c r="AO11" s="447"/>
      <c r="AP11" s="64"/>
      <c r="AQ11" s="64"/>
      <c r="AR11" s="64"/>
      <c r="AS11" s="2"/>
      <c r="AT11" s="2"/>
      <c r="AU11" s="37"/>
      <c r="AV11" s="9"/>
      <c r="AW11" s="9"/>
      <c r="AX11" s="64"/>
      <c r="AY11" s="445"/>
      <c r="AZ11" s="64"/>
      <c r="BA11" s="446"/>
      <c r="BB11" s="446"/>
      <c r="BC11" s="446"/>
      <c r="BD11" s="446"/>
      <c r="BE11" s="446"/>
      <c r="BF11" s="446"/>
      <c r="BG11" s="446"/>
      <c r="BH11" s="446"/>
      <c r="BI11" s="447"/>
      <c r="BJ11" s="447"/>
      <c r="BK11" s="447"/>
      <c r="BL11" s="64"/>
      <c r="BM11" s="64"/>
      <c r="BN11" s="64"/>
    </row>
    <row r="12" spans="1:66" ht="13.5" customHeight="1">
      <c r="A12" s="2"/>
      <c r="B12" s="2"/>
      <c r="C12" s="37"/>
      <c r="D12" s="9" t="s">
        <v>927</v>
      </c>
      <c r="E12" s="9"/>
      <c r="F12" s="64" t="s">
        <v>967</v>
      </c>
      <c r="G12" s="448">
        <v>5080.0168199999998</v>
      </c>
      <c r="H12" s="448">
        <v>6761.4438200000004</v>
      </c>
      <c r="I12" s="449">
        <v>0.87871700000000008</v>
      </c>
      <c r="J12" s="449">
        <v>-3.7307440225394228E-2</v>
      </c>
      <c r="K12" s="449">
        <v>-3.77</v>
      </c>
      <c r="L12" s="449">
        <v>-1.7649030499449283</v>
      </c>
      <c r="M12" s="449">
        <v>-0.23218900000000001</v>
      </c>
      <c r="N12" s="449">
        <v>0.40885362432770789</v>
      </c>
      <c r="O12" s="449">
        <v>-0.17100000000000001</v>
      </c>
      <c r="P12" s="449">
        <v>0.20975035280721901</v>
      </c>
      <c r="Q12" s="450" t="s">
        <v>475</v>
      </c>
      <c r="R12" s="450">
        <v>14.622073028189554</v>
      </c>
      <c r="S12" s="450">
        <v>4.8948200000000002</v>
      </c>
      <c r="T12" s="450">
        <v>5.9782875527597215</v>
      </c>
      <c r="U12" s="450" t="s">
        <v>475</v>
      </c>
      <c r="V12" s="450">
        <v>21.414099038278291</v>
      </c>
      <c r="W12" s="9"/>
      <c r="X12" s="2"/>
      <c r="Y12" s="37"/>
      <c r="Z12" s="9" t="e">
        <f ca="1">Z71</f>
        <v>#NAME?</v>
      </c>
      <c r="AA12" s="9"/>
      <c r="AB12" s="64" t="s">
        <v>472</v>
      </c>
      <c r="AC12" s="448">
        <v>128030.64896999999</v>
      </c>
      <c r="AD12" s="448">
        <v>154660.64897000001</v>
      </c>
      <c r="AE12" s="446">
        <v>0.28479199999999999</v>
      </c>
      <c r="AF12" s="446">
        <v>0.15215755721278734</v>
      </c>
      <c r="AG12" s="446">
        <v>0.43208399999999997</v>
      </c>
      <c r="AH12" s="446">
        <v>-2.5665133721199402</v>
      </c>
      <c r="AI12" s="446">
        <v>0.14710100000000001</v>
      </c>
      <c r="AJ12" s="446">
        <v>0.15766706958122381</v>
      </c>
      <c r="AK12" s="446">
        <v>3.5056999999999998E-2</v>
      </c>
      <c r="AL12" s="446">
        <v>9.3871453856720549E-2</v>
      </c>
      <c r="AM12" s="450">
        <v>16.461069999999999</v>
      </c>
      <c r="AN12" s="450">
        <v>15.045626948605292</v>
      </c>
      <c r="AO12" s="450">
        <v>2.5757699999999999</v>
      </c>
      <c r="AP12" s="450">
        <v>2.3721999109988872</v>
      </c>
      <c r="AQ12" s="450">
        <v>63.46893</v>
      </c>
      <c r="AR12" s="450">
        <v>20.919526956583937</v>
      </c>
      <c r="AS12" s="2"/>
      <c r="AT12" s="2"/>
      <c r="AU12" s="37"/>
      <c r="AV12" s="9" t="e">
        <f ca="1">AV53</f>
        <v>#NAME?</v>
      </c>
      <c r="AW12" s="9"/>
      <c r="AX12" s="64" t="s">
        <v>473</v>
      </c>
      <c r="AY12" s="448">
        <v>112863.39125</v>
      </c>
      <c r="AZ12" s="448">
        <v>126547.39125</v>
      </c>
      <c r="BA12" s="446">
        <v>0.107836</v>
      </c>
      <c r="BB12" s="446">
        <v>9.4074177541635606E-2</v>
      </c>
      <c r="BC12" s="446">
        <v>0.139568</v>
      </c>
      <c r="BD12" s="446">
        <v>7.1204324324324331E-2</v>
      </c>
      <c r="BE12" s="446">
        <v>0.29003200000000001</v>
      </c>
      <c r="BF12" s="446">
        <v>0.26891896707285307</v>
      </c>
      <c r="BG12" s="446">
        <v>0.17038</v>
      </c>
      <c r="BH12" s="446">
        <v>0.1651012198285608</v>
      </c>
      <c r="BI12" s="450">
        <v>11.087059999999999</v>
      </c>
      <c r="BJ12" s="450">
        <v>13.364261803244904</v>
      </c>
      <c r="BK12" s="450">
        <v>3.3659500000000002</v>
      </c>
      <c r="BL12" s="450">
        <v>3.5939034798198044</v>
      </c>
      <c r="BM12" s="450">
        <v>17.64282</v>
      </c>
      <c r="BN12" s="450">
        <v>19.414044738313191</v>
      </c>
    </row>
    <row r="13" spans="1:66" ht="13.5" customHeight="1">
      <c r="A13" s="2"/>
      <c r="B13" s="2"/>
      <c r="C13" s="37"/>
      <c r="D13" s="9" t="s">
        <v>937</v>
      </c>
      <c r="E13" s="9"/>
      <c r="F13" s="64" t="s">
        <v>968</v>
      </c>
      <c r="G13" s="448">
        <v>33047.53961</v>
      </c>
      <c r="H13" s="448">
        <v>50924.23461</v>
      </c>
      <c r="I13" s="449">
        <v>0.49867899999999998</v>
      </c>
      <c r="J13" s="449">
        <v>0.10711977071551781</v>
      </c>
      <c r="K13" s="449">
        <v>-9.8204E-2</v>
      </c>
      <c r="L13" s="449">
        <v>1.4334852640117424</v>
      </c>
      <c r="M13" s="449">
        <v>0.24498600000000001</v>
      </c>
      <c r="N13" s="449">
        <v>0.4516849816138665</v>
      </c>
      <c r="O13" s="449">
        <v>9.9428000000000002E-2</v>
      </c>
      <c r="P13" s="449">
        <v>0.271296683799715</v>
      </c>
      <c r="Q13" s="450">
        <v>38.63973</v>
      </c>
      <c r="R13" s="450">
        <v>26.213663023895069</v>
      </c>
      <c r="S13" s="450">
        <v>10.106170000000001</v>
      </c>
      <c r="T13" s="450">
        <v>11.840317900980137</v>
      </c>
      <c r="U13" s="450">
        <v>80.202259999999995</v>
      </c>
      <c r="V13" s="450">
        <v>28.322624807195769</v>
      </c>
      <c r="W13" s="9"/>
      <c r="X13" s="2"/>
      <c r="Y13" s="37"/>
      <c r="Z13" s="9"/>
      <c r="AA13" s="9"/>
      <c r="AB13" s="64"/>
      <c r="AC13" s="448"/>
      <c r="AD13" s="448"/>
      <c r="AE13" s="446"/>
      <c r="AF13" s="446"/>
      <c r="AG13" s="446"/>
      <c r="AH13" s="446"/>
      <c r="AI13" s="446"/>
      <c r="AJ13" s="446"/>
      <c r="AK13" s="446"/>
      <c r="AL13" s="446"/>
      <c r="AM13" s="450"/>
      <c r="AN13" s="450"/>
      <c r="AO13" s="450"/>
      <c r="AP13" s="450"/>
      <c r="AQ13" s="450"/>
      <c r="AR13" s="450"/>
      <c r="AS13" s="2"/>
      <c r="AT13" s="2"/>
      <c r="AU13" s="37"/>
      <c r="AV13" s="9"/>
      <c r="AW13" s="9"/>
      <c r="AX13" s="64"/>
      <c r="AY13" s="448"/>
      <c r="AZ13" s="448"/>
      <c r="BA13" s="446"/>
      <c r="BB13" s="446"/>
      <c r="BC13" s="446"/>
      <c r="BD13" s="446"/>
      <c r="BE13" s="446"/>
      <c r="BF13" s="446"/>
      <c r="BG13" s="446"/>
      <c r="BH13" s="446"/>
      <c r="BI13" s="450"/>
      <c r="BJ13" s="450"/>
      <c r="BK13" s="450"/>
      <c r="BL13" s="450"/>
      <c r="BM13" s="450"/>
      <c r="BN13" s="450"/>
    </row>
    <row r="14" spans="1:66" ht="13.5" customHeight="1">
      <c r="A14" s="2"/>
      <c r="B14" s="2"/>
      <c r="C14" s="37"/>
      <c r="D14" s="9" t="s">
        <v>1158</v>
      </c>
      <c r="E14" s="9"/>
      <c r="F14" s="64" t="s">
        <v>1159</v>
      </c>
      <c r="G14" s="448">
        <v>22324.42686</v>
      </c>
      <c r="H14" s="448">
        <v>29402.62</v>
      </c>
      <c r="I14" s="449">
        <v>0.99027399999999999</v>
      </c>
      <c r="J14" s="449">
        <v>-0.12544699466233467</v>
      </c>
      <c r="K14" s="449">
        <v>0.127</v>
      </c>
      <c r="L14" s="449">
        <v>0.48675812274368213</v>
      </c>
      <c r="M14" s="449">
        <v>0.39500000000000002</v>
      </c>
      <c r="N14" s="449">
        <v>0.41039884895589029</v>
      </c>
      <c r="O14" s="449">
        <v>0.22735900000000001</v>
      </c>
      <c r="P14" s="449">
        <v>0.35765599619900523</v>
      </c>
      <c r="Q14" s="450">
        <v>20.8</v>
      </c>
      <c r="R14" s="450">
        <v>14.3</v>
      </c>
      <c r="S14" s="450">
        <v>8</v>
      </c>
      <c r="T14" s="450">
        <v>5.9</v>
      </c>
      <c r="U14" s="450">
        <v>16.402290000000001</v>
      </c>
      <c r="V14" s="450">
        <v>15.057729518840816</v>
      </c>
      <c r="W14" s="9"/>
      <c r="X14" s="2"/>
      <c r="Y14" s="37"/>
      <c r="Z14" s="9" t="e">
        <f ca="1">Z72</f>
        <v>#NAME?</v>
      </c>
      <c r="AA14" s="9"/>
      <c r="AB14" s="64" t="s">
        <v>474</v>
      </c>
      <c r="AC14" s="448">
        <v>129979.18471</v>
      </c>
      <c r="AD14" s="448">
        <v>172393.18471</v>
      </c>
      <c r="AE14" s="446">
        <v>-7.4287999999999993E-2</v>
      </c>
      <c r="AF14" s="446">
        <v>0.26827198442174782</v>
      </c>
      <c r="AG14" s="446">
        <v>0.43208399999999997</v>
      </c>
      <c r="AH14" s="446">
        <v>-0.97760967432950197</v>
      </c>
      <c r="AI14" s="446">
        <v>-2.9094999999999999E-2</v>
      </c>
      <c r="AJ14" s="446">
        <v>7.5836172983072728E-2</v>
      </c>
      <c r="AK14" s="446">
        <v>-0.14303000000000002</v>
      </c>
      <c r="AL14" s="446">
        <v>-5.4210976329000351E-3</v>
      </c>
      <c r="AM14" s="450" t="s">
        <v>475</v>
      </c>
      <c r="AN14" s="450">
        <v>30.819232691225288</v>
      </c>
      <c r="AO14" s="450">
        <v>2.8267600000000002</v>
      </c>
      <c r="AP14" s="450">
        <v>2.3372126615773308</v>
      </c>
      <c r="AQ14" s="450" t="s">
        <v>475</v>
      </c>
      <c r="AR14" s="450" t="s">
        <v>475</v>
      </c>
      <c r="AS14" s="2"/>
      <c r="AT14" s="2"/>
      <c r="AU14" s="37"/>
      <c r="AV14" s="9" t="e">
        <f ca="1">AV54</f>
        <v>#NAME?</v>
      </c>
      <c r="AW14" s="9"/>
      <c r="AX14" s="64" t="s">
        <v>476</v>
      </c>
      <c r="AY14" s="448">
        <v>116444.01873</v>
      </c>
      <c r="AZ14" s="448">
        <v>165361.01873000001</v>
      </c>
      <c r="BA14" s="446">
        <v>-8.3476999999999996E-2</v>
      </c>
      <c r="BB14" s="446">
        <v>-3.6353036963538865E-2</v>
      </c>
      <c r="BC14" s="446">
        <v>0.139568</v>
      </c>
      <c r="BD14" s="446">
        <v>-0.57771187139860958</v>
      </c>
      <c r="BE14" s="446">
        <v>8.6125000000000007E-2</v>
      </c>
      <c r="BF14" s="446">
        <v>0.10098877292986558</v>
      </c>
      <c r="BG14" s="446">
        <v>-3.1019999999999999E-2</v>
      </c>
      <c r="BH14" s="446">
        <v>2.7997383350577984E-2</v>
      </c>
      <c r="BI14" s="450">
        <v>20.848230000000001</v>
      </c>
      <c r="BJ14" s="450">
        <v>21.341521001218538</v>
      </c>
      <c r="BK14" s="450">
        <v>2.0760299999999998</v>
      </c>
      <c r="BL14" s="450">
        <v>2.1552540183700164</v>
      </c>
      <c r="BM14" s="450" t="s">
        <v>475</v>
      </c>
      <c r="BN14" s="450">
        <v>54.208209895473338</v>
      </c>
    </row>
    <row r="15" spans="1:66" ht="13.5" customHeight="1">
      <c r="A15" s="2"/>
      <c r="B15" s="2"/>
      <c r="C15" s="37"/>
      <c r="D15" s="9" t="s">
        <v>962</v>
      </c>
      <c r="E15" s="9"/>
      <c r="F15" s="64" t="s">
        <v>970</v>
      </c>
      <c r="G15" s="448">
        <v>8321.7659700000004</v>
      </c>
      <c r="H15" s="448">
        <v>12079.68197</v>
      </c>
      <c r="I15" s="449">
        <v>0.43347200000000002</v>
      </c>
      <c r="J15" s="449">
        <v>-0.41707656277767202</v>
      </c>
      <c r="K15" s="449">
        <v>-1</v>
      </c>
      <c r="L15" s="449">
        <v>-6.7716392592941617</v>
      </c>
      <c r="M15" s="449">
        <v>7.9913999999999999E-2</v>
      </c>
      <c r="N15" s="449">
        <v>0.5391688550878827</v>
      </c>
      <c r="O15" s="449">
        <v>1.602E-2</v>
      </c>
      <c r="P15" s="449">
        <v>0.47299107005336616</v>
      </c>
      <c r="Q15" s="450">
        <v>30.47</v>
      </c>
      <c r="R15" s="450">
        <v>10.980976620685285</v>
      </c>
      <c r="S15" s="450">
        <v>3.05227</v>
      </c>
      <c r="T15" s="450">
        <v>5.9206005923216916</v>
      </c>
      <c r="U15" s="450" t="s">
        <v>475</v>
      </c>
      <c r="V15" s="450">
        <v>8.623286602067779</v>
      </c>
      <c r="W15" s="9"/>
      <c r="X15" s="2"/>
      <c r="Y15" s="37"/>
      <c r="Z15" s="9" t="e">
        <f ca="1">Z73</f>
        <v>#NAME?</v>
      </c>
      <c r="AA15" s="9"/>
      <c r="AB15" s="64" t="s">
        <v>477</v>
      </c>
      <c r="AC15" s="448">
        <v>8308.7197699999997</v>
      </c>
      <c r="AD15" s="448">
        <v>9819.7197699999997</v>
      </c>
      <c r="AE15" s="446">
        <v>7.3869999999999991E-2</v>
      </c>
      <c r="AF15" s="446">
        <v>5.5577780151693235E-2</v>
      </c>
      <c r="AG15" s="446">
        <v>0.43208399999999997</v>
      </c>
      <c r="AH15" s="446">
        <v>-0.23063185530921815</v>
      </c>
      <c r="AI15" s="446">
        <v>0.12192</v>
      </c>
      <c r="AJ15" s="446">
        <v>8.4324001841222004E-2</v>
      </c>
      <c r="AK15" s="446">
        <v>7.8078999999999996E-2</v>
      </c>
      <c r="AL15" s="446">
        <v>0</v>
      </c>
      <c r="AM15" s="450">
        <v>7.41228</v>
      </c>
      <c r="AN15" s="450">
        <v>11.785157752018538</v>
      </c>
      <c r="AO15" s="450">
        <v>0.98224</v>
      </c>
      <c r="AP15" s="450">
        <v>0.99377166398030303</v>
      </c>
      <c r="AQ15" s="450">
        <v>10.643929999999999</v>
      </c>
      <c r="AR15" s="450">
        <v>20.919526956583937</v>
      </c>
      <c r="AS15" s="2"/>
      <c r="AT15" s="2"/>
      <c r="AU15" s="37"/>
      <c r="AV15" s="9" t="e">
        <f ca="1">AV55</f>
        <v>#NAME?</v>
      </c>
      <c r="AW15" s="9"/>
      <c r="AX15" s="64" t="s">
        <v>478</v>
      </c>
      <c r="AY15" s="448">
        <v>159578.88610999999</v>
      </c>
      <c r="AZ15" s="448">
        <v>169888.88610999999</v>
      </c>
      <c r="BA15" s="446">
        <v>-1.6309000000000001E-2</v>
      </c>
      <c r="BB15" s="446">
        <v>7.4231268805343698E-2</v>
      </c>
      <c r="BC15" s="446">
        <v>-0.135737</v>
      </c>
      <c r="BD15" s="446">
        <v>0.20102827380952371</v>
      </c>
      <c r="BE15" s="446">
        <v>0.24559</v>
      </c>
      <c r="BF15" s="446">
        <v>0.25050484821913088</v>
      </c>
      <c r="BG15" s="446">
        <v>0.14646999999999999</v>
      </c>
      <c r="BH15" s="446">
        <v>0.16202131881505455</v>
      </c>
      <c r="BI15" s="450">
        <v>18.49203</v>
      </c>
      <c r="BJ15" s="450">
        <v>19.343756300866573</v>
      </c>
      <c r="BK15" s="450">
        <v>4.7124499999999996</v>
      </c>
      <c r="BL15" s="450">
        <v>4.8457047361364376</v>
      </c>
      <c r="BM15" s="450">
        <v>30.831659999999999</v>
      </c>
      <c r="BN15" s="450">
        <v>28.092814093008723</v>
      </c>
    </row>
    <row r="16" spans="1:66" ht="13.5" customHeight="1">
      <c r="A16" s="2"/>
      <c r="B16" s="2"/>
      <c r="C16" s="37"/>
      <c r="D16" s="9" t="s">
        <v>1160</v>
      </c>
      <c r="E16" s="9"/>
      <c r="F16" s="64" t="s">
        <v>1161</v>
      </c>
      <c r="G16" s="448">
        <v>6720.8734999999997</v>
      </c>
      <c r="H16" s="448">
        <v>10385.9735</v>
      </c>
      <c r="I16" s="449">
        <v>1.0839999999999999E-3</v>
      </c>
      <c r="J16" s="449">
        <v>2.5456185996374003E-2</v>
      </c>
      <c r="K16" s="449">
        <v>-0.20419000000000001</v>
      </c>
      <c r="L16" s="449">
        <v>0.62604031553590822</v>
      </c>
      <c r="M16" s="449">
        <v>0.32042900000000002</v>
      </c>
      <c r="N16" s="449">
        <v>0.45843829309927869</v>
      </c>
      <c r="O16" s="449">
        <v>0.21788799999999997</v>
      </c>
      <c r="P16" s="449">
        <v>0.34528132984060284</v>
      </c>
      <c r="Q16" s="450">
        <v>10.254849999999999</v>
      </c>
      <c r="R16" s="450">
        <v>10.824989613778477</v>
      </c>
      <c r="S16" s="450">
        <v>5.0344899999999999</v>
      </c>
      <c r="T16" s="450">
        <v>4.962589761358025</v>
      </c>
      <c r="U16" s="450">
        <v>16.672039999999999</v>
      </c>
      <c r="V16" s="450">
        <v>9.3006604755659321</v>
      </c>
      <c r="W16" s="9"/>
      <c r="X16" s="2"/>
      <c r="Y16" s="37"/>
      <c r="Z16" s="9" t="e">
        <f ca="1">Z74</f>
        <v>#NAME?</v>
      </c>
      <c r="AA16" s="9"/>
      <c r="AB16" s="64" t="s">
        <v>479</v>
      </c>
      <c r="AC16" s="448">
        <v>100241.00058000001</v>
      </c>
      <c r="AD16" s="448">
        <v>109675.00058000001</v>
      </c>
      <c r="AE16" s="446">
        <v>6.1887999999999999E-2</v>
      </c>
      <c r="AF16" s="446">
        <v>4.4912920425701053E-2</v>
      </c>
      <c r="AG16" s="446">
        <v>0.12679299999999999</v>
      </c>
      <c r="AH16" s="446">
        <v>0.10296855591228082</v>
      </c>
      <c r="AI16" s="446">
        <v>0.15308099999999999</v>
      </c>
      <c r="AJ16" s="446">
        <v>0.15369527678916067</v>
      </c>
      <c r="AK16" s="446">
        <v>0.10689299999999999</v>
      </c>
      <c r="AL16" s="446">
        <v>0.10917443855909938</v>
      </c>
      <c r="AM16" s="450">
        <v>10.019970000000001</v>
      </c>
      <c r="AN16" s="450">
        <v>10.442453685118846</v>
      </c>
      <c r="AO16" s="450">
        <v>1.5917600000000001</v>
      </c>
      <c r="AP16" s="450">
        <v>1.6049558094923317</v>
      </c>
      <c r="AQ16" s="450">
        <v>13.61295</v>
      </c>
      <c r="AR16" s="450">
        <v>13.436305184315913</v>
      </c>
      <c r="AS16" s="2"/>
      <c r="AT16" s="2"/>
      <c r="AU16" s="37"/>
      <c r="AV16" s="9" t="e">
        <f ca="1">AV56</f>
        <v>#NAME?</v>
      </c>
      <c r="AW16" s="9"/>
      <c r="AX16" s="64" t="s">
        <v>480</v>
      </c>
      <c r="AY16" s="448">
        <v>50450.580549999999</v>
      </c>
      <c r="AZ16" s="448">
        <v>58814.680549999997</v>
      </c>
      <c r="BA16" s="446">
        <v>0.107789</v>
      </c>
      <c r="BB16" s="446">
        <v>0.16134879412350056</v>
      </c>
      <c r="BC16" s="446">
        <v>-0.342387</v>
      </c>
      <c r="BD16" s="446">
        <v>0.68387750556792848</v>
      </c>
      <c r="BE16" s="446">
        <v>0.36213099999999998</v>
      </c>
      <c r="BF16" s="446">
        <v>0.36653876959791054</v>
      </c>
      <c r="BG16" s="446">
        <v>0.17795100000000003</v>
      </c>
      <c r="BH16" s="446">
        <v>0.25151357300210986</v>
      </c>
      <c r="BI16" s="450">
        <v>25.128550000000001</v>
      </c>
      <c r="BJ16" s="450">
        <v>24.998032555108455</v>
      </c>
      <c r="BK16" s="450">
        <v>9.3873300000000004</v>
      </c>
      <c r="BL16" s="450">
        <v>9.1627480951179638</v>
      </c>
      <c r="BM16" s="450">
        <v>45.20111</v>
      </c>
      <c r="BN16" s="450">
        <v>31.249620371034457</v>
      </c>
    </row>
    <row r="17" spans="1:66" ht="13.5" customHeight="1">
      <c r="A17" s="2"/>
      <c r="B17" s="2"/>
      <c r="C17" s="37"/>
      <c r="D17" s="9"/>
      <c r="E17" s="9"/>
      <c r="F17" s="64"/>
      <c r="G17" s="64"/>
      <c r="H17" s="64"/>
      <c r="I17" s="446"/>
      <c r="J17" s="446"/>
      <c r="K17" s="451"/>
      <c r="L17" s="451"/>
      <c r="M17" s="451"/>
      <c r="N17" s="451"/>
      <c r="O17" s="451"/>
      <c r="P17" s="451"/>
      <c r="Q17" s="64"/>
      <c r="R17" s="64"/>
      <c r="S17" s="64"/>
      <c r="T17" s="64"/>
      <c r="U17" s="64"/>
      <c r="V17" s="64"/>
      <c r="W17" s="9"/>
      <c r="X17" s="2"/>
      <c r="Y17" s="37"/>
      <c r="Z17" s="9"/>
      <c r="AA17" s="9"/>
      <c r="AB17" s="64"/>
      <c r="AC17" s="64"/>
      <c r="AD17" s="64"/>
      <c r="AE17" s="446"/>
      <c r="AF17" s="446"/>
      <c r="AG17" s="451"/>
      <c r="AH17" s="451"/>
      <c r="AI17" s="451"/>
      <c r="AJ17" s="451"/>
      <c r="AK17" s="451"/>
      <c r="AL17" s="451"/>
      <c r="AM17" s="64"/>
      <c r="AN17" s="64"/>
      <c r="AO17" s="64"/>
      <c r="AP17" s="64"/>
      <c r="AQ17" s="64"/>
      <c r="AR17" s="64"/>
      <c r="AS17" s="2"/>
      <c r="AT17" s="2"/>
      <c r="AU17" s="37"/>
      <c r="AV17" s="9"/>
      <c r="AW17" s="9"/>
      <c r="AX17" s="64"/>
      <c r="AY17" s="64"/>
      <c r="AZ17" s="64"/>
      <c r="BA17" s="446"/>
      <c r="BB17" s="446"/>
      <c r="BC17" s="451"/>
      <c r="BD17" s="451"/>
      <c r="BE17" s="451"/>
      <c r="BF17" s="451"/>
      <c r="BG17" s="451"/>
      <c r="BH17" s="451"/>
      <c r="BI17" s="64"/>
      <c r="BJ17" s="64"/>
      <c r="BK17" s="64"/>
      <c r="BL17" s="64"/>
      <c r="BM17" s="64"/>
      <c r="BN17" s="64"/>
    </row>
    <row r="18" spans="1:66" ht="13.5" customHeight="1">
      <c r="A18" s="2"/>
      <c r="B18" s="2"/>
      <c r="C18" s="37"/>
      <c r="D18" s="452" t="s">
        <v>161</v>
      </c>
      <c r="E18" s="453"/>
      <c r="F18" s="454"/>
      <c r="G18" s="455">
        <v>33047.53961</v>
      </c>
      <c r="H18" s="455">
        <v>50924.23461</v>
      </c>
      <c r="I18" s="456">
        <v>0.99027399999999999</v>
      </c>
      <c r="J18" s="456">
        <v>0.10711977071551781</v>
      </c>
      <c r="K18" s="456">
        <v>0.18073</v>
      </c>
      <c r="L18" s="456">
        <v>1.4334852640117424</v>
      </c>
      <c r="M18" s="456">
        <v>0.45278799999999997</v>
      </c>
      <c r="N18" s="456">
        <v>0.5391688550878827</v>
      </c>
      <c r="O18" s="456">
        <v>0.22735900000000001</v>
      </c>
      <c r="P18" s="456">
        <v>0.47299107005336616</v>
      </c>
      <c r="Q18" s="457">
        <v>38.63973</v>
      </c>
      <c r="R18" s="458">
        <v>26.213663023895069</v>
      </c>
      <c r="S18" s="458">
        <v>10.106170000000001</v>
      </c>
      <c r="T18" s="458">
        <v>11.840317900980137</v>
      </c>
      <c r="U18" s="458">
        <v>80.202259999999995</v>
      </c>
      <c r="V18" s="459">
        <v>28.322624807195769</v>
      </c>
      <c r="W18" s="9"/>
      <c r="X18" s="2"/>
      <c r="Y18" s="37"/>
      <c r="Z18" s="452" t="s">
        <v>161</v>
      </c>
      <c r="AA18" s="453"/>
      <c r="AB18" s="454"/>
      <c r="AC18" s="455">
        <f t="shared" ref="AC18:AR18" si="0">MAX(AC10:AC16)</f>
        <v>129979.18471</v>
      </c>
      <c r="AD18" s="455">
        <f t="shared" si="0"/>
        <v>172393.18471</v>
      </c>
      <c r="AE18" s="460">
        <f t="shared" si="0"/>
        <v>0.28479199999999999</v>
      </c>
      <c r="AF18" s="460">
        <f t="shared" si="0"/>
        <v>0.26827198442174782</v>
      </c>
      <c r="AG18" s="460">
        <f t="shared" si="0"/>
        <v>0.43208399999999997</v>
      </c>
      <c r="AH18" s="460">
        <f t="shared" si="0"/>
        <v>0.10296855591228082</v>
      </c>
      <c r="AI18" s="460">
        <f t="shared" si="0"/>
        <v>0.28053100000000003</v>
      </c>
      <c r="AJ18" s="460">
        <f t="shared" si="0"/>
        <v>0.29106114754641993</v>
      </c>
      <c r="AK18" s="460">
        <f t="shared" si="0"/>
        <v>0.15246799999999999</v>
      </c>
      <c r="AL18" s="460">
        <f t="shared" si="0"/>
        <v>0.20242258666034044</v>
      </c>
      <c r="AM18" s="457">
        <f t="shared" si="0"/>
        <v>16.461069999999999</v>
      </c>
      <c r="AN18" s="458">
        <f t="shared" si="0"/>
        <v>30.819232691225288</v>
      </c>
      <c r="AO18" s="458">
        <f t="shared" si="0"/>
        <v>2.8267600000000002</v>
      </c>
      <c r="AP18" s="458">
        <f t="shared" si="0"/>
        <v>7.0938380027498669</v>
      </c>
      <c r="AQ18" s="458">
        <f t="shared" si="0"/>
        <v>63.46893</v>
      </c>
      <c r="AR18" s="459">
        <f t="shared" si="0"/>
        <v>38.06344748498806</v>
      </c>
      <c r="AS18" s="2"/>
      <c r="AT18" s="2"/>
      <c r="AU18" s="37"/>
      <c r="AV18" s="452" t="s">
        <v>161</v>
      </c>
      <c r="AW18" s="453"/>
      <c r="AX18" s="454"/>
      <c r="AY18" s="455">
        <f t="shared" ref="AY18:BN18" si="1">MAX(AY10:AY16)</f>
        <v>159578.88610999999</v>
      </c>
      <c r="AZ18" s="455">
        <f t="shared" si="1"/>
        <v>169888.88610999999</v>
      </c>
      <c r="BA18" s="460">
        <f t="shared" si="1"/>
        <v>0.19067000000000001</v>
      </c>
      <c r="BB18" s="460">
        <f t="shared" si="1"/>
        <v>0.16134879412350056</v>
      </c>
      <c r="BC18" s="460">
        <f t="shared" si="1"/>
        <v>0.139568</v>
      </c>
      <c r="BD18" s="460">
        <f t="shared" si="1"/>
        <v>0.68387750556792848</v>
      </c>
      <c r="BE18" s="460">
        <f t="shared" si="1"/>
        <v>0.36213099999999998</v>
      </c>
      <c r="BF18" s="460">
        <f t="shared" si="1"/>
        <v>0.36653876959791054</v>
      </c>
      <c r="BG18" s="460">
        <f t="shared" si="1"/>
        <v>0.17795100000000003</v>
      </c>
      <c r="BH18" s="460">
        <f t="shared" si="1"/>
        <v>0.25151357300210986</v>
      </c>
      <c r="BI18" s="457">
        <f t="shared" si="1"/>
        <v>25.128550000000001</v>
      </c>
      <c r="BJ18" s="458">
        <f t="shared" si="1"/>
        <v>24.998032555108455</v>
      </c>
      <c r="BK18" s="458">
        <f t="shared" si="1"/>
        <v>9.3873300000000004</v>
      </c>
      <c r="BL18" s="458">
        <f t="shared" si="1"/>
        <v>9.1627480951179638</v>
      </c>
      <c r="BM18" s="458">
        <f t="shared" si="1"/>
        <v>45.20111</v>
      </c>
      <c r="BN18" s="459">
        <f t="shared" si="1"/>
        <v>54.208209895473338</v>
      </c>
    </row>
    <row r="19" spans="1:66" ht="13.5" customHeight="1">
      <c r="A19" s="2"/>
      <c r="B19" s="2"/>
      <c r="C19" s="37"/>
      <c r="D19" s="461" t="s">
        <v>483</v>
      </c>
      <c r="E19" s="347"/>
      <c r="F19" s="462"/>
      <c r="G19" s="463">
        <v>15098.924552</v>
      </c>
      <c r="H19" s="463">
        <v>16030.26678</v>
      </c>
      <c r="I19" s="464">
        <v>0.56044519999999998</v>
      </c>
      <c r="J19" s="464">
        <v>-8.9451008190701814E-2</v>
      </c>
      <c r="K19" s="464">
        <v>-0.79411066666666663</v>
      </c>
      <c r="L19" s="464">
        <v>-1.1980517213895514</v>
      </c>
      <c r="M19" s="464">
        <v>0.21015466666666668</v>
      </c>
      <c r="N19" s="464">
        <v>0.45370892061692525</v>
      </c>
      <c r="O19" s="464">
        <v>7.7939000000000008E-2</v>
      </c>
      <c r="P19" s="464">
        <v>0.33139508653998162</v>
      </c>
      <c r="Q19" s="465">
        <v>19.841145000000001</v>
      </c>
      <c r="R19" s="466">
        <v>12.528340457309678</v>
      </c>
      <c r="S19" s="466">
        <v>4.6175499999999996</v>
      </c>
      <c r="T19" s="466">
        <v>5.7403591614839149</v>
      </c>
      <c r="U19" s="466">
        <v>37.758863333333331</v>
      </c>
      <c r="V19" s="467">
        <v>16.543680088389717</v>
      </c>
      <c r="W19" s="9"/>
      <c r="X19" s="2"/>
      <c r="Y19" s="37"/>
      <c r="Z19" s="461" t="s">
        <v>483</v>
      </c>
      <c r="AA19" s="347"/>
      <c r="AB19" s="462"/>
      <c r="AC19" s="463">
        <f t="shared" ref="AC19:AR19" si="2">AVERAGE(AC10:AC16)</f>
        <v>74520.097917999999</v>
      </c>
      <c r="AD19" s="463">
        <f t="shared" si="2"/>
        <v>90422.078517999995</v>
      </c>
      <c r="AE19" s="468">
        <f t="shared" si="2"/>
        <v>0.10738639999999999</v>
      </c>
      <c r="AF19" s="468">
        <f t="shared" si="2"/>
        <v>0.1110596915991974</v>
      </c>
      <c r="AG19" s="468">
        <f t="shared" si="2"/>
        <v>0.30947219999999998</v>
      </c>
      <c r="AH19" s="468">
        <f t="shared" si="2"/>
        <v>-0.76231884867834743</v>
      </c>
      <c r="AI19" s="468">
        <f t="shared" si="2"/>
        <v>0.13470760000000001</v>
      </c>
      <c r="AJ19" s="468">
        <f t="shared" si="2"/>
        <v>0.15251673374821983</v>
      </c>
      <c r="AK19" s="468">
        <f t="shared" si="2"/>
        <v>4.5893399999999994E-2</v>
      </c>
      <c r="AL19" s="468">
        <f t="shared" si="2"/>
        <v>8.0009476288652057E-2</v>
      </c>
      <c r="AM19" s="465">
        <f t="shared" si="2"/>
        <v>8.4733300000000007</v>
      </c>
      <c r="AN19" s="466">
        <f t="shared" si="2"/>
        <v>18.492959984905823</v>
      </c>
      <c r="AO19" s="466">
        <f t="shared" si="2"/>
        <v>1.5953060000000001</v>
      </c>
      <c r="AP19" s="466">
        <f t="shared" si="2"/>
        <v>2.8803956097597436</v>
      </c>
      <c r="AQ19" s="466">
        <f t="shared" si="2"/>
        <v>21.931452499999999</v>
      </c>
      <c r="AR19" s="467">
        <f t="shared" si="2"/>
        <v>23.334701645617962</v>
      </c>
      <c r="AS19" s="2"/>
      <c r="AT19" s="2"/>
      <c r="AU19" s="37"/>
      <c r="AV19" s="461" t="s">
        <v>483</v>
      </c>
      <c r="AW19" s="347"/>
      <c r="AX19" s="462"/>
      <c r="AY19" s="463">
        <f t="shared" ref="AY19:BN19" si="3">AVERAGE(AY10:AY16)</f>
        <v>89075.562439999994</v>
      </c>
      <c r="AZ19" s="463">
        <f t="shared" si="3"/>
        <v>105234.76304000002</v>
      </c>
      <c r="BA19" s="468">
        <f t="shared" si="3"/>
        <v>6.1301800000000004E-2</v>
      </c>
      <c r="BB19" s="468">
        <f t="shared" si="3"/>
        <v>6.5535883858199709E-2</v>
      </c>
      <c r="BC19" s="468">
        <f t="shared" si="3"/>
        <v>-1.4934399999999992E-2</v>
      </c>
      <c r="BD19" s="468">
        <f t="shared" si="3"/>
        <v>4.7718066951561909E-2</v>
      </c>
      <c r="BE19" s="468">
        <f t="shared" si="3"/>
        <v>0.25288180000000005</v>
      </c>
      <c r="BF19" s="468">
        <f t="shared" si="3"/>
        <v>0.25560250107323601</v>
      </c>
      <c r="BG19" s="468">
        <f t="shared" si="3"/>
        <v>0.12324980000000001</v>
      </c>
      <c r="BH19" s="468">
        <f t="shared" si="3"/>
        <v>0.16181121633132872</v>
      </c>
      <c r="BI19" s="465">
        <f t="shared" si="3"/>
        <v>15.111174</v>
      </c>
      <c r="BJ19" s="466">
        <f t="shared" si="3"/>
        <v>20.683980101599925</v>
      </c>
      <c r="BK19" s="466">
        <f t="shared" si="3"/>
        <v>3.9083519999999998</v>
      </c>
      <c r="BL19" s="466">
        <f t="shared" si="3"/>
        <v>5.3702896664388176</v>
      </c>
      <c r="BM19" s="466">
        <f t="shared" si="3"/>
        <v>23.4188975</v>
      </c>
      <c r="BN19" s="467">
        <f t="shared" si="3"/>
        <v>34.205627316563557</v>
      </c>
    </row>
    <row r="20" spans="1:66" ht="13.5" customHeight="1">
      <c r="A20" s="2"/>
      <c r="B20" s="2"/>
      <c r="C20" s="37"/>
      <c r="D20" s="461" t="s">
        <v>484</v>
      </c>
      <c r="E20" s="347"/>
      <c r="F20" s="347"/>
      <c r="G20" s="463">
        <v>8321.7659700000004</v>
      </c>
      <c r="H20" s="463">
        <v>10385.9735</v>
      </c>
      <c r="I20" s="464">
        <v>0.49867899999999998</v>
      </c>
      <c r="J20" s="464">
        <v>-3.7307440225394228E-2</v>
      </c>
      <c r="K20" s="464">
        <v>-0.151197</v>
      </c>
      <c r="L20" s="464">
        <v>0.48675812274368213</v>
      </c>
      <c r="M20" s="464">
        <v>0.2827075</v>
      </c>
      <c r="N20" s="464">
        <v>0.4516849816138665</v>
      </c>
      <c r="O20" s="464">
        <v>9.9428000000000002E-2</v>
      </c>
      <c r="P20" s="464">
        <v>0.34528132984060284</v>
      </c>
      <c r="Q20" s="465">
        <v>20.362425000000002</v>
      </c>
      <c r="R20" s="466">
        <v>10.980976620685285</v>
      </c>
      <c r="S20" s="466">
        <v>4.8948200000000002</v>
      </c>
      <c r="T20" s="466">
        <v>5.9206005923216916</v>
      </c>
      <c r="U20" s="466">
        <v>16.672039999999999</v>
      </c>
      <c r="V20" s="467">
        <v>15.057729518840816</v>
      </c>
      <c r="W20" s="9"/>
      <c r="X20" s="2"/>
      <c r="Y20" s="37"/>
      <c r="Z20" s="461" t="s">
        <v>484</v>
      </c>
      <c r="AA20" s="347"/>
      <c r="AB20" s="347"/>
      <c r="AC20" s="463">
        <f t="shared" ref="AC20:AR20" si="4">MEDIAN(AC10:AC16)</f>
        <v>100241.00058000001</v>
      </c>
      <c r="AD20" s="463">
        <f t="shared" si="4"/>
        <v>109675.00058000001</v>
      </c>
      <c r="AE20" s="468">
        <f t="shared" si="4"/>
        <v>7.3869999999999991E-2</v>
      </c>
      <c r="AF20" s="468">
        <f t="shared" si="4"/>
        <v>5.5577780151693235E-2</v>
      </c>
      <c r="AG20" s="468">
        <f t="shared" si="4"/>
        <v>0.43208399999999997</v>
      </c>
      <c r="AH20" s="468">
        <f t="shared" si="4"/>
        <v>-0.23063185530921815</v>
      </c>
      <c r="AI20" s="468">
        <f t="shared" si="4"/>
        <v>0.14710100000000001</v>
      </c>
      <c r="AJ20" s="468">
        <f t="shared" si="4"/>
        <v>0.15369527678916067</v>
      </c>
      <c r="AK20" s="468">
        <f t="shared" si="4"/>
        <v>7.8078999999999996E-2</v>
      </c>
      <c r="AL20" s="468">
        <f t="shared" si="4"/>
        <v>9.3871453856720549E-2</v>
      </c>
      <c r="AM20" s="465">
        <f t="shared" si="4"/>
        <v>8.7161249999999999</v>
      </c>
      <c r="AN20" s="466">
        <f t="shared" si="4"/>
        <v>15.045626948605292</v>
      </c>
      <c r="AO20" s="466">
        <f t="shared" si="4"/>
        <v>1.5917600000000001</v>
      </c>
      <c r="AP20" s="466">
        <f t="shared" si="4"/>
        <v>2.3372126615773308</v>
      </c>
      <c r="AQ20" s="466">
        <f t="shared" si="4"/>
        <v>12.128439999999999</v>
      </c>
      <c r="AR20" s="467">
        <f t="shared" si="4"/>
        <v>20.919526956583937</v>
      </c>
      <c r="AS20" s="2"/>
      <c r="AT20" s="2"/>
      <c r="AU20" s="37"/>
      <c r="AV20" s="461" t="s">
        <v>484</v>
      </c>
      <c r="AW20" s="347"/>
      <c r="AX20" s="347"/>
      <c r="AY20" s="463">
        <f t="shared" ref="AY20:BN20" si="5">MEDIAN(AY10:AY16)</f>
        <v>112863.39125</v>
      </c>
      <c r="AZ20" s="463">
        <f t="shared" si="5"/>
        <v>126547.39125</v>
      </c>
      <c r="BA20" s="468">
        <f t="shared" si="5"/>
        <v>0.107789</v>
      </c>
      <c r="BB20" s="468">
        <f t="shared" si="5"/>
        <v>7.4231268805343698E-2</v>
      </c>
      <c r="BC20" s="468">
        <f t="shared" si="5"/>
        <v>0.124316</v>
      </c>
      <c r="BD20" s="468">
        <f t="shared" si="5"/>
        <v>7.1204324324324331E-2</v>
      </c>
      <c r="BE20" s="468">
        <f t="shared" si="5"/>
        <v>0.28053100000000003</v>
      </c>
      <c r="BF20" s="468">
        <f t="shared" si="5"/>
        <v>0.26891896707285307</v>
      </c>
      <c r="BG20" s="468">
        <f t="shared" si="5"/>
        <v>0.15246799999999999</v>
      </c>
      <c r="BH20" s="468">
        <f t="shared" si="5"/>
        <v>0.1651012198285608</v>
      </c>
      <c r="BI20" s="465">
        <f t="shared" si="5"/>
        <v>18.49203</v>
      </c>
      <c r="BJ20" s="466">
        <f t="shared" si="5"/>
        <v>21.341521001218538</v>
      </c>
      <c r="BK20" s="466">
        <f t="shared" si="5"/>
        <v>3.3659500000000002</v>
      </c>
      <c r="BL20" s="466">
        <f t="shared" si="5"/>
        <v>4.8457047361364376</v>
      </c>
      <c r="BM20" s="466">
        <f t="shared" si="5"/>
        <v>24.23724</v>
      </c>
      <c r="BN20" s="467">
        <f t="shared" si="5"/>
        <v>31.249620371034457</v>
      </c>
    </row>
    <row r="21" spans="1:66" ht="13.5" customHeight="1">
      <c r="A21" s="2"/>
      <c r="B21" s="2"/>
      <c r="C21" s="37"/>
      <c r="D21" s="469" t="s">
        <v>162</v>
      </c>
      <c r="E21" s="470"/>
      <c r="F21" s="470"/>
      <c r="G21" s="471">
        <v>5080.0168199999998</v>
      </c>
      <c r="H21" s="471">
        <v>5903.1232</v>
      </c>
      <c r="I21" s="472">
        <v>1.0839999999999999E-3</v>
      </c>
      <c r="J21" s="472">
        <v>-0.41707656277767202</v>
      </c>
      <c r="K21" s="472">
        <v>-3.77</v>
      </c>
      <c r="L21" s="472">
        <v>-6.7716392592941617</v>
      </c>
      <c r="M21" s="472">
        <v>-0.23218900000000001</v>
      </c>
      <c r="N21" s="472">
        <v>0.40885362432770789</v>
      </c>
      <c r="O21" s="472">
        <v>-0.17100000000000001</v>
      </c>
      <c r="P21" s="472">
        <v>0.20975035280721901</v>
      </c>
      <c r="Q21" s="473">
        <v>10.254849999999999</v>
      </c>
      <c r="R21" s="474">
        <v>10.824989613778477</v>
      </c>
      <c r="S21" s="474">
        <v>3.05227</v>
      </c>
      <c r="T21" s="474">
        <v>4.962589761358025</v>
      </c>
      <c r="U21" s="474">
        <v>16.402290000000001</v>
      </c>
      <c r="V21" s="475">
        <v>8.623286602067779</v>
      </c>
      <c r="W21" s="9"/>
      <c r="X21" s="2"/>
      <c r="Y21" s="37"/>
      <c r="Z21" s="469" t="s">
        <v>162</v>
      </c>
      <c r="AA21" s="470"/>
      <c r="AB21" s="470"/>
      <c r="AC21" s="471">
        <f t="shared" ref="AC21:AR21" si="6">MIN(AC10:AC16)</f>
        <v>6040.9355599999999</v>
      </c>
      <c r="AD21" s="471">
        <f t="shared" si="6"/>
        <v>5561.8385600000001</v>
      </c>
      <c r="AE21" s="476">
        <f t="shared" si="6"/>
        <v>-7.4287999999999993E-2</v>
      </c>
      <c r="AF21" s="476">
        <f t="shared" si="6"/>
        <v>3.4378215784057531E-2</v>
      </c>
      <c r="AG21" s="476">
        <f t="shared" si="6"/>
        <v>0.124316</v>
      </c>
      <c r="AH21" s="476">
        <f t="shared" si="6"/>
        <v>-2.5665133721199402</v>
      </c>
      <c r="AI21" s="476">
        <f t="shared" si="6"/>
        <v>-2.9094999999999999E-2</v>
      </c>
      <c r="AJ21" s="476">
        <f t="shared" si="6"/>
        <v>7.5836172983072728E-2</v>
      </c>
      <c r="AK21" s="476">
        <f t="shared" si="6"/>
        <v>-0.14303000000000002</v>
      </c>
      <c r="AL21" s="476">
        <f t="shared" si="6"/>
        <v>-5.4210976329000351E-3</v>
      </c>
      <c r="AM21" s="473">
        <f t="shared" si="6"/>
        <v>0</v>
      </c>
      <c r="AN21" s="474">
        <f t="shared" si="6"/>
        <v>10.442453685118846</v>
      </c>
      <c r="AO21" s="474">
        <f t="shared" si="6"/>
        <v>0</v>
      </c>
      <c r="AP21" s="474">
        <f t="shared" si="6"/>
        <v>0.99377166398030303</v>
      </c>
      <c r="AQ21" s="474">
        <f t="shared" si="6"/>
        <v>0</v>
      </c>
      <c r="AR21" s="475">
        <f t="shared" si="6"/>
        <v>13.436305184315913</v>
      </c>
      <c r="AS21" s="2"/>
      <c r="AT21" s="2"/>
      <c r="AU21" s="37"/>
      <c r="AV21" s="469" t="s">
        <v>162</v>
      </c>
      <c r="AW21" s="470"/>
      <c r="AX21" s="470"/>
      <c r="AY21" s="471">
        <f t="shared" ref="AY21:BN21" si="7">MIN(AY10:AY16)</f>
        <v>6040.9355599999999</v>
      </c>
      <c r="AZ21" s="471">
        <f t="shared" si="7"/>
        <v>5561.8385600000001</v>
      </c>
      <c r="BA21" s="476">
        <f t="shared" si="7"/>
        <v>-8.3476999999999996E-2</v>
      </c>
      <c r="BB21" s="476">
        <f t="shared" si="7"/>
        <v>-3.6353036963538865E-2</v>
      </c>
      <c r="BC21" s="476">
        <f t="shared" si="7"/>
        <v>-0.342387</v>
      </c>
      <c r="BD21" s="476">
        <f t="shared" si="7"/>
        <v>-0.57771187139860958</v>
      </c>
      <c r="BE21" s="476">
        <f t="shared" si="7"/>
        <v>8.6125000000000007E-2</v>
      </c>
      <c r="BF21" s="476">
        <f t="shared" si="7"/>
        <v>0.10098877292986558</v>
      </c>
      <c r="BG21" s="476">
        <f t="shared" si="7"/>
        <v>-3.1019999999999999E-2</v>
      </c>
      <c r="BH21" s="476">
        <f t="shared" si="7"/>
        <v>2.7997383350577984E-2</v>
      </c>
      <c r="BI21" s="473">
        <f t="shared" si="7"/>
        <v>0</v>
      </c>
      <c r="BJ21" s="474">
        <f t="shared" si="7"/>
        <v>13.364261803244904</v>
      </c>
      <c r="BK21" s="474">
        <f t="shared" si="7"/>
        <v>0</v>
      </c>
      <c r="BL21" s="474">
        <f t="shared" si="7"/>
        <v>2.1552540183700164</v>
      </c>
      <c r="BM21" s="474">
        <f t="shared" si="7"/>
        <v>0</v>
      </c>
      <c r="BN21" s="475">
        <f t="shared" si="7"/>
        <v>19.414044738313191</v>
      </c>
    </row>
    <row r="22" spans="1:66" ht="13.5" customHeight="1">
      <c r="A22" s="2"/>
      <c r="B22" s="2"/>
      <c r="C22" s="37"/>
      <c r="D22" s="9"/>
      <c r="E22" s="9"/>
      <c r="F22" s="9"/>
      <c r="G22" s="9"/>
      <c r="H22" s="9"/>
      <c r="I22" s="9"/>
      <c r="J22" s="9"/>
      <c r="K22" s="9"/>
      <c r="L22" s="9"/>
      <c r="M22" s="9"/>
      <c r="N22" s="9"/>
      <c r="O22" s="9"/>
      <c r="P22" s="9"/>
      <c r="Q22" s="9"/>
      <c r="R22" s="9"/>
      <c r="S22" s="9"/>
      <c r="T22" s="9"/>
      <c r="U22" s="9"/>
      <c r="V22" s="9"/>
      <c r="W22" s="9"/>
      <c r="X22" s="2"/>
      <c r="Y22" s="37"/>
      <c r="Z22" s="9"/>
      <c r="AA22" s="9"/>
      <c r="AB22" s="9"/>
      <c r="AC22" s="9"/>
      <c r="AD22" s="9"/>
      <c r="AE22" s="9"/>
      <c r="AF22" s="9"/>
      <c r="AG22" s="9"/>
      <c r="AH22" s="9"/>
      <c r="AI22" s="9"/>
      <c r="AJ22" s="9"/>
      <c r="AK22" s="9"/>
      <c r="AL22" s="9"/>
      <c r="AM22" s="9"/>
      <c r="AN22" s="9"/>
      <c r="AO22" s="9"/>
      <c r="AP22" s="9"/>
      <c r="AQ22" s="9"/>
      <c r="AR22" s="9"/>
      <c r="AS22" s="2"/>
      <c r="AT22" s="2"/>
      <c r="AU22" s="37"/>
      <c r="AV22" s="9"/>
      <c r="AW22" s="9"/>
      <c r="AX22" s="9"/>
      <c r="AY22" s="9"/>
      <c r="AZ22" s="9"/>
      <c r="BA22" s="9"/>
      <c r="BB22" s="9"/>
      <c r="BC22" s="9"/>
      <c r="BD22" s="9"/>
      <c r="BE22" s="9"/>
      <c r="BF22" s="9"/>
      <c r="BG22" s="9"/>
      <c r="BH22" s="9"/>
      <c r="BI22" s="9"/>
      <c r="BJ22" s="9"/>
      <c r="BK22" s="9"/>
      <c r="BL22" s="9"/>
      <c r="BM22" s="9"/>
      <c r="BN22" s="9"/>
    </row>
    <row r="23" spans="1:66" ht="13.5" customHeight="1">
      <c r="A23" s="2"/>
      <c r="B23" s="2"/>
      <c r="C23" s="37" t="s">
        <v>0</v>
      </c>
      <c r="D23" s="1026" t="s">
        <v>485</v>
      </c>
      <c r="E23" s="978"/>
      <c r="F23" s="978"/>
      <c r="G23" s="1026" t="s">
        <v>486</v>
      </c>
      <c r="H23" s="978"/>
      <c r="I23" s="978"/>
      <c r="J23" s="1026" t="s">
        <v>487</v>
      </c>
      <c r="K23" s="978"/>
      <c r="L23" s="978"/>
      <c r="M23" s="1026" t="str">
        <f>TEXT(Last_FYE,"yyyy")&amp;"A"&amp;" Leverage Analysis"</f>
        <v>2025A Leverage Analysis</v>
      </c>
      <c r="N23" s="978"/>
      <c r="O23" s="978"/>
      <c r="P23" s="1026" t="str">
        <f>TEXT(Last_FYE,"yyyy")&amp;"A"&amp;" Coverage Analysis"</f>
        <v>2025A Coverage Analysis</v>
      </c>
      <c r="Q23" s="978"/>
      <c r="R23" s="978"/>
      <c r="S23" s="1026" t="s">
        <v>488</v>
      </c>
      <c r="T23" s="978"/>
      <c r="U23" s="1026" t="s">
        <v>489</v>
      </c>
      <c r="V23" s="978"/>
      <c r="W23" s="9"/>
      <c r="X23" s="2"/>
      <c r="Y23" s="37" t="s">
        <v>0</v>
      </c>
      <c r="Z23" s="1026" t="s">
        <v>485</v>
      </c>
      <c r="AA23" s="978"/>
      <c r="AB23" s="978"/>
      <c r="AC23" s="1026" t="s">
        <v>486</v>
      </c>
      <c r="AD23" s="978"/>
      <c r="AE23" s="978"/>
      <c r="AF23" s="1026" t="s">
        <v>487</v>
      </c>
      <c r="AG23" s="978"/>
      <c r="AH23" s="978"/>
      <c r="AI23" s="1026" t="str">
        <f>TEXT(Last_FYE,"yyyy")&amp;"A"&amp;" Leverage Analysis"</f>
        <v>2025A Leverage Analysis</v>
      </c>
      <c r="AJ23" s="978"/>
      <c r="AK23" s="978"/>
      <c r="AL23" s="1026" t="str">
        <f>TEXT(Last_FYE,"yyyy")&amp;"A"&amp;" Coverage Analysis"</f>
        <v>2025A Coverage Analysis</v>
      </c>
      <c r="AM23" s="978"/>
      <c r="AN23" s="978"/>
      <c r="AO23" s="1026" t="s">
        <v>488</v>
      </c>
      <c r="AP23" s="978"/>
      <c r="AQ23" s="1026" t="s">
        <v>489</v>
      </c>
      <c r="AR23" s="978"/>
      <c r="AS23" s="2"/>
      <c r="AT23" s="2"/>
      <c r="AU23" s="37" t="s">
        <v>0</v>
      </c>
      <c r="AV23" s="1026" t="s">
        <v>485</v>
      </c>
      <c r="AW23" s="978"/>
      <c r="AX23" s="978"/>
      <c r="AY23" s="1026" t="s">
        <v>486</v>
      </c>
      <c r="AZ23" s="978"/>
      <c r="BA23" s="978"/>
      <c r="BB23" s="1026" t="s">
        <v>487</v>
      </c>
      <c r="BC23" s="978"/>
      <c r="BD23" s="978"/>
      <c r="BE23" s="1026" t="str">
        <f>TEXT(Last_FYE,"yyyy")&amp;"A"&amp;" Leverage Analysis"</f>
        <v>2025A Leverage Analysis</v>
      </c>
      <c r="BF23" s="978"/>
      <c r="BG23" s="978"/>
      <c r="BH23" s="1026" t="str">
        <f>TEXT(Last_FYE,"yyyy")&amp;"A"&amp;" Coverage Analysis"</f>
        <v>2025A Coverage Analysis</v>
      </c>
      <c r="BI23" s="978"/>
      <c r="BJ23" s="978"/>
      <c r="BK23" s="1026" t="s">
        <v>488</v>
      </c>
      <c r="BL23" s="978"/>
      <c r="BM23" s="1026" t="s">
        <v>489</v>
      </c>
      <c r="BN23" s="978"/>
    </row>
    <row r="24" spans="1:66" ht="13.5" customHeight="1">
      <c r="A24" s="2"/>
      <c r="B24" s="2"/>
      <c r="C24" s="37"/>
      <c r="D24" s="9"/>
      <c r="E24" s="9"/>
      <c r="F24" s="9"/>
      <c r="G24" s="9"/>
      <c r="H24" s="9"/>
      <c r="I24" s="9"/>
      <c r="J24" s="9"/>
      <c r="K24" s="9"/>
      <c r="L24" s="9"/>
      <c r="M24" s="1026" t="s">
        <v>490</v>
      </c>
      <c r="N24" s="978"/>
      <c r="O24" s="978"/>
      <c r="P24" s="9"/>
      <c r="Q24" s="9"/>
      <c r="R24" s="9"/>
      <c r="S24" s="9"/>
      <c r="T24" s="9"/>
      <c r="U24" s="9"/>
      <c r="V24" s="9"/>
      <c r="W24" s="9"/>
      <c r="X24" s="2"/>
      <c r="Y24" s="37"/>
      <c r="Z24" s="9"/>
      <c r="AA24" s="9"/>
      <c r="AB24" s="9"/>
      <c r="AC24" s="9"/>
      <c r="AD24" s="9"/>
      <c r="AE24" s="9"/>
      <c r="AF24" s="9"/>
      <c r="AG24" s="9"/>
      <c r="AH24" s="9"/>
      <c r="AI24" s="1026" t="s">
        <v>490</v>
      </c>
      <c r="AJ24" s="978"/>
      <c r="AK24" s="978"/>
      <c r="AL24" s="9"/>
      <c r="AM24" s="9"/>
      <c r="AN24" s="9"/>
      <c r="AO24" s="9"/>
      <c r="AP24" s="9"/>
      <c r="AQ24" s="9"/>
      <c r="AR24" s="9"/>
      <c r="AS24" s="2"/>
      <c r="AT24" s="2"/>
      <c r="AU24" s="37"/>
      <c r="AV24" s="9"/>
      <c r="AW24" s="9"/>
      <c r="AX24" s="9"/>
      <c r="AY24" s="9"/>
      <c r="AZ24" s="9"/>
      <c r="BA24" s="9"/>
      <c r="BB24" s="9"/>
      <c r="BC24" s="9"/>
      <c r="BD24" s="9"/>
      <c r="BE24" s="1026" t="s">
        <v>490</v>
      </c>
      <c r="BF24" s="978"/>
      <c r="BG24" s="978"/>
      <c r="BH24" s="9"/>
      <c r="BI24" s="9"/>
      <c r="BJ24" s="9"/>
      <c r="BK24" s="9"/>
      <c r="BL24" s="9"/>
      <c r="BM24" s="9"/>
      <c r="BN24" s="9"/>
    </row>
    <row r="25" spans="1:66" ht="13.5" customHeight="1">
      <c r="A25" s="2"/>
      <c r="B25" s="2"/>
      <c r="C25" s="37"/>
      <c r="D25" s="64"/>
      <c r="E25" s="64"/>
      <c r="F25" s="64"/>
      <c r="G25" s="64"/>
      <c r="H25" s="64"/>
      <c r="I25" s="64" t="s">
        <v>491</v>
      </c>
      <c r="J25" s="64"/>
      <c r="K25" s="64"/>
      <c r="L25" s="64"/>
      <c r="M25" s="64"/>
      <c r="N25" s="64"/>
      <c r="O25" s="64"/>
      <c r="P25" s="64" t="s">
        <v>492</v>
      </c>
      <c r="Q25" s="258" t="s">
        <v>493</v>
      </c>
      <c r="R25" s="64" t="s">
        <v>494</v>
      </c>
      <c r="S25" s="64" t="s">
        <v>495</v>
      </c>
      <c r="T25" s="64" t="s">
        <v>496</v>
      </c>
      <c r="U25" s="64"/>
      <c r="V25" s="64"/>
      <c r="W25" s="9"/>
      <c r="X25" s="2"/>
      <c r="Y25" s="37"/>
      <c r="Z25" s="64"/>
      <c r="AA25" s="64"/>
      <c r="AB25" s="64"/>
      <c r="AC25" s="64"/>
      <c r="AD25" s="64"/>
      <c r="AE25" s="64" t="s">
        <v>491</v>
      </c>
      <c r="AF25" s="64"/>
      <c r="AG25" s="64"/>
      <c r="AH25" s="64"/>
      <c r="AI25" s="64"/>
      <c r="AJ25" s="64"/>
      <c r="AK25" s="64"/>
      <c r="AL25" s="64" t="s">
        <v>492</v>
      </c>
      <c r="AM25" s="258" t="s">
        <v>493</v>
      </c>
      <c r="AN25" s="64" t="s">
        <v>494</v>
      </c>
      <c r="AO25" s="64" t="s">
        <v>495</v>
      </c>
      <c r="AP25" s="64" t="s">
        <v>496</v>
      </c>
      <c r="AQ25" s="64"/>
      <c r="AR25" s="64"/>
      <c r="AS25" s="2"/>
      <c r="AT25" s="2"/>
      <c r="AU25" s="37"/>
      <c r="AV25" s="64"/>
      <c r="AW25" s="64"/>
      <c r="AX25" s="64"/>
      <c r="AY25" s="64"/>
      <c r="AZ25" s="64"/>
      <c r="BA25" s="64" t="s">
        <v>491</v>
      </c>
      <c r="BB25" s="64"/>
      <c r="BC25" s="64"/>
      <c r="BD25" s="64"/>
      <c r="BE25" s="64"/>
      <c r="BF25" s="64"/>
      <c r="BG25" s="64"/>
      <c r="BH25" s="64" t="s">
        <v>492</v>
      </c>
      <c r="BI25" s="258" t="s">
        <v>493</v>
      </c>
      <c r="BJ25" s="64" t="s">
        <v>494</v>
      </c>
      <c r="BK25" s="64" t="s">
        <v>495</v>
      </c>
      <c r="BL25" s="64" t="s">
        <v>496</v>
      </c>
      <c r="BM25" s="64"/>
      <c r="BN25" s="64"/>
    </row>
    <row r="26" spans="1:66" ht="13.5" customHeight="1">
      <c r="A26" s="2"/>
      <c r="B26" s="2"/>
      <c r="C26" s="37"/>
      <c r="D26" s="103"/>
      <c r="E26" s="64"/>
      <c r="F26" s="437" t="s">
        <v>21</v>
      </c>
      <c r="G26" s="437" t="s">
        <v>290</v>
      </c>
      <c r="H26" s="437" t="s">
        <v>497</v>
      </c>
      <c r="I26" s="437" t="s">
        <v>498</v>
      </c>
      <c r="J26" s="437" t="s">
        <v>499</v>
      </c>
      <c r="K26" s="437" t="s">
        <v>500</v>
      </c>
      <c r="L26" s="437" t="s">
        <v>501</v>
      </c>
      <c r="M26" s="437" t="s">
        <v>470</v>
      </c>
      <c r="N26" s="437" t="s">
        <v>285</v>
      </c>
      <c r="O26" s="437" t="s">
        <v>502</v>
      </c>
      <c r="P26" s="437" t="s">
        <v>503</v>
      </c>
      <c r="Q26" s="477" t="s">
        <v>504</v>
      </c>
      <c r="R26" s="437" t="s">
        <v>503</v>
      </c>
      <c r="S26" s="437" t="s">
        <v>505</v>
      </c>
      <c r="T26" s="437" t="s">
        <v>505</v>
      </c>
      <c r="U26" s="437" t="s">
        <v>506</v>
      </c>
      <c r="V26" s="437" t="s">
        <v>507</v>
      </c>
      <c r="W26" s="9"/>
      <c r="X26" s="2"/>
      <c r="Y26" s="37"/>
      <c r="Z26" s="103"/>
      <c r="AA26" s="64"/>
      <c r="AB26" s="437" t="s">
        <v>21</v>
      </c>
      <c r="AC26" s="437" t="s">
        <v>290</v>
      </c>
      <c r="AD26" s="437" t="s">
        <v>497</v>
      </c>
      <c r="AE26" s="437" t="s">
        <v>498</v>
      </c>
      <c r="AF26" s="437" t="s">
        <v>499</v>
      </c>
      <c r="AG26" s="437" t="s">
        <v>500</v>
      </c>
      <c r="AH26" s="437" t="s">
        <v>501</v>
      </c>
      <c r="AI26" s="437" t="s">
        <v>470</v>
      </c>
      <c r="AJ26" s="437" t="s">
        <v>285</v>
      </c>
      <c r="AK26" s="437" t="s">
        <v>502</v>
      </c>
      <c r="AL26" s="437" t="s">
        <v>503</v>
      </c>
      <c r="AM26" s="477" t="s">
        <v>504</v>
      </c>
      <c r="AN26" s="437" t="s">
        <v>503</v>
      </c>
      <c r="AO26" s="437" t="s">
        <v>505</v>
      </c>
      <c r="AP26" s="437" t="s">
        <v>505</v>
      </c>
      <c r="AQ26" s="437" t="s">
        <v>506</v>
      </c>
      <c r="AR26" s="437" t="s">
        <v>507</v>
      </c>
      <c r="AS26" s="2"/>
      <c r="AT26" s="2"/>
      <c r="AU26" s="37"/>
      <c r="AV26" s="103"/>
      <c r="AW26" s="64"/>
      <c r="AX26" s="437" t="s">
        <v>21</v>
      </c>
      <c r="AY26" s="437" t="s">
        <v>290</v>
      </c>
      <c r="AZ26" s="437" t="s">
        <v>497</v>
      </c>
      <c r="BA26" s="437" t="s">
        <v>498</v>
      </c>
      <c r="BB26" s="437" t="s">
        <v>499</v>
      </c>
      <c r="BC26" s="437" t="s">
        <v>500</v>
      </c>
      <c r="BD26" s="437" t="s">
        <v>501</v>
      </c>
      <c r="BE26" s="437" t="s">
        <v>470</v>
      </c>
      <c r="BF26" s="437" t="s">
        <v>285</v>
      </c>
      <c r="BG26" s="437" t="s">
        <v>502</v>
      </c>
      <c r="BH26" s="437" t="s">
        <v>503</v>
      </c>
      <c r="BI26" s="477" t="s">
        <v>504</v>
      </c>
      <c r="BJ26" s="437" t="s">
        <v>503</v>
      </c>
      <c r="BK26" s="437" t="s">
        <v>505</v>
      </c>
      <c r="BL26" s="437" t="s">
        <v>505</v>
      </c>
      <c r="BM26" s="437" t="s">
        <v>506</v>
      </c>
      <c r="BN26" s="437" t="s">
        <v>507</v>
      </c>
    </row>
    <row r="27" spans="1:66" ht="4.5" customHeight="1">
      <c r="A27" s="2"/>
      <c r="B27" s="2"/>
      <c r="C27" s="37"/>
      <c r="D27" s="64"/>
      <c r="E27" s="64"/>
      <c r="F27" s="64"/>
      <c r="G27" s="64"/>
      <c r="H27" s="64"/>
      <c r="I27" s="9"/>
      <c r="J27" s="439"/>
      <c r="K27" s="64"/>
      <c r="L27" s="64"/>
      <c r="M27" s="64"/>
      <c r="N27" s="64"/>
      <c r="O27" s="64"/>
      <c r="P27" s="64"/>
      <c r="Q27" s="64"/>
      <c r="R27" s="64"/>
      <c r="S27" s="64"/>
      <c r="T27" s="64"/>
      <c r="U27" s="64"/>
      <c r="V27" s="64"/>
      <c r="W27" s="9"/>
      <c r="X27" s="2"/>
      <c r="Y27" s="37"/>
      <c r="Z27" s="64"/>
      <c r="AA27" s="64"/>
      <c r="AB27" s="64"/>
      <c r="AC27" s="64"/>
      <c r="AD27" s="64"/>
      <c r="AE27" s="9"/>
      <c r="AF27" s="439"/>
      <c r="AG27" s="64"/>
      <c r="AH27" s="64"/>
      <c r="AI27" s="64"/>
      <c r="AJ27" s="64"/>
      <c r="AK27" s="64"/>
      <c r="AL27" s="64"/>
      <c r="AM27" s="64"/>
      <c r="AN27" s="64"/>
      <c r="AO27" s="64"/>
      <c r="AP27" s="64"/>
      <c r="AQ27" s="64"/>
      <c r="AR27" s="64"/>
      <c r="AS27" s="2"/>
      <c r="AT27" s="2"/>
      <c r="AU27" s="37"/>
      <c r="AV27" s="64"/>
      <c r="AW27" s="64"/>
      <c r="AX27" s="64"/>
      <c r="AY27" s="64"/>
      <c r="AZ27" s="64"/>
      <c r="BA27" s="9"/>
      <c r="BB27" s="439"/>
      <c r="BC27" s="64"/>
      <c r="BD27" s="64"/>
      <c r="BE27" s="64"/>
      <c r="BF27" s="64"/>
      <c r="BG27" s="64"/>
      <c r="BH27" s="64"/>
      <c r="BI27" s="64"/>
      <c r="BJ27" s="64"/>
      <c r="BK27" s="64"/>
      <c r="BL27" s="64"/>
      <c r="BM27" s="64"/>
      <c r="BN27" s="64"/>
    </row>
    <row r="28" spans="1:66" ht="13.5" customHeight="1">
      <c r="A28" s="2"/>
      <c r="B28" s="2"/>
      <c r="C28" s="37"/>
      <c r="D28" s="11" t="s">
        <v>872</v>
      </c>
      <c r="E28" s="12"/>
      <c r="F28" s="51" t="s">
        <v>840</v>
      </c>
      <c r="G28" s="441">
        <v>0.13390000000000002</v>
      </c>
      <c r="H28" s="478">
        <v>1.2142500000000001</v>
      </c>
      <c r="I28" s="441">
        <v>1.7068E-2</v>
      </c>
      <c r="J28" s="441">
        <v>0.23734702438918823</v>
      </c>
      <c r="K28" s="441">
        <v>0.35077599999999998</v>
      </c>
      <c r="L28" s="441">
        <v>0.11969099999999999</v>
      </c>
      <c r="M28" s="442">
        <v>0.291711</v>
      </c>
      <c r="N28" s="442">
        <v>1.12887</v>
      </c>
      <c r="O28" s="442">
        <v>0.411854</v>
      </c>
      <c r="P28" s="442">
        <v>25.283000000000001</v>
      </c>
      <c r="Q28" s="442">
        <v>24.371210000000001</v>
      </c>
      <c r="R28" s="442">
        <v>23.743770000000001</v>
      </c>
      <c r="S28" s="478">
        <v>3.8700800000000002</v>
      </c>
      <c r="T28" s="478">
        <v>4.0295800000000002</v>
      </c>
      <c r="U28" s="51" t="s">
        <v>971</v>
      </c>
      <c r="V28" s="52" t="s">
        <v>971</v>
      </c>
      <c r="W28" s="9"/>
      <c r="X28" s="2"/>
      <c r="Y28" s="37"/>
      <c r="Z28" s="11" t="str">
        <f>Company_Name</f>
        <v>Hamilton Lane Inc.</v>
      </c>
      <c r="AA28" s="12"/>
      <c r="AB28" s="51" t="s">
        <v>22</v>
      </c>
      <c r="AC28" s="444">
        <v>0.24602599999999999</v>
      </c>
      <c r="AD28" s="478">
        <v>1.3267899999999999</v>
      </c>
      <c r="AE28" s="444">
        <v>1.5541000000000001E-2</v>
      </c>
      <c r="AF28" s="444">
        <v>0.39441918935110964</v>
      </c>
      <c r="AG28" s="444">
        <v>3.3532639999999998</v>
      </c>
      <c r="AH28" s="444">
        <v>0.153199</v>
      </c>
      <c r="AI28" s="442">
        <v>94.802499999999995</v>
      </c>
      <c r="AJ28" s="442">
        <v>1.9578</v>
      </c>
      <c r="AK28" s="442">
        <v>1824.0083</v>
      </c>
      <c r="AL28" s="442">
        <v>15.353210000000001</v>
      </c>
      <c r="AM28" s="442">
        <v>13.29931</v>
      </c>
      <c r="AN28" s="442">
        <v>12.490830000000001</v>
      </c>
      <c r="AO28" s="478">
        <v>0.27742</v>
      </c>
      <c r="AP28" s="478">
        <v>1.1919900000000001</v>
      </c>
      <c r="AQ28" s="51" t="s">
        <v>508</v>
      </c>
      <c r="AR28" s="52" t="s">
        <v>509</v>
      </c>
      <c r="AS28" s="2"/>
      <c r="AT28" s="2"/>
      <c r="AU28" s="37"/>
      <c r="AV28" s="11" t="str">
        <f>Company_Name</f>
        <v>Hamilton Lane Inc.</v>
      </c>
      <c r="AW28" s="12"/>
      <c r="AX28" s="51" t="s">
        <v>22</v>
      </c>
      <c r="AY28" s="444">
        <v>0.24602599999999999</v>
      </c>
      <c r="AZ28" s="478">
        <v>1.3267899999999999</v>
      </c>
      <c r="BA28" s="444">
        <v>1.5541000000000001E-2</v>
      </c>
      <c r="BB28" s="444">
        <v>0.39441918935110964</v>
      </c>
      <c r="BC28" s="444">
        <v>3.3532639999999998</v>
      </c>
      <c r="BD28" s="444">
        <v>0.153199</v>
      </c>
      <c r="BE28" s="442">
        <v>94.802499999999995</v>
      </c>
      <c r="BF28" s="442">
        <v>1.9578</v>
      </c>
      <c r="BG28" s="442">
        <v>1824.0083</v>
      </c>
      <c r="BH28" s="442">
        <v>15.353210000000001</v>
      </c>
      <c r="BI28" s="442">
        <v>13.29931</v>
      </c>
      <c r="BJ28" s="442">
        <v>12.490830000000001</v>
      </c>
      <c r="BK28" s="478">
        <v>0.27742</v>
      </c>
      <c r="BL28" s="478">
        <v>1.1919900000000001</v>
      </c>
      <c r="BM28" s="51" t="s">
        <v>508</v>
      </c>
      <c r="BN28" s="52" t="s">
        <v>509</v>
      </c>
    </row>
    <row r="29" spans="1:66" ht="13.5" customHeight="1">
      <c r="A29" s="2"/>
      <c r="B29" s="2"/>
      <c r="C29" s="37"/>
      <c r="D29" s="9"/>
      <c r="E29" s="9"/>
      <c r="F29" s="64"/>
      <c r="G29" s="446"/>
      <c r="H29" s="64"/>
      <c r="I29" s="451"/>
      <c r="J29" s="451"/>
      <c r="K29" s="451"/>
      <c r="L29" s="451"/>
      <c r="M29" s="479"/>
      <c r="N29" s="450"/>
      <c r="O29" s="479"/>
      <c r="P29" s="450"/>
      <c r="Q29" s="447"/>
      <c r="R29" s="447"/>
      <c r="S29" s="64"/>
      <c r="T29" s="64"/>
      <c r="U29" s="64"/>
      <c r="V29" s="64"/>
      <c r="W29" s="9"/>
      <c r="X29" s="2"/>
      <c r="Y29" s="37"/>
      <c r="Z29" s="9"/>
      <c r="AA29" s="9"/>
      <c r="AB29" s="64"/>
      <c r="AC29" s="446"/>
      <c r="AD29" s="64"/>
      <c r="AE29" s="451"/>
      <c r="AF29" s="451"/>
      <c r="AG29" s="451"/>
      <c r="AH29" s="451"/>
      <c r="AI29" s="479"/>
      <c r="AJ29" s="450"/>
      <c r="AK29" s="479"/>
      <c r="AL29" s="450"/>
      <c r="AM29" s="447"/>
      <c r="AN29" s="447"/>
      <c r="AO29" s="64"/>
      <c r="AP29" s="64"/>
      <c r="AQ29" s="64"/>
      <c r="AR29" s="64"/>
      <c r="AS29" s="2"/>
      <c r="AT29" s="2"/>
      <c r="AU29" s="37"/>
      <c r="AV29" s="9"/>
      <c r="AW29" s="9"/>
      <c r="AX29" s="64"/>
      <c r="AY29" s="446"/>
      <c r="AZ29" s="64"/>
      <c r="BA29" s="451"/>
      <c r="BB29" s="451"/>
      <c r="BC29" s="451"/>
      <c r="BD29" s="451"/>
      <c r="BE29" s="479"/>
      <c r="BF29" s="450"/>
      <c r="BG29" s="479"/>
      <c r="BH29" s="450"/>
      <c r="BI29" s="447"/>
      <c r="BJ29" s="447"/>
      <c r="BK29" s="64"/>
      <c r="BL29" s="64"/>
      <c r="BM29" s="64"/>
      <c r="BN29" s="64"/>
    </row>
    <row r="30" spans="1:66" ht="13.5" customHeight="1">
      <c r="A30" s="2"/>
      <c r="B30" s="2"/>
      <c r="C30" s="37"/>
      <c r="D30" s="9" t="s">
        <v>927</v>
      </c>
      <c r="E30" s="9"/>
      <c r="F30" s="64" t="s">
        <v>967</v>
      </c>
      <c r="G30" s="449">
        <v>0.14099999999999999</v>
      </c>
      <c r="H30" s="480">
        <v>1.3614599999999999</v>
      </c>
      <c r="I30" s="449">
        <v>2.3503E-2</v>
      </c>
      <c r="J30" s="449">
        <v>-0.16833247173986127</v>
      </c>
      <c r="K30" s="449">
        <v>-0.12806699999999999</v>
      </c>
      <c r="L30" s="449">
        <v>-5.2173999999999998E-2</v>
      </c>
      <c r="M30" s="450">
        <v>0.17744900000000002</v>
      </c>
      <c r="N30" s="450" t="s">
        <v>475</v>
      </c>
      <c r="O30" s="450">
        <v>0.21573000000000001</v>
      </c>
      <c r="P30" s="450" t="s">
        <v>475</v>
      </c>
      <c r="Q30" s="450" t="s">
        <v>475</v>
      </c>
      <c r="R30" s="450" t="s">
        <v>475</v>
      </c>
      <c r="S30" s="480">
        <v>0.94964000000000004</v>
      </c>
      <c r="T30" s="480">
        <v>0.95674000000000003</v>
      </c>
      <c r="U30" s="64" t="s">
        <v>971</v>
      </c>
      <c r="V30" s="64" t="s">
        <v>971</v>
      </c>
      <c r="W30" s="9"/>
      <c r="X30" s="2"/>
      <c r="Y30" s="37"/>
      <c r="Z30" s="9" t="e">
        <f ca="1">Z53</f>
        <v>#NAME?</v>
      </c>
      <c r="AA30" s="9"/>
      <c r="AB30" s="64" t="s">
        <v>472</v>
      </c>
      <c r="AC30" s="446">
        <v>0.14074</v>
      </c>
      <c r="AD30" s="480">
        <v>1.0573999999999999</v>
      </c>
      <c r="AE30" s="446">
        <v>2.3887000000000002E-2</v>
      </c>
      <c r="AF30" s="446">
        <v>0.21877749021799892</v>
      </c>
      <c r="AG30" s="446">
        <v>3.2482000000000004E-2</v>
      </c>
      <c r="AH30" s="446">
        <v>1.7917000000000002E-2</v>
      </c>
      <c r="AI30" s="450">
        <v>31.401499999999999</v>
      </c>
      <c r="AJ30" s="450">
        <v>4.7381599999999997</v>
      </c>
      <c r="AK30" s="450">
        <v>45.775799999999997</v>
      </c>
      <c r="AL30" s="450">
        <v>5.0696000000000003</v>
      </c>
      <c r="AM30" s="450">
        <v>3.79474</v>
      </c>
      <c r="AN30" s="450">
        <v>1.76491</v>
      </c>
      <c r="AO30" s="480">
        <v>0.78071000000000002</v>
      </c>
      <c r="AP30" s="480">
        <v>1.21</v>
      </c>
      <c r="AQ30" s="64" t="s">
        <v>510</v>
      </c>
      <c r="AR30" s="64" t="s">
        <v>511</v>
      </c>
      <c r="AS30" s="2"/>
      <c r="AT30" s="2"/>
      <c r="AU30" s="37"/>
      <c r="AV30" s="9" t="e">
        <f ca="1">AV53</f>
        <v>#NAME?</v>
      </c>
      <c r="AW30" s="9"/>
      <c r="AX30" s="64" t="s">
        <v>473</v>
      </c>
      <c r="AY30" s="446">
        <v>0.19653999999999999</v>
      </c>
      <c r="AZ30" s="480">
        <v>0.95801999999999998</v>
      </c>
      <c r="BA30" s="446">
        <v>3.0351E-2</v>
      </c>
      <c r="BB30" s="446">
        <v>0.22662902487906014</v>
      </c>
      <c r="BC30" s="446">
        <v>0.46612399999999998</v>
      </c>
      <c r="BD30" s="446">
        <v>0.10926399999999999</v>
      </c>
      <c r="BE30" s="450">
        <v>60.462899999999998</v>
      </c>
      <c r="BF30" s="450">
        <v>2.09659</v>
      </c>
      <c r="BG30" s="450">
        <v>152.92699999999999</v>
      </c>
      <c r="BH30" s="450">
        <v>17.82987</v>
      </c>
      <c r="BI30" s="450">
        <v>14.99244</v>
      </c>
      <c r="BJ30" s="450">
        <v>13.36862</v>
      </c>
      <c r="BK30" s="480">
        <v>1.2424500000000001</v>
      </c>
      <c r="BL30" s="480">
        <v>1.885</v>
      </c>
      <c r="BM30" s="64" t="s">
        <v>512</v>
      </c>
      <c r="BN30" s="64" t="s">
        <v>511</v>
      </c>
    </row>
    <row r="31" spans="1:66" ht="13.5" customHeight="1">
      <c r="A31" s="2"/>
      <c r="B31" s="2"/>
      <c r="C31" s="37"/>
      <c r="D31" s="9" t="s">
        <v>937</v>
      </c>
      <c r="E31" s="9"/>
      <c r="F31" s="64" t="s">
        <v>968</v>
      </c>
      <c r="G31" s="449">
        <v>0.129075</v>
      </c>
      <c r="H31" s="480">
        <v>1.4472799999999999</v>
      </c>
      <c r="I31" s="449">
        <v>2.9745000000000001E-2</v>
      </c>
      <c r="J31" s="449">
        <v>4.1311938807450425E-2</v>
      </c>
      <c r="K31" s="449">
        <v>0.1343</v>
      </c>
      <c r="L31" s="449">
        <v>2.3942000000000001E-2</v>
      </c>
      <c r="M31" s="450">
        <v>0.63991700000000007</v>
      </c>
      <c r="N31" s="450">
        <v>10.79002</v>
      </c>
      <c r="O31" s="450">
        <v>1.777139</v>
      </c>
      <c r="P31" s="450">
        <v>1.24556</v>
      </c>
      <c r="Q31" s="450">
        <v>1.15202</v>
      </c>
      <c r="R31" s="450">
        <v>1.0151699999999999</v>
      </c>
      <c r="S31" s="480">
        <v>0.86001000000000005</v>
      </c>
      <c r="T31" s="480">
        <v>0.91405999999999998</v>
      </c>
      <c r="U31" s="64" t="s">
        <v>508</v>
      </c>
      <c r="V31" s="64" t="s">
        <v>509</v>
      </c>
      <c r="W31" s="9"/>
      <c r="X31" s="2"/>
      <c r="Y31" s="37"/>
      <c r="Z31" s="9" t="e">
        <f ca="1">Z54</f>
        <v>#NAME?</v>
      </c>
      <c r="AA31" s="9"/>
      <c r="AB31" s="64" t="s">
        <v>474</v>
      </c>
      <c r="AC31" s="446">
        <v>0.14074</v>
      </c>
      <c r="AD31" s="480">
        <v>1.6202799999999999</v>
      </c>
      <c r="AE31" s="446">
        <v>0</v>
      </c>
      <c r="AF31" s="446">
        <v>0.21877749021799892</v>
      </c>
      <c r="AG31" s="446">
        <v>3.2482000000000004E-2</v>
      </c>
      <c r="AH31" s="446">
        <v>-1.6131E-2</v>
      </c>
      <c r="AI31" s="450">
        <v>138.57230000000001</v>
      </c>
      <c r="AJ31" s="450" t="s">
        <v>475</v>
      </c>
      <c r="AK31" s="450" t="s">
        <v>475</v>
      </c>
      <c r="AL31" s="450" t="s">
        <v>475</v>
      </c>
      <c r="AM31" s="450" t="s">
        <v>475</v>
      </c>
      <c r="AN31" s="450" t="s">
        <v>475</v>
      </c>
      <c r="AO31" s="480">
        <v>0.40834999999999999</v>
      </c>
      <c r="AP31" s="480">
        <v>1.3936999999999999</v>
      </c>
      <c r="AQ31" s="64" t="s">
        <v>513</v>
      </c>
      <c r="AR31" s="64" t="s">
        <v>511</v>
      </c>
      <c r="AS31" s="2"/>
      <c r="AT31" s="2"/>
      <c r="AU31" s="37"/>
      <c r="AV31" s="9" t="e">
        <f ca="1">AV54</f>
        <v>#NAME?</v>
      </c>
      <c r="AW31" s="9"/>
      <c r="AX31" s="64" t="s">
        <v>476</v>
      </c>
      <c r="AY31" s="446">
        <v>0.19653999999999999</v>
      </c>
      <c r="AZ31" s="480">
        <v>1.0765100000000001</v>
      </c>
      <c r="BA31" s="446">
        <v>3.0159999999999996E-3</v>
      </c>
      <c r="BB31" s="446">
        <v>0.22662902487906014</v>
      </c>
      <c r="BC31" s="446">
        <v>2.2750000000000001E-3</v>
      </c>
      <c r="BD31" s="446">
        <v>2.2489999999999997E-3</v>
      </c>
      <c r="BE31" s="450">
        <v>67.793300000000002</v>
      </c>
      <c r="BF31" s="450">
        <v>11.469580000000001</v>
      </c>
      <c r="BG31" s="450">
        <v>210.49520000000001</v>
      </c>
      <c r="BH31" s="450">
        <v>5.1042800000000002</v>
      </c>
      <c r="BI31" s="450">
        <v>2.6646700000000001</v>
      </c>
      <c r="BJ31" s="450" t="s">
        <v>475</v>
      </c>
      <c r="BK31" s="480">
        <v>1.21993</v>
      </c>
      <c r="BL31" s="480">
        <v>1.57684</v>
      </c>
      <c r="BM31" s="64" t="s">
        <v>508</v>
      </c>
      <c r="BN31" s="64" t="s">
        <v>514</v>
      </c>
    </row>
    <row r="32" spans="1:66" ht="13.5" customHeight="1">
      <c r="A32" s="2"/>
      <c r="B32" s="2"/>
      <c r="C32" s="37"/>
      <c r="D32" s="9" t="s">
        <v>1158</v>
      </c>
      <c r="E32" s="9"/>
      <c r="F32" s="64" t="s">
        <v>1159</v>
      </c>
      <c r="G32" s="449">
        <v>0.21711900000000001</v>
      </c>
      <c r="H32" s="480">
        <v>1.9904299999999999</v>
      </c>
      <c r="I32" s="449">
        <v>2.2682999999999998E-2</v>
      </c>
      <c r="J32" s="449">
        <v>7.8693422289241116E-2</v>
      </c>
      <c r="K32" s="449">
        <v>0.21365700000000001</v>
      </c>
      <c r="L32" s="449">
        <v>5.6162000000000004E-2</v>
      </c>
      <c r="M32" s="450">
        <v>0.59936599999999995</v>
      </c>
      <c r="N32" s="450" t="s">
        <v>972</v>
      </c>
      <c r="O32" s="450">
        <v>1.4960450000000001</v>
      </c>
      <c r="P32" s="450" t="s">
        <v>972</v>
      </c>
      <c r="Q32" s="450" t="s">
        <v>972</v>
      </c>
      <c r="R32" s="450" t="s">
        <v>972</v>
      </c>
      <c r="S32" s="480">
        <v>1.6674599999999999</v>
      </c>
      <c r="T32" s="480">
        <v>1.73881</v>
      </c>
      <c r="U32" s="64" t="s">
        <v>510</v>
      </c>
      <c r="V32" s="64" t="s">
        <v>509</v>
      </c>
      <c r="W32" s="9"/>
      <c r="X32" s="2"/>
      <c r="Y32" s="37"/>
      <c r="Z32" s="9"/>
      <c r="AA32" s="9"/>
      <c r="AB32" s="64"/>
      <c r="AC32" s="446"/>
      <c r="AD32" s="480"/>
      <c r="AE32" s="446"/>
      <c r="AF32" s="446"/>
      <c r="AG32" s="446"/>
      <c r="AH32" s="446"/>
      <c r="AI32" s="450"/>
      <c r="AJ32" s="450"/>
      <c r="AK32" s="450"/>
      <c r="AL32" s="450"/>
      <c r="AM32" s="450"/>
      <c r="AN32" s="450"/>
      <c r="AO32" s="480"/>
      <c r="AP32" s="480"/>
      <c r="AQ32" s="64"/>
      <c r="AR32" s="64"/>
      <c r="AS32" s="2"/>
      <c r="AT32" s="2"/>
      <c r="AU32" s="37"/>
      <c r="AV32" s="9"/>
      <c r="AW32" s="9"/>
      <c r="AX32" s="64"/>
      <c r="AY32" s="446"/>
      <c r="AZ32" s="480"/>
      <c r="BA32" s="446"/>
      <c r="BB32" s="446"/>
      <c r="BC32" s="446"/>
      <c r="BD32" s="446"/>
      <c r="BE32" s="450"/>
      <c r="BF32" s="450"/>
      <c r="BG32" s="450"/>
      <c r="BH32" s="450"/>
      <c r="BI32" s="450"/>
      <c r="BJ32" s="450"/>
      <c r="BK32" s="480"/>
      <c r="BL32" s="480"/>
      <c r="BM32" s="64"/>
      <c r="BN32" s="64"/>
    </row>
    <row r="33" spans="1:66" ht="13.5" customHeight="1">
      <c r="A33" s="2"/>
      <c r="B33" s="2"/>
      <c r="C33" s="37"/>
      <c r="D33" s="9" t="s">
        <v>962</v>
      </c>
      <c r="E33" s="9"/>
      <c r="F33" s="64" t="s">
        <v>970</v>
      </c>
      <c r="G33" s="449">
        <v>-2.0979999999999999</v>
      </c>
      <c r="H33" s="480">
        <v>1.51884</v>
      </c>
      <c r="I33" s="449">
        <v>3.0870000000000002E-2</v>
      </c>
      <c r="J33" s="449">
        <v>0.11617293729345145</v>
      </c>
      <c r="K33" s="449">
        <v>3.1345999999999999E-2</v>
      </c>
      <c r="L33" s="449">
        <v>1.0102E-2</v>
      </c>
      <c r="M33" s="450">
        <v>0.30593599999999999</v>
      </c>
      <c r="N33" s="450">
        <v>7.8333599999999999</v>
      </c>
      <c r="O33" s="450">
        <v>0.44078899999999999</v>
      </c>
      <c r="P33" s="450">
        <v>2.3096999999999999</v>
      </c>
      <c r="Q33" s="450">
        <v>1.98824</v>
      </c>
      <c r="R33" s="450">
        <v>0.10593</v>
      </c>
      <c r="S33" s="480">
        <v>4.89689</v>
      </c>
      <c r="T33" s="480">
        <v>5.4215900000000001</v>
      </c>
      <c r="U33" s="64" t="s">
        <v>971</v>
      </c>
      <c r="V33" s="64" t="s">
        <v>971</v>
      </c>
      <c r="W33" s="9"/>
      <c r="X33" s="2"/>
      <c r="Y33" s="37"/>
      <c r="Z33" s="9" t="e">
        <f ca="1">Z55</f>
        <v>#NAME?</v>
      </c>
      <c r="AA33" s="9"/>
      <c r="AB33" s="64" t="s">
        <v>477</v>
      </c>
      <c r="AC33" s="446">
        <v>0.14074</v>
      </c>
      <c r="AD33" s="480">
        <v>1.00423</v>
      </c>
      <c r="AE33" s="446">
        <v>2.2029999999999998E-2</v>
      </c>
      <c r="AF33" s="446">
        <v>0.21877749021799892</v>
      </c>
      <c r="AG33" s="446">
        <v>0.39946500000000001</v>
      </c>
      <c r="AH33" s="446">
        <v>6.9584000000000007E-2</v>
      </c>
      <c r="AI33" s="450">
        <v>49.722200000000001</v>
      </c>
      <c r="AJ33" s="450">
        <v>1.5284599999999999</v>
      </c>
      <c r="AK33" s="450">
        <v>98.895300000000006</v>
      </c>
      <c r="AL33" s="450">
        <v>10.78947</v>
      </c>
      <c r="AM33" s="450">
        <v>7.6929800000000004</v>
      </c>
      <c r="AN33" s="450">
        <v>7.7719300000000002</v>
      </c>
      <c r="AO33" s="480">
        <v>0.95642000000000005</v>
      </c>
      <c r="AP33" s="480">
        <v>1.0979300000000001</v>
      </c>
      <c r="AQ33" s="64" t="s">
        <v>513</v>
      </c>
      <c r="AR33" s="64" t="s">
        <v>511</v>
      </c>
      <c r="AS33" s="2"/>
      <c r="AT33" s="2"/>
      <c r="AU33" s="37"/>
      <c r="AV33" s="9" t="e">
        <f ca="1">AV55</f>
        <v>#NAME?</v>
      </c>
      <c r="AW33" s="9"/>
      <c r="AX33" s="64" t="s">
        <v>478</v>
      </c>
      <c r="AY33" s="446">
        <v>0.19078499999999998</v>
      </c>
      <c r="AZ33" s="480">
        <v>1.1858299999999999</v>
      </c>
      <c r="BA33" s="446">
        <v>1.6094000000000001E-2</v>
      </c>
      <c r="BB33" s="446">
        <v>0.20011679501698756</v>
      </c>
      <c r="BC33" s="446">
        <v>0.27636500000000003</v>
      </c>
      <c r="BD33" s="446">
        <v>7.0619000000000001E-2</v>
      </c>
      <c r="BE33" s="450">
        <v>56.602200000000003</v>
      </c>
      <c r="BF33" s="450">
        <v>2.9363700000000001</v>
      </c>
      <c r="BG33" s="450">
        <v>130.4264</v>
      </c>
      <c r="BH33" s="450">
        <v>22.019500000000001</v>
      </c>
      <c r="BI33" s="450">
        <v>19.495819999999998</v>
      </c>
      <c r="BJ33" s="450">
        <v>18.53482</v>
      </c>
      <c r="BK33" s="480">
        <v>1.15815</v>
      </c>
      <c r="BL33" s="480">
        <v>1.4676800000000001</v>
      </c>
      <c r="BM33" s="64" t="s">
        <v>515</v>
      </c>
      <c r="BN33" s="64" t="s">
        <v>509</v>
      </c>
    </row>
    <row r="34" spans="1:66" ht="13.5" customHeight="1">
      <c r="A34" s="2"/>
      <c r="B34" s="2"/>
      <c r="C34" s="37"/>
      <c r="D34" s="9" t="s">
        <v>1160</v>
      </c>
      <c r="E34" s="9"/>
      <c r="F34" s="64" t="s">
        <v>1161</v>
      </c>
      <c r="G34" s="449">
        <v>0.19778999999999999</v>
      </c>
      <c r="H34" s="480">
        <v>1.20726</v>
      </c>
      <c r="I34" s="449">
        <v>1.6899999999999999E-4</v>
      </c>
      <c r="J34" s="449">
        <v>6.2038286016396764E-2</v>
      </c>
      <c r="K34" s="449">
        <v>0.14063599999999998</v>
      </c>
      <c r="L34" s="449">
        <v>3.7805999999999999E-2</v>
      </c>
      <c r="M34" s="450">
        <v>0.37573600000000001</v>
      </c>
      <c r="N34" s="450">
        <v>3.7913299999999999</v>
      </c>
      <c r="O34" s="450">
        <v>0.60188799999999998</v>
      </c>
      <c r="P34" s="450">
        <v>5.5363800000000003</v>
      </c>
      <c r="Q34" s="450">
        <v>5.5108800000000002</v>
      </c>
      <c r="R34" s="450">
        <v>4.99925</v>
      </c>
      <c r="S34" s="480">
        <v>4.1551799999999997</v>
      </c>
      <c r="T34" s="480">
        <v>4.1551799999999997</v>
      </c>
      <c r="U34" s="64" t="s">
        <v>508</v>
      </c>
      <c r="V34" s="64" t="s">
        <v>509</v>
      </c>
      <c r="W34" s="9"/>
      <c r="X34" s="2"/>
      <c r="Y34" s="37"/>
      <c r="Z34" s="9" t="e">
        <f ca="1">Z56</f>
        <v>#NAME?</v>
      </c>
      <c r="AA34" s="9"/>
      <c r="AB34" s="64" t="s">
        <v>479</v>
      </c>
      <c r="AC34" s="446">
        <v>0.16356999999999999</v>
      </c>
      <c r="AD34" s="480">
        <v>0.97955999999999999</v>
      </c>
      <c r="AE34" s="446">
        <v>2.8730000000000002E-2</v>
      </c>
      <c r="AF34" s="446">
        <v>0.47399097894209075</v>
      </c>
      <c r="AG34" s="446">
        <v>1.395308</v>
      </c>
      <c r="AH34" s="446">
        <v>0.11113300000000001</v>
      </c>
      <c r="AI34" s="450">
        <v>68.750600000000006</v>
      </c>
      <c r="AJ34" s="450">
        <v>1.2992999999999999</v>
      </c>
      <c r="AK34" s="450">
        <v>220.00659999999999</v>
      </c>
      <c r="AL34" s="450">
        <v>17.299489999999999</v>
      </c>
      <c r="AM34" s="450">
        <v>14.31134</v>
      </c>
      <c r="AN34" s="450">
        <v>15.020300000000001</v>
      </c>
      <c r="AO34" s="480">
        <v>1.05383</v>
      </c>
      <c r="AP34" s="480">
        <v>1.3908</v>
      </c>
      <c r="AQ34" s="64" t="s">
        <v>510</v>
      </c>
      <c r="AR34" s="64" t="s">
        <v>509</v>
      </c>
      <c r="AS34" s="2"/>
      <c r="AT34" s="2"/>
      <c r="AU34" s="37"/>
      <c r="AV34" s="9" t="e">
        <f ca="1">AV56</f>
        <v>#NAME?</v>
      </c>
      <c r="AW34" s="9"/>
      <c r="AX34" s="64" t="s">
        <v>480</v>
      </c>
      <c r="AY34" s="446">
        <v>0.214669</v>
      </c>
      <c r="AZ34" s="480">
        <v>1.0453399999999999</v>
      </c>
      <c r="BA34" s="446">
        <v>4.7010000000000003E-3</v>
      </c>
      <c r="BB34" s="446">
        <v>6.2702786118550582E-2</v>
      </c>
      <c r="BC34" s="446">
        <v>0.10162599999999999</v>
      </c>
      <c r="BD34" s="446">
        <v>4.5176000000000001E-2</v>
      </c>
      <c r="BE34" s="450">
        <v>48.453000000000003</v>
      </c>
      <c r="BF34" s="450">
        <v>4.8756700000000004</v>
      </c>
      <c r="BG34" s="450">
        <v>93.997900000000001</v>
      </c>
      <c r="BH34" s="450">
        <v>9.2297899999999995</v>
      </c>
      <c r="BI34" s="450">
        <v>9.0872499999999992</v>
      </c>
      <c r="BJ34" s="450">
        <v>6.5376899999999996</v>
      </c>
      <c r="BK34" s="480">
        <v>0.58701999999999999</v>
      </c>
      <c r="BL34" s="480">
        <v>0.71686000000000005</v>
      </c>
      <c r="BM34" s="64" t="s">
        <v>508</v>
      </c>
      <c r="BN34" s="64" t="s">
        <v>509</v>
      </c>
    </row>
    <row r="35" spans="1:66" ht="13.5" customHeight="1">
      <c r="A35" s="2"/>
      <c r="B35" s="2"/>
      <c r="C35" s="37"/>
      <c r="D35" s="9"/>
      <c r="E35" s="9"/>
      <c r="F35" s="64"/>
      <c r="G35" s="446"/>
      <c r="H35" s="64"/>
      <c r="I35" s="451"/>
      <c r="J35" s="451"/>
      <c r="K35" s="451"/>
      <c r="L35" s="451"/>
      <c r="M35" s="479"/>
      <c r="N35" s="64"/>
      <c r="O35" s="481"/>
      <c r="P35" s="450"/>
      <c r="Q35" s="450"/>
      <c r="R35" s="450"/>
      <c r="S35" s="64"/>
      <c r="T35" s="64"/>
      <c r="U35" s="64"/>
      <c r="V35" s="64"/>
      <c r="W35" s="9"/>
      <c r="X35" s="2"/>
      <c r="Y35" s="37"/>
      <c r="Z35" s="9"/>
      <c r="AA35" s="9"/>
      <c r="AB35" s="64"/>
      <c r="AC35" s="446"/>
      <c r="AD35" s="64"/>
      <c r="AE35" s="451"/>
      <c r="AF35" s="451"/>
      <c r="AG35" s="451"/>
      <c r="AH35" s="451"/>
      <c r="AI35" s="479"/>
      <c r="AJ35" s="64"/>
      <c r="AK35" s="481"/>
      <c r="AL35" s="450"/>
      <c r="AM35" s="450"/>
      <c r="AN35" s="450"/>
      <c r="AO35" s="64"/>
      <c r="AP35" s="64"/>
      <c r="AQ35" s="64"/>
      <c r="AR35" s="64"/>
      <c r="AS35" s="2"/>
      <c r="AT35" s="2"/>
      <c r="AU35" s="37"/>
      <c r="AV35" s="9"/>
      <c r="AW35" s="9"/>
      <c r="AX35" s="64"/>
      <c r="AY35" s="446"/>
      <c r="AZ35" s="64"/>
      <c r="BA35" s="451"/>
      <c r="BB35" s="451"/>
      <c r="BC35" s="451"/>
      <c r="BD35" s="451"/>
      <c r="BE35" s="479"/>
      <c r="BF35" s="64"/>
      <c r="BG35" s="481"/>
      <c r="BH35" s="450"/>
      <c r="BI35" s="450"/>
      <c r="BJ35" s="450"/>
      <c r="BK35" s="64"/>
      <c r="BL35" s="64"/>
      <c r="BM35" s="64"/>
      <c r="BN35" s="64"/>
    </row>
    <row r="36" spans="1:66" ht="13.5" customHeight="1">
      <c r="A36" s="2"/>
      <c r="B36" s="2"/>
      <c r="C36" s="37"/>
      <c r="D36" s="452" t="s">
        <v>161</v>
      </c>
      <c r="E36" s="453"/>
      <c r="F36" s="454"/>
      <c r="G36" s="456">
        <v>0.21711900000000001</v>
      </c>
      <c r="H36" s="482">
        <v>1.9904299999999999</v>
      </c>
      <c r="I36" s="456">
        <v>3.0870000000000002E-2</v>
      </c>
      <c r="J36" s="456">
        <v>0.11617293729345145</v>
      </c>
      <c r="K36" s="456">
        <v>0.21365700000000001</v>
      </c>
      <c r="L36" s="456">
        <v>5.6162000000000004E-2</v>
      </c>
      <c r="M36" s="458">
        <v>0.63991700000000007</v>
      </c>
      <c r="N36" s="458">
        <v>10.79002</v>
      </c>
      <c r="O36" s="458">
        <v>1.777139</v>
      </c>
      <c r="P36" s="458">
        <v>5.5363800000000003</v>
      </c>
      <c r="Q36" s="458">
        <v>5.5108800000000002</v>
      </c>
      <c r="R36" s="458">
        <v>4.99925</v>
      </c>
      <c r="S36" s="482">
        <v>4.89689</v>
      </c>
      <c r="T36" s="482">
        <v>5.4215900000000001</v>
      </c>
      <c r="U36" s="454"/>
      <c r="V36" s="483"/>
      <c r="W36" s="9"/>
      <c r="X36" s="2"/>
      <c r="Y36" s="37"/>
      <c r="Z36" s="452" t="str">
        <f>Z18</f>
        <v>High</v>
      </c>
      <c r="AA36" s="453"/>
      <c r="AB36" s="454"/>
      <c r="AC36" s="460">
        <f t="shared" ref="AC36:AP36" si="8">MAX(AC28:AC34)</f>
        <v>0.24602599999999999</v>
      </c>
      <c r="AD36" s="482">
        <f t="shared" si="8"/>
        <v>1.6202799999999999</v>
      </c>
      <c r="AE36" s="460">
        <f t="shared" si="8"/>
        <v>2.8730000000000002E-2</v>
      </c>
      <c r="AF36" s="460">
        <f t="shared" si="8"/>
        <v>0.47399097894209075</v>
      </c>
      <c r="AG36" s="460">
        <f t="shared" si="8"/>
        <v>3.3532639999999998</v>
      </c>
      <c r="AH36" s="460">
        <f t="shared" si="8"/>
        <v>0.153199</v>
      </c>
      <c r="AI36" s="458">
        <f t="shared" si="8"/>
        <v>138.57230000000001</v>
      </c>
      <c r="AJ36" s="458">
        <f t="shared" si="8"/>
        <v>4.7381599999999997</v>
      </c>
      <c r="AK36" s="458">
        <f t="shared" si="8"/>
        <v>1824.0083</v>
      </c>
      <c r="AL36" s="458">
        <f t="shared" si="8"/>
        <v>17.299489999999999</v>
      </c>
      <c r="AM36" s="458">
        <f t="shared" si="8"/>
        <v>14.31134</v>
      </c>
      <c r="AN36" s="458">
        <f t="shared" si="8"/>
        <v>15.020300000000001</v>
      </c>
      <c r="AO36" s="482">
        <f t="shared" si="8"/>
        <v>1.05383</v>
      </c>
      <c r="AP36" s="482">
        <f t="shared" si="8"/>
        <v>1.3936999999999999</v>
      </c>
      <c r="AQ36" s="454"/>
      <c r="AR36" s="483"/>
      <c r="AS36" s="2"/>
      <c r="AT36" s="2"/>
      <c r="AU36" s="37"/>
      <c r="AV36" s="452" t="str">
        <f>AV18</f>
        <v>High</v>
      </c>
      <c r="AW36" s="453"/>
      <c r="AX36" s="454"/>
      <c r="AY36" s="460">
        <f t="shared" ref="AY36:BL36" si="9">MAX(AY28:AY34)</f>
        <v>0.24602599999999999</v>
      </c>
      <c r="AZ36" s="482">
        <f t="shared" si="9"/>
        <v>1.3267899999999999</v>
      </c>
      <c r="BA36" s="460">
        <f t="shared" si="9"/>
        <v>3.0351E-2</v>
      </c>
      <c r="BB36" s="460">
        <f t="shared" si="9"/>
        <v>0.39441918935110964</v>
      </c>
      <c r="BC36" s="460">
        <f t="shared" si="9"/>
        <v>3.3532639999999998</v>
      </c>
      <c r="BD36" s="460">
        <f t="shared" si="9"/>
        <v>0.153199</v>
      </c>
      <c r="BE36" s="458">
        <f t="shared" si="9"/>
        <v>94.802499999999995</v>
      </c>
      <c r="BF36" s="458">
        <f t="shared" si="9"/>
        <v>11.469580000000001</v>
      </c>
      <c r="BG36" s="458">
        <f t="shared" si="9"/>
        <v>1824.0083</v>
      </c>
      <c r="BH36" s="458">
        <f t="shared" si="9"/>
        <v>22.019500000000001</v>
      </c>
      <c r="BI36" s="458">
        <f t="shared" si="9"/>
        <v>19.495819999999998</v>
      </c>
      <c r="BJ36" s="458">
        <f t="shared" si="9"/>
        <v>18.53482</v>
      </c>
      <c r="BK36" s="482">
        <f t="shared" si="9"/>
        <v>1.2424500000000001</v>
      </c>
      <c r="BL36" s="482">
        <f t="shared" si="9"/>
        <v>1.885</v>
      </c>
      <c r="BM36" s="454"/>
      <c r="BN36" s="483"/>
    </row>
    <row r="37" spans="1:66" ht="13.5" customHeight="1">
      <c r="A37" s="2"/>
      <c r="B37" s="2"/>
      <c r="C37" s="37"/>
      <c r="D37" s="461" t="s">
        <v>483</v>
      </c>
      <c r="E37" s="347"/>
      <c r="F37" s="462"/>
      <c r="G37" s="464">
        <v>-0.2826032</v>
      </c>
      <c r="H37" s="484">
        <v>1.5050539999999999</v>
      </c>
      <c r="I37" s="464">
        <v>2.1394000000000003E-2</v>
      </c>
      <c r="J37" s="464">
        <v>2.5976822533335699E-2</v>
      </c>
      <c r="K37" s="464">
        <v>7.8374399999999997E-2</v>
      </c>
      <c r="L37" s="464">
        <v>1.5167600000000003E-2</v>
      </c>
      <c r="M37" s="466">
        <v>0.41968079999999996</v>
      </c>
      <c r="N37" s="466">
        <v>7.4715699999999998</v>
      </c>
      <c r="O37" s="466">
        <v>0.90631820000000007</v>
      </c>
      <c r="P37" s="466">
        <v>3.0305466666666665</v>
      </c>
      <c r="Q37" s="466">
        <v>2.8837133333333331</v>
      </c>
      <c r="R37" s="466">
        <v>2.0401166666666666</v>
      </c>
      <c r="S37" s="484">
        <v>2.5058359999999995</v>
      </c>
      <c r="T37" s="484">
        <v>2.637276</v>
      </c>
      <c r="U37" s="462"/>
      <c r="V37" s="485"/>
      <c r="W37" s="9"/>
      <c r="X37" s="2"/>
      <c r="Y37" s="37"/>
      <c r="Z37" s="461" t="str">
        <f>Z19</f>
        <v>Mean</v>
      </c>
      <c r="AA37" s="347"/>
      <c r="AB37" s="462"/>
      <c r="AC37" s="468">
        <f t="shared" ref="AC37:AP37" si="10">AVERAGE(AC28:AC34)</f>
        <v>0.16636319999999999</v>
      </c>
      <c r="AD37" s="484">
        <f t="shared" si="10"/>
        <v>1.1976519999999999</v>
      </c>
      <c r="AE37" s="468">
        <f t="shared" si="10"/>
        <v>1.8037600000000001E-2</v>
      </c>
      <c r="AF37" s="468">
        <f t="shared" si="10"/>
        <v>0.30494852778943943</v>
      </c>
      <c r="AG37" s="468">
        <f t="shared" si="10"/>
        <v>1.0426002000000001</v>
      </c>
      <c r="AH37" s="468">
        <f t="shared" si="10"/>
        <v>6.7140400000000003E-2</v>
      </c>
      <c r="AI37" s="466">
        <f t="shared" si="10"/>
        <v>76.649820000000005</v>
      </c>
      <c r="AJ37" s="466">
        <f t="shared" si="10"/>
        <v>2.3809299999999998</v>
      </c>
      <c r="AK37" s="466">
        <f t="shared" si="10"/>
        <v>547.17149999999992</v>
      </c>
      <c r="AL37" s="466">
        <f t="shared" si="10"/>
        <v>12.1279425</v>
      </c>
      <c r="AM37" s="466">
        <f t="shared" si="10"/>
        <v>9.7745925000000007</v>
      </c>
      <c r="AN37" s="466">
        <f t="shared" si="10"/>
        <v>9.2619924999999999</v>
      </c>
      <c r="AO37" s="484">
        <f t="shared" si="10"/>
        <v>0.69534600000000002</v>
      </c>
      <c r="AP37" s="484">
        <f t="shared" si="10"/>
        <v>1.2568840000000001</v>
      </c>
      <c r="AQ37" s="462"/>
      <c r="AR37" s="485"/>
      <c r="AS37" s="2"/>
      <c r="AT37" s="2"/>
      <c r="AU37" s="37"/>
      <c r="AV37" s="461" t="str">
        <f>AV19</f>
        <v>Mean</v>
      </c>
      <c r="AW37" s="347"/>
      <c r="AX37" s="462"/>
      <c r="AY37" s="468">
        <f t="shared" ref="AY37:BL37" si="11">AVERAGE(AY28:AY34)</f>
        <v>0.20891199999999999</v>
      </c>
      <c r="AZ37" s="484">
        <f t="shared" si="11"/>
        <v>1.118498</v>
      </c>
      <c r="BA37" s="468">
        <f t="shared" si="11"/>
        <v>1.3940600000000001E-2</v>
      </c>
      <c r="BB37" s="468">
        <f t="shared" si="11"/>
        <v>0.22209936404895361</v>
      </c>
      <c r="BC37" s="468">
        <f t="shared" si="11"/>
        <v>0.83993080000000009</v>
      </c>
      <c r="BD37" s="468">
        <f t="shared" si="11"/>
        <v>7.61014E-2</v>
      </c>
      <c r="BE37" s="466">
        <f t="shared" si="11"/>
        <v>65.622779999999992</v>
      </c>
      <c r="BF37" s="466">
        <f t="shared" si="11"/>
        <v>4.6672020000000005</v>
      </c>
      <c r="BG37" s="466">
        <f t="shared" si="11"/>
        <v>482.37095999999991</v>
      </c>
      <c r="BH37" s="466">
        <f t="shared" si="11"/>
        <v>13.907330000000002</v>
      </c>
      <c r="BI37" s="466">
        <f t="shared" si="11"/>
        <v>11.907897999999999</v>
      </c>
      <c r="BJ37" s="466">
        <f t="shared" si="11"/>
        <v>12.732990000000001</v>
      </c>
      <c r="BK37" s="484">
        <f t="shared" si="11"/>
        <v>0.89699399999999996</v>
      </c>
      <c r="BL37" s="484">
        <f t="shared" si="11"/>
        <v>1.3676740000000003</v>
      </c>
      <c r="BM37" s="462"/>
      <c r="BN37" s="485"/>
    </row>
    <row r="38" spans="1:66" ht="13.5" customHeight="1">
      <c r="A38" s="2"/>
      <c r="B38" s="2"/>
      <c r="C38" s="37"/>
      <c r="D38" s="461" t="s">
        <v>484</v>
      </c>
      <c r="E38" s="347"/>
      <c r="F38" s="347"/>
      <c r="G38" s="464">
        <v>0.14099999999999999</v>
      </c>
      <c r="H38" s="484">
        <v>1.4472799999999999</v>
      </c>
      <c r="I38" s="464">
        <v>2.3503E-2</v>
      </c>
      <c r="J38" s="464">
        <v>6.2038286016396764E-2</v>
      </c>
      <c r="K38" s="464">
        <v>0.1343</v>
      </c>
      <c r="L38" s="464">
        <v>2.3942000000000001E-2</v>
      </c>
      <c r="M38" s="466">
        <v>0.37573600000000001</v>
      </c>
      <c r="N38" s="466">
        <v>7.8333599999999999</v>
      </c>
      <c r="O38" s="466">
        <v>0.60188799999999998</v>
      </c>
      <c r="P38" s="466">
        <v>2.3096999999999999</v>
      </c>
      <c r="Q38" s="466">
        <v>1.98824</v>
      </c>
      <c r="R38" s="466">
        <v>1.0151699999999999</v>
      </c>
      <c r="S38" s="484">
        <v>1.6674599999999999</v>
      </c>
      <c r="T38" s="484">
        <v>1.73881</v>
      </c>
      <c r="U38" s="462"/>
      <c r="V38" s="485"/>
      <c r="W38" s="9"/>
      <c r="X38" s="2"/>
      <c r="Y38" s="37"/>
      <c r="Z38" s="461" t="str">
        <f>Z20</f>
        <v>Median</v>
      </c>
      <c r="AA38" s="347"/>
      <c r="AB38" s="347"/>
      <c r="AC38" s="468">
        <f t="shared" ref="AC38:AP38" si="12">MEDIAN(AC28:AC34)</f>
        <v>0.14074</v>
      </c>
      <c r="AD38" s="484">
        <f t="shared" si="12"/>
        <v>1.0573999999999999</v>
      </c>
      <c r="AE38" s="468">
        <f t="shared" si="12"/>
        <v>2.2029999999999998E-2</v>
      </c>
      <c r="AF38" s="468">
        <f t="shared" si="12"/>
        <v>0.21877749021799892</v>
      </c>
      <c r="AG38" s="468">
        <f t="shared" si="12"/>
        <v>0.39946500000000001</v>
      </c>
      <c r="AH38" s="468">
        <f t="shared" si="12"/>
        <v>6.9584000000000007E-2</v>
      </c>
      <c r="AI38" s="466">
        <f t="shared" si="12"/>
        <v>68.750600000000006</v>
      </c>
      <c r="AJ38" s="466">
        <f t="shared" si="12"/>
        <v>1.7431299999999998</v>
      </c>
      <c r="AK38" s="466">
        <f t="shared" si="12"/>
        <v>159.45095000000001</v>
      </c>
      <c r="AL38" s="466">
        <f t="shared" si="12"/>
        <v>13.071339999999999</v>
      </c>
      <c r="AM38" s="466">
        <f t="shared" si="12"/>
        <v>10.496145</v>
      </c>
      <c r="AN38" s="466">
        <f t="shared" si="12"/>
        <v>10.13138</v>
      </c>
      <c r="AO38" s="484">
        <f t="shared" si="12"/>
        <v>0.78071000000000002</v>
      </c>
      <c r="AP38" s="484">
        <f t="shared" si="12"/>
        <v>1.21</v>
      </c>
      <c r="AQ38" s="462"/>
      <c r="AR38" s="485"/>
      <c r="AS38" s="2"/>
      <c r="AT38" s="2"/>
      <c r="AU38" s="37"/>
      <c r="AV38" s="461" t="str">
        <f>AV20</f>
        <v>Median</v>
      </c>
      <c r="AW38" s="347"/>
      <c r="AX38" s="347"/>
      <c r="AY38" s="468">
        <f t="shared" ref="AY38:BL38" si="13">MEDIAN(AY28:AY34)</f>
        <v>0.19653999999999999</v>
      </c>
      <c r="AZ38" s="484">
        <f t="shared" si="13"/>
        <v>1.0765100000000001</v>
      </c>
      <c r="BA38" s="468">
        <f t="shared" si="13"/>
        <v>1.5541000000000001E-2</v>
      </c>
      <c r="BB38" s="468">
        <f t="shared" si="13"/>
        <v>0.22662902487906014</v>
      </c>
      <c r="BC38" s="468">
        <f t="shared" si="13"/>
        <v>0.27636500000000003</v>
      </c>
      <c r="BD38" s="468">
        <f t="shared" si="13"/>
        <v>7.0619000000000001E-2</v>
      </c>
      <c r="BE38" s="466">
        <f t="shared" si="13"/>
        <v>60.462899999999998</v>
      </c>
      <c r="BF38" s="466">
        <f t="shared" si="13"/>
        <v>2.9363700000000001</v>
      </c>
      <c r="BG38" s="466">
        <f t="shared" si="13"/>
        <v>152.92699999999999</v>
      </c>
      <c r="BH38" s="466">
        <f t="shared" si="13"/>
        <v>15.353210000000001</v>
      </c>
      <c r="BI38" s="466">
        <f t="shared" si="13"/>
        <v>13.29931</v>
      </c>
      <c r="BJ38" s="466">
        <f t="shared" si="13"/>
        <v>12.929725000000001</v>
      </c>
      <c r="BK38" s="484">
        <f t="shared" si="13"/>
        <v>1.15815</v>
      </c>
      <c r="BL38" s="484">
        <f t="shared" si="13"/>
        <v>1.4676800000000001</v>
      </c>
      <c r="BM38" s="462"/>
      <c r="BN38" s="485"/>
    </row>
    <row r="39" spans="1:66" ht="13.5" customHeight="1">
      <c r="A39" s="2"/>
      <c r="B39" s="2"/>
      <c r="C39" s="37" t="s">
        <v>0</v>
      </c>
      <c r="D39" s="469" t="s">
        <v>162</v>
      </c>
      <c r="E39" s="470"/>
      <c r="F39" s="470"/>
      <c r="G39" s="472">
        <v>-2.0979999999999999</v>
      </c>
      <c r="H39" s="486">
        <v>1.20726</v>
      </c>
      <c r="I39" s="472">
        <v>1.6899999999999999E-4</v>
      </c>
      <c r="J39" s="472">
        <v>-0.16833247173986127</v>
      </c>
      <c r="K39" s="472">
        <v>-0.12806699999999999</v>
      </c>
      <c r="L39" s="472">
        <v>-5.2173999999999998E-2</v>
      </c>
      <c r="M39" s="474">
        <v>0.17744900000000002</v>
      </c>
      <c r="N39" s="474">
        <v>3.7913299999999999</v>
      </c>
      <c r="O39" s="474">
        <v>0.21573000000000001</v>
      </c>
      <c r="P39" s="474">
        <v>1.24556</v>
      </c>
      <c r="Q39" s="474">
        <v>1.15202</v>
      </c>
      <c r="R39" s="474">
        <v>0.10593</v>
      </c>
      <c r="S39" s="486">
        <v>0.86001000000000005</v>
      </c>
      <c r="T39" s="486">
        <v>0.91405999999999998</v>
      </c>
      <c r="U39" s="487"/>
      <c r="V39" s="488"/>
      <c r="W39" s="9"/>
      <c r="X39" s="2"/>
      <c r="Y39" s="37" t="s">
        <v>0</v>
      </c>
      <c r="Z39" s="469" t="str">
        <f>Z21</f>
        <v>Low</v>
      </c>
      <c r="AA39" s="470"/>
      <c r="AB39" s="470"/>
      <c r="AC39" s="476">
        <f t="shared" ref="AC39:AP39" si="14">MIN(AC28:AC34)</f>
        <v>0.14074</v>
      </c>
      <c r="AD39" s="486">
        <f t="shared" si="14"/>
        <v>0.97955999999999999</v>
      </c>
      <c r="AE39" s="476">
        <f t="shared" si="14"/>
        <v>0</v>
      </c>
      <c r="AF39" s="476">
        <f t="shared" si="14"/>
        <v>0.21877749021799892</v>
      </c>
      <c r="AG39" s="476">
        <f t="shared" si="14"/>
        <v>3.2482000000000004E-2</v>
      </c>
      <c r="AH39" s="476">
        <f t="shared" si="14"/>
        <v>-1.6131E-2</v>
      </c>
      <c r="AI39" s="474">
        <f t="shared" si="14"/>
        <v>31.401499999999999</v>
      </c>
      <c r="AJ39" s="474">
        <f t="shared" si="14"/>
        <v>1.2992999999999999</v>
      </c>
      <c r="AK39" s="474">
        <f t="shared" si="14"/>
        <v>45.775799999999997</v>
      </c>
      <c r="AL39" s="474">
        <f t="shared" si="14"/>
        <v>5.0696000000000003</v>
      </c>
      <c r="AM39" s="474">
        <f t="shared" si="14"/>
        <v>3.79474</v>
      </c>
      <c r="AN39" s="474">
        <f t="shared" si="14"/>
        <v>1.76491</v>
      </c>
      <c r="AO39" s="486">
        <f t="shared" si="14"/>
        <v>0.27742</v>
      </c>
      <c r="AP39" s="486">
        <f t="shared" si="14"/>
        <v>1.0979300000000001</v>
      </c>
      <c r="AQ39" s="487"/>
      <c r="AR39" s="488"/>
      <c r="AS39" s="2"/>
      <c r="AT39" s="2"/>
      <c r="AU39" s="37" t="s">
        <v>0</v>
      </c>
      <c r="AV39" s="469" t="str">
        <f>AV21</f>
        <v>Low</v>
      </c>
      <c r="AW39" s="470"/>
      <c r="AX39" s="470"/>
      <c r="AY39" s="476">
        <f t="shared" ref="AY39:BL39" si="15">MIN(AY28:AY34)</f>
        <v>0.19078499999999998</v>
      </c>
      <c r="AZ39" s="486">
        <f t="shared" si="15"/>
        <v>0.95801999999999998</v>
      </c>
      <c r="BA39" s="476">
        <f t="shared" si="15"/>
        <v>3.0159999999999996E-3</v>
      </c>
      <c r="BB39" s="476">
        <f t="shared" si="15"/>
        <v>6.2702786118550582E-2</v>
      </c>
      <c r="BC39" s="476">
        <f t="shared" si="15"/>
        <v>2.2750000000000001E-3</v>
      </c>
      <c r="BD39" s="476">
        <f t="shared" si="15"/>
        <v>2.2489999999999997E-3</v>
      </c>
      <c r="BE39" s="474">
        <f t="shared" si="15"/>
        <v>48.453000000000003</v>
      </c>
      <c r="BF39" s="474">
        <f t="shared" si="15"/>
        <v>1.9578</v>
      </c>
      <c r="BG39" s="474">
        <f t="shared" si="15"/>
        <v>93.997900000000001</v>
      </c>
      <c r="BH39" s="474">
        <f t="shared" si="15"/>
        <v>5.1042800000000002</v>
      </c>
      <c r="BI39" s="474">
        <f t="shared" si="15"/>
        <v>2.6646700000000001</v>
      </c>
      <c r="BJ39" s="474">
        <f t="shared" si="15"/>
        <v>6.5376899999999996</v>
      </c>
      <c r="BK39" s="486">
        <f t="shared" si="15"/>
        <v>0.27742</v>
      </c>
      <c r="BL39" s="486">
        <f t="shared" si="15"/>
        <v>0.71686000000000005</v>
      </c>
      <c r="BM39" s="487"/>
      <c r="BN39" s="488"/>
    </row>
    <row r="40" spans="1:66" ht="13.5" customHeight="1">
      <c r="A40" s="2"/>
      <c r="B40" s="2"/>
      <c r="C40" s="37"/>
      <c r="D40" s="9"/>
      <c r="E40" s="9"/>
      <c r="F40" s="9"/>
      <c r="G40" s="9"/>
      <c r="H40" s="9"/>
      <c r="I40" s="9"/>
      <c r="J40" s="9"/>
      <c r="K40" s="9"/>
      <c r="L40" s="9"/>
      <c r="M40" s="9"/>
      <c r="N40" s="9"/>
      <c r="O40" s="9"/>
      <c r="P40" s="9"/>
      <c r="Q40" s="9"/>
      <c r="R40" s="9"/>
      <c r="S40" s="9"/>
      <c r="T40" s="9"/>
      <c r="U40" s="9"/>
      <c r="V40" s="9"/>
      <c r="W40" s="9"/>
      <c r="X40" s="2"/>
      <c r="Y40" s="37"/>
      <c r="Z40" s="9"/>
      <c r="AA40" s="9"/>
      <c r="AB40" s="9"/>
      <c r="AC40" s="9"/>
      <c r="AD40" s="9"/>
      <c r="AE40" s="9"/>
      <c r="AF40" s="9"/>
      <c r="AG40" s="9"/>
      <c r="AH40" s="9"/>
      <c r="AI40" s="9"/>
      <c r="AJ40" s="9"/>
      <c r="AK40" s="9"/>
      <c r="AL40" s="9"/>
      <c r="AM40" s="9"/>
      <c r="AN40" s="9"/>
      <c r="AO40" s="9"/>
      <c r="AP40" s="9"/>
      <c r="AQ40" s="9"/>
      <c r="AR40" s="9"/>
      <c r="AS40" s="2"/>
      <c r="AT40" s="2"/>
      <c r="AU40" s="37"/>
      <c r="AV40" s="9"/>
      <c r="AW40" s="9"/>
      <c r="AX40" s="9"/>
      <c r="AY40" s="9"/>
      <c r="AZ40" s="9"/>
      <c r="BA40" s="9"/>
      <c r="BB40" s="9"/>
      <c r="BC40" s="9"/>
      <c r="BD40" s="9"/>
      <c r="BE40" s="9"/>
      <c r="BF40" s="9"/>
      <c r="BG40" s="9"/>
      <c r="BH40" s="9"/>
      <c r="BI40" s="9"/>
      <c r="BJ40" s="9"/>
      <c r="BK40" s="9"/>
      <c r="BL40" s="9"/>
      <c r="BM40" s="9"/>
      <c r="BN40" s="9"/>
    </row>
    <row r="41" spans="1:66" ht="13.5" customHeight="1">
      <c r="A41" s="2"/>
      <c r="B41" s="2"/>
      <c r="C41" s="37"/>
      <c r="D41" s="9"/>
      <c r="E41" s="9"/>
      <c r="F41" s="9"/>
      <c r="G41" s="9"/>
      <c r="H41" s="9"/>
      <c r="I41" s="9"/>
      <c r="J41" s="9"/>
      <c r="K41" s="9"/>
      <c r="L41" s="9"/>
      <c r="M41" s="9"/>
      <c r="N41" s="9"/>
      <c r="O41" s="9"/>
      <c r="P41" s="9"/>
      <c r="Q41" s="9"/>
      <c r="R41" s="9"/>
      <c r="S41" s="9"/>
      <c r="T41" s="9"/>
      <c r="U41" s="9"/>
      <c r="V41" s="9"/>
      <c r="W41" s="9"/>
      <c r="X41" s="2"/>
      <c r="Y41" s="37"/>
      <c r="Z41" s="9"/>
      <c r="AA41" s="9"/>
      <c r="AB41" s="9"/>
      <c r="AC41" s="9"/>
      <c r="AD41" s="9"/>
      <c r="AE41" s="9"/>
      <c r="AF41" s="9"/>
      <c r="AG41" s="9"/>
      <c r="AH41" s="9"/>
      <c r="AI41" s="9"/>
      <c r="AJ41" s="9"/>
      <c r="AK41" s="9"/>
      <c r="AL41" s="9"/>
      <c r="AM41" s="9"/>
      <c r="AN41" s="9"/>
      <c r="AO41" s="9"/>
      <c r="AP41" s="9"/>
      <c r="AQ41" s="9"/>
      <c r="AR41" s="9"/>
      <c r="AS41" s="2"/>
      <c r="AT41" s="2"/>
      <c r="AU41" s="37"/>
      <c r="AV41" s="9"/>
      <c r="AW41" s="9"/>
      <c r="AX41" s="9"/>
      <c r="AY41" s="9"/>
      <c r="AZ41" s="9"/>
      <c r="BA41" s="9"/>
      <c r="BB41" s="9"/>
      <c r="BC41" s="9"/>
      <c r="BD41" s="9"/>
      <c r="BE41" s="9"/>
      <c r="BF41" s="9"/>
      <c r="BG41" s="9"/>
      <c r="BH41" s="9"/>
      <c r="BI41" s="9"/>
      <c r="BJ41" s="9"/>
      <c r="BK41" s="9"/>
      <c r="BL41" s="9"/>
      <c r="BM41" s="9"/>
      <c r="BN41" s="9"/>
    </row>
    <row r="42" spans="1:66" ht="13.5" customHeight="1">
      <c r="A42" s="2"/>
      <c r="B42" s="2"/>
      <c r="C42" s="37"/>
      <c r="D42" s="489"/>
      <c r="E42" s="489"/>
      <c r="F42" s="489"/>
      <c r="G42" s="490"/>
      <c r="H42" s="491"/>
      <c r="I42" s="490"/>
      <c r="J42" s="490"/>
      <c r="K42" s="490"/>
      <c r="L42" s="490"/>
      <c r="M42" s="490"/>
      <c r="N42" s="492"/>
      <c r="O42" s="490"/>
      <c r="P42" s="492"/>
      <c r="Q42" s="493"/>
      <c r="R42" s="492"/>
      <c r="S42" s="489"/>
      <c r="T42" s="490"/>
      <c r="U42" s="491"/>
      <c r="V42" s="491"/>
      <c r="W42" s="489"/>
      <c r="X42" s="2"/>
      <c r="Y42" s="37"/>
      <c r="Z42" s="489"/>
      <c r="AA42" s="489"/>
      <c r="AB42" s="489"/>
      <c r="AC42" s="490"/>
      <c r="AD42" s="491"/>
      <c r="AE42" s="490"/>
      <c r="AF42" s="490"/>
      <c r="AG42" s="490"/>
      <c r="AH42" s="490"/>
      <c r="AI42" s="490"/>
      <c r="AJ42" s="492"/>
      <c r="AK42" s="490"/>
      <c r="AL42" s="492"/>
      <c r="AM42" s="493"/>
      <c r="AN42" s="492"/>
      <c r="AO42" s="489"/>
      <c r="AP42" s="490"/>
      <c r="AQ42" s="491"/>
      <c r="AR42" s="491"/>
      <c r="AS42" s="2"/>
      <c r="AT42" s="2"/>
      <c r="AU42" s="37"/>
      <c r="AV42" s="489"/>
      <c r="AW42" s="489"/>
      <c r="AX42" s="489"/>
      <c r="AY42" s="490"/>
      <c r="AZ42" s="491"/>
      <c r="BA42" s="490"/>
      <c r="BB42" s="490"/>
      <c r="BC42" s="490"/>
      <c r="BD42" s="490"/>
      <c r="BE42" s="490"/>
      <c r="BF42" s="492"/>
      <c r="BG42" s="490"/>
      <c r="BH42" s="492"/>
      <c r="BI42" s="493"/>
      <c r="BJ42" s="492"/>
      <c r="BK42" s="489"/>
      <c r="BL42" s="490"/>
      <c r="BM42" s="491"/>
      <c r="BN42" s="491"/>
    </row>
    <row r="43" spans="1:66" ht="13.5" hidden="1" customHeight="1" outlineLevel="1">
      <c r="A43" s="2"/>
      <c r="B43" s="2"/>
      <c r="C43" s="37" t="s">
        <v>516</v>
      </c>
      <c r="D43" s="9"/>
      <c r="E43" s="9"/>
      <c r="F43" s="9"/>
      <c r="G43" s="494"/>
      <c r="H43" s="64"/>
      <c r="I43" s="494"/>
      <c r="J43" s="494"/>
      <c r="K43" s="494"/>
      <c r="L43" s="494"/>
      <c r="M43" s="494"/>
      <c r="N43" s="450"/>
      <c r="O43" s="494"/>
      <c r="P43" s="450"/>
      <c r="Q43" s="447"/>
      <c r="R43" s="450"/>
      <c r="S43" s="9"/>
      <c r="T43" s="494"/>
      <c r="U43" s="64"/>
      <c r="V43" s="64"/>
      <c r="W43" s="9"/>
      <c r="X43" s="2"/>
      <c r="Y43" s="37" t="s">
        <v>516</v>
      </c>
      <c r="Z43" s="9"/>
      <c r="AA43" s="9"/>
      <c r="AB43" s="9"/>
      <c r="AC43" s="494"/>
      <c r="AD43" s="64"/>
      <c r="AE43" s="494"/>
      <c r="AF43" s="494"/>
      <c r="AG43" s="494"/>
      <c r="AH43" s="494"/>
      <c r="AI43" s="494"/>
      <c r="AJ43" s="450"/>
      <c r="AK43" s="494"/>
      <c r="AL43" s="450"/>
      <c r="AM43" s="447"/>
      <c r="AN43" s="450"/>
      <c r="AO43" s="9"/>
      <c r="AP43" s="494"/>
      <c r="AQ43" s="64"/>
      <c r="AR43" s="64"/>
      <c r="AS43" s="2"/>
      <c r="AT43" s="2"/>
      <c r="AU43" s="37" t="s">
        <v>516</v>
      </c>
      <c r="AV43" s="9"/>
      <c r="AW43" s="9"/>
      <c r="AX43" s="9"/>
      <c r="AY43" s="494"/>
      <c r="AZ43" s="64"/>
      <c r="BA43" s="494"/>
      <c r="BB43" s="494"/>
      <c r="BC43" s="494"/>
      <c r="BD43" s="494"/>
      <c r="BE43" s="494"/>
      <c r="BF43" s="450"/>
      <c r="BG43" s="494"/>
      <c r="BH43" s="450"/>
      <c r="BI43" s="447"/>
      <c r="BJ43" s="450"/>
      <c r="BK43" s="9"/>
      <c r="BL43" s="494"/>
      <c r="BM43" s="64"/>
      <c r="BN43" s="64"/>
    </row>
    <row r="44" spans="1:66" ht="13.5" hidden="1" customHeight="1" outlineLevel="1">
      <c r="A44" s="2"/>
      <c r="B44" s="37"/>
      <c r="C44" s="37"/>
      <c r="D44" s="495" t="s">
        <v>517</v>
      </c>
      <c r="E44" s="496"/>
      <c r="F44" s="9"/>
      <c r="G44" s="494"/>
      <c r="H44" s="64"/>
      <c r="I44" s="494"/>
      <c r="J44" s="494"/>
      <c r="K44" s="494"/>
      <c r="M44" s="494"/>
      <c r="N44" s="450"/>
      <c r="O44" s="494"/>
      <c r="P44" s="450"/>
      <c r="Q44" s="447"/>
      <c r="R44" s="450"/>
      <c r="S44" s="9"/>
      <c r="T44" s="494"/>
      <c r="U44" s="64"/>
      <c r="V44" s="64"/>
      <c r="W44" s="9"/>
      <c r="X44" s="2"/>
      <c r="Y44" s="37"/>
      <c r="AB44" s="9"/>
      <c r="AC44" s="494"/>
      <c r="AD44" s="64"/>
      <c r="AE44" s="494"/>
      <c r="AF44" s="494"/>
      <c r="AG44" s="494"/>
      <c r="AH44" s="494"/>
      <c r="AI44" s="494"/>
      <c r="AJ44" s="450"/>
      <c r="AK44" s="494"/>
      <c r="AL44" s="450"/>
      <c r="AM44" s="447"/>
      <c r="AN44" s="450"/>
      <c r="AO44" s="9"/>
      <c r="AP44" s="494"/>
      <c r="AQ44" s="64"/>
      <c r="AR44" s="64"/>
      <c r="AS44" s="2"/>
      <c r="AT44" s="2"/>
      <c r="AU44" s="37"/>
      <c r="AX44" s="9"/>
      <c r="AY44" s="494"/>
      <c r="AZ44" s="64"/>
      <c r="BA44" s="494"/>
      <c r="BB44" s="494"/>
      <c r="BC44" s="494"/>
      <c r="BD44" s="494"/>
      <c r="BE44" s="494"/>
      <c r="BF44" s="450"/>
      <c r="BG44" s="494"/>
      <c r="BH44" s="450"/>
      <c r="BI44" s="447"/>
      <c r="BJ44" s="450"/>
      <c r="BK44" s="9"/>
      <c r="BL44" s="494"/>
      <c r="BM44" s="64"/>
      <c r="BN44" s="64"/>
    </row>
    <row r="45" spans="1:66" ht="13.5" hidden="1" customHeight="1" outlineLevel="1">
      <c r="A45" s="2"/>
      <c r="D45" s="497"/>
      <c r="E45" s="497"/>
      <c r="F45" s="37"/>
      <c r="G45" s="139"/>
      <c r="H45" s="139"/>
      <c r="I45" s="139"/>
      <c r="J45" s="139"/>
      <c r="K45" s="139"/>
      <c r="M45" s="139"/>
      <c r="N45" s="139"/>
      <c r="O45" s="139"/>
      <c r="P45" s="139"/>
      <c r="Q45" s="139"/>
      <c r="R45" s="139"/>
      <c r="S45" s="37"/>
      <c r="T45" s="139"/>
      <c r="U45" s="139"/>
      <c r="V45" s="139"/>
      <c r="W45" s="9"/>
      <c r="X45" s="2"/>
      <c r="Y45" s="37"/>
      <c r="Z45" s="497"/>
      <c r="AA45" s="497"/>
      <c r="AB45" s="37"/>
      <c r="AC45" s="139"/>
      <c r="AD45" s="139"/>
      <c r="AE45" s="139"/>
      <c r="AF45" s="139"/>
      <c r="AG45" s="139"/>
      <c r="AH45" s="139"/>
      <c r="AI45" s="139"/>
      <c r="AJ45" s="139"/>
      <c r="AK45" s="139"/>
      <c r="AL45" s="139"/>
      <c r="AM45" s="139"/>
      <c r="AN45" s="139"/>
      <c r="AO45" s="37"/>
      <c r="AP45" s="139"/>
      <c r="AQ45" s="139"/>
      <c r="AR45" s="139"/>
      <c r="AS45" s="2"/>
      <c r="AT45" s="2"/>
      <c r="AU45" s="37"/>
      <c r="AV45" s="497"/>
      <c r="AW45" s="497"/>
      <c r="AX45" s="37"/>
      <c r="AY45" s="139"/>
      <c r="AZ45" s="139"/>
      <c r="BA45" s="139"/>
      <c r="BB45" s="139"/>
      <c r="BC45" s="139"/>
      <c r="BD45" s="139"/>
      <c r="BE45" s="139"/>
      <c r="BF45" s="139"/>
      <c r="BG45" s="139"/>
      <c r="BH45" s="139"/>
      <c r="BI45" s="139"/>
      <c r="BJ45" s="139"/>
      <c r="BK45" s="37"/>
      <c r="BL45" s="139"/>
      <c r="BM45" s="139"/>
      <c r="BN45" s="139"/>
    </row>
    <row r="46" spans="1:66" ht="13.5" hidden="1" customHeight="1" outlineLevel="1">
      <c r="A46" s="2"/>
      <c r="D46" s="1026" t="str">
        <f>D4</f>
        <v>Primary Peer Group</v>
      </c>
      <c r="E46" s="978"/>
      <c r="F46" s="978"/>
      <c r="G46" s="978"/>
      <c r="H46" s="978"/>
      <c r="I46" s="978"/>
      <c r="J46" s="978"/>
      <c r="K46" s="978"/>
      <c r="L46" s="978"/>
      <c r="M46" s="978"/>
      <c r="N46" s="978"/>
      <c r="O46" s="978"/>
      <c r="P46" s="978"/>
      <c r="Q46" s="978"/>
      <c r="R46" s="978"/>
      <c r="S46" s="978"/>
      <c r="T46" s="978"/>
      <c r="U46" s="978"/>
      <c r="V46" s="978"/>
      <c r="W46" s="9"/>
      <c r="X46" s="2"/>
      <c r="Y46" s="37"/>
      <c r="Z46" s="1026" t="str">
        <f>Z4</f>
        <v>Defense Peer Group</v>
      </c>
      <c r="AA46" s="978"/>
      <c r="AB46" s="978"/>
      <c r="AC46" s="978"/>
      <c r="AD46" s="978"/>
      <c r="AE46" s="978"/>
      <c r="AF46" s="978"/>
      <c r="AG46" s="978"/>
      <c r="AH46" s="978"/>
      <c r="AI46" s="978"/>
      <c r="AJ46" s="978"/>
      <c r="AK46" s="978"/>
      <c r="AL46" s="978"/>
      <c r="AM46" s="978"/>
      <c r="AN46" s="978"/>
      <c r="AO46" s="978"/>
      <c r="AP46" s="978"/>
      <c r="AQ46" s="978"/>
      <c r="AR46" s="978"/>
      <c r="AS46" s="2"/>
      <c r="AT46" s="2"/>
      <c r="AU46" s="37"/>
      <c r="AV46" s="1026" t="str">
        <f>AV4</f>
        <v>Cap. Goods Peer Group</v>
      </c>
      <c r="AW46" s="978"/>
      <c r="AX46" s="978"/>
      <c r="AY46" s="978"/>
      <c r="AZ46" s="978"/>
      <c r="BA46" s="978"/>
      <c r="BB46" s="978"/>
      <c r="BC46" s="978"/>
      <c r="BD46" s="978"/>
      <c r="BE46" s="978"/>
      <c r="BF46" s="978"/>
      <c r="BG46" s="978"/>
      <c r="BH46" s="978"/>
      <c r="BI46" s="978"/>
      <c r="BJ46" s="978"/>
      <c r="BK46" s="978"/>
      <c r="BL46" s="978"/>
      <c r="BM46" s="978"/>
      <c r="BN46" s="978"/>
    </row>
    <row r="47" spans="1:66" ht="13.5" hidden="1" customHeight="1" outlineLevel="1">
      <c r="A47" s="2"/>
      <c r="D47" s="64"/>
      <c r="E47" s="64"/>
      <c r="F47" s="9"/>
      <c r="G47" s="9"/>
      <c r="H47" s="9"/>
      <c r="I47" s="9"/>
      <c r="J47" s="9"/>
      <c r="K47" s="9"/>
      <c r="L47" s="9"/>
      <c r="M47" s="9"/>
      <c r="N47" s="9"/>
      <c r="O47" s="9"/>
      <c r="P47" s="9"/>
      <c r="Q47" s="1026" t="str">
        <f>Q6</f>
        <v xml:space="preserve">Enterprise Value / </v>
      </c>
      <c r="R47" s="978"/>
      <c r="S47" s="978"/>
      <c r="T47" s="139">
        <f>T6</f>
        <v>0</v>
      </c>
      <c r="U47" s="9"/>
      <c r="V47" s="9"/>
      <c r="W47" s="9"/>
      <c r="X47" s="2"/>
      <c r="Y47" s="37"/>
      <c r="Z47" s="64"/>
      <c r="AA47" s="64"/>
      <c r="AB47" s="9"/>
      <c r="AC47" s="9"/>
      <c r="AD47" s="9"/>
      <c r="AE47" s="9"/>
      <c r="AF47" s="9"/>
      <c r="AG47" s="9"/>
      <c r="AH47" s="9"/>
      <c r="AI47" s="9"/>
      <c r="AJ47" s="9"/>
      <c r="AK47" s="9"/>
      <c r="AL47" s="9"/>
      <c r="AM47" s="1026" t="str">
        <f>AM6</f>
        <v xml:space="preserve">Enterprise Value / </v>
      </c>
      <c r="AN47" s="978"/>
      <c r="AO47" s="978"/>
      <c r="AP47" s="139">
        <f>AP6</f>
        <v>0</v>
      </c>
      <c r="AQ47" s="9"/>
      <c r="AR47" s="9"/>
      <c r="AS47" s="2"/>
      <c r="AT47" s="2"/>
      <c r="AU47" s="37"/>
      <c r="AV47" s="64"/>
      <c r="AW47" s="64"/>
      <c r="AX47" s="9"/>
      <c r="AY47" s="9"/>
      <c r="AZ47" s="9"/>
      <c r="BA47" s="9"/>
      <c r="BB47" s="9"/>
      <c r="BC47" s="9"/>
      <c r="BD47" s="9"/>
      <c r="BE47" s="9"/>
      <c r="BF47" s="9"/>
      <c r="BG47" s="9"/>
      <c r="BH47" s="9"/>
      <c r="BI47" s="1026" t="str">
        <f>BI6</f>
        <v xml:space="preserve">Enterprise Value / </v>
      </c>
      <c r="BJ47" s="978"/>
      <c r="BK47" s="978"/>
      <c r="BL47" s="139">
        <f>BL6</f>
        <v>0</v>
      </c>
      <c r="BM47" s="9"/>
      <c r="BN47" s="9"/>
    </row>
    <row r="48" spans="1:66" ht="13.5" hidden="1" customHeight="1" outlineLevel="1">
      <c r="A48" s="2"/>
      <c r="D48" s="64"/>
      <c r="E48" s="64"/>
      <c r="F48" s="64"/>
      <c r="G48" s="64" t="str">
        <f t="shared" ref="G48:I49" si="16">G7</f>
        <v xml:space="preserve">Market </v>
      </c>
      <c r="H48" s="64" t="str">
        <f t="shared" si="16"/>
        <v>Enterprise</v>
      </c>
      <c r="I48" s="1026" t="str">
        <f t="shared" si="16"/>
        <v>Sales</v>
      </c>
      <c r="J48" s="978"/>
      <c r="K48" s="1026" t="str">
        <f>K7</f>
        <v>EPS</v>
      </c>
      <c r="L48" s="978"/>
      <c r="M48" s="1026" t="str">
        <f>M7</f>
        <v>EBITDA Margin</v>
      </c>
      <c r="N48" s="978"/>
      <c r="O48" s="1026" t="str">
        <f>O7</f>
        <v>Profit Margin</v>
      </c>
      <c r="P48" s="978"/>
      <c r="Q48" s="1026" t="str">
        <f>Q7</f>
        <v>EBITDA</v>
      </c>
      <c r="R48" s="978"/>
      <c r="S48" s="1026" t="str">
        <f>S7</f>
        <v>Sales</v>
      </c>
      <c r="T48" s="978"/>
      <c r="U48" s="1026" t="str">
        <f>U7</f>
        <v>Price / Earnings</v>
      </c>
      <c r="V48" s="978"/>
      <c r="W48" s="9"/>
      <c r="X48" s="2"/>
      <c r="Y48" s="37"/>
      <c r="Z48" s="64"/>
      <c r="AA48" s="64"/>
      <c r="AB48" s="64"/>
      <c r="AC48" s="64" t="str">
        <f t="shared" ref="AC48:AE49" si="17">AC7</f>
        <v xml:space="preserve">Market </v>
      </c>
      <c r="AD48" s="64" t="str">
        <f t="shared" si="17"/>
        <v>Enterprise</v>
      </c>
      <c r="AE48" s="1026" t="str">
        <f t="shared" si="17"/>
        <v>Sales</v>
      </c>
      <c r="AF48" s="978"/>
      <c r="AG48" s="1026" t="str">
        <f>AG7</f>
        <v>EPS</v>
      </c>
      <c r="AH48" s="978"/>
      <c r="AI48" s="1026" t="str">
        <f>AI7</f>
        <v>EBITDA Margin</v>
      </c>
      <c r="AJ48" s="978"/>
      <c r="AK48" s="1026" t="str">
        <f>AK7</f>
        <v>Profit Margin</v>
      </c>
      <c r="AL48" s="978"/>
      <c r="AM48" s="1026" t="str">
        <f>AM7</f>
        <v>EBITDA</v>
      </c>
      <c r="AN48" s="978"/>
      <c r="AO48" s="1026" t="str">
        <f>AO7</f>
        <v>Sales</v>
      </c>
      <c r="AP48" s="978"/>
      <c r="AQ48" s="1026" t="str">
        <f>AQ7</f>
        <v>Price / Earnings</v>
      </c>
      <c r="AR48" s="978"/>
      <c r="AS48" s="2"/>
      <c r="AT48" s="2"/>
      <c r="AU48" s="37"/>
      <c r="AV48" s="64"/>
      <c r="AW48" s="64"/>
      <c r="AX48" s="64"/>
      <c r="AY48" s="64" t="str">
        <f t="shared" ref="AY48:BA49" si="18">AY7</f>
        <v xml:space="preserve">Market </v>
      </c>
      <c r="AZ48" s="64" t="str">
        <f t="shared" si="18"/>
        <v>Enterprise</v>
      </c>
      <c r="BA48" s="1026" t="str">
        <f t="shared" si="18"/>
        <v>Sales</v>
      </c>
      <c r="BB48" s="978"/>
      <c r="BC48" s="1026" t="str">
        <f>BC7</f>
        <v>EPS</v>
      </c>
      <c r="BD48" s="978"/>
      <c r="BE48" s="1026" t="str">
        <f>BE7</f>
        <v>EBITDA Margin</v>
      </c>
      <c r="BF48" s="978"/>
      <c r="BG48" s="1026" t="str">
        <f>BG7</f>
        <v>Profit Margin</v>
      </c>
      <c r="BH48" s="978"/>
      <c r="BI48" s="1026" t="str">
        <f>BI7</f>
        <v>EBITDA</v>
      </c>
      <c r="BJ48" s="978"/>
      <c r="BK48" s="1026" t="str">
        <f>BK7</f>
        <v>Sales</v>
      </c>
      <c r="BL48" s="978"/>
      <c r="BM48" s="1026" t="str">
        <f>BM7</f>
        <v>Price / Earnings</v>
      </c>
      <c r="BN48" s="978"/>
    </row>
    <row r="49" spans="1:66" ht="13.5" hidden="1" customHeight="1" outlineLevel="1">
      <c r="A49" s="2"/>
      <c r="B49" s="37"/>
      <c r="C49" s="37"/>
      <c r="D49" s="103"/>
      <c r="E49" s="64"/>
      <c r="F49" s="437" t="str">
        <f>F8</f>
        <v>Ticker</v>
      </c>
      <c r="G49" s="437" t="str">
        <f t="shared" si="16"/>
        <v>Cap</v>
      </c>
      <c r="H49" s="437" t="str">
        <f t="shared" si="16"/>
        <v>Value</v>
      </c>
      <c r="I49" s="437" t="str">
        <f t="shared" si="16"/>
        <v>LTM</v>
      </c>
      <c r="J49" s="438">
        <f>J8</f>
        <v>46112</v>
      </c>
      <c r="K49" s="437" t="str">
        <f>K8</f>
        <v>LTM</v>
      </c>
      <c r="L49" s="438">
        <f>L8</f>
        <v>46112</v>
      </c>
      <c r="M49" s="437" t="str">
        <f>M8</f>
        <v>LTM</v>
      </c>
      <c r="N49" s="438">
        <f>N8</f>
        <v>46112</v>
      </c>
      <c r="O49" s="437" t="str">
        <f>O8</f>
        <v>LTM</v>
      </c>
      <c r="P49" s="438">
        <f>P8</f>
        <v>46112</v>
      </c>
      <c r="Q49" s="437" t="str">
        <f>Q8</f>
        <v>LTM</v>
      </c>
      <c r="R49" s="438">
        <f>R8</f>
        <v>46112</v>
      </c>
      <c r="S49" s="437" t="str">
        <f>S8</f>
        <v>LTM</v>
      </c>
      <c r="T49" s="438">
        <f>T8</f>
        <v>46112</v>
      </c>
      <c r="U49" s="437" t="str">
        <f>U8</f>
        <v>LTM</v>
      </c>
      <c r="V49" s="438">
        <f>V8</f>
        <v>46112</v>
      </c>
      <c r="W49" s="9"/>
      <c r="X49" s="2"/>
      <c r="Y49" s="37"/>
      <c r="Z49" s="103"/>
      <c r="AA49" s="64"/>
      <c r="AB49" s="437" t="str">
        <f>AB8</f>
        <v>Ticker</v>
      </c>
      <c r="AC49" s="437" t="str">
        <f t="shared" si="17"/>
        <v>Cap</v>
      </c>
      <c r="AD49" s="437" t="str">
        <f t="shared" si="17"/>
        <v>Value</v>
      </c>
      <c r="AE49" s="437" t="str">
        <f t="shared" si="17"/>
        <v>LTM</v>
      </c>
      <c r="AF49" s="438">
        <f>AF8</f>
        <v>46112</v>
      </c>
      <c r="AG49" s="437" t="str">
        <f>AG8</f>
        <v>LTM</v>
      </c>
      <c r="AH49" s="438">
        <f>AH8</f>
        <v>46112</v>
      </c>
      <c r="AI49" s="437" t="str">
        <f>AI8</f>
        <v>LTM</v>
      </c>
      <c r="AJ49" s="438">
        <f>AJ8</f>
        <v>46112</v>
      </c>
      <c r="AK49" s="437" t="str">
        <f>AK8</f>
        <v>LTM</v>
      </c>
      <c r="AL49" s="438">
        <f>AL8</f>
        <v>46112</v>
      </c>
      <c r="AM49" s="437" t="str">
        <f>AM8</f>
        <v>LTM</v>
      </c>
      <c r="AN49" s="438">
        <f>AN8</f>
        <v>46112</v>
      </c>
      <c r="AO49" s="437" t="str">
        <f>AO8</f>
        <v>LTM</v>
      </c>
      <c r="AP49" s="438">
        <f>AP8</f>
        <v>46112</v>
      </c>
      <c r="AQ49" s="437" t="str">
        <f>AQ8</f>
        <v>LTM</v>
      </c>
      <c r="AR49" s="438">
        <f>AR8</f>
        <v>46112</v>
      </c>
      <c r="AS49" s="2"/>
      <c r="AT49" s="2"/>
      <c r="AU49" s="37"/>
      <c r="AV49" s="103"/>
      <c r="AW49" s="64"/>
      <c r="AX49" s="437" t="str">
        <f>AX8</f>
        <v>Ticker</v>
      </c>
      <c r="AY49" s="437" t="str">
        <f t="shared" si="18"/>
        <v>Cap</v>
      </c>
      <c r="AZ49" s="437" t="str">
        <f t="shared" si="18"/>
        <v>Value</v>
      </c>
      <c r="BA49" s="437" t="str">
        <f t="shared" si="18"/>
        <v>LTM</v>
      </c>
      <c r="BB49" s="438">
        <f>BB8</f>
        <v>46112</v>
      </c>
      <c r="BC49" s="437" t="str">
        <f>BC8</f>
        <v>LTM</v>
      </c>
      <c r="BD49" s="438">
        <f>BD8</f>
        <v>46112</v>
      </c>
      <c r="BE49" s="437" t="str">
        <f>BE8</f>
        <v>LTM</v>
      </c>
      <c r="BF49" s="438">
        <f>BF8</f>
        <v>46112</v>
      </c>
      <c r="BG49" s="437" t="str">
        <f>BG8</f>
        <v>LTM</v>
      </c>
      <c r="BH49" s="438">
        <f>BH8</f>
        <v>46112</v>
      </c>
      <c r="BI49" s="437" t="str">
        <f>BI8</f>
        <v>LTM</v>
      </c>
      <c r="BJ49" s="438">
        <f>BJ8</f>
        <v>46112</v>
      </c>
      <c r="BK49" s="437" t="str">
        <f>BK8</f>
        <v>LTM</v>
      </c>
      <c r="BL49" s="438">
        <f>BL8</f>
        <v>46112</v>
      </c>
      <c r="BM49" s="437" t="str">
        <f>BM8</f>
        <v>LTM</v>
      </c>
      <c r="BN49" s="438">
        <f>BN8</f>
        <v>46112</v>
      </c>
    </row>
    <row r="50" spans="1:66" ht="4.5" hidden="1" customHeight="1" outlineLevel="1">
      <c r="A50" s="2"/>
      <c r="B50" s="37"/>
      <c r="C50" s="37"/>
      <c r="D50" s="64"/>
      <c r="E50" s="64"/>
      <c r="F50" s="64"/>
      <c r="G50" s="64"/>
      <c r="H50" s="64"/>
      <c r="I50" s="439"/>
      <c r="J50" s="64"/>
      <c r="K50" s="64"/>
      <c r="L50" s="64"/>
      <c r="M50" s="64"/>
      <c r="N50" s="64"/>
      <c r="O50" s="64"/>
      <c r="P50" s="64"/>
      <c r="Q50" s="64"/>
      <c r="R50" s="64"/>
      <c r="S50" s="64"/>
      <c r="T50" s="64"/>
      <c r="U50" s="64"/>
      <c r="V50" s="64"/>
      <c r="W50" s="9"/>
      <c r="X50" s="2"/>
      <c r="Y50" s="37"/>
      <c r="Z50" s="64"/>
      <c r="AA50" s="64"/>
      <c r="AB50" s="64"/>
      <c r="AC50" s="64"/>
      <c r="AD50" s="64"/>
      <c r="AE50" s="439"/>
      <c r="AF50" s="64"/>
      <c r="AG50" s="64"/>
      <c r="AH50" s="64"/>
      <c r="AI50" s="64"/>
      <c r="AJ50" s="64"/>
      <c r="AK50" s="64"/>
      <c r="AL50" s="64"/>
      <c r="AM50" s="64"/>
      <c r="AN50" s="64"/>
      <c r="AO50" s="64"/>
      <c r="AP50" s="64"/>
      <c r="AQ50" s="64"/>
      <c r="AR50" s="64"/>
      <c r="AS50" s="2"/>
      <c r="AT50" s="2"/>
      <c r="AU50" s="37"/>
      <c r="AV50" s="64"/>
      <c r="AW50" s="64"/>
      <c r="AX50" s="64"/>
      <c r="AY50" s="64"/>
      <c r="AZ50" s="64"/>
      <c r="BA50" s="439"/>
      <c r="BB50" s="64"/>
      <c r="BC50" s="64"/>
      <c r="BD50" s="64"/>
      <c r="BE50" s="64"/>
      <c r="BF50" s="64"/>
      <c r="BG50" s="64"/>
      <c r="BH50" s="64"/>
      <c r="BI50" s="64"/>
      <c r="BJ50" s="64"/>
      <c r="BK50" s="64"/>
      <c r="BL50" s="64"/>
      <c r="BM50" s="64"/>
      <c r="BN50" s="64"/>
    </row>
    <row r="51" spans="1:66" ht="13.5" hidden="1" customHeight="1" outlineLevel="1">
      <c r="A51" s="2"/>
      <c r="B51" s="498" t="str">
        <f>B69</f>
        <v>IQ780675</v>
      </c>
      <c r="C51" s="498"/>
      <c r="D51" s="499" t="e">
        <f ca="1">_xll.ciqfunctions.udf.CIQ($B51, "IQ_COMPANY_NAME",Current_Date)</f>
        <v>#NAME?</v>
      </c>
      <c r="E51" s="500"/>
      <c r="F51" s="501" t="str">
        <f>$E$87</f>
        <v>HLNE</v>
      </c>
      <c r="G51" s="502" t="e">
        <f ca="1">_xll.ciqfunctions.udf.CIQ($B51, "IQ_MARKETCAP",Current_Date)</f>
        <v>#NAME?</v>
      </c>
      <c r="H51" s="502" t="e">
        <f ca="1">_xll.ciqfunctions.udf.CIQ($B51, "IQ_TEV",Current_Date)</f>
        <v>#NAME?</v>
      </c>
      <c r="I51" s="503" t="e">
        <f ca="1">_xll.ciqfunctions.udf.CIQ($B51, "IQ_TOTAL_REV_1YR_ANN_GROWTH",IQ_LTM,Current_Date)/100</f>
        <v>#NAME?</v>
      </c>
      <c r="J51" s="503" t="e">
        <f ca="1">_xll.ciqfunctions.udf.CIQ($B51,"IQ_REVENUE_EST",IQ_FY+1)/(_xll.ciqfunctions.udf.CIQ($B51,"IQ_TOTAL_REV",IQ_FY))-1</f>
        <v>#NAME?</v>
      </c>
      <c r="K51" s="503" t="e">
        <f ca="1">_xll.ciqfunctions.udf.CIQ($B51, "IQ_EPS_1YR_ANN_GROWTH",IQ_LTM,Current_Date)/100</f>
        <v>#NAME?</v>
      </c>
      <c r="L51" s="503" t="e">
        <f ca="1">_xll.ciqfunctions.udf.CIQ($B51,"IQ_EPS_EST",IQ_FY+1)/(_xll.ciqfunctions.udf.CIQ($B51,"IQ_DILUT_EPS_INCL",IQ_FY))-1</f>
        <v>#NAME?</v>
      </c>
      <c r="M51" s="503" t="e">
        <f ca="1">_xll.ciqfunctions.udf.CIQ($B51, "IQ_EBITDA_MARGIN",IQ_LTM)/100</f>
        <v>#NAME?</v>
      </c>
      <c r="N51" s="503" t="e">
        <f ca="1">_xll.ciqfunctions.udf.CIQ($B51,"IQ_EBITDA_EST",IQ_FY+1)/(_xll.ciqfunctions.udf.CIQ($B51,"IQ_REVENUE_EST",IQ_FY+1))</f>
        <v>#NAME?</v>
      </c>
      <c r="O51" s="503" t="e">
        <f ca="1">_xll.ciqfunctions.udf.CIQ($B51, "IQ_NI_MARGIN",IQ_LTM)/100</f>
        <v>#NAME?</v>
      </c>
      <c r="P51" s="503" t="e">
        <f ca="1">_xll.ciqfunctions.udf.CIQ($B51,"IQ_NI_EST",IQ_FY+1)/(_xll.ciqfunctions.udf.CIQ($B51,"IQ_REVENUE_EST",IQ_FY+1))</f>
        <v>#NAME?</v>
      </c>
      <c r="Q51" s="504" t="e">
        <f ca="1">_xll.ciqfunctions.udf.CIQ($B51, "IQ_TEV_EBITDA",IQ_LTM)</f>
        <v>#NAME?</v>
      </c>
      <c r="R51" s="504" t="e">
        <f ca="1">_xll.ciqfunctions.udf.CIQ($B51, "IQ_TEV",Current_Date)/_xll.ciqfunctions.udf.CIQ($B51, "IQ_EBITDA_EST",IQ_FY+1)</f>
        <v>#NAME?</v>
      </c>
      <c r="S51" s="504" t="e">
        <f ca="1">_xll.ciqfunctions.udf.CIQ($B51, "IQ_TEV_TOTAL_REV",IQ_LTM)</f>
        <v>#NAME?</v>
      </c>
      <c r="T51" s="504" t="e">
        <f ca="1">_xll.ciqfunctions.udf.CIQ($B51, "IQ_TEV",Current_Date)/_xll.ciqfunctions.udf.CIQ($B51, "IQ_REVENUE_EST",IQ_FY+1)</f>
        <v>#NAME?</v>
      </c>
      <c r="U51" s="504" t="e">
        <f ca="1">_xll.ciqfunctions.udf.CIQ($B51, "IQ_PE_EXCL",IQ_LTM)</f>
        <v>#NAME?</v>
      </c>
      <c r="V51" s="504" t="e">
        <f ca="1">_xll.ciqfunctions.udf.CIQ($B51, "IQ_MARKETCAP",Current_Date)/_xll.ciqfunctions.udf.CIQ($B51, "IQ_NI_EST",IQ_FY+1)</f>
        <v>#NAME?</v>
      </c>
      <c r="W51" s="9"/>
      <c r="X51" s="498" t="str">
        <f>X69</f>
        <v>IQ780675</v>
      </c>
      <c r="Y51" s="37"/>
      <c r="Z51" s="499" t="str">
        <f>Company_Name</f>
        <v>Hamilton Lane Inc.</v>
      </c>
      <c r="AA51" s="500"/>
      <c r="AB51" s="501" t="str">
        <f>$E$87</f>
        <v>HLNE</v>
      </c>
      <c r="AC51" s="502" t="e">
        <f ca="1">_xll.ciqfunctions.udf.CIQ($X51, "IQ_MARKETCAP",Current_Date)</f>
        <v>#NAME?</v>
      </c>
      <c r="AD51" s="502" t="e">
        <f ca="1">_xll.ciqfunctions.udf.CIQ($X51, "IQ_TEV",Current_Date)</f>
        <v>#NAME?</v>
      </c>
      <c r="AE51" s="503" t="e">
        <f ca="1">_xll.ciqfunctions.udf.CIQ($X51, "IQ_TOTAL_REV_1YR_ANN_GROWTH",IQ_LTM,Current_Date)/100</f>
        <v>#NAME?</v>
      </c>
      <c r="AF51" s="503" t="e">
        <f ca="1">_xll.ciqfunctions.udf.CIQ($X51,"IQ_REVENUE_EST",IQ_FY+1)/(_xll.ciqfunctions.udf.CIQ($X51,"IQ_TOTAL_REV",IQ_FY))-1</f>
        <v>#NAME?</v>
      </c>
      <c r="AG51" s="503" t="e">
        <f ca="1">_xll.ciqfunctions.udf.CIQ($X51, "IQ_EPS_1YR_ANN_GROWTH",IQ_LTM,Current_Date)/100</f>
        <v>#NAME?</v>
      </c>
      <c r="AH51" s="503" t="e">
        <f ca="1">_xll.ciqfunctions.udf.CIQ($X51,"IQ_EPS_EST",IQ_FY+1)/(_xll.ciqfunctions.udf.CIQ($X51,"IQ_DILUT_EPS_INCL",IQ_FY))-1</f>
        <v>#NAME?</v>
      </c>
      <c r="AI51" s="503" t="e">
        <f ca="1">_xll.ciqfunctions.udf.CIQ($X51, "IQ_EBITDA_MARGIN",IQ_LTM)/100</f>
        <v>#NAME?</v>
      </c>
      <c r="AJ51" s="503" t="e">
        <f ca="1">_xll.ciqfunctions.udf.CIQ($X51,"IQ_EBITDA_EST",IQ_FY+1)/(_xll.ciqfunctions.udf.CIQ($X51,"IQ_REVENUE_EST",IQ_FY+1))</f>
        <v>#NAME?</v>
      </c>
      <c r="AK51" s="503" t="e">
        <f ca="1">_xll.ciqfunctions.udf.CIQ($X51, "IQ_NI_MARGIN",IQ_LTM)/100</f>
        <v>#NAME?</v>
      </c>
      <c r="AL51" s="503" t="e">
        <f ca="1">_xll.ciqfunctions.udf.CIQ($X51,"IQ_NI_EST",IQ_FY+1)/(_xll.ciqfunctions.udf.CIQ($X51,"IQ_REVENUE_EST",IQ_FY+1))</f>
        <v>#NAME?</v>
      </c>
      <c r="AM51" s="504" t="e">
        <f ca="1">_xll.ciqfunctions.udf.CIQ($X51, "IQ_TEV_EBITDA",IQ_LTM)</f>
        <v>#NAME?</v>
      </c>
      <c r="AN51" s="504" t="e">
        <f ca="1">_xll.ciqfunctions.udf.CIQ($X51, "IQ_TEV",Current_Date)/_xll.ciqfunctions.udf.CIQ($X51, "IQ_EBITDA_EST",IQ_FY+1)</f>
        <v>#NAME?</v>
      </c>
      <c r="AO51" s="504" t="e">
        <f ca="1">_xll.ciqfunctions.udf.CIQ($X51, "IQ_TEV_TOTAL_REV",IQ_LTM)</f>
        <v>#NAME?</v>
      </c>
      <c r="AP51" s="504" t="e">
        <f ca="1">_xll.ciqfunctions.udf.CIQ($X51, "IQ_TEV",Current_Date)/_xll.ciqfunctions.udf.CIQ($X51, "IQ_REVENUE_EST",IQ_FY+1)</f>
        <v>#NAME?</v>
      </c>
      <c r="AQ51" s="504" t="e">
        <f ca="1">_xll.ciqfunctions.udf.CIQ($X51, "IQ_PE_EXCL",IQ_LTM)</f>
        <v>#NAME?</v>
      </c>
      <c r="AR51" s="505" t="e">
        <f ca="1">_xll.ciqfunctions.udf.CIQ($X51, "IQ_MARKETCAP",Current_Date)/_xll.ciqfunctions.udf.CIQ($X51, "IQ_NI_EST",IQ_FY+1)</f>
        <v>#NAME?</v>
      </c>
      <c r="AS51" s="2"/>
      <c r="AT51" s="498" t="str">
        <f>AT69</f>
        <v>IQ780675</v>
      </c>
      <c r="AU51" s="37"/>
      <c r="AV51" s="499" t="str">
        <f>Company_Name</f>
        <v>Hamilton Lane Inc.</v>
      </c>
      <c r="AW51" s="500"/>
      <c r="AX51" s="501" t="str">
        <f>Ticker</f>
        <v>HLNE</v>
      </c>
      <c r="AY51" s="502" t="e">
        <f ca="1">_xll.ciqfunctions.udf.CIQ($AT51, "IQ_MARKETCAP",Current_Date)</f>
        <v>#NAME?</v>
      </c>
      <c r="AZ51" s="502" t="e">
        <f ca="1">_xll.ciqfunctions.udf.CIQ($AT51, "IQ_TEV",Current_Date)</f>
        <v>#NAME?</v>
      </c>
      <c r="BA51" s="503" t="e">
        <f ca="1">_xll.ciqfunctions.udf.CIQ($AT51, "IQ_TOTAL_REV_1YR_ANN_GROWTH",IQ_LTM,Current_Date)/100</f>
        <v>#NAME?</v>
      </c>
      <c r="BB51" s="503" t="e">
        <f ca="1">_xll.ciqfunctions.udf.CIQ($AT51,"IQ_REVENUE_EST",IQ_FY+1)/(_xll.ciqfunctions.udf.CIQ($AT51,"IQ_TOTAL_REV",IQ_FY))-1</f>
        <v>#NAME?</v>
      </c>
      <c r="BC51" s="503" t="e">
        <f ca="1">_xll.ciqfunctions.udf.CIQ($AT51, "IQ_EPS_1YR_ANN_GROWTH",IQ_LTM,Current_Date)/100</f>
        <v>#NAME?</v>
      </c>
      <c r="BD51" s="503" t="e">
        <f ca="1">_xll.ciqfunctions.udf.CIQ($AT51,"IQ_EPS_EST",IQ_FY+1)/(_xll.ciqfunctions.udf.CIQ($AT51,"IQ_DILUT_EPS_INCL",IQ_FY))-1</f>
        <v>#NAME?</v>
      </c>
      <c r="BE51" s="503" t="e">
        <f ca="1">_xll.ciqfunctions.udf.CIQ($AT51, "IQ_EBITDA_MARGIN",IQ_LTM)/100</f>
        <v>#NAME?</v>
      </c>
      <c r="BF51" s="503" t="e">
        <f ca="1">_xll.ciqfunctions.udf.CIQ($AT51,"IQ_EBITDA_EST",IQ_FY+1)/(_xll.ciqfunctions.udf.CIQ($AT51,"IQ_REVENUE_EST",IQ_FY+1))</f>
        <v>#NAME?</v>
      </c>
      <c r="BG51" s="503" t="e">
        <f ca="1">_xll.ciqfunctions.udf.CIQ($AT51, "IQ_NI_MARGIN",IQ_LTM)/100</f>
        <v>#NAME?</v>
      </c>
      <c r="BH51" s="503" t="e">
        <f ca="1">_xll.ciqfunctions.udf.CIQ($AT51,"IQ_NI_EST",IQ_FY+1)/(_xll.ciqfunctions.udf.CIQ($AT51,"IQ_REVENUE_EST",IQ_FY+1))</f>
        <v>#NAME?</v>
      </c>
      <c r="BI51" s="504" t="e">
        <f ca="1">_xll.ciqfunctions.udf.CIQ($AT51, "IQ_TEV_EBITDA",IQ_LTM)</f>
        <v>#NAME?</v>
      </c>
      <c r="BJ51" s="504" t="e">
        <f ca="1">_xll.ciqfunctions.udf.CIQ($AT51, "IQ_TEV",Current_Date)/_xll.ciqfunctions.udf.CIQ($AT51, "IQ_EBITDA_EST",IQ_FY+1)</f>
        <v>#NAME?</v>
      </c>
      <c r="BK51" s="504" t="e">
        <f ca="1">_xll.ciqfunctions.udf.CIQ($AT51, "IQ_TEV_TOTAL_REV",IQ_LTM)</f>
        <v>#NAME?</v>
      </c>
      <c r="BL51" s="504" t="e">
        <f ca="1">_xll.ciqfunctions.udf.CIQ($AT51, "IQ_TEV",Current_Date)/_xll.ciqfunctions.udf.CIQ($AT51, "IQ_REVENUE_EST",IQ_FY+1)</f>
        <v>#NAME?</v>
      </c>
      <c r="BM51" s="504" t="e">
        <f ca="1">_xll.ciqfunctions.udf.CIQ($AT51, "IQ_PE_EXCL",IQ_LTM)</f>
        <v>#NAME?</v>
      </c>
      <c r="BN51" s="505" t="e">
        <f ca="1">_xll.ciqfunctions.udf.CIQ($AT51, "IQ_MARKETCAP",Current_Date)/_xll.ciqfunctions.udf.CIQ($AT51, "IQ_NI_EST",IQ_FY+1)</f>
        <v>#NAME?</v>
      </c>
    </row>
    <row r="52" spans="1:66" ht="13.5" hidden="1" customHeight="1" outlineLevel="1">
      <c r="A52" s="2"/>
      <c r="B52" s="498"/>
      <c r="C52" s="498"/>
      <c r="D52" s="9"/>
      <c r="E52" s="9"/>
      <c r="F52" s="64"/>
      <c r="G52" s="64"/>
      <c r="H52" s="64"/>
      <c r="I52" s="439"/>
      <c r="J52" s="439"/>
      <c r="K52" s="439"/>
      <c r="L52" s="439"/>
      <c r="M52" s="439"/>
      <c r="N52" s="439"/>
      <c r="O52" s="494"/>
      <c r="P52" s="494"/>
      <c r="Q52" s="447"/>
      <c r="R52" s="447"/>
      <c r="S52" s="64"/>
      <c r="T52" s="64"/>
      <c r="U52" s="64"/>
      <c r="V52" s="64"/>
      <c r="W52" s="9"/>
      <c r="X52" s="498"/>
      <c r="Y52" s="37"/>
      <c r="Z52" s="9"/>
      <c r="AA52" s="9"/>
      <c r="AB52" s="64"/>
      <c r="AC52" s="445"/>
      <c r="AD52" s="64"/>
      <c r="AE52" s="439"/>
      <c r="AF52" s="506"/>
      <c r="AG52" s="439"/>
      <c r="AH52" s="439"/>
      <c r="AI52" s="494"/>
      <c r="AJ52" s="494"/>
      <c r="AK52" s="494"/>
      <c r="AL52" s="494"/>
      <c r="AM52" s="447"/>
      <c r="AN52" s="447"/>
      <c r="AO52" s="64"/>
      <c r="AP52" s="64"/>
      <c r="AQ52" s="64"/>
      <c r="AR52" s="64"/>
      <c r="AS52" s="2"/>
      <c r="AT52" s="498"/>
      <c r="AU52" s="37"/>
      <c r="AV52" s="9"/>
      <c r="AW52" s="9"/>
      <c r="AX52" s="64"/>
      <c r="AY52" s="445"/>
      <c r="AZ52" s="64"/>
      <c r="BA52" s="439"/>
      <c r="BB52" s="506"/>
      <c r="BC52" s="439"/>
      <c r="BD52" s="439"/>
      <c r="BE52" s="494"/>
      <c r="BF52" s="494"/>
      <c r="BG52" s="494"/>
      <c r="BH52" s="494"/>
      <c r="BI52" s="447"/>
      <c r="BJ52" s="447"/>
      <c r="BK52" s="64"/>
      <c r="BL52" s="64"/>
      <c r="BM52" s="64"/>
      <c r="BN52" s="64"/>
    </row>
    <row r="53" spans="1:66" ht="13.5" hidden="1" customHeight="1" outlineLevel="1">
      <c r="A53" s="2"/>
      <c r="B53" s="498" t="str">
        <f>B71</f>
        <v>IQ34231914</v>
      </c>
      <c r="C53" s="498"/>
      <c r="D53" s="9" t="e">
        <f ca="1">_xll.ciqfunctions.udf.CIQ($B53, "IQ_COMPANY_NAME",Current_Date)</f>
        <v>#NAME?</v>
      </c>
      <c r="E53" s="9"/>
      <c r="F53" s="64" t="str">
        <f>F71</f>
        <v>STEP</v>
      </c>
      <c r="G53" s="448" t="e">
        <f ca="1">_xll.ciqfunctions.udf.CIQ($B53, "IQ_MARKETCAP",Current_Date)</f>
        <v>#NAME?</v>
      </c>
      <c r="H53" s="448" t="e">
        <f ca="1">_xll.ciqfunctions.udf.CIQ($B53, "IQ_TEV",Current_Date)</f>
        <v>#NAME?</v>
      </c>
      <c r="I53" s="446" t="e">
        <f ca="1">_xll.ciqfunctions.udf.CIQ($B53, "IQ_TOTAL_REV_1YR_ANN_GROWTH",IQ_LTM,Current_Date)/100</f>
        <v>#NAME?</v>
      </c>
      <c r="J53" s="446" t="e">
        <f ca="1">_xll.ciqfunctions.udf.CIQ($B53,"IQ_REVENUE_EST",IQ_FY+1)/(_xll.ciqfunctions.udf.CIQ($B53,"IQ_TOTAL_REV",IQ_FY))-1</f>
        <v>#NAME?</v>
      </c>
      <c r="K53" s="446">
        <v>-3.77</v>
      </c>
      <c r="L53" s="446" t="e">
        <f ca="1">_xll.ciqfunctions.udf.CIQ($B53,"IQ_EPS_EST",IQ_FY+1)/(_xll.ciqfunctions.udf.CIQ($B53,"IQ_DILUT_EPS_INCL",IQ_FY))-1</f>
        <v>#NAME?</v>
      </c>
      <c r="M53" s="446" t="e">
        <f ca="1">_xll.ciqfunctions.udf.CIQ($B53, "IQ_EBITDA_MARGIN",IQ_LTM)/100</f>
        <v>#NAME?</v>
      </c>
      <c r="N53" s="446" t="e">
        <f ca="1">_xll.ciqfunctions.udf.CIQ($B53,"IQ_EBITDA_EST",IQ_FY+1)/(_xll.ciqfunctions.udf.CIQ($B53,"IQ_REVENUE_EST",IQ_FY+1))</f>
        <v>#NAME?</v>
      </c>
      <c r="O53" s="446" t="e">
        <f ca="1">_xll.ciqfunctions.udf.CIQ($B53, "IQ_NI_MARGIN",IQ_LTM)/100</f>
        <v>#NAME?</v>
      </c>
      <c r="P53" s="446" t="e">
        <f ca="1">_xll.ciqfunctions.udf.CIQ($B53,"IQ_NI_EST",IQ_FY+1)/(_xll.ciqfunctions.udf.CIQ($B53,"IQ_REVENUE_EST",IQ_FY+1))</f>
        <v>#NAME?</v>
      </c>
      <c r="Q53" s="450" t="e">
        <f ca="1">_xll.ciqfunctions.udf.CIQ($B53, "IQ_TEV_EBITDA",IQ_LTM)</f>
        <v>#NAME?</v>
      </c>
      <c r="R53" s="450" t="e">
        <f ca="1">_xll.ciqfunctions.udf.CIQ($B53, "IQ_TEV",Current_Date)/_xll.ciqfunctions.udf.CIQ($B53, "IQ_EBITDA_EST",IQ_FY+1)</f>
        <v>#NAME?</v>
      </c>
      <c r="S53" s="450" t="e">
        <f ca="1">_xll.ciqfunctions.udf.CIQ($B53, "IQ_TEV_TOTAL_REV",IQ_LTM)</f>
        <v>#NAME?</v>
      </c>
      <c r="T53" s="450" t="e">
        <f ca="1">_xll.ciqfunctions.udf.CIQ($B53, "IQ_TEV",Current_Date)/_xll.ciqfunctions.udf.CIQ($B53, "IQ_REVENUE_EST",IQ_FY+1)</f>
        <v>#NAME?</v>
      </c>
      <c r="U53" s="450" t="e">
        <f ca="1">_xll.ciqfunctions.udf.CIQ($B53, "IQ_PE_EXCL",IQ_LTM)</f>
        <v>#NAME?</v>
      </c>
      <c r="V53" s="450" t="e">
        <f ca="1">_xll.ciqfunctions.udf.CIQ($B53, "IQ_MARKETCAP",Current_Date)/_xll.ciqfunctions.udf.CIQ($B53, "IQ_NI_EST",IQ_FY+1)</f>
        <v>#NAME?</v>
      </c>
      <c r="W53" s="9"/>
      <c r="X53" s="498" t="str">
        <f>X71</f>
        <v>IQ159230</v>
      </c>
      <c r="Y53" s="37"/>
      <c r="Z53" s="9" t="e">
        <f ca="1">_xll.ciqfunctions.udf.CIQ($X53, "IQ_COMPANY_NAME",Current_Date)</f>
        <v>#NAME?</v>
      </c>
      <c r="AA53" s="9"/>
      <c r="AB53" s="64" t="str">
        <f>AB71</f>
        <v>RTX</v>
      </c>
      <c r="AC53" s="448" t="e">
        <f ca="1">_xll.ciqfunctions.udf.CIQ($X53, "IQ_MARKETCAP",Current_Date)</f>
        <v>#NAME?</v>
      </c>
      <c r="AD53" s="448" t="e">
        <f ca="1">_xll.ciqfunctions.udf.CIQ($X53, "IQ_TEV",Current_Date)</f>
        <v>#NAME?</v>
      </c>
      <c r="AE53" s="446" t="e">
        <f ca="1">_xll.ciqfunctions.udf.CIQ($X53, "IQ_TOTAL_REV_1YR_ANN_GROWTH",IQ_LTM,Current_Date)/100</f>
        <v>#NAME?</v>
      </c>
      <c r="AF53" s="446" t="e">
        <f ca="1">_xll.ciqfunctions.udf.CIQ($X53,"IQ_REVENUE_EST",IQ_FY+1)/(_xll.ciqfunctions.udf.CIQ($X53,"IQ_TOTAL_REV",IQ_FY))-1</f>
        <v>#NAME?</v>
      </c>
      <c r="AG53" s="446" t="e">
        <f ca="1">_xll.ciqfunctions.udf.CIQ($X53, "IQ_EPS_1YR_ANN_GROWTH",IQ_LTM,Current_Date)/100</f>
        <v>#NAME?</v>
      </c>
      <c r="AH53" s="446" t="e">
        <f ca="1">_xll.ciqfunctions.udf.CIQ($X53,"IQ_EPS_EST",IQ_FY+1)/(_xll.ciqfunctions.udf.CIQ($X53,"IQ_DILUT_EPS_INCL",IQ_FY))-1</f>
        <v>#NAME?</v>
      </c>
      <c r="AI53" s="446" t="e">
        <f ca="1">_xll.ciqfunctions.udf.CIQ($X53, "IQ_EBITDA_MARGIN",IQ_LTM)/100</f>
        <v>#NAME?</v>
      </c>
      <c r="AJ53" s="446" t="e">
        <f ca="1">_xll.ciqfunctions.udf.CIQ($X53,"IQ_EBITDA_EST",IQ_FY+1)/(_xll.ciqfunctions.udf.CIQ($X53,"IQ_REVENUE_EST",IQ_FY+1))</f>
        <v>#NAME?</v>
      </c>
      <c r="AK53" s="446" t="e">
        <f ca="1">_xll.ciqfunctions.udf.CIQ($X53, "IQ_NI_MARGIN",IQ_LTM)/100</f>
        <v>#NAME?</v>
      </c>
      <c r="AL53" s="446" t="e">
        <f ca="1">_xll.ciqfunctions.udf.CIQ($X53,"IQ_NI_EST",IQ_FY+1)/(_xll.ciqfunctions.udf.CIQ($X53,"IQ_REVENUE_EST",IQ_FY+1))</f>
        <v>#NAME?</v>
      </c>
      <c r="AM53" s="450" t="e">
        <f ca="1">_xll.ciqfunctions.udf.CIQ($X53, "IQ_TEV_EBITDA",IQ_LTM)</f>
        <v>#NAME?</v>
      </c>
      <c r="AN53" s="450" t="e">
        <f ca="1">_xll.ciqfunctions.udf.CIQ($X53, "IQ_TEV",Current_Date)/_xll.ciqfunctions.udf.CIQ($X53, "IQ_EBITDA_EST",IQ_FY+1)</f>
        <v>#NAME?</v>
      </c>
      <c r="AO53" s="450" t="e">
        <f ca="1">_xll.ciqfunctions.udf.CIQ($X53, "IQ_TEV_TOTAL_REV",IQ_LTM)</f>
        <v>#NAME?</v>
      </c>
      <c r="AP53" s="450" t="e">
        <f ca="1">_xll.ciqfunctions.udf.CIQ($X53, "IQ_TEV",Current_Date)/_xll.ciqfunctions.udf.CIQ($X53, "IQ_REVENUE_EST",IQ_FY+1)</f>
        <v>#NAME?</v>
      </c>
      <c r="AQ53" s="450" t="e">
        <f ca="1">_xll.ciqfunctions.udf.CIQ($X53, "IQ_PE_EXCL",IQ_LTM)</f>
        <v>#NAME?</v>
      </c>
      <c r="AR53" s="450" t="e">
        <f ca="1">_xll.ciqfunctions.udf.CIQ($X53, "IQ_MARKETCAP",Current_Date)/_xll.ciqfunctions.udf.CIQ($X53, "IQ_NI_EST",IQ_FY+1)</f>
        <v>#NAME?</v>
      </c>
      <c r="AS53" s="2"/>
      <c r="AT53" s="498" t="str">
        <f>AT71</f>
        <v>IQ289194</v>
      </c>
      <c r="AU53" s="37"/>
      <c r="AV53" s="9" t="e">
        <f ca="1">_xll.ciqfunctions.udf.CIQ($AT53, "IQ_COMPANY_NAME",Current_Date)</f>
        <v>#NAME?</v>
      </c>
      <c r="AW53" s="9"/>
      <c r="AX53" s="64" t="str">
        <f>N91</f>
        <v>MMM</v>
      </c>
      <c r="AY53" s="448" t="e">
        <f ca="1">_xll.ciqfunctions.udf.CIQ($AT53, "IQ_MARKETCAP",Current_Date)</f>
        <v>#NAME?</v>
      </c>
      <c r="AZ53" s="448" t="e">
        <f ca="1">_xll.ciqfunctions.udf.CIQ($AT53, "IQ_TEV",Current_Date)</f>
        <v>#NAME?</v>
      </c>
      <c r="BA53" s="446" t="e">
        <f ca="1">_xll.ciqfunctions.udf.CIQ($AT53, "IQ_TOTAL_REV_1YR_ANN_GROWTH",IQ_LTM,Current_Date)/100</f>
        <v>#NAME?</v>
      </c>
      <c r="BB53" s="446" t="e">
        <f ca="1">_xll.ciqfunctions.udf.CIQ($AT53,"IQ_REVENUE_EST",IQ_FY+1)/(_xll.ciqfunctions.udf.CIQ($AT53,"IQ_TOTAL_REV",IQ_FY))-1</f>
        <v>#NAME?</v>
      </c>
      <c r="BC53" s="446" t="e">
        <f ca="1">_xll.ciqfunctions.udf.CIQ($AT53, "IQ_EPS_1YR_ANN_GROWTH",IQ_LTM,Current_Date)/100</f>
        <v>#NAME?</v>
      </c>
      <c r="BD53" s="446" t="e">
        <f ca="1">_xll.ciqfunctions.udf.CIQ($AT53,"IQ_EPS_EST",IQ_FY+1)/(_xll.ciqfunctions.udf.CIQ($AT53,"IQ_DILUT_EPS_INCL",IQ_FY))-1</f>
        <v>#NAME?</v>
      </c>
      <c r="BE53" s="446" t="e">
        <f ca="1">_xll.ciqfunctions.udf.CIQ($AT53, "IQ_EBITDA_MARGIN",IQ_LTM)/100</f>
        <v>#NAME?</v>
      </c>
      <c r="BF53" s="446" t="e">
        <f ca="1">_xll.ciqfunctions.udf.CIQ($AT53,"IQ_EBITDA_EST",IQ_FY+1)/(_xll.ciqfunctions.udf.CIQ($AT53,"IQ_REVENUE_EST",IQ_FY+1))</f>
        <v>#NAME?</v>
      </c>
      <c r="BG53" s="446" t="e">
        <f ca="1">_xll.ciqfunctions.udf.CIQ($AT53, "IQ_NI_MARGIN",IQ_LTM)/100</f>
        <v>#NAME?</v>
      </c>
      <c r="BH53" s="446" t="e">
        <f ca="1">_xll.ciqfunctions.udf.CIQ($AT53,"IQ_NI_EST",IQ_FY+1)/(_xll.ciqfunctions.udf.CIQ($AT53,"IQ_REVENUE_EST",IQ_FY+1))</f>
        <v>#NAME?</v>
      </c>
      <c r="BI53" s="450" t="e">
        <f ca="1">_xll.ciqfunctions.udf.CIQ($AT53, "IQ_TEV_EBITDA",IQ_LTM)</f>
        <v>#NAME?</v>
      </c>
      <c r="BJ53" s="450" t="e">
        <f ca="1">_xll.ciqfunctions.udf.CIQ($AT53, "IQ_TEV",Current_Date)/_xll.ciqfunctions.udf.CIQ($AT53, "IQ_EBITDA_EST",IQ_FY+1)</f>
        <v>#NAME?</v>
      </c>
      <c r="BK53" s="450" t="e">
        <f ca="1">_xll.ciqfunctions.udf.CIQ($AT53, "IQ_TEV_TOTAL_REV",IQ_LTM)</f>
        <v>#NAME?</v>
      </c>
      <c r="BL53" s="450" t="e">
        <f ca="1">_xll.ciqfunctions.udf.CIQ($AT53, "IQ_TEV",Current_Date)/_xll.ciqfunctions.udf.CIQ($AT53, "IQ_REVENUE_EST",IQ_FY+1)</f>
        <v>#NAME?</v>
      </c>
      <c r="BM53" s="450" t="e">
        <f ca="1">_xll.ciqfunctions.udf.CIQ($AT53, "IQ_PE_EXCL",IQ_LTM)</f>
        <v>#NAME?</v>
      </c>
      <c r="BN53" s="450" t="e">
        <f ca="1">_xll.ciqfunctions.udf.CIQ($AT53, "IQ_MARKETCAP",Current_Date)/_xll.ciqfunctions.udf.CIQ($AT53, "IQ_NI_EST",IQ_FY+1)</f>
        <v>#NAME?</v>
      </c>
    </row>
    <row r="54" spans="1:66" ht="13.5" hidden="1" customHeight="1" outlineLevel="1">
      <c r="A54" s="2"/>
      <c r="B54" s="498" t="str">
        <f>B72</f>
        <v>IQ44707236</v>
      </c>
      <c r="C54" s="498"/>
      <c r="D54" s="9" t="e">
        <f ca="1">_xll.ciqfunctions.udf.CIQ($B54, "IQ_COMPANY_NAME",Current_Date)</f>
        <v>#NAME?</v>
      </c>
      <c r="E54" s="9"/>
      <c r="F54" s="64" t="str">
        <f>F72</f>
        <v>ARES</v>
      </c>
      <c r="G54" s="448" t="e">
        <f ca="1">_xll.ciqfunctions.udf.CIQ($B54, "IQ_MARKETCAP",Current_Date)</f>
        <v>#NAME?</v>
      </c>
      <c r="H54" s="448" t="e">
        <f ca="1">_xll.ciqfunctions.udf.CIQ($B54, "IQ_TEV",Current_Date)</f>
        <v>#NAME?</v>
      </c>
      <c r="I54" s="446" t="e">
        <f ca="1">_xll.ciqfunctions.udf.CIQ($B54, "IQ_TOTAL_REV_1YR_ANN_GROWTH",IQ_LTM,Current_Date)/100</f>
        <v>#NAME?</v>
      </c>
      <c r="J54" s="446" t="e">
        <f ca="1">_xll.ciqfunctions.udf.CIQ($B54,"IQ_REVENUE_EST",IQ_FY+1)/(_xll.ciqfunctions.udf.CIQ($B54,"IQ_TOTAL_REV",IQ_FY))-1</f>
        <v>#NAME?</v>
      </c>
      <c r="K54" s="446" t="e">
        <f ca="1">_xll.ciqfunctions.udf.CIQ($B54, "IQ_EPS_1YR_ANN_GROWTH",IQ_LTM,Current_Date)/100</f>
        <v>#NAME?</v>
      </c>
      <c r="L54" s="446" t="e">
        <f ca="1">_xll.ciqfunctions.udf.CIQ($B54,"IQ_EPS_EST",IQ_FY+1)/(_xll.ciqfunctions.udf.CIQ($B54,"IQ_DILUT_EPS_INCL",IQ_FY))-1</f>
        <v>#NAME?</v>
      </c>
      <c r="M54" s="446" t="e">
        <f ca="1">_xll.ciqfunctions.udf.CIQ($B54, "IQ_EBITDA_MARGIN",IQ_LTM)/100</f>
        <v>#NAME?</v>
      </c>
      <c r="N54" s="446" t="e">
        <f ca="1">_xll.ciqfunctions.udf.CIQ($B54,"IQ_EBITDA_EST",IQ_FY+1)/(_xll.ciqfunctions.udf.CIQ($B54,"IQ_REVENUE_EST",IQ_FY+1))</f>
        <v>#NAME?</v>
      </c>
      <c r="O54" s="446" t="e">
        <f ca="1">_xll.ciqfunctions.udf.CIQ($B54, "IQ_NI_MARGIN",IQ_LTM)/100</f>
        <v>#NAME?</v>
      </c>
      <c r="P54" s="446" t="e">
        <f ca="1">_xll.ciqfunctions.udf.CIQ($B54,"IQ_NI_EST",IQ_FY+1)/(_xll.ciqfunctions.udf.CIQ($B54,"IQ_REVENUE_EST",IQ_FY+1))</f>
        <v>#NAME?</v>
      </c>
      <c r="Q54" s="450" t="e">
        <f ca="1">_xll.ciqfunctions.udf.CIQ($B54, "IQ_TEV_EBITDA",IQ_LTM)</f>
        <v>#NAME?</v>
      </c>
      <c r="R54" s="450" t="e">
        <f ca="1">_xll.ciqfunctions.udf.CIQ($B54, "IQ_TEV",Current_Date)/_xll.ciqfunctions.udf.CIQ($B54, "IQ_EBITDA_EST",IQ_FY+1)</f>
        <v>#NAME?</v>
      </c>
      <c r="S54" s="450" t="e">
        <f ca="1">_xll.ciqfunctions.udf.CIQ($B54, "IQ_TEV_TOTAL_REV",IQ_LTM)</f>
        <v>#NAME?</v>
      </c>
      <c r="T54" s="450" t="e">
        <f ca="1">_xll.ciqfunctions.udf.CIQ($B54, "IQ_TEV",Current_Date)/_xll.ciqfunctions.udf.CIQ($B54, "IQ_REVENUE_EST",IQ_FY+1)</f>
        <v>#NAME?</v>
      </c>
      <c r="U54" s="450" t="e">
        <f ca="1">_xll.ciqfunctions.udf.CIQ($B54, "IQ_PE_EXCL",IQ_LTM)</f>
        <v>#NAME?</v>
      </c>
      <c r="V54" s="450" t="e">
        <f ca="1">_xll.ciqfunctions.udf.CIQ($B54, "IQ_MARKETCAP",Current_Date)/_xll.ciqfunctions.udf.CIQ($B54, "IQ_NI_EST",IQ_FY+1)</f>
        <v>#NAME?</v>
      </c>
      <c r="W54" s="9"/>
      <c r="X54" s="498" t="str">
        <f>X72</f>
        <v>IQ370857</v>
      </c>
      <c r="Y54" s="37"/>
      <c r="Z54" s="9" t="e">
        <f ca="1">_xll.ciqfunctions.udf.CIQ($X54, "IQ_COMPANY_NAME",Current_Date)</f>
        <v>#NAME?</v>
      </c>
      <c r="AA54" s="9"/>
      <c r="AB54" s="64" t="str">
        <f>AB72</f>
        <v>BA</v>
      </c>
      <c r="AC54" s="448" t="e">
        <f ca="1">_xll.ciqfunctions.udf.CIQ($X54, "IQ_MARKETCAP",Current_Date)</f>
        <v>#NAME?</v>
      </c>
      <c r="AD54" s="448" t="e">
        <f ca="1">_xll.ciqfunctions.udf.CIQ($X54, "IQ_TEV",Current_Date)</f>
        <v>#NAME?</v>
      </c>
      <c r="AE54" s="446" t="e">
        <f ca="1">_xll.ciqfunctions.udf.CIQ($X54, "IQ_TOTAL_REV_1YR_ANN_GROWTH",IQ_LTM,Current_Date)/100</f>
        <v>#NAME?</v>
      </c>
      <c r="AF54" s="446" t="e">
        <f ca="1">_xll.ciqfunctions.udf.CIQ($X54,"IQ_REVENUE_EST",IQ_FY+1)/(_xll.ciqfunctions.udf.CIQ($X54,"IQ_TOTAL_REV",IQ_FY))-1</f>
        <v>#NAME?</v>
      </c>
      <c r="AG54" s="446" t="e">
        <f ca="1">_xll.ciqfunctions.udf.CIQ($X54, "IQ_EPS_1YR_ANN_GROWTH",IQ_LTM,Current_Date)/100</f>
        <v>#NAME?</v>
      </c>
      <c r="AH54" s="446" t="e">
        <f ca="1">_xll.ciqfunctions.udf.CIQ($X54,"IQ_EPS_EST",IQ_FY+1)/(_xll.ciqfunctions.udf.CIQ($X54,"IQ_DILUT_EPS_INCL",IQ_FY))-1</f>
        <v>#NAME?</v>
      </c>
      <c r="AI54" s="446" t="e">
        <f ca="1">_xll.ciqfunctions.udf.CIQ($X54, "IQ_EBITDA_MARGIN",IQ_LTM)/100</f>
        <v>#NAME?</v>
      </c>
      <c r="AJ54" s="446" t="e">
        <f ca="1">_xll.ciqfunctions.udf.CIQ($X54,"IQ_EBITDA_EST",IQ_FY+1)/(_xll.ciqfunctions.udf.CIQ($X54,"IQ_REVENUE_EST",IQ_FY+1))</f>
        <v>#NAME?</v>
      </c>
      <c r="AK54" s="446" t="e">
        <f ca="1">_xll.ciqfunctions.udf.CIQ($X54, "IQ_NI_MARGIN",IQ_LTM)/100</f>
        <v>#NAME?</v>
      </c>
      <c r="AL54" s="446" t="e">
        <f ca="1">_xll.ciqfunctions.udf.CIQ($X54,"IQ_NI_EST",IQ_FY+1)/(_xll.ciqfunctions.udf.CIQ($X54,"IQ_REVENUE_EST",IQ_FY+1))</f>
        <v>#NAME?</v>
      </c>
      <c r="AM54" s="450" t="e">
        <f ca="1">_xll.ciqfunctions.udf.CIQ($X54, "IQ_TEV_EBITDA",IQ_LTM)</f>
        <v>#NAME?</v>
      </c>
      <c r="AN54" s="450" t="e">
        <f ca="1">_xll.ciqfunctions.udf.CIQ($X54, "IQ_TEV",Current_Date)/_xll.ciqfunctions.udf.CIQ($X54, "IQ_EBITDA_EST",IQ_FY+1)</f>
        <v>#NAME?</v>
      </c>
      <c r="AO54" s="450" t="e">
        <f ca="1">_xll.ciqfunctions.udf.CIQ($X54, "IQ_TEV_TOTAL_REV",IQ_LTM)</f>
        <v>#NAME?</v>
      </c>
      <c r="AP54" s="450" t="e">
        <f ca="1">_xll.ciqfunctions.udf.CIQ($X54, "IQ_TEV",Current_Date)/_xll.ciqfunctions.udf.CIQ($X54, "IQ_REVENUE_EST",IQ_FY+1)</f>
        <v>#NAME?</v>
      </c>
      <c r="AQ54" s="450" t="e">
        <f ca="1">_xll.ciqfunctions.udf.CIQ($X54, "IQ_PE_EXCL",IQ_LTM)</f>
        <v>#NAME?</v>
      </c>
      <c r="AR54" s="450" t="e">
        <f ca="1">_xll.ciqfunctions.udf.CIQ($X54, "IQ_MARKETCAP",Current_Date)/_xll.ciqfunctions.udf.CIQ($X54, "IQ_NI_EST",IQ_FY+1)</f>
        <v>#NAME?</v>
      </c>
      <c r="AS54" s="2"/>
      <c r="AT54" s="498" t="str">
        <f>AT72</f>
        <v>IQ177031</v>
      </c>
      <c r="AU54" s="37"/>
      <c r="AV54" s="9" t="e">
        <f ca="1">_xll.ciqfunctions.udf.CIQ($AT54, "IQ_COMPANY_NAME",Current_Date)</f>
        <v>#NAME?</v>
      </c>
      <c r="AW54" s="9"/>
      <c r="AX54" s="64" t="str">
        <f>N95</f>
        <v>GE</v>
      </c>
      <c r="AY54" s="448" t="e">
        <f ca="1">_xll.ciqfunctions.udf.CIQ($AT54, "IQ_MARKETCAP",Current_Date)</f>
        <v>#NAME?</v>
      </c>
      <c r="AZ54" s="448" t="e">
        <f ca="1">_xll.ciqfunctions.udf.CIQ($AT54, "IQ_TEV",Current_Date)</f>
        <v>#NAME?</v>
      </c>
      <c r="BA54" s="446" t="e">
        <f ca="1">_xll.ciqfunctions.udf.CIQ($AT54, "IQ_TOTAL_REV_1YR_ANN_GROWTH",IQ_LTM,Current_Date)/100</f>
        <v>#NAME?</v>
      </c>
      <c r="BB54" s="446" t="e">
        <f ca="1">_xll.ciqfunctions.udf.CIQ($AT54,"IQ_REVENUE_EST",IQ_FY+1)/(_xll.ciqfunctions.udf.CIQ($AT54,"IQ_TOTAL_REV",IQ_FY))-1</f>
        <v>#NAME?</v>
      </c>
      <c r="BC54" s="446" t="e">
        <f ca="1">_xll.ciqfunctions.udf.CIQ($AT54, "IQ_EPS_1YR_ANN_GROWTH",IQ_LTM,Current_Date)/100</f>
        <v>#NAME?</v>
      </c>
      <c r="BD54" s="446" t="e">
        <f ca="1">_xll.ciqfunctions.udf.CIQ($AT54,"IQ_EPS_EST",IQ_FY+1)/(_xll.ciqfunctions.udf.CIQ($AT54,"IQ_DILUT_EPS_INCL",IQ_FY))-1</f>
        <v>#NAME?</v>
      </c>
      <c r="BE54" s="446" t="e">
        <f ca="1">_xll.ciqfunctions.udf.CIQ($AT54, "IQ_EBITDA_MARGIN",IQ_LTM)/100</f>
        <v>#NAME?</v>
      </c>
      <c r="BF54" s="446" t="e">
        <f ca="1">_xll.ciqfunctions.udf.CIQ($AT54,"IQ_EBITDA_EST",IQ_FY+1)/(_xll.ciqfunctions.udf.CIQ($AT54,"IQ_REVENUE_EST",IQ_FY+1))</f>
        <v>#NAME?</v>
      </c>
      <c r="BG54" s="446" t="e">
        <f ca="1">_xll.ciqfunctions.udf.CIQ($AT54, "IQ_NI_MARGIN",IQ_LTM)/100</f>
        <v>#NAME?</v>
      </c>
      <c r="BH54" s="446" t="e">
        <f ca="1">_xll.ciqfunctions.udf.CIQ($AT54,"IQ_NI_EST",IQ_FY+1)/(_xll.ciqfunctions.udf.CIQ($AT54,"IQ_REVENUE_EST",IQ_FY+1))</f>
        <v>#NAME?</v>
      </c>
      <c r="BI54" s="450" t="e">
        <f ca="1">_xll.ciqfunctions.udf.CIQ($AT54, "IQ_TEV_EBITDA",IQ_LTM)</f>
        <v>#NAME?</v>
      </c>
      <c r="BJ54" s="450" t="e">
        <f ca="1">_xll.ciqfunctions.udf.CIQ($AT54, "IQ_TEV",Current_Date)/_xll.ciqfunctions.udf.CIQ($AT54, "IQ_EBITDA_EST",IQ_FY+1)</f>
        <v>#NAME?</v>
      </c>
      <c r="BK54" s="450" t="e">
        <f ca="1">_xll.ciqfunctions.udf.CIQ($AT54, "IQ_TEV_TOTAL_REV",IQ_LTM)</f>
        <v>#NAME?</v>
      </c>
      <c r="BL54" s="450" t="e">
        <f ca="1">_xll.ciqfunctions.udf.CIQ($AT54, "IQ_TEV",Current_Date)/_xll.ciqfunctions.udf.CIQ($AT54, "IQ_REVENUE_EST",IQ_FY+1)</f>
        <v>#NAME?</v>
      </c>
      <c r="BM54" s="450" t="e">
        <f ca="1">_xll.ciqfunctions.udf.CIQ($AT54, "IQ_PE_EXCL",IQ_LTM)</f>
        <v>#NAME?</v>
      </c>
      <c r="BN54" s="450" t="e">
        <f ca="1">_xll.ciqfunctions.udf.CIQ($AT54, "IQ_MARKETCAP",Current_Date)/_xll.ciqfunctions.udf.CIQ($AT54, "IQ_NI_EST",IQ_FY+1)</f>
        <v>#NAME?</v>
      </c>
    </row>
    <row r="55" spans="1:66" ht="13.5" hidden="1" customHeight="1" outlineLevel="1">
      <c r="A55" s="2"/>
      <c r="B55" s="498" t="str">
        <f>B73</f>
        <v>IQ671980</v>
      </c>
      <c r="C55" s="498"/>
      <c r="D55" s="9" t="e">
        <f ca="1">_xll.ciqfunctions.udf.CIQ($B55, "IQ_COMPANY_NAME",Current_Date)</f>
        <v>#NAME?</v>
      </c>
      <c r="E55" s="9"/>
      <c r="F55" s="64" t="str">
        <f>F73</f>
        <v>BX</v>
      </c>
      <c r="G55" s="448" t="e">
        <f ca="1">_xll.ciqfunctions.udf.CIQ($B55, "IQ_MARKETCAP",Current_Date)</f>
        <v>#NAME?</v>
      </c>
      <c r="H55" s="448">
        <v>206886</v>
      </c>
      <c r="I55" s="446" t="e">
        <f ca="1">_xll.ciqfunctions.udf.CIQ($B55, "IQ_TOTAL_REV_1YR_ANN_GROWTH",IQ_LTM,Current_Date)/100</f>
        <v>#NAME?</v>
      </c>
      <c r="J55" s="446" t="e">
        <f ca="1">_xll.ciqfunctions.udf.CIQ($B55,"IQ_REVENUE_EST",IQ_FY+1)/(_xll.ciqfunctions.udf.CIQ($B55,"IQ_TOTAL_REV",IQ_FY))-1</f>
        <v>#NAME?</v>
      </c>
      <c r="K55" s="446" t="e">
        <f ca="1">_xll.ciqfunctions.udf.CIQ($B55, "IQ_EPS_1YR_ANN_GROWTH",IQ_LTM,Current_Date)/100</f>
        <v>#NAME?</v>
      </c>
      <c r="L55" s="446" t="e">
        <f ca="1">_xll.ciqfunctions.udf.CIQ($B55,"IQ_EPS_EST",IQ_FY+1)/(_xll.ciqfunctions.udf.CIQ($B55,"IQ_DILUT_EPS_INCL",IQ_FY))-1</f>
        <v>#NAME?</v>
      </c>
      <c r="M55" s="446">
        <v>0.56000000000000005</v>
      </c>
      <c r="N55" s="446" t="e">
        <f ca="1">_xll.ciqfunctions.udf.CIQ($B55,"IQ_EBITDA_EST",IQ_FY+1)/(_xll.ciqfunctions.udf.CIQ($B55,"IQ_REVENUE_EST",IQ_FY+1))</f>
        <v>#NAME?</v>
      </c>
      <c r="O55" s="446" t="e">
        <f ca="1">_xll.ciqfunctions.udf.CIQ($B55, "IQ_NI_MARGIN",IQ_LTM)/100</f>
        <v>#NAME?</v>
      </c>
      <c r="P55" s="446" t="e">
        <f ca="1">_xll.ciqfunctions.udf.CIQ($B55,"IQ_NI_EST",IQ_FY+1)/(_xll.ciqfunctions.udf.CIQ($B55,"IQ_REVENUE_EST",IQ_FY+1))</f>
        <v>#NAME?</v>
      </c>
      <c r="Q55" s="450" t="e">
        <f ca="1">_xll.ciqfunctions.udf.CIQ($B55, "IQ_TEV_EBITDA",IQ_LTM)</f>
        <v>#NAME?</v>
      </c>
      <c r="R55" s="450" t="e">
        <f ca="1">_xll.ciqfunctions.udf.CIQ($B55, "IQ_TEV",Current_Date)/_xll.ciqfunctions.udf.CIQ($B55, "IQ_EBITDA_EST",IQ_FY+1)</f>
        <v>#NAME?</v>
      </c>
      <c r="S55" s="450" t="e">
        <f ca="1">_xll.ciqfunctions.udf.CIQ($B55, "IQ_TEV_TOTAL_REV",IQ_LTM)</f>
        <v>#NAME?</v>
      </c>
      <c r="T55" s="450" t="e">
        <f ca="1">_xll.ciqfunctions.udf.CIQ($B55, "IQ_TEV",Current_Date)/_xll.ciqfunctions.udf.CIQ($B55, "IQ_REVENUE_EST",IQ_FY+1)</f>
        <v>#NAME?</v>
      </c>
      <c r="U55" s="450" t="e">
        <f ca="1">_xll.ciqfunctions.udf.CIQ($B55, "IQ_PE_EXCL",IQ_LTM)</f>
        <v>#NAME?</v>
      </c>
      <c r="V55" s="450" t="e">
        <f ca="1">_xll.ciqfunctions.udf.CIQ($B55, "IQ_MARKETCAP",Current_Date)/_xll.ciqfunctions.udf.CIQ($B55, "IQ_NI_EST",IQ_FY+1)</f>
        <v>#NAME?</v>
      </c>
      <c r="W55" s="9"/>
      <c r="X55" s="498" t="str">
        <f>X73</f>
        <v>IQ363263</v>
      </c>
      <c r="Y55" s="37"/>
      <c r="Z55" s="9" t="e">
        <f ca="1">_xll.ciqfunctions.udf.CIQ($X55, "IQ_COMPANY_NAME",Current_Date)</f>
        <v>#NAME?</v>
      </c>
      <c r="AA55" s="9"/>
      <c r="AB55" s="64" t="str">
        <f>AB73</f>
        <v>HII</v>
      </c>
      <c r="AC55" s="448" t="e">
        <f ca="1">_xll.ciqfunctions.udf.CIQ($X55, "IQ_MARKETCAP",Current_Date)</f>
        <v>#NAME?</v>
      </c>
      <c r="AD55" s="448" t="e">
        <f ca="1">_xll.ciqfunctions.udf.CIQ($X55, "IQ_TEV",Current_Date)</f>
        <v>#NAME?</v>
      </c>
      <c r="AE55" s="446" t="e">
        <f ca="1">_xll.ciqfunctions.udf.CIQ($X55, "IQ_TOTAL_REV_1YR_ANN_GROWTH",IQ_LTM,Current_Date)/100</f>
        <v>#NAME?</v>
      </c>
      <c r="AF55" s="446" t="e">
        <f ca="1">_xll.ciqfunctions.udf.CIQ($X55,"IQ_REVENUE_EST",IQ_FY+1)/(_xll.ciqfunctions.udf.CIQ($X55,"IQ_TOTAL_REV",IQ_FY))-1</f>
        <v>#NAME?</v>
      </c>
      <c r="AG55" s="446" t="e">
        <f ca="1">_xll.ciqfunctions.udf.CIQ($X55, "IQ_EPS_1YR_ANN_GROWTH",IQ_LTM,Current_Date)/100</f>
        <v>#NAME?</v>
      </c>
      <c r="AH55" s="446" t="e">
        <f ca="1">_xll.ciqfunctions.udf.CIQ($X55,"IQ_EPS_EST",IQ_FY+1)/(_xll.ciqfunctions.udf.CIQ($X55,"IQ_DILUT_EPS_INCL",IQ_FY))-1</f>
        <v>#NAME?</v>
      </c>
      <c r="AI55" s="446" t="e">
        <f ca="1">_xll.ciqfunctions.udf.CIQ($X55, "IQ_EBITDA_MARGIN",IQ_LTM)/100</f>
        <v>#NAME?</v>
      </c>
      <c r="AJ55" s="446" t="e">
        <f ca="1">_xll.ciqfunctions.udf.CIQ($X55,"IQ_EBITDA_EST",IQ_FY+1)/(_xll.ciqfunctions.udf.CIQ($X55,"IQ_REVENUE_EST",IQ_FY+1))</f>
        <v>#NAME?</v>
      </c>
      <c r="AK55" s="446" t="e">
        <f ca="1">_xll.ciqfunctions.udf.CIQ($X55, "IQ_NI_MARGIN",IQ_LTM)/100</f>
        <v>#NAME?</v>
      </c>
      <c r="AL55" s="446" t="e">
        <f ca="1">_xll.ciqfunctions.udf.CIQ($X55,"IQ_NI_EST",IQ_FY+1)/(_xll.ciqfunctions.udf.CIQ($X55,"IQ_REVENUE_EST",IQ_FY+1))</f>
        <v>#NAME?</v>
      </c>
      <c r="AM55" s="450" t="e">
        <f ca="1">_xll.ciqfunctions.udf.CIQ($X55, "IQ_TEV_EBITDA",IQ_LTM)</f>
        <v>#NAME?</v>
      </c>
      <c r="AN55" s="450" t="e">
        <f ca="1">_xll.ciqfunctions.udf.CIQ($X55, "IQ_TEV",Current_Date)/_xll.ciqfunctions.udf.CIQ($X55, "IQ_EBITDA_EST",IQ_FY+1)</f>
        <v>#NAME?</v>
      </c>
      <c r="AO55" s="450" t="e">
        <f ca="1">_xll.ciqfunctions.udf.CIQ($X55, "IQ_TEV_TOTAL_REV",IQ_LTM)</f>
        <v>#NAME?</v>
      </c>
      <c r="AP55" s="450" t="e">
        <f ca="1">_xll.ciqfunctions.udf.CIQ($X55, "IQ_TEV",Current_Date)/_xll.ciqfunctions.udf.CIQ($X55, "IQ_REVENUE_EST",IQ_FY+1)</f>
        <v>#NAME?</v>
      </c>
      <c r="AQ55" s="450" t="e">
        <f ca="1">_xll.ciqfunctions.udf.CIQ($X55, "IQ_PE_EXCL",IQ_LTM)</f>
        <v>#NAME?</v>
      </c>
      <c r="AR55" s="450" t="e">
        <f ca="1">_xll.ciqfunctions.udf.CIQ($X55, "IQ_MARKETCAP",Current_Date)/_xll.ciqfunctions.udf.CIQ($X55, "IQ_NI_EST",IQ_FY+1)</f>
        <v>#NAME?</v>
      </c>
      <c r="AS55" s="2"/>
      <c r="AT55" s="498" t="str">
        <f>AT73</f>
        <v>IQ1340740</v>
      </c>
      <c r="AU55" s="37"/>
      <c r="AV55" s="9" t="e">
        <f ca="1">_xll.ciqfunctions.udf.CIQ($AT55, "IQ_COMPANY_NAME",Current_Date)</f>
        <v>#NAME?</v>
      </c>
      <c r="AW55" s="9"/>
      <c r="AX55" s="64" t="str">
        <f>N99</f>
        <v>HON</v>
      </c>
      <c r="AY55" s="448" t="e">
        <f ca="1">_xll.ciqfunctions.udf.CIQ($AT55, "IQ_MARKETCAP",Current_Date)</f>
        <v>#NAME?</v>
      </c>
      <c r="AZ55" s="448" t="e">
        <f ca="1">_xll.ciqfunctions.udf.CIQ($AT55, "IQ_TEV",Current_Date)</f>
        <v>#NAME?</v>
      </c>
      <c r="BA55" s="446" t="e">
        <f ca="1">_xll.ciqfunctions.udf.CIQ($AT55, "IQ_TOTAL_REV_1YR_ANN_GROWTH",IQ_LTM,Current_Date)/100</f>
        <v>#NAME?</v>
      </c>
      <c r="BB55" s="446" t="e">
        <f ca="1">_xll.ciqfunctions.udf.CIQ($AT55,"IQ_REVENUE_EST",IQ_FY+1)/(_xll.ciqfunctions.udf.CIQ($AT55,"IQ_TOTAL_REV",IQ_FY))-1</f>
        <v>#NAME?</v>
      </c>
      <c r="BC55" s="446" t="e">
        <f ca="1">_xll.ciqfunctions.udf.CIQ($AT55, "IQ_EPS_1YR_ANN_GROWTH",IQ_LTM,Current_Date)/100</f>
        <v>#NAME?</v>
      </c>
      <c r="BD55" s="446" t="e">
        <f ca="1">_xll.ciqfunctions.udf.CIQ($AT55,"IQ_EPS_EST",IQ_FY+1)/(_xll.ciqfunctions.udf.CIQ($AT55,"IQ_DILUT_EPS_INCL",IQ_FY))-1</f>
        <v>#NAME?</v>
      </c>
      <c r="BE55" s="446" t="e">
        <f ca="1">_xll.ciqfunctions.udf.CIQ($AT55, "IQ_EBITDA_MARGIN",IQ_LTM)/100</f>
        <v>#NAME?</v>
      </c>
      <c r="BF55" s="446" t="e">
        <f ca="1">_xll.ciqfunctions.udf.CIQ($AT55,"IQ_EBITDA_EST",IQ_FY+1)/(_xll.ciqfunctions.udf.CIQ($AT55,"IQ_REVENUE_EST",IQ_FY+1))</f>
        <v>#NAME?</v>
      </c>
      <c r="BG55" s="446" t="e">
        <f ca="1">_xll.ciqfunctions.udf.CIQ($AT55, "IQ_NI_MARGIN",IQ_LTM)/100</f>
        <v>#NAME?</v>
      </c>
      <c r="BH55" s="446" t="e">
        <f ca="1">_xll.ciqfunctions.udf.CIQ($AT55,"IQ_NI_EST",IQ_FY+1)/(_xll.ciqfunctions.udf.CIQ($AT55,"IQ_REVENUE_EST",IQ_FY+1))</f>
        <v>#NAME?</v>
      </c>
      <c r="BI55" s="450" t="e">
        <f ca="1">_xll.ciqfunctions.udf.CIQ($AT55, "IQ_TEV_EBITDA",IQ_LTM)</f>
        <v>#NAME?</v>
      </c>
      <c r="BJ55" s="450" t="e">
        <f ca="1">_xll.ciqfunctions.udf.CIQ($AT55, "IQ_TEV",Current_Date)/_xll.ciqfunctions.udf.CIQ($AT55, "IQ_EBITDA_EST",IQ_FY+1)</f>
        <v>#NAME?</v>
      </c>
      <c r="BK55" s="450" t="e">
        <f ca="1">_xll.ciqfunctions.udf.CIQ($AT55, "IQ_TEV_TOTAL_REV",IQ_LTM)</f>
        <v>#NAME?</v>
      </c>
      <c r="BL55" s="450" t="e">
        <f ca="1">_xll.ciqfunctions.udf.CIQ($AT55, "IQ_TEV",Current_Date)/_xll.ciqfunctions.udf.CIQ($AT55, "IQ_REVENUE_EST",IQ_FY+1)</f>
        <v>#NAME?</v>
      </c>
      <c r="BM55" s="450" t="e">
        <f ca="1">_xll.ciqfunctions.udf.CIQ($AT55, "IQ_PE_EXCL",IQ_LTM)</f>
        <v>#NAME?</v>
      </c>
      <c r="BN55" s="450" t="e">
        <f ca="1">_xll.ciqfunctions.udf.CIQ($AT55, "IQ_MARKETCAP",Current_Date)/_xll.ciqfunctions.udf.CIQ($AT55, "IQ_NI_EST",IQ_FY+1)</f>
        <v>#NAME?</v>
      </c>
    </row>
    <row r="56" spans="1:66" ht="13.5" hidden="1" customHeight="1" outlineLevel="1">
      <c r="A56" s="2"/>
      <c r="B56" s="498" t="str">
        <f>B74</f>
        <v>IQ538190258</v>
      </c>
      <c r="C56" s="498"/>
      <c r="D56" s="9" t="e">
        <f ca="1">_xll.ciqfunctions.udf.CIQ($B56, "IQ_COMPANY_NAME",Current_Date)</f>
        <v>#NAME?</v>
      </c>
      <c r="E56" s="9"/>
      <c r="F56" s="64" t="str">
        <f>F74</f>
        <v>TPG</v>
      </c>
      <c r="G56" s="448" t="e">
        <f ca="1">_xll.ciqfunctions.udf.CIQ($B56, "IQ_MARKETCAP",Current_Date)</f>
        <v>#NAME?</v>
      </c>
      <c r="H56" s="448" t="e">
        <f ca="1">_xll.ciqfunctions.udf.CIQ($B56, "IQ_TEV",Current_Date)</f>
        <v>#NAME?</v>
      </c>
      <c r="I56" s="446" t="e">
        <f ca="1">_xll.ciqfunctions.udf.CIQ($B56, "IQ_TOTAL_REV_1YR_ANN_GROWTH",IQ_LTM,Current_Date)/100</f>
        <v>#NAME?</v>
      </c>
      <c r="J56" s="446" t="e">
        <f ca="1">_xll.ciqfunctions.udf.CIQ($B56,"IQ_REVENUE_EST",IQ_FY+1)/(_xll.ciqfunctions.udf.CIQ($B56,"IQ_TOTAL_REV",IQ_FY))-1</f>
        <v>#NAME?</v>
      </c>
      <c r="K56" s="446">
        <v>-1</v>
      </c>
      <c r="L56" s="446" t="e">
        <f ca="1">_xll.ciqfunctions.udf.CIQ($B56,"IQ_EPS_EST",IQ_FY+1)/(_xll.ciqfunctions.udf.CIQ($B56,"IQ_DILUT_EPS_INCL",IQ_FY))-1</f>
        <v>#NAME?</v>
      </c>
      <c r="M56" s="446" t="e">
        <f ca="1">_xll.ciqfunctions.udf.CIQ($B56, "IQ_EBITDA_MARGIN",IQ_LTM)/100</f>
        <v>#NAME?</v>
      </c>
      <c r="N56" s="446" t="e">
        <f ca="1">_xll.ciqfunctions.udf.CIQ($B56,"IQ_EBITDA_EST",IQ_FY+1)/(_xll.ciqfunctions.udf.CIQ($B56,"IQ_REVENUE_EST",IQ_FY+1))</f>
        <v>#NAME?</v>
      </c>
      <c r="O56" s="446" t="e">
        <f ca="1">_xll.ciqfunctions.udf.CIQ($B56, "IQ_NI_MARGIN",IQ_LTM)/100</f>
        <v>#NAME?</v>
      </c>
      <c r="P56" s="446" t="e">
        <f ca="1">_xll.ciqfunctions.udf.CIQ($B56,"IQ_NI_EST",IQ_FY+1)/(_xll.ciqfunctions.udf.CIQ($B56,"IQ_REVENUE_EST",IQ_FY+1))</f>
        <v>#NAME?</v>
      </c>
      <c r="Q56" s="450" t="e">
        <f ca="1">_xll.ciqfunctions.udf.CIQ($B56, "IQ_TEV_EBITDA",IQ_LTM)</f>
        <v>#NAME?</v>
      </c>
      <c r="R56" s="450" t="e">
        <f ca="1">_xll.ciqfunctions.udf.CIQ($B56, "IQ_TEV",Current_Date)/_xll.ciqfunctions.udf.CIQ($B56, "IQ_EBITDA_EST",IQ_FY+1)</f>
        <v>#NAME?</v>
      </c>
      <c r="S56" s="450" t="e">
        <f ca="1">_xll.ciqfunctions.udf.CIQ($B56, "IQ_TEV_TOTAL_REV",IQ_LTM)</f>
        <v>#NAME?</v>
      </c>
      <c r="T56" s="450" t="e">
        <f ca="1">_xll.ciqfunctions.udf.CIQ($B56, "IQ_TEV",Current_Date)/_xll.ciqfunctions.udf.CIQ($B56, "IQ_REVENUE_EST",IQ_FY+1)</f>
        <v>#NAME?</v>
      </c>
      <c r="U56" s="450" t="e">
        <f ca="1">_xll.ciqfunctions.udf.CIQ($B56, "IQ_PE_EXCL",IQ_LTM)</f>
        <v>#NAME?</v>
      </c>
      <c r="V56" s="450" t="e">
        <f ca="1">_xll.ciqfunctions.udf.CIQ($B56, "IQ_MARKETCAP",Current_Date)/_xll.ciqfunctions.udf.CIQ($B56, "IQ_NI_EST",IQ_FY+1)</f>
        <v>#NAME?</v>
      </c>
      <c r="W56" s="9"/>
      <c r="X56" s="498" t="str">
        <f>X74</f>
        <v>IQ285827</v>
      </c>
      <c r="Y56" s="37"/>
      <c r="Z56" s="9" t="e">
        <f ca="1">_xll.ciqfunctions.udf.CIQ($X56, "IQ_COMPANY_NAME",Current_Date)</f>
        <v>#NAME?</v>
      </c>
      <c r="AA56" s="9"/>
      <c r="AB56" s="64" t="str">
        <f>AB74</f>
        <v>LMT</v>
      </c>
      <c r="AC56" s="448" t="e">
        <f ca="1">_xll.ciqfunctions.udf.CIQ($X56, "IQ_MARKETCAP",Current_Date)</f>
        <v>#NAME?</v>
      </c>
      <c r="AD56" s="448" t="e">
        <f ca="1">_xll.ciqfunctions.udf.CIQ($X56, "IQ_TEV",Current_Date)</f>
        <v>#NAME?</v>
      </c>
      <c r="AE56" s="446" t="e">
        <f ca="1">_xll.ciqfunctions.udf.CIQ($X56, "IQ_TOTAL_REV_1YR_ANN_GROWTH",IQ_LTM,Current_Date)/100</f>
        <v>#NAME?</v>
      </c>
      <c r="AF56" s="446" t="e">
        <f ca="1">_xll.ciqfunctions.udf.CIQ($X56,"IQ_REVENUE_EST",IQ_FY+1)/(_xll.ciqfunctions.udf.CIQ($X56,"IQ_TOTAL_REV",IQ_FY))-1</f>
        <v>#NAME?</v>
      </c>
      <c r="AG56" s="446" t="e">
        <f ca="1">_xll.ciqfunctions.udf.CIQ($X56, "IQ_EPS_1YR_ANN_GROWTH",IQ_LTM,Current_Date)/100</f>
        <v>#NAME?</v>
      </c>
      <c r="AH56" s="446" t="e">
        <f ca="1">_xll.ciqfunctions.udf.CIQ($X56,"IQ_EPS_EST",IQ_FY+1)/(_xll.ciqfunctions.udf.CIQ($X56,"IQ_DILUT_EPS_INCL",IQ_FY))-1</f>
        <v>#NAME?</v>
      </c>
      <c r="AI56" s="446" t="e">
        <f ca="1">_xll.ciqfunctions.udf.CIQ($X56, "IQ_EBITDA_MARGIN",IQ_LTM)/100</f>
        <v>#NAME?</v>
      </c>
      <c r="AJ56" s="446" t="e">
        <f ca="1">_xll.ciqfunctions.udf.CIQ($X56,"IQ_EBITDA_EST",IQ_FY+1)/(_xll.ciqfunctions.udf.CIQ($X56,"IQ_REVENUE_EST",IQ_FY+1))</f>
        <v>#NAME?</v>
      </c>
      <c r="AK56" s="446" t="e">
        <f ca="1">_xll.ciqfunctions.udf.CIQ($X56, "IQ_NI_MARGIN",IQ_LTM)/100</f>
        <v>#NAME?</v>
      </c>
      <c r="AL56" s="446" t="e">
        <f ca="1">_xll.ciqfunctions.udf.CIQ($X56,"IQ_NI_EST",IQ_FY+1)/(_xll.ciqfunctions.udf.CIQ($X56,"IQ_REVENUE_EST",IQ_FY+1))</f>
        <v>#NAME?</v>
      </c>
      <c r="AM56" s="450" t="e">
        <f ca="1">_xll.ciqfunctions.udf.CIQ($X56, "IQ_TEV_EBITDA",IQ_LTM)</f>
        <v>#NAME?</v>
      </c>
      <c r="AN56" s="450" t="e">
        <f ca="1">_xll.ciqfunctions.udf.CIQ($X56, "IQ_TEV",Current_Date)/_xll.ciqfunctions.udf.CIQ($X56, "IQ_EBITDA_EST",IQ_FY+1)</f>
        <v>#NAME?</v>
      </c>
      <c r="AO56" s="450" t="e">
        <f ca="1">_xll.ciqfunctions.udf.CIQ($X56, "IQ_TEV_TOTAL_REV",IQ_LTM)</f>
        <v>#NAME?</v>
      </c>
      <c r="AP56" s="450" t="e">
        <f ca="1">_xll.ciqfunctions.udf.CIQ($X56, "IQ_TEV",Current_Date)/_xll.ciqfunctions.udf.CIQ($X56, "IQ_REVENUE_EST",IQ_FY+1)</f>
        <v>#NAME?</v>
      </c>
      <c r="AQ56" s="450" t="e">
        <f ca="1">_xll.ciqfunctions.udf.CIQ($X56, "IQ_PE_EXCL",IQ_LTM)</f>
        <v>#NAME?</v>
      </c>
      <c r="AR56" s="450" t="e">
        <f ca="1">_xll.ciqfunctions.udf.CIQ($X56, "IQ_MARKETCAP",Current_Date)/_xll.ciqfunctions.udf.CIQ($X56, "IQ_NI_EST",IQ_FY+1)</f>
        <v>#NAME?</v>
      </c>
      <c r="AS56" s="2"/>
      <c r="AT56" s="498" t="str">
        <f>AT74</f>
        <v>IQ22751</v>
      </c>
      <c r="AU56" s="37"/>
      <c r="AV56" s="9" t="e">
        <f ca="1">_xll.ciqfunctions.udf.CIQ($AT56, "IQ_COMPANY_NAME",Current_Date)</f>
        <v>#NAME?</v>
      </c>
      <c r="AW56" s="9"/>
      <c r="AX56" s="64" t="str">
        <f>N103</f>
        <v>ROP</v>
      </c>
      <c r="AY56" s="448" t="e">
        <f ca="1">_xll.ciqfunctions.udf.CIQ($AT56, "IQ_MARKETCAP",Current_Date)</f>
        <v>#NAME?</v>
      </c>
      <c r="AZ56" s="448" t="e">
        <f ca="1">_xll.ciqfunctions.udf.CIQ($AT56, "IQ_TEV",Current_Date)</f>
        <v>#NAME?</v>
      </c>
      <c r="BA56" s="446" t="e">
        <f ca="1">_xll.ciqfunctions.udf.CIQ($AT56, "IQ_TOTAL_REV_1YR_ANN_GROWTH",IQ_LTM,Current_Date)/100</f>
        <v>#NAME?</v>
      </c>
      <c r="BB56" s="446" t="e">
        <f ca="1">_xll.ciqfunctions.udf.CIQ($AT56,"IQ_REVENUE_EST",IQ_FY+1)/(_xll.ciqfunctions.udf.CIQ($AT56,"IQ_TOTAL_REV",IQ_FY))-1</f>
        <v>#NAME?</v>
      </c>
      <c r="BC56" s="446" t="e">
        <f ca="1">_xll.ciqfunctions.udf.CIQ($AT56, "IQ_EPS_1YR_ANN_GROWTH",IQ_LTM,Current_Date)/100</f>
        <v>#NAME?</v>
      </c>
      <c r="BD56" s="446" t="e">
        <f ca="1">_xll.ciqfunctions.udf.CIQ($AT56,"IQ_EPS_EST",IQ_FY+1)/(_xll.ciqfunctions.udf.CIQ($AT56,"IQ_DILUT_EPS_INCL",IQ_FY))-1</f>
        <v>#NAME?</v>
      </c>
      <c r="BE56" s="446" t="e">
        <f ca="1">_xll.ciqfunctions.udf.CIQ($AT56, "IQ_EBITDA_MARGIN",IQ_LTM)/100</f>
        <v>#NAME?</v>
      </c>
      <c r="BF56" s="446" t="e">
        <f ca="1">_xll.ciqfunctions.udf.CIQ($AT56,"IQ_EBITDA_EST",IQ_FY+1)/(_xll.ciqfunctions.udf.CIQ($AT56,"IQ_REVENUE_EST",IQ_FY+1))</f>
        <v>#NAME?</v>
      </c>
      <c r="BG56" s="446" t="e">
        <f ca="1">_xll.ciqfunctions.udf.CIQ($AT56, "IQ_NI_MARGIN",IQ_LTM)/100</f>
        <v>#NAME?</v>
      </c>
      <c r="BH56" s="446" t="e">
        <f ca="1">_xll.ciqfunctions.udf.CIQ($AT56,"IQ_NI_EST",IQ_FY+1)/(_xll.ciqfunctions.udf.CIQ($AT56,"IQ_REVENUE_EST",IQ_FY+1))</f>
        <v>#NAME?</v>
      </c>
      <c r="BI56" s="450" t="e">
        <f ca="1">_xll.ciqfunctions.udf.CIQ($AT56, "IQ_TEV_EBITDA",IQ_LTM)</f>
        <v>#NAME?</v>
      </c>
      <c r="BJ56" s="450" t="e">
        <f ca="1">_xll.ciqfunctions.udf.CIQ($AT56, "IQ_TEV",Current_Date)/_xll.ciqfunctions.udf.CIQ($AT56, "IQ_EBITDA_EST",IQ_FY+1)</f>
        <v>#NAME?</v>
      </c>
      <c r="BK56" s="450" t="e">
        <f ca="1">_xll.ciqfunctions.udf.CIQ($AT56, "IQ_TEV_TOTAL_REV",IQ_LTM)</f>
        <v>#NAME?</v>
      </c>
      <c r="BL56" s="450" t="e">
        <f ca="1">_xll.ciqfunctions.udf.CIQ($AT56, "IQ_TEV",Current_Date)/_xll.ciqfunctions.udf.CIQ($AT56, "IQ_REVENUE_EST",IQ_FY+1)</f>
        <v>#NAME?</v>
      </c>
      <c r="BM56" s="450" t="e">
        <f ca="1">_xll.ciqfunctions.udf.CIQ($AT56, "IQ_PE_EXCL",IQ_LTM)</f>
        <v>#NAME?</v>
      </c>
      <c r="BN56" s="450" t="e">
        <f ca="1">_xll.ciqfunctions.udf.CIQ($AT56, "IQ_MARKETCAP",Current_Date)/_xll.ciqfunctions.udf.CIQ($AT56, "IQ_NI_EST",IQ_FY+1)</f>
        <v>#NAME?</v>
      </c>
    </row>
    <row r="57" spans="1:66" ht="13.5" hidden="1" customHeight="1" outlineLevel="1">
      <c r="A57" s="2"/>
      <c r="B57" s="2"/>
      <c r="C57" s="2"/>
      <c r="D57" s="9"/>
      <c r="E57" s="9"/>
      <c r="F57" s="64"/>
      <c r="G57" s="64"/>
      <c r="H57" s="64"/>
      <c r="I57" s="64"/>
      <c r="J57" s="64"/>
      <c r="K57" s="64"/>
      <c r="L57" s="64"/>
      <c r="M57" s="64"/>
      <c r="N57" s="64"/>
      <c r="O57" s="64"/>
      <c r="P57" s="64"/>
      <c r="Q57" s="64"/>
      <c r="R57" s="64"/>
      <c r="S57" s="145"/>
      <c r="T57" s="64"/>
      <c r="U57" s="64"/>
      <c r="V57" s="64"/>
      <c r="W57" s="9"/>
      <c r="X57" s="2"/>
      <c r="Y57" s="37"/>
      <c r="Z57" s="9"/>
      <c r="AA57" s="9"/>
      <c r="AB57" s="64"/>
      <c r="AC57" s="64"/>
      <c r="AD57" s="64"/>
      <c r="AE57" s="64"/>
      <c r="AF57" s="64"/>
      <c r="AG57" s="64"/>
      <c r="AH57" s="64"/>
      <c r="AI57" s="64"/>
      <c r="AJ57" s="64"/>
      <c r="AK57" s="64"/>
      <c r="AL57" s="64"/>
      <c r="AM57" s="64"/>
      <c r="AN57" s="64"/>
      <c r="AO57" s="145"/>
      <c r="AP57" s="64"/>
      <c r="AQ57" s="64"/>
      <c r="AR57" s="64"/>
      <c r="AS57" s="2"/>
      <c r="AT57" s="2"/>
      <c r="AU57" s="37"/>
      <c r="AV57" s="9"/>
      <c r="AW57" s="9"/>
      <c r="AX57" s="64"/>
      <c r="AY57" s="64"/>
      <c r="AZ57" s="64"/>
      <c r="BA57" s="64"/>
      <c r="BB57" s="64"/>
      <c r="BC57" s="64"/>
      <c r="BD57" s="64"/>
      <c r="BE57" s="64"/>
      <c r="BF57" s="64"/>
      <c r="BG57" s="64"/>
      <c r="BH57" s="64"/>
      <c r="BI57" s="64"/>
      <c r="BJ57" s="64"/>
      <c r="BK57" s="145"/>
      <c r="BL57" s="64"/>
      <c r="BM57" s="64"/>
      <c r="BN57" s="64"/>
    </row>
    <row r="58" spans="1:66" ht="13.5" hidden="1" customHeight="1" outlineLevel="1">
      <c r="A58" s="2"/>
      <c r="B58" s="2"/>
      <c r="C58" s="2"/>
      <c r="D58" s="507" t="str">
        <f>D18</f>
        <v>High</v>
      </c>
      <c r="E58" s="508"/>
      <c r="F58" s="509"/>
      <c r="G58" s="510" t="e">
        <f t="shared" ref="G58:V58" ca="1" si="19">MAX(G53:G56)</f>
        <v>#NAME?</v>
      </c>
      <c r="H58" s="510" t="e">
        <f t="shared" ca="1" si="19"/>
        <v>#NAME?</v>
      </c>
      <c r="I58" s="511" t="e">
        <f t="shared" ca="1" si="19"/>
        <v>#NAME?</v>
      </c>
      <c r="J58" s="511" t="e">
        <f t="shared" ca="1" si="19"/>
        <v>#NAME?</v>
      </c>
      <c r="K58" s="511" t="e">
        <f t="shared" ca="1" si="19"/>
        <v>#NAME?</v>
      </c>
      <c r="L58" s="511" t="e">
        <f t="shared" ca="1" si="19"/>
        <v>#NAME?</v>
      </c>
      <c r="M58" s="511" t="e">
        <f t="shared" ca="1" si="19"/>
        <v>#NAME?</v>
      </c>
      <c r="N58" s="511" t="e">
        <f t="shared" ca="1" si="19"/>
        <v>#NAME?</v>
      </c>
      <c r="O58" s="511" t="e">
        <f t="shared" ca="1" si="19"/>
        <v>#NAME?</v>
      </c>
      <c r="P58" s="511" t="e">
        <f t="shared" ca="1" si="19"/>
        <v>#NAME?</v>
      </c>
      <c r="Q58" s="512" t="e">
        <f t="shared" ca="1" si="19"/>
        <v>#NAME?</v>
      </c>
      <c r="R58" s="513" t="e">
        <f t="shared" ca="1" si="19"/>
        <v>#NAME?</v>
      </c>
      <c r="S58" s="513" t="e">
        <f t="shared" ca="1" si="19"/>
        <v>#NAME?</v>
      </c>
      <c r="T58" s="513" t="e">
        <f t="shared" ca="1" si="19"/>
        <v>#NAME?</v>
      </c>
      <c r="U58" s="513" t="e">
        <f t="shared" ca="1" si="19"/>
        <v>#NAME?</v>
      </c>
      <c r="V58" s="514" t="e">
        <f t="shared" ca="1" si="19"/>
        <v>#NAME?</v>
      </c>
      <c r="W58" s="9"/>
      <c r="X58" s="2"/>
      <c r="Y58" s="37"/>
      <c r="Z58" s="507" t="str">
        <f>Z18</f>
        <v>High</v>
      </c>
      <c r="AA58" s="508"/>
      <c r="AB58" s="509"/>
      <c r="AC58" s="510" t="e">
        <f t="shared" ref="AC58:AR58" ca="1" si="20">MAX(AC53:AC56)</f>
        <v>#NAME?</v>
      </c>
      <c r="AD58" s="510" t="e">
        <f t="shared" ca="1" si="20"/>
        <v>#NAME?</v>
      </c>
      <c r="AE58" s="511" t="e">
        <f t="shared" ca="1" si="20"/>
        <v>#NAME?</v>
      </c>
      <c r="AF58" s="511" t="e">
        <f t="shared" ca="1" si="20"/>
        <v>#NAME?</v>
      </c>
      <c r="AG58" s="511" t="e">
        <f t="shared" ca="1" si="20"/>
        <v>#NAME?</v>
      </c>
      <c r="AH58" s="511" t="e">
        <f t="shared" ca="1" si="20"/>
        <v>#NAME?</v>
      </c>
      <c r="AI58" s="511" t="e">
        <f t="shared" ca="1" si="20"/>
        <v>#NAME?</v>
      </c>
      <c r="AJ58" s="511" t="e">
        <f t="shared" ca="1" si="20"/>
        <v>#NAME?</v>
      </c>
      <c r="AK58" s="511" t="e">
        <f t="shared" ca="1" si="20"/>
        <v>#NAME?</v>
      </c>
      <c r="AL58" s="511" t="e">
        <f t="shared" ca="1" si="20"/>
        <v>#NAME?</v>
      </c>
      <c r="AM58" s="512" t="e">
        <f t="shared" ca="1" si="20"/>
        <v>#NAME?</v>
      </c>
      <c r="AN58" s="513" t="e">
        <f t="shared" ca="1" si="20"/>
        <v>#NAME?</v>
      </c>
      <c r="AO58" s="513" t="e">
        <f t="shared" ca="1" si="20"/>
        <v>#NAME?</v>
      </c>
      <c r="AP58" s="513" t="e">
        <f t="shared" ca="1" si="20"/>
        <v>#NAME?</v>
      </c>
      <c r="AQ58" s="513" t="e">
        <f t="shared" ca="1" si="20"/>
        <v>#NAME?</v>
      </c>
      <c r="AR58" s="514" t="e">
        <f t="shared" ca="1" si="20"/>
        <v>#NAME?</v>
      </c>
      <c r="AS58" s="2"/>
      <c r="AT58" s="2"/>
      <c r="AU58" s="37"/>
      <c r="AV58" s="507" t="str">
        <f>AV18</f>
        <v>High</v>
      </c>
      <c r="AW58" s="508"/>
      <c r="AX58" s="509"/>
      <c r="AY58" s="510" t="e">
        <f t="shared" ref="AY58:BN58" ca="1" si="21">MAX(AY53:AY56)</f>
        <v>#NAME?</v>
      </c>
      <c r="AZ58" s="510" t="e">
        <f t="shared" ca="1" si="21"/>
        <v>#NAME?</v>
      </c>
      <c r="BA58" s="511" t="e">
        <f t="shared" ca="1" si="21"/>
        <v>#NAME?</v>
      </c>
      <c r="BB58" s="511" t="e">
        <f t="shared" ca="1" si="21"/>
        <v>#NAME?</v>
      </c>
      <c r="BC58" s="511" t="e">
        <f t="shared" ca="1" si="21"/>
        <v>#NAME?</v>
      </c>
      <c r="BD58" s="511" t="e">
        <f t="shared" ca="1" si="21"/>
        <v>#NAME?</v>
      </c>
      <c r="BE58" s="511" t="e">
        <f t="shared" ca="1" si="21"/>
        <v>#NAME?</v>
      </c>
      <c r="BF58" s="511" t="e">
        <f t="shared" ca="1" si="21"/>
        <v>#NAME?</v>
      </c>
      <c r="BG58" s="511" t="e">
        <f t="shared" ca="1" si="21"/>
        <v>#NAME?</v>
      </c>
      <c r="BH58" s="511" t="e">
        <f t="shared" ca="1" si="21"/>
        <v>#NAME?</v>
      </c>
      <c r="BI58" s="512" t="e">
        <f t="shared" ca="1" si="21"/>
        <v>#NAME?</v>
      </c>
      <c r="BJ58" s="513" t="e">
        <f t="shared" ca="1" si="21"/>
        <v>#NAME?</v>
      </c>
      <c r="BK58" s="513" t="e">
        <f t="shared" ca="1" si="21"/>
        <v>#NAME?</v>
      </c>
      <c r="BL58" s="513" t="e">
        <f t="shared" ca="1" si="21"/>
        <v>#NAME?</v>
      </c>
      <c r="BM58" s="513" t="e">
        <f t="shared" ca="1" si="21"/>
        <v>#NAME?</v>
      </c>
      <c r="BN58" s="514" t="e">
        <f t="shared" ca="1" si="21"/>
        <v>#NAME?</v>
      </c>
    </row>
    <row r="59" spans="1:66" ht="13.5" hidden="1" customHeight="1" outlineLevel="1">
      <c r="A59" s="2"/>
      <c r="B59" s="2"/>
      <c r="C59" s="2"/>
      <c r="D59" s="515" t="str">
        <f>D19</f>
        <v>Mean</v>
      </c>
      <c r="E59" s="516"/>
      <c r="F59" s="517"/>
      <c r="G59" s="518" t="e">
        <f t="shared" ref="G59:V59" ca="1" si="22">AVERAGE(G53:G56)</f>
        <v>#NAME?</v>
      </c>
      <c r="H59" s="518" t="e">
        <f t="shared" ca="1" si="22"/>
        <v>#NAME?</v>
      </c>
      <c r="I59" s="519" t="e">
        <f t="shared" ca="1" si="22"/>
        <v>#NAME?</v>
      </c>
      <c r="J59" s="519" t="e">
        <f t="shared" ca="1" si="22"/>
        <v>#NAME?</v>
      </c>
      <c r="K59" s="519" t="e">
        <f t="shared" ca="1" si="22"/>
        <v>#NAME?</v>
      </c>
      <c r="L59" s="519" t="e">
        <f t="shared" ca="1" si="22"/>
        <v>#NAME?</v>
      </c>
      <c r="M59" s="519" t="e">
        <f t="shared" ca="1" si="22"/>
        <v>#NAME?</v>
      </c>
      <c r="N59" s="519" t="e">
        <f t="shared" ca="1" si="22"/>
        <v>#NAME?</v>
      </c>
      <c r="O59" s="519" t="e">
        <f t="shared" ca="1" si="22"/>
        <v>#NAME?</v>
      </c>
      <c r="P59" s="519" t="e">
        <f t="shared" ca="1" si="22"/>
        <v>#NAME?</v>
      </c>
      <c r="Q59" s="520" t="e">
        <f t="shared" ca="1" si="22"/>
        <v>#NAME?</v>
      </c>
      <c r="R59" s="521" t="e">
        <f t="shared" ca="1" si="22"/>
        <v>#NAME?</v>
      </c>
      <c r="S59" s="521" t="e">
        <f t="shared" ca="1" si="22"/>
        <v>#NAME?</v>
      </c>
      <c r="T59" s="521" t="e">
        <f t="shared" ca="1" si="22"/>
        <v>#NAME?</v>
      </c>
      <c r="U59" s="521" t="e">
        <f t="shared" ca="1" si="22"/>
        <v>#NAME?</v>
      </c>
      <c r="V59" s="522" t="e">
        <f t="shared" ca="1" si="22"/>
        <v>#NAME?</v>
      </c>
      <c r="W59" s="9"/>
      <c r="X59" s="2"/>
      <c r="Y59" s="37"/>
      <c r="Z59" s="515" t="str">
        <f>Z19</f>
        <v>Mean</v>
      </c>
      <c r="AA59" s="516"/>
      <c r="AB59" s="517"/>
      <c r="AC59" s="518" t="e">
        <f t="shared" ref="AC59:AR59" ca="1" si="23">AVERAGE(AC53:AC56)</f>
        <v>#NAME?</v>
      </c>
      <c r="AD59" s="518" t="e">
        <f t="shared" ca="1" si="23"/>
        <v>#NAME?</v>
      </c>
      <c r="AE59" s="519" t="e">
        <f t="shared" ca="1" si="23"/>
        <v>#NAME?</v>
      </c>
      <c r="AF59" s="519" t="e">
        <f t="shared" ca="1" si="23"/>
        <v>#NAME?</v>
      </c>
      <c r="AG59" s="519" t="e">
        <f t="shared" ca="1" si="23"/>
        <v>#NAME?</v>
      </c>
      <c r="AH59" s="519" t="e">
        <f t="shared" ca="1" si="23"/>
        <v>#NAME?</v>
      </c>
      <c r="AI59" s="519" t="e">
        <f t="shared" ca="1" si="23"/>
        <v>#NAME?</v>
      </c>
      <c r="AJ59" s="519" t="e">
        <f t="shared" ca="1" si="23"/>
        <v>#NAME?</v>
      </c>
      <c r="AK59" s="519" t="e">
        <f t="shared" ca="1" si="23"/>
        <v>#NAME?</v>
      </c>
      <c r="AL59" s="519" t="e">
        <f t="shared" ca="1" si="23"/>
        <v>#NAME?</v>
      </c>
      <c r="AM59" s="520" t="e">
        <f t="shared" ca="1" si="23"/>
        <v>#NAME?</v>
      </c>
      <c r="AN59" s="521" t="e">
        <f t="shared" ca="1" si="23"/>
        <v>#NAME?</v>
      </c>
      <c r="AO59" s="521" t="e">
        <f t="shared" ca="1" si="23"/>
        <v>#NAME?</v>
      </c>
      <c r="AP59" s="521" t="e">
        <f t="shared" ca="1" si="23"/>
        <v>#NAME?</v>
      </c>
      <c r="AQ59" s="521" t="e">
        <f t="shared" ca="1" si="23"/>
        <v>#NAME?</v>
      </c>
      <c r="AR59" s="522" t="e">
        <f t="shared" ca="1" si="23"/>
        <v>#NAME?</v>
      </c>
      <c r="AS59" s="2"/>
      <c r="AT59" s="2"/>
      <c r="AU59" s="37"/>
      <c r="AV59" s="515" t="str">
        <f>AV19</f>
        <v>Mean</v>
      </c>
      <c r="AW59" s="516"/>
      <c r="AX59" s="517"/>
      <c r="AY59" s="518" t="e">
        <f t="shared" ref="AY59:BN59" ca="1" si="24">AVERAGE(AY53:AY56)</f>
        <v>#NAME?</v>
      </c>
      <c r="AZ59" s="518" t="e">
        <f t="shared" ca="1" si="24"/>
        <v>#NAME?</v>
      </c>
      <c r="BA59" s="519" t="e">
        <f t="shared" ca="1" si="24"/>
        <v>#NAME?</v>
      </c>
      <c r="BB59" s="519" t="e">
        <f t="shared" ca="1" si="24"/>
        <v>#NAME?</v>
      </c>
      <c r="BC59" s="519" t="e">
        <f t="shared" ca="1" si="24"/>
        <v>#NAME?</v>
      </c>
      <c r="BD59" s="519" t="e">
        <f t="shared" ca="1" si="24"/>
        <v>#NAME?</v>
      </c>
      <c r="BE59" s="519" t="e">
        <f t="shared" ca="1" si="24"/>
        <v>#NAME?</v>
      </c>
      <c r="BF59" s="519" t="e">
        <f t="shared" ca="1" si="24"/>
        <v>#NAME?</v>
      </c>
      <c r="BG59" s="519" t="e">
        <f t="shared" ca="1" si="24"/>
        <v>#NAME?</v>
      </c>
      <c r="BH59" s="519" t="e">
        <f t="shared" ca="1" si="24"/>
        <v>#NAME?</v>
      </c>
      <c r="BI59" s="520" t="e">
        <f t="shared" ca="1" si="24"/>
        <v>#NAME?</v>
      </c>
      <c r="BJ59" s="521" t="e">
        <f t="shared" ca="1" si="24"/>
        <v>#NAME?</v>
      </c>
      <c r="BK59" s="521" t="e">
        <f t="shared" ca="1" si="24"/>
        <v>#NAME?</v>
      </c>
      <c r="BL59" s="521" t="e">
        <f t="shared" ca="1" si="24"/>
        <v>#NAME?</v>
      </c>
      <c r="BM59" s="521" t="e">
        <f t="shared" ca="1" si="24"/>
        <v>#NAME?</v>
      </c>
      <c r="BN59" s="522" t="e">
        <f t="shared" ca="1" si="24"/>
        <v>#NAME?</v>
      </c>
    </row>
    <row r="60" spans="1:66" ht="13.5" hidden="1" customHeight="1" outlineLevel="1">
      <c r="A60" s="2"/>
      <c r="B60" s="2"/>
      <c r="C60" s="2"/>
      <c r="D60" s="515" t="str">
        <f>D20</f>
        <v>Median</v>
      </c>
      <c r="E60" s="516"/>
      <c r="F60" s="516"/>
      <c r="G60" s="518" t="e">
        <f t="shared" ref="G60:V60" ca="1" si="25">MEDIAN(G53:G56)</f>
        <v>#NAME?</v>
      </c>
      <c r="H60" s="518" t="e">
        <f t="shared" ca="1" si="25"/>
        <v>#NAME?</v>
      </c>
      <c r="I60" s="519" t="e">
        <f t="shared" ca="1" si="25"/>
        <v>#NAME?</v>
      </c>
      <c r="J60" s="519" t="e">
        <f t="shared" ca="1" si="25"/>
        <v>#NAME?</v>
      </c>
      <c r="K60" s="519" t="e">
        <f t="shared" ca="1" si="25"/>
        <v>#NAME?</v>
      </c>
      <c r="L60" s="519" t="e">
        <f t="shared" ca="1" si="25"/>
        <v>#NAME?</v>
      </c>
      <c r="M60" s="519" t="e">
        <f t="shared" ca="1" si="25"/>
        <v>#NAME?</v>
      </c>
      <c r="N60" s="519" t="e">
        <f t="shared" ca="1" si="25"/>
        <v>#NAME?</v>
      </c>
      <c r="O60" s="519" t="e">
        <f t="shared" ca="1" si="25"/>
        <v>#NAME?</v>
      </c>
      <c r="P60" s="519" t="e">
        <f t="shared" ca="1" si="25"/>
        <v>#NAME?</v>
      </c>
      <c r="Q60" s="520" t="e">
        <f t="shared" ca="1" si="25"/>
        <v>#NAME?</v>
      </c>
      <c r="R60" s="521" t="e">
        <f t="shared" ca="1" si="25"/>
        <v>#NAME?</v>
      </c>
      <c r="S60" s="521" t="e">
        <f t="shared" ca="1" si="25"/>
        <v>#NAME?</v>
      </c>
      <c r="T60" s="521" t="e">
        <f t="shared" ca="1" si="25"/>
        <v>#NAME?</v>
      </c>
      <c r="U60" s="521" t="e">
        <f t="shared" ca="1" si="25"/>
        <v>#NAME?</v>
      </c>
      <c r="V60" s="522" t="e">
        <f t="shared" ca="1" si="25"/>
        <v>#NAME?</v>
      </c>
      <c r="W60" s="9"/>
      <c r="X60" s="2"/>
      <c r="Y60" s="37"/>
      <c r="Z60" s="515" t="str">
        <f>Z20</f>
        <v>Median</v>
      </c>
      <c r="AA60" s="516"/>
      <c r="AB60" s="516"/>
      <c r="AC60" s="518" t="e">
        <f t="shared" ref="AC60:AR60" ca="1" si="26">MEDIAN(AC53:AC56)</f>
        <v>#NAME?</v>
      </c>
      <c r="AD60" s="518" t="e">
        <f t="shared" ca="1" si="26"/>
        <v>#NAME?</v>
      </c>
      <c r="AE60" s="519" t="e">
        <f t="shared" ca="1" si="26"/>
        <v>#NAME?</v>
      </c>
      <c r="AF60" s="519" t="e">
        <f t="shared" ca="1" si="26"/>
        <v>#NAME?</v>
      </c>
      <c r="AG60" s="519" t="e">
        <f t="shared" ca="1" si="26"/>
        <v>#NAME?</v>
      </c>
      <c r="AH60" s="519" t="e">
        <f t="shared" ca="1" si="26"/>
        <v>#NAME?</v>
      </c>
      <c r="AI60" s="519" t="e">
        <f t="shared" ca="1" si="26"/>
        <v>#NAME?</v>
      </c>
      <c r="AJ60" s="519" t="e">
        <f t="shared" ca="1" si="26"/>
        <v>#NAME?</v>
      </c>
      <c r="AK60" s="519" t="e">
        <f t="shared" ca="1" si="26"/>
        <v>#NAME?</v>
      </c>
      <c r="AL60" s="519" t="e">
        <f t="shared" ca="1" si="26"/>
        <v>#NAME?</v>
      </c>
      <c r="AM60" s="520" t="e">
        <f t="shared" ca="1" si="26"/>
        <v>#NAME?</v>
      </c>
      <c r="AN60" s="521" t="e">
        <f t="shared" ca="1" si="26"/>
        <v>#NAME?</v>
      </c>
      <c r="AO60" s="521" t="e">
        <f t="shared" ca="1" si="26"/>
        <v>#NAME?</v>
      </c>
      <c r="AP60" s="521" t="e">
        <f t="shared" ca="1" si="26"/>
        <v>#NAME?</v>
      </c>
      <c r="AQ60" s="521" t="e">
        <f t="shared" ca="1" si="26"/>
        <v>#NAME?</v>
      </c>
      <c r="AR60" s="522" t="e">
        <f t="shared" ca="1" si="26"/>
        <v>#NAME?</v>
      </c>
      <c r="AS60" s="2"/>
      <c r="AT60" s="2"/>
      <c r="AU60" s="37"/>
      <c r="AV60" s="515" t="str">
        <f>AV20</f>
        <v>Median</v>
      </c>
      <c r="AW60" s="516"/>
      <c r="AX60" s="516"/>
      <c r="AY60" s="518" t="e">
        <f t="shared" ref="AY60:BN60" ca="1" si="27">MEDIAN(AY53:AY56)</f>
        <v>#NAME?</v>
      </c>
      <c r="AZ60" s="518" t="e">
        <f t="shared" ca="1" si="27"/>
        <v>#NAME?</v>
      </c>
      <c r="BA60" s="519" t="e">
        <f t="shared" ca="1" si="27"/>
        <v>#NAME?</v>
      </c>
      <c r="BB60" s="519" t="e">
        <f t="shared" ca="1" si="27"/>
        <v>#NAME?</v>
      </c>
      <c r="BC60" s="519" t="e">
        <f t="shared" ca="1" si="27"/>
        <v>#NAME?</v>
      </c>
      <c r="BD60" s="519" t="e">
        <f t="shared" ca="1" si="27"/>
        <v>#NAME?</v>
      </c>
      <c r="BE60" s="519" t="e">
        <f t="shared" ca="1" si="27"/>
        <v>#NAME?</v>
      </c>
      <c r="BF60" s="519" t="e">
        <f t="shared" ca="1" si="27"/>
        <v>#NAME?</v>
      </c>
      <c r="BG60" s="519" t="e">
        <f t="shared" ca="1" si="27"/>
        <v>#NAME?</v>
      </c>
      <c r="BH60" s="519" t="e">
        <f t="shared" ca="1" si="27"/>
        <v>#NAME?</v>
      </c>
      <c r="BI60" s="520" t="e">
        <f t="shared" ca="1" si="27"/>
        <v>#NAME?</v>
      </c>
      <c r="BJ60" s="521" t="e">
        <f t="shared" ca="1" si="27"/>
        <v>#NAME?</v>
      </c>
      <c r="BK60" s="521" t="e">
        <f t="shared" ca="1" si="27"/>
        <v>#NAME?</v>
      </c>
      <c r="BL60" s="521" t="e">
        <f t="shared" ca="1" si="27"/>
        <v>#NAME?</v>
      </c>
      <c r="BM60" s="521" t="e">
        <f t="shared" ca="1" si="27"/>
        <v>#NAME?</v>
      </c>
      <c r="BN60" s="522" t="e">
        <f t="shared" ca="1" si="27"/>
        <v>#NAME?</v>
      </c>
    </row>
    <row r="61" spans="1:66" ht="13.5" hidden="1" customHeight="1" outlineLevel="1">
      <c r="A61" s="2"/>
      <c r="B61" s="2"/>
      <c r="C61" s="2"/>
      <c r="D61" s="523" t="str">
        <f>D21</f>
        <v>Low</v>
      </c>
      <c r="E61" s="524"/>
      <c r="F61" s="524"/>
      <c r="G61" s="525" t="e">
        <f t="shared" ref="G61:V61" ca="1" si="28">MIN(G53:G56)</f>
        <v>#NAME?</v>
      </c>
      <c r="H61" s="525" t="e">
        <f t="shared" ca="1" si="28"/>
        <v>#NAME?</v>
      </c>
      <c r="I61" s="526" t="e">
        <f t="shared" ca="1" si="28"/>
        <v>#NAME?</v>
      </c>
      <c r="J61" s="526" t="e">
        <f t="shared" ca="1" si="28"/>
        <v>#NAME?</v>
      </c>
      <c r="K61" s="526" t="e">
        <f t="shared" ca="1" si="28"/>
        <v>#NAME?</v>
      </c>
      <c r="L61" s="526" t="e">
        <f t="shared" ca="1" si="28"/>
        <v>#NAME?</v>
      </c>
      <c r="M61" s="526" t="e">
        <f t="shared" ca="1" si="28"/>
        <v>#NAME?</v>
      </c>
      <c r="N61" s="526" t="e">
        <f t="shared" ca="1" si="28"/>
        <v>#NAME?</v>
      </c>
      <c r="O61" s="526" t="e">
        <f t="shared" ca="1" si="28"/>
        <v>#NAME?</v>
      </c>
      <c r="P61" s="526" t="e">
        <f t="shared" ca="1" si="28"/>
        <v>#NAME?</v>
      </c>
      <c r="Q61" s="527" t="e">
        <f t="shared" ca="1" si="28"/>
        <v>#NAME?</v>
      </c>
      <c r="R61" s="528" t="e">
        <f t="shared" ca="1" si="28"/>
        <v>#NAME?</v>
      </c>
      <c r="S61" s="528" t="e">
        <f t="shared" ca="1" si="28"/>
        <v>#NAME?</v>
      </c>
      <c r="T61" s="528" t="e">
        <f t="shared" ca="1" si="28"/>
        <v>#NAME?</v>
      </c>
      <c r="U61" s="528" t="e">
        <f t="shared" ca="1" si="28"/>
        <v>#NAME?</v>
      </c>
      <c r="V61" s="529" t="e">
        <f t="shared" ca="1" si="28"/>
        <v>#NAME?</v>
      </c>
      <c r="W61" s="9"/>
      <c r="X61" s="2"/>
      <c r="Y61" s="37"/>
      <c r="Z61" s="523" t="str">
        <f>Z21</f>
        <v>Low</v>
      </c>
      <c r="AA61" s="524"/>
      <c r="AB61" s="524"/>
      <c r="AC61" s="525" t="e">
        <f t="shared" ref="AC61:AR61" ca="1" si="29">MIN(AC53:AC56)</f>
        <v>#NAME?</v>
      </c>
      <c r="AD61" s="525" t="e">
        <f t="shared" ca="1" si="29"/>
        <v>#NAME?</v>
      </c>
      <c r="AE61" s="526" t="e">
        <f t="shared" ca="1" si="29"/>
        <v>#NAME?</v>
      </c>
      <c r="AF61" s="526" t="e">
        <f t="shared" ca="1" si="29"/>
        <v>#NAME?</v>
      </c>
      <c r="AG61" s="526" t="e">
        <f t="shared" ca="1" si="29"/>
        <v>#NAME?</v>
      </c>
      <c r="AH61" s="526" t="e">
        <f t="shared" ca="1" si="29"/>
        <v>#NAME?</v>
      </c>
      <c r="AI61" s="526" t="e">
        <f t="shared" ca="1" si="29"/>
        <v>#NAME?</v>
      </c>
      <c r="AJ61" s="526" t="e">
        <f t="shared" ca="1" si="29"/>
        <v>#NAME?</v>
      </c>
      <c r="AK61" s="526" t="e">
        <f t="shared" ca="1" si="29"/>
        <v>#NAME?</v>
      </c>
      <c r="AL61" s="526" t="e">
        <f t="shared" ca="1" si="29"/>
        <v>#NAME?</v>
      </c>
      <c r="AM61" s="527" t="e">
        <f t="shared" ca="1" si="29"/>
        <v>#NAME?</v>
      </c>
      <c r="AN61" s="528" t="e">
        <f t="shared" ca="1" si="29"/>
        <v>#NAME?</v>
      </c>
      <c r="AO61" s="528" t="e">
        <f t="shared" ca="1" si="29"/>
        <v>#NAME?</v>
      </c>
      <c r="AP61" s="528" t="e">
        <f t="shared" ca="1" si="29"/>
        <v>#NAME?</v>
      </c>
      <c r="AQ61" s="528" t="e">
        <f t="shared" ca="1" si="29"/>
        <v>#NAME?</v>
      </c>
      <c r="AR61" s="529" t="e">
        <f t="shared" ca="1" si="29"/>
        <v>#NAME?</v>
      </c>
      <c r="AS61" s="2"/>
      <c r="AT61" s="2"/>
      <c r="AU61" s="37"/>
      <c r="AV61" s="523" t="str">
        <f>AV21</f>
        <v>Low</v>
      </c>
      <c r="AW61" s="524"/>
      <c r="AX61" s="524"/>
      <c r="AY61" s="525" t="e">
        <f t="shared" ref="AY61:BN61" ca="1" si="30">MIN(AY53:AY56)</f>
        <v>#NAME?</v>
      </c>
      <c r="AZ61" s="525" t="e">
        <f t="shared" ca="1" si="30"/>
        <v>#NAME?</v>
      </c>
      <c r="BA61" s="526" t="e">
        <f t="shared" ca="1" si="30"/>
        <v>#NAME?</v>
      </c>
      <c r="BB61" s="526" t="e">
        <f t="shared" ca="1" si="30"/>
        <v>#NAME?</v>
      </c>
      <c r="BC61" s="526" t="e">
        <f t="shared" ca="1" si="30"/>
        <v>#NAME?</v>
      </c>
      <c r="BD61" s="526" t="e">
        <f t="shared" ca="1" si="30"/>
        <v>#NAME?</v>
      </c>
      <c r="BE61" s="526" t="e">
        <f t="shared" ca="1" si="30"/>
        <v>#NAME?</v>
      </c>
      <c r="BF61" s="526" t="e">
        <f t="shared" ca="1" si="30"/>
        <v>#NAME?</v>
      </c>
      <c r="BG61" s="526" t="e">
        <f t="shared" ca="1" si="30"/>
        <v>#NAME?</v>
      </c>
      <c r="BH61" s="526" t="e">
        <f t="shared" ca="1" si="30"/>
        <v>#NAME?</v>
      </c>
      <c r="BI61" s="527" t="e">
        <f t="shared" ca="1" si="30"/>
        <v>#NAME?</v>
      </c>
      <c r="BJ61" s="528" t="e">
        <f t="shared" ca="1" si="30"/>
        <v>#NAME?</v>
      </c>
      <c r="BK61" s="528" t="e">
        <f t="shared" ca="1" si="30"/>
        <v>#NAME?</v>
      </c>
      <c r="BL61" s="528" t="e">
        <f t="shared" ca="1" si="30"/>
        <v>#NAME?</v>
      </c>
      <c r="BM61" s="528" t="e">
        <f t="shared" ca="1" si="30"/>
        <v>#NAME?</v>
      </c>
      <c r="BN61" s="529" t="e">
        <f t="shared" ca="1" si="30"/>
        <v>#NAME?</v>
      </c>
    </row>
    <row r="62" spans="1:66" ht="13.5" hidden="1" customHeight="1" outlineLevel="1">
      <c r="A62" s="2"/>
      <c r="B62" s="37"/>
      <c r="C62" s="37"/>
      <c r="D62" s="9"/>
      <c r="E62" s="9"/>
      <c r="F62" s="9"/>
      <c r="G62" s="9"/>
      <c r="H62" s="9"/>
      <c r="I62" s="9"/>
      <c r="J62" s="9"/>
      <c r="K62" s="9"/>
      <c r="L62" s="9"/>
      <c r="M62" s="9"/>
      <c r="N62" s="9"/>
      <c r="O62" s="9"/>
      <c r="P62" s="9"/>
      <c r="Q62" s="9"/>
      <c r="R62" s="9"/>
      <c r="S62" s="9"/>
      <c r="T62" s="9"/>
      <c r="U62" s="9"/>
      <c r="V62" s="9"/>
      <c r="W62" s="9"/>
      <c r="X62" s="2"/>
      <c r="Y62" s="37"/>
      <c r="Z62" s="9"/>
      <c r="AA62" s="9"/>
      <c r="AB62" s="9"/>
      <c r="AC62" s="9"/>
      <c r="AD62" s="9"/>
      <c r="AE62" s="9"/>
      <c r="AF62" s="9"/>
      <c r="AG62" s="9"/>
      <c r="AH62" s="9"/>
      <c r="AI62" s="9"/>
      <c r="AJ62" s="9"/>
      <c r="AK62" s="9"/>
      <c r="AL62" s="9"/>
      <c r="AM62" s="9"/>
      <c r="AN62" s="9"/>
      <c r="AO62" s="9"/>
      <c r="AP62" s="9"/>
      <c r="AQ62" s="9"/>
      <c r="AR62" s="9"/>
      <c r="AS62" s="2"/>
      <c r="AT62" s="2"/>
      <c r="AU62" s="37"/>
      <c r="AV62" s="9"/>
      <c r="AW62" s="9"/>
      <c r="AX62" s="9"/>
      <c r="AY62" s="9"/>
      <c r="AZ62" s="9"/>
      <c r="BA62" s="9"/>
      <c r="BB62" s="9"/>
      <c r="BC62" s="9"/>
      <c r="BD62" s="9"/>
      <c r="BE62" s="9"/>
      <c r="BF62" s="9"/>
      <c r="BG62" s="9"/>
      <c r="BH62" s="9"/>
      <c r="BI62" s="9"/>
      <c r="BJ62" s="9"/>
      <c r="BK62" s="9"/>
      <c r="BL62" s="9"/>
      <c r="BM62" s="9"/>
      <c r="BN62" s="9"/>
    </row>
    <row r="63" spans="1:66" ht="13.5" hidden="1" customHeight="1" outlineLevel="1">
      <c r="A63" s="2"/>
      <c r="B63" s="37"/>
      <c r="C63" s="37"/>
      <c r="D63" s="497"/>
      <c r="E63" s="497"/>
      <c r="F63" s="37"/>
      <c r="G63" s="139"/>
      <c r="H63" s="139"/>
      <c r="I63" s="139"/>
      <c r="J63" s="139"/>
      <c r="K63" s="139"/>
      <c r="L63" s="139"/>
      <c r="M63" s="139"/>
      <c r="N63" s="139"/>
      <c r="O63" s="139"/>
      <c r="P63" s="139"/>
      <c r="Q63" s="139"/>
      <c r="R63" s="139"/>
      <c r="S63" s="139"/>
      <c r="T63" s="139"/>
      <c r="U63" s="139"/>
      <c r="V63" s="139"/>
      <c r="W63" s="9"/>
      <c r="X63" s="2"/>
      <c r="Y63" s="37"/>
      <c r="Z63" s="497"/>
      <c r="AA63" s="497"/>
      <c r="AB63" s="37"/>
      <c r="AC63" s="139"/>
      <c r="AD63" s="139"/>
      <c r="AE63" s="139"/>
      <c r="AF63" s="139"/>
      <c r="AG63" s="139"/>
      <c r="AH63" s="139"/>
      <c r="AI63" s="139"/>
      <c r="AJ63" s="139"/>
      <c r="AK63" s="139"/>
      <c r="AL63" s="139"/>
      <c r="AM63" s="139"/>
      <c r="AN63" s="139"/>
      <c r="AO63" s="139"/>
      <c r="AP63" s="139"/>
      <c r="AQ63" s="139"/>
      <c r="AR63" s="139"/>
      <c r="AS63" s="2"/>
      <c r="AT63" s="2"/>
      <c r="AU63" s="37"/>
      <c r="AV63" s="497"/>
      <c r="AW63" s="497"/>
      <c r="AX63" s="37"/>
      <c r="AY63" s="139"/>
      <c r="AZ63" s="139"/>
      <c r="BA63" s="139"/>
      <c r="BB63" s="139"/>
      <c r="BC63" s="139"/>
      <c r="BD63" s="139"/>
      <c r="BE63" s="139"/>
      <c r="BF63" s="139"/>
      <c r="BG63" s="139"/>
      <c r="BH63" s="139"/>
      <c r="BI63" s="139"/>
      <c r="BJ63" s="139"/>
      <c r="BK63" s="139"/>
      <c r="BL63" s="139"/>
      <c r="BM63" s="139"/>
      <c r="BN63" s="139"/>
    </row>
    <row r="64" spans="1:66" ht="13.5" hidden="1" customHeight="1" outlineLevel="1">
      <c r="A64" s="2"/>
      <c r="B64" s="37"/>
      <c r="C64" s="37"/>
      <c r="D64" s="1026" t="str">
        <f>D23</f>
        <v>Company</v>
      </c>
      <c r="E64" s="978"/>
      <c r="F64" s="978"/>
      <c r="G64" s="1026" t="str">
        <f>G23</f>
        <v>General Statistics</v>
      </c>
      <c r="H64" s="978"/>
      <c r="I64" s="978"/>
      <c r="J64" s="1026" t="str">
        <f>J23</f>
        <v>Returns Analysis</v>
      </c>
      <c r="K64" s="978"/>
      <c r="L64" s="978"/>
      <c r="M64" s="1026" t="str">
        <f>M23</f>
        <v>2025A Leverage Analysis</v>
      </c>
      <c r="N64" s="978"/>
      <c r="O64" s="978"/>
      <c r="P64" s="1026" t="str">
        <f>P23</f>
        <v>2025A Coverage Analysis</v>
      </c>
      <c r="Q64" s="978"/>
      <c r="R64" s="978"/>
      <c r="S64" s="1026" t="str">
        <f>S23</f>
        <v>Liquidity Profile</v>
      </c>
      <c r="T64" s="978"/>
      <c r="U64" s="1026" t="str">
        <f>U23</f>
        <v>Credit Profile</v>
      </c>
      <c r="V64" s="978"/>
      <c r="W64" s="9"/>
      <c r="X64" s="2"/>
      <c r="Y64" s="37"/>
      <c r="Z64" s="1026" t="str">
        <f>Z23</f>
        <v>Company</v>
      </c>
      <c r="AA64" s="978"/>
      <c r="AB64" s="978"/>
      <c r="AC64" s="1026" t="str">
        <f>AC23</f>
        <v>General Statistics</v>
      </c>
      <c r="AD64" s="978"/>
      <c r="AE64" s="978"/>
      <c r="AF64" s="1026" t="str">
        <f>AF23</f>
        <v>Returns Analysis</v>
      </c>
      <c r="AG64" s="978"/>
      <c r="AH64" s="978"/>
      <c r="AI64" s="1026" t="str">
        <f>AI23</f>
        <v>2025A Leverage Analysis</v>
      </c>
      <c r="AJ64" s="978"/>
      <c r="AK64" s="978"/>
      <c r="AL64" s="1026" t="str">
        <f>AL23</f>
        <v>2025A Coverage Analysis</v>
      </c>
      <c r="AM64" s="978"/>
      <c r="AN64" s="978"/>
      <c r="AO64" s="1026" t="str">
        <f>AO23</f>
        <v>Liquidity Profile</v>
      </c>
      <c r="AP64" s="978"/>
      <c r="AQ64" s="1026" t="str">
        <f>AQ23</f>
        <v>Credit Profile</v>
      </c>
      <c r="AR64" s="978"/>
      <c r="AS64" s="2"/>
      <c r="AT64" s="2"/>
      <c r="AU64" s="37"/>
      <c r="AV64" s="1026" t="str">
        <f>AV23</f>
        <v>Company</v>
      </c>
      <c r="AW64" s="978"/>
      <c r="AX64" s="978"/>
      <c r="AY64" s="1026" t="str">
        <f>AY23</f>
        <v>General Statistics</v>
      </c>
      <c r="AZ64" s="978"/>
      <c r="BA64" s="978"/>
      <c r="BB64" s="1026" t="str">
        <f>BB23</f>
        <v>Returns Analysis</v>
      </c>
      <c r="BC64" s="978"/>
      <c r="BD64" s="978"/>
      <c r="BE64" s="1026" t="str">
        <f>BE23</f>
        <v>2025A Leverage Analysis</v>
      </c>
      <c r="BF64" s="978"/>
      <c r="BG64" s="978"/>
      <c r="BH64" s="1026" t="str">
        <f>BH23</f>
        <v>2025A Coverage Analysis</v>
      </c>
      <c r="BI64" s="978"/>
      <c r="BJ64" s="978"/>
      <c r="BK64" s="1026" t="str">
        <f>BK23</f>
        <v>Liquidity Profile</v>
      </c>
      <c r="BL64" s="978"/>
      <c r="BM64" s="1026" t="str">
        <f>BM23</f>
        <v>Credit Profile</v>
      </c>
      <c r="BN64" s="978"/>
    </row>
    <row r="65" spans="1:66" ht="13.5" hidden="1" customHeight="1" outlineLevel="1">
      <c r="A65" s="2"/>
      <c r="B65" s="37"/>
      <c r="C65" s="37"/>
      <c r="D65" s="9"/>
      <c r="E65" s="9"/>
      <c r="F65" s="9"/>
      <c r="G65" s="9"/>
      <c r="H65" s="9"/>
      <c r="I65" s="9"/>
      <c r="J65" s="9"/>
      <c r="K65" s="9"/>
      <c r="L65" s="9"/>
      <c r="M65" s="1026" t="str">
        <f>M24</f>
        <v xml:space="preserve">Total Debt / </v>
      </c>
      <c r="N65" s="978"/>
      <c r="O65" s="978"/>
      <c r="P65" s="9"/>
      <c r="Q65" s="9"/>
      <c r="R65" s="9"/>
      <c r="S65" s="9"/>
      <c r="T65" s="9"/>
      <c r="U65" s="9"/>
      <c r="V65" s="9"/>
      <c r="W65" s="9"/>
      <c r="X65" s="2"/>
      <c r="Y65" s="37"/>
      <c r="Z65" s="9"/>
      <c r="AA65" s="9"/>
      <c r="AB65" s="9"/>
      <c r="AC65" s="9"/>
      <c r="AD65" s="9"/>
      <c r="AE65" s="9"/>
      <c r="AF65" s="9"/>
      <c r="AG65" s="9"/>
      <c r="AH65" s="9"/>
      <c r="AI65" s="1026" t="str">
        <f>AI24</f>
        <v xml:space="preserve">Total Debt / </v>
      </c>
      <c r="AJ65" s="978"/>
      <c r="AK65" s="978"/>
      <c r="AL65" s="9"/>
      <c r="AM65" s="9"/>
      <c r="AN65" s="9"/>
      <c r="AO65" s="9"/>
      <c r="AP65" s="9"/>
      <c r="AQ65" s="9"/>
      <c r="AR65" s="9"/>
      <c r="AS65" s="2"/>
      <c r="AT65" s="2"/>
      <c r="AU65" s="37"/>
      <c r="AV65" s="9"/>
      <c r="AW65" s="9"/>
      <c r="AX65" s="9"/>
      <c r="AY65" s="9"/>
      <c r="AZ65" s="9"/>
      <c r="BA65" s="9"/>
      <c r="BB65" s="9"/>
      <c r="BC65" s="9"/>
      <c r="BD65" s="9"/>
      <c r="BE65" s="1026" t="str">
        <f>BE24</f>
        <v xml:space="preserve">Total Debt / </v>
      </c>
      <c r="BF65" s="978"/>
      <c r="BG65" s="978"/>
      <c r="BH65" s="9"/>
      <c r="BI65" s="9"/>
      <c r="BJ65" s="9"/>
      <c r="BK65" s="9"/>
      <c r="BL65" s="9"/>
      <c r="BM65" s="9"/>
      <c r="BN65" s="9"/>
    </row>
    <row r="66" spans="1:66" ht="13.5" hidden="1" customHeight="1" outlineLevel="1">
      <c r="A66" s="2"/>
      <c r="B66" s="37"/>
      <c r="C66" s="37"/>
      <c r="D66" s="64"/>
      <c r="E66" s="64"/>
      <c r="F66" s="64"/>
      <c r="G66" s="64"/>
      <c r="H66" s="64"/>
      <c r="I66" s="64" t="str">
        <f>I25</f>
        <v>Dividend</v>
      </c>
      <c r="J66" s="64"/>
      <c r="K66" s="64"/>
      <c r="L66" s="64"/>
      <c r="M66" s="64"/>
      <c r="N66" s="64"/>
      <c r="O66" s="64"/>
      <c r="P66" s="64" t="str">
        <f>P25</f>
        <v xml:space="preserve">EBITDA / </v>
      </c>
      <c r="Q66" s="64" t="str">
        <f>Q25</f>
        <v>(EBITDA -</v>
      </c>
      <c r="R66" s="64" t="str">
        <f>R25</f>
        <v xml:space="preserve">EBIT / </v>
      </c>
      <c r="S66" s="64" t="str">
        <f>S25</f>
        <v>Quick</v>
      </c>
      <c r="T66" s="64" t="str">
        <f>T25</f>
        <v>Current</v>
      </c>
      <c r="U66" s="64"/>
      <c r="V66" s="64"/>
      <c r="W66" s="9"/>
      <c r="X66" s="2"/>
      <c r="Y66" s="37"/>
      <c r="Z66" s="64"/>
      <c r="AA66" s="64"/>
      <c r="AB66" s="64"/>
      <c r="AC66" s="64"/>
      <c r="AD66" s="64"/>
      <c r="AE66" s="64" t="str">
        <f>AE25</f>
        <v>Dividend</v>
      </c>
      <c r="AF66" s="64"/>
      <c r="AG66" s="64"/>
      <c r="AH66" s="64"/>
      <c r="AI66" s="64"/>
      <c r="AJ66" s="64"/>
      <c r="AK66" s="64"/>
      <c r="AL66" s="64" t="str">
        <f>AL25</f>
        <v xml:space="preserve">EBITDA / </v>
      </c>
      <c r="AM66" s="64" t="str">
        <f>AM25</f>
        <v>(EBITDA -</v>
      </c>
      <c r="AN66" s="64" t="str">
        <f>AN25</f>
        <v xml:space="preserve">EBIT / </v>
      </c>
      <c r="AO66" s="64" t="str">
        <f>AO25</f>
        <v>Quick</v>
      </c>
      <c r="AP66" s="64" t="str">
        <f>AP25</f>
        <v>Current</v>
      </c>
      <c r="AQ66" s="64"/>
      <c r="AR66" s="64"/>
      <c r="AS66" s="2"/>
      <c r="AT66" s="2"/>
      <c r="AU66" s="37"/>
      <c r="AV66" s="64"/>
      <c r="AW66" s="64"/>
      <c r="AX66" s="64"/>
      <c r="AY66" s="64"/>
      <c r="AZ66" s="64"/>
      <c r="BA66" s="64" t="str">
        <f>BA25</f>
        <v>Dividend</v>
      </c>
      <c r="BB66" s="64"/>
      <c r="BC66" s="64"/>
      <c r="BD66" s="64"/>
      <c r="BE66" s="64"/>
      <c r="BF66" s="64"/>
      <c r="BG66" s="64"/>
      <c r="BH66" s="64" t="str">
        <f>BH25</f>
        <v xml:space="preserve">EBITDA / </v>
      </c>
      <c r="BI66" s="64" t="str">
        <f>BI25</f>
        <v>(EBITDA -</v>
      </c>
      <c r="BJ66" s="64" t="str">
        <f>BJ25</f>
        <v xml:space="preserve">EBIT / </v>
      </c>
      <c r="BK66" s="64" t="str">
        <f>BK25</f>
        <v>Quick</v>
      </c>
      <c r="BL66" s="64" t="str">
        <f>BL25</f>
        <v>Current</v>
      </c>
      <c r="BM66" s="64"/>
      <c r="BN66" s="64"/>
    </row>
    <row r="67" spans="1:66" ht="13.5" hidden="1" customHeight="1" outlineLevel="1">
      <c r="A67" s="2"/>
      <c r="B67" s="37"/>
      <c r="C67" s="37"/>
      <c r="D67" s="103"/>
      <c r="E67" s="64"/>
      <c r="F67" s="437" t="str">
        <f t="shared" ref="F67:T67" si="31">F26</f>
        <v>Ticker</v>
      </c>
      <c r="G67" s="437" t="str">
        <f t="shared" si="31"/>
        <v>Tax Rate</v>
      </c>
      <c r="H67" s="437" t="str">
        <f t="shared" si="31"/>
        <v>Beta</v>
      </c>
      <c r="I67" s="437" t="str">
        <f t="shared" si="31"/>
        <v>Yield</v>
      </c>
      <c r="J67" s="437" t="str">
        <f t="shared" si="31"/>
        <v>ROIC</v>
      </c>
      <c r="K67" s="437" t="str">
        <f t="shared" si="31"/>
        <v xml:space="preserve">ROE </v>
      </c>
      <c r="L67" s="437" t="str">
        <f t="shared" si="31"/>
        <v>ROA</v>
      </c>
      <c r="M67" s="437" t="str">
        <f t="shared" si="31"/>
        <v>Cap</v>
      </c>
      <c r="N67" s="437" t="str">
        <f t="shared" si="31"/>
        <v>EBITDA</v>
      </c>
      <c r="O67" s="437" t="str">
        <f t="shared" si="31"/>
        <v>Equity</v>
      </c>
      <c r="P67" s="437" t="str">
        <f t="shared" si="31"/>
        <v>Int. Exp.</v>
      </c>
      <c r="Q67" s="437" t="str">
        <f t="shared" si="31"/>
        <v>Capex)/Int.</v>
      </c>
      <c r="R67" s="437" t="str">
        <f t="shared" si="31"/>
        <v>Int. Exp.</v>
      </c>
      <c r="S67" s="437" t="str">
        <f t="shared" si="31"/>
        <v>Ratio</v>
      </c>
      <c r="T67" s="437" t="str">
        <f t="shared" si="31"/>
        <v>Ratio</v>
      </c>
      <c r="U67" s="437" t="s">
        <v>506</v>
      </c>
      <c r="V67" s="437" t="s">
        <v>507</v>
      </c>
      <c r="W67" s="9"/>
      <c r="X67" s="2"/>
      <c r="Y67" s="37"/>
      <c r="Z67" s="103"/>
      <c r="AA67" s="64"/>
      <c r="AB67" s="437" t="str">
        <f t="shared" ref="AB67:AR67" si="32">AB26</f>
        <v>Ticker</v>
      </c>
      <c r="AC67" s="437" t="str">
        <f t="shared" si="32"/>
        <v>Tax Rate</v>
      </c>
      <c r="AD67" s="437" t="str">
        <f t="shared" si="32"/>
        <v>Beta</v>
      </c>
      <c r="AE67" s="437" t="str">
        <f t="shared" si="32"/>
        <v>Yield</v>
      </c>
      <c r="AF67" s="437" t="str">
        <f t="shared" si="32"/>
        <v>ROIC</v>
      </c>
      <c r="AG67" s="437" t="str">
        <f t="shared" si="32"/>
        <v xml:space="preserve">ROE </v>
      </c>
      <c r="AH67" s="437" t="str">
        <f t="shared" si="32"/>
        <v>ROA</v>
      </c>
      <c r="AI67" s="437" t="str">
        <f t="shared" si="32"/>
        <v>Cap</v>
      </c>
      <c r="AJ67" s="437" t="str">
        <f t="shared" si="32"/>
        <v>EBITDA</v>
      </c>
      <c r="AK67" s="437" t="str">
        <f t="shared" si="32"/>
        <v>Equity</v>
      </c>
      <c r="AL67" s="437" t="str">
        <f t="shared" si="32"/>
        <v>Int. Exp.</v>
      </c>
      <c r="AM67" s="437" t="str">
        <f t="shared" si="32"/>
        <v>Capex)/Int.</v>
      </c>
      <c r="AN67" s="437" t="str">
        <f t="shared" si="32"/>
        <v>Int. Exp.</v>
      </c>
      <c r="AO67" s="437" t="str">
        <f t="shared" si="32"/>
        <v>Ratio</v>
      </c>
      <c r="AP67" s="437" t="str">
        <f t="shared" si="32"/>
        <v>Ratio</v>
      </c>
      <c r="AQ67" s="437" t="str">
        <f t="shared" si="32"/>
        <v>S&amp;P</v>
      </c>
      <c r="AR67" s="437" t="str">
        <f t="shared" si="32"/>
        <v>Outlook</v>
      </c>
      <c r="AS67" s="2"/>
      <c r="AT67" s="2"/>
      <c r="AU67" s="37"/>
      <c r="AV67" s="103"/>
      <c r="AW67" s="64"/>
      <c r="AX67" s="437" t="str">
        <f t="shared" ref="AX67:BN67" si="33">AX26</f>
        <v>Ticker</v>
      </c>
      <c r="AY67" s="437" t="str">
        <f t="shared" si="33"/>
        <v>Tax Rate</v>
      </c>
      <c r="AZ67" s="437" t="str">
        <f t="shared" si="33"/>
        <v>Beta</v>
      </c>
      <c r="BA67" s="437" t="str">
        <f t="shared" si="33"/>
        <v>Yield</v>
      </c>
      <c r="BB67" s="437" t="str">
        <f t="shared" si="33"/>
        <v>ROIC</v>
      </c>
      <c r="BC67" s="437" t="str">
        <f t="shared" si="33"/>
        <v xml:space="preserve">ROE </v>
      </c>
      <c r="BD67" s="437" t="str">
        <f t="shared" si="33"/>
        <v>ROA</v>
      </c>
      <c r="BE67" s="437" t="str">
        <f t="shared" si="33"/>
        <v>Cap</v>
      </c>
      <c r="BF67" s="437" t="str">
        <f t="shared" si="33"/>
        <v>EBITDA</v>
      </c>
      <c r="BG67" s="437" t="str">
        <f t="shared" si="33"/>
        <v>Equity</v>
      </c>
      <c r="BH67" s="437" t="str">
        <f t="shared" si="33"/>
        <v>Int. Exp.</v>
      </c>
      <c r="BI67" s="437" t="str">
        <f t="shared" si="33"/>
        <v>Capex)/Int.</v>
      </c>
      <c r="BJ67" s="437" t="str">
        <f t="shared" si="33"/>
        <v>Int. Exp.</v>
      </c>
      <c r="BK67" s="437" t="str">
        <f t="shared" si="33"/>
        <v>Ratio</v>
      </c>
      <c r="BL67" s="437" t="str">
        <f t="shared" si="33"/>
        <v>Ratio</v>
      </c>
      <c r="BM67" s="437" t="str">
        <f t="shared" si="33"/>
        <v>S&amp;P</v>
      </c>
      <c r="BN67" s="437" t="str">
        <f t="shared" si="33"/>
        <v>Outlook</v>
      </c>
    </row>
    <row r="68" spans="1:66" ht="4.5" hidden="1" customHeight="1" outlineLevel="1">
      <c r="A68" s="2"/>
      <c r="B68" s="37"/>
      <c r="C68" s="37"/>
      <c r="D68" s="64"/>
      <c r="E68" s="64"/>
      <c r="F68" s="64"/>
      <c r="G68" s="64"/>
      <c r="H68" s="64"/>
      <c r="I68" s="439"/>
      <c r="J68" s="64"/>
      <c r="K68" s="64"/>
      <c r="L68" s="64"/>
      <c r="M68" s="64"/>
      <c r="N68" s="64"/>
      <c r="O68" s="64"/>
      <c r="P68" s="64"/>
      <c r="Q68" s="64"/>
      <c r="R68" s="64"/>
      <c r="S68" s="64"/>
      <c r="T68" s="64"/>
      <c r="U68" s="64"/>
      <c r="V68" s="64"/>
      <c r="W68" s="9"/>
      <c r="X68" s="2"/>
      <c r="Y68" s="37"/>
      <c r="Z68" s="64"/>
      <c r="AA68" s="64"/>
      <c r="AB68" s="64"/>
      <c r="AC68" s="64"/>
      <c r="AD68" s="64"/>
      <c r="AE68" s="439"/>
      <c r="AF68" s="64"/>
      <c r="AG68" s="64"/>
      <c r="AH68" s="64"/>
      <c r="AI68" s="64"/>
      <c r="AJ68" s="64"/>
      <c r="AK68" s="64"/>
      <c r="AL68" s="64"/>
      <c r="AM68" s="64"/>
      <c r="AN68" s="64"/>
      <c r="AO68" s="64"/>
      <c r="AP68" s="64"/>
      <c r="AQ68" s="64"/>
      <c r="AR68" s="64"/>
      <c r="AS68" s="2"/>
      <c r="AT68" s="2"/>
      <c r="AU68" s="37"/>
      <c r="AV68" s="64"/>
      <c r="AW68" s="64"/>
      <c r="AX68" s="64"/>
      <c r="AY68" s="64"/>
      <c r="AZ68" s="64"/>
      <c r="BA68" s="439"/>
      <c r="BB68" s="64"/>
      <c r="BC68" s="64"/>
      <c r="BD68" s="64"/>
      <c r="BE68" s="64"/>
      <c r="BF68" s="64"/>
      <c r="BG68" s="64"/>
      <c r="BH68" s="64"/>
      <c r="BI68" s="64"/>
      <c r="BJ68" s="64"/>
      <c r="BK68" s="64"/>
      <c r="BL68" s="64"/>
      <c r="BM68" s="64"/>
      <c r="BN68" s="64"/>
    </row>
    <row r="69" spans="1:66" ht="13.5" hidden="1" customHeight="1" outlineLevel="1">
      <c r="A69" s="2"/>
      <c r="B69" s="498" t="str">
        <f>E88</f>
        <v>IQ780675</v>
      </c>
      <c r="C69" s="498"/>
      <c r="D69" s="499" t="e">
        <f ca="1">D51</f>
        <v>#NAME?</v>
      </c>
      <c r="E69" s="500"/>
      <c r="F69" s="501" t="str">
        <f>F51</f>
        <v>HLNE</v>
      </c>
      <c r="G69" s="503" t="e">
        <f ca="1">_xll.ciqfunctions.udf.CIQ($B69, "IQ_EFFECT_TAX_RATE",IQ_FY)/100</f>
        <v>#NAME?</v>
      </c>
      <c r="H69" s="530" t="e">
        <f ca="1">_xll.ciqfunctions.udf.CIQ($B69, "IQ_BETA_5YR",Current_Date)</f>
        <v>#NAME?</v>
      </c>
      <c r="I69" s="503" t="e">
        <f ca="1">_xll.ciqfunctions.udf.CIQ($B69, "IQ_DIVIDEND_YIELD",Current_Date)/100</f>
        <v>#NAME?</v>
      </c>
      <c r="J69" s="503" t="e">
        <f ca="1">(_xll.ciqfunctions.udf.CIQ($B69,"IQ_OPER_INC",IQ_LTM)*(1-G69))/(((_xll.ciqfunctions.udf.CIQ($B69,"IQ_TOTAL_DEBT",IQ_LTM))+_xll.ciqfunctions.udf.CIQ($B69,"IQ_TOTAL_EQUITY",IQ_LTM))-_xll.ciqfunctions.udf.CIQ($B69,"IQ_CASH_EQUIV",IQ_LTM))</f>
        <v>#NAME?</v>
      </c>
      <c r="K69" s="503" t="e">
        <f ca="1">_xll.ciqfunctions.udf.CIQ($B69, "IQ_RETURN_EQUITY",IQ_LTM)/100</f>
        <v>#NAME?</v>
      </c>
      <c r="L69" s="503" t="e">
        <f ca="1">_xll.ciqfunctions.udf.CIQ($B69, "IQ_RETURN_ASSETS",IQ_LTM)/100</f>
        <v>#NAME?</v>
      </c>
      <c r="M69" s="504" t="e">
        <f ca="1">_xll.ciqfunctions.udf.CIQ($B69, "IQ_TOTAL_DEBT_CAPITAL",IQ_FY)/100</f>
        <v>#NAME?</v>
      </c>
      <c r="N69" s="504" t="e">
        <f ca="1">_xll.ciqfunctions.udf.CIQ($B69, "IQ_TOTAL_DEBT_EBITDA",IQ_FY)</f>
        <v>#NAME?</v>
      </c>
      <c r="O69" s="504" t="e">
        <f ca="1">_xll.ciqfunctions.udf.CIQ($B69, "IQ_TOTAL_DEBT_EQUITY",IQ_FY)/100</f>
        <v>#NAME?</v>
      </c>
      <c r="P69" s="504" t="e">
        <f ca="1">_xll.ciqfunctions.udf.CIQ($B69, "IQ_EBITDA_INT",IQ_FY)</f>
        <v>#NAME?</v>
      </c>
      <c r="Q69" s="504" t="e">
        <f ca="1">_xll.ciqfunctions.udf.CIQ($B69, "IQ_EBITDA_CAPEX_INT",IQ_FY)</f>
        <v>#NAME?</v>
      </c>
      <c r="R69" s="504" t="e">
        <f ca="1">_xll.ciqfunctions.udf.CIQ($B69, "IQ_EBIT_INT",IQ_FY)</f>
        <v>#NAME?</v>
      </c>
      <c r="S69" s="504" t="e">
        <f ca="1">_xll.ciqfunctions.udf.CIQ($B69, "IQ_QUICK_RATIO",IQ_FY)</f>
        <v>#NAME?</v>
      </c>
      <c r="T69" s="504" t="e">
        <f ca="1">_xll.ciqfunctions.udf.CIQ($B69, "IQ_CURRENT_RATIO",IQ_FY)</f>
        <v>#NAME?</v>
      </c>
      <c r="U69" s="501" t="e">
        <f ca="1">_xll.ciqfunctions.udf.CIQ($B69, "IQ_SP_LC_LT",Current)</f>
        <v>#NAME?</v>
      </c>
      <c r="V69" s="531" t="e">
        <f ca="1">_xll.ciqfunctions.udf.CIQ($B69, "IQ_SP_OUTLOOK_WATCH",Current)</f>
        <v>#NAME?</v>
      </c>
      <c r="W69" s="9"/>
      <c r="X69" s="498" t="str">
        <f>I88</f>
        <v>IQ780675</v>
      </c>
      <c r="Y69" s="37"/>
      <c r="Z69" s="499" t="str">
        <f>Z51</f>
        <v>Hamilton Lane Inc.</v>
      </c>
      <c r="AA69" s="500"/>
      <c r="AB69" s="501" t="str">
        <f>AB51</f>
        <v>HLNE</v>
      </c>
      <c r="AC69" s="503" t="e">
        <f ca="1">_xll.ciqfunctions.udf.CIQ($X69, "IQ_EFFECT_TAX_RATE",IQ_FY)/100</f>
        <v>#NAME?</v>
      </c>
      <c r="AD69" s="530" t="e">
        <f ca="1">_xll.ciqfunctions.udf.CIQ($X69, "IQ_BETA_5YR",Current_Date)</f>
        <v>#NAME?</v>
      </c>
      <c r="AE69" s="503" t="e">
        <f ca="1">_xll.ciqfunctions.udf.CIQ($X69, "IQ_DIVIDEND_YIELD",Current_Date)/100</f>
        <v>#NAME?</v>
      </c>
      <c r="AF69" s="503" t="e">
        <f ca="1">(_xll.ciqfunctions.udf.CIQ($X69,"IQ_OPER_INC",IQ_LTM)*(1-AC69))/(((_xll.ciqfunctions.udf.CIQ($X69,"IQ_TOTAL_DEBT",IQ_LTM))+_xll.ciqfunctions.udf.CIQ($X69,"IQ_TOTAL_EQUITY",IQ_LTM))-_xll.ciqfunctions.udf.CIQ($X69,"IQ_CASH_EQUIV",IQ_LTM))</f>
        <v>#NAME?</v>
      </c>
      <c r="AG69" s="503" t="e">
        <f ca="1">_xll.ciqfunctions.udf.CIQ($X69, "IQ_RETURN_EQUITY",IQ_LTM)/100</f>
        <v>#NAME?</v>
      </c>
      <c r="AH69" s="503" t="e">
        <f ca="1">_xll.ciqfunctions.udf.CIQ($X69, "IQ_RETURN_ASSETS",IQ_LTM)/100</f>
        <v>#NAME?</v>
      </c>
      <c r="AI69" s="504" t="e">
        <f ca="1">_xll.ciqfunctions.udf.CIQ($X69, "IQ_TOTAL_DEBT_CAPITAL",IQ_FY)/100</f>
        <v>#NAME?</v>
      </c>
      <c r="AJ69" s="504" t="e">
        <f ca="1">_xll.ciqfunctions.udf.CIQ($X69, "IQ_TOTAL_DEBT_EBITDA",IQ_FY)</f>
        <v>#NAME?</v>
      </c>
      <c r="AK69" s="504" t="e">
        <f ca="1">_xll.ciqfunctions.udf.CIQ($X69, "IQ_TOTAL_DEBT_EQUITY",IQ_FY)/100</f>
        <v>#NAME?</v>
      </c>
      <c r="AL69" s="504" t="e">
        <f ca="1">_xll.ciqfunctions.udf.CIQ($X69, "IQ_EBITDA_INT",IQ_FY)</f>
        <v>#NAME?</v>
      </c>
      <c r="AM69" s="504" t="e">
        <f ca="1">_xll.ciqfunctions.udf.CIQ($X69, "IQ_EBITDA_CAPEX_INT",IQ_FY)</f>
        <v>#NAME?</v>
      </c>
      <c r="AN69" s="504" t="e">
        <f ca="1">_xll.ciqfunctions.udf.CIQ($X69, "IQ_EBIT_INT",IQ_FY)</f>
        <v>#NAME?</v>
      </c>
      <c r="AO69" s="530" t="e">
        <f ca="1">_xll.ciqfunctions.udf.CIQ($X69, "IQ_QUICK_RATIO",IQ_FY)</f>
        <v>#NAME?</v>
      </c>
      <c r="AP69" s="530" t="e">
        <f ca="1">_xll.ciqfunctions.udf.CIQ($X69, "IQ_CURRENT_RATIO",IQ_FY)</f>
        <v>#NAME?</v>
      </c>
      <c r="AQ69" s="501" t="e">
        <f ca="1">_xll.ciqfunctions.udf.CIQ($X69, "IQ_SP_LC_LT",Current)</f>
        <v>#NAME?</v>
      </c>
      <c r="AR69" s="531" t="e">
        <f ca="1">_xll.ciqfunctions.udf.CIQ($X69, "IQ_SP_OUTLOOK_WATCH",Current)</f>
        <v>#NAME?</v>
      </c>
      <c r="AS69" s="2"/>
      <c r="AT69" s="498" t="str">
        <f>N88</f>
        <v>IQ780675</v>
      </c>
      <c r="AU69" s="37">
        <f>AU51</f>
        <v>0</v>
      </c>
      <c r="AV69" s="499" t="str">
        <f>AV51</f>
        <v>Hamilton Lane Inc.</v>
      </c>
      <c r="AW69" s="500"/>
      <c r="AX69" s="501" t="str">
        <f>AX51</f>
        <v>HLNE</v>
      </c>
      <c r="AY69" s="503" t="e">
        <f ca="1">_xll.ciqfunctions.udf.CIQ($AT69, "IQ_EFFECT_TAX_RATE",IQ_FY)/100</f>
        <v>#NAME?</v>
      </c>
      <c r="AZ69" s="530" t="e">
        <f ca="1">_xll.ciqfunctions.udf.CIQ($AT69, "IQ_BETA_5YR",Current_Date)</f>
        <v>#NAME?</v>
      </c>
      <c r="BA69" s="503" t="e">
        <f ca="1">_xll.ciqfunctions.udf.CIQ($AT69, "IQ_DIVIDEND_YIELD",Current_Date)/100</f>
        <v>#NAME?</v>
      </c>
      <c r="BB69" s="503" t="e">
        <f ca="1">(_xll.ciqfunctions.udf.CIQ($AT69,"IQ_OPER_INC",IQ_LTM)*(1-AY69))/(((_xll.ciqfunctions.udf.CIQ($AT69,"IQ_TOTAL_DEBT",IQ_LTM))+_xll.ciqfunctions.udf.CIQ($AT69,"IQ_TOTAL_EQUITY",IQ_LTM))-_xll.ciqfunctions.udf.CIQ($AT69,"IQ_CASH_EQUIV",IQ_LTM))</f>
        <v>#NAME?</v>
      </c>
      <c r="BC69" s="503" t="e">
        <f ca="1">_xll.ciqfunctions.udf.CIQ($AT69, "IQ_RETURN_EQUITY",IQ_LTM)/100</f>
        <v>#NAME?</v>
      </c>
      <c r="BD69" s="503" t="e">
        <f ca="1">_xll.ciqfunctions.udf.CIQ($AT69, "IQ_RETURN_ASSETS",IQ_LTM)/100</f>
        <v>#NAME?</v>
      </c>
      <c r="BE69" s="504" t="e">
        <f ca="1">_xll.ciqfunctions.udf.CIQ($AT69, "IQ_TOTAL_DEBT_CAPITAL",IQ_FY)/100</f>
        <v>#NAME?</v>
      </c>
      <c r="BF69" s="504" t="e">
        <f ca="1">_xll.ciqfunctions.udf.CIQ($AT69, "IQ_TOTAL_DEBT_EBITDA",IQ_FY)</f>
        <v>#NAME?</v>
      </c>
      <c r="BG69" s="504" t="e">
        <f ca="1">_xll.ciqfunctions.udf.CIQ($AT69, "IQ_TOTAL_DEBT_EQUITY",IQ_FY)/100</f>
        <v>#NAME?</v>
      </c>
      <c r="BH69" s="504" t="e">
        <f ca="1">_xll.ciqfunctions.udf.CIQ($AT69, "IQ_EBITDA_INT",IQ_FY)</f>
        <v>#NAME?</v>
      </c>
      <c r="BI69" s="504" t="e">
        <f ca="1">_xll.ciqfunctions.udf.CIQ($AT69, "IQ_EBITDA_CAPEX_INT",IQ_FY)</f>
        <v>#NAME?</v>
      </c>
      <c r="BJ69" s="504" t="e">
        <f ca="1">_xll.ciqfunctions.udf.CIQ($AT69, "IQ_EBIT_INT",IQ_FY)</f>
        <v>#NAME?</v>
      </c>
      <c r="BK69" s="530" t="e">
        <f ca="1">_xll.ciqfunctions.udf.CIQ($AT69, "IQ_QUICK_RATIO",IQ_FY)</f>
        <v>#NAME?</v>
      </c>
      <c r="BL69" s="530" t="e">
        <f ca="1">_xll.ciqfunctions.udf.CIQ($AT69, "IQ_CURRENT_RATIO",IQ_FY)</f>
        <v>#NAME?</v>
      </c>
      <c r="BM69" s="501" t="e">
        <f ca="1">_xll.ciqfunctions.udf.CIQ($AT69, "IQ_SP_LC_LT",Current)</f>
        <v>#NAME?</v>
      </c>
      <c r="BN69" s="531" t="e">
        <f ca="1">_xll.ciqfunctions.udf.CIQ($AT69, "IQ_SP_OUTLOOK_WATCH",Current)</f>
        <v>#NAME?</v>
      </c>
    </row>
    <row r="70" spans="1:66" ht="13.5" hidden="1" customHeight="1" outlineLevel="1">
      <c r="A70" s="2"/>
      <c r="B70" s="498"/>
      <c r="C70" s="498"/>
      <c r="D70" s="9"/>
      <c r="E70" s="9"/>
      <c r="F70" s="64"/>
      <c r="G70" s="439"/>
      <c r="H70" s="64"/>
      <c r="I70" s="506"/>
      <c r="J70" s="494"/>
      <c r="K70" s="494"/>
      <c r="L70" s="494"/>
      <c r="M70" s="494"/>
      <c r="N70" s="450"/>
      <c r="O70" s="494"/>
      <c r="P70" s="450"/>
      <c r="Q70" s="447"/>
      <c r="R70" s="447"/>
      <c r="S70" s="494"/>
      <c r="T70" s="494"/>
      <c r="U70" s="32"/>
      <c r="V70" s="32"/>
      <c r="W70" s="9"/>
      <c r="X70" s="498"/>
      <c r="Y70" s="37"/>
      <c r="Z70" s="9"/>
      <c r="AA70" s="9"/>
      <c r="AB70" s="64"/>
      <c r="AC70" s="506"/>
      <c r="AD70" s="64"/>
      <c r="AE70" s="506"/>
      <c r="AF70" s="494"/>
      <c r="AG70" s="494"/>
      <c r="AH70" s="494"/>
      <c r="AI70" s="494"/>
      <c r="AJ70" s="450"/>
      <c r="AK70" s="494"/>
      <c r="AL70" s="450"/>
      <c r="AM70" s="447"/>
      <c r="AN70" s="447"/>
      <c r="AO70" s="64"/>
      <c r="AP70" s="64"/>
      <c r="AQ70" s="32"/>
      <c r="AR70" s="32"/>
      <c r="AS70" s="2"/>
      <c r="AT70" s="498"/>
      <c r="AU70" s="37"/>
      <c r="AV70" s="9"/>
      <c r="AW70" s="9"/>
      <c r="AX70" s="64"/>
      <c r="AY70" s="506"/>
      <c r="AZ70" s="64"/>
      <c r="BA70" s="506"/>
      <c r="BB70" s="494"/>
      <c r="BC70" s="494"/>
      <c r="BD70" s="494"/>
      <c r="BE70" s="494"/>
      <c r="BF70" s="450"/>
      <c r="BG70" s="494"/>
      <c r="BH70" s="450"/>
      <c r="BI70" s="447"/>
      <c r="BJ70" s="447"/>
      <c r="BK70" s="64"/>
      <c r="BL70" s="64"/>
      <c r="BM70" s="32"/>
      <c r="BN70" s="32"/>
    </row>
    <row r="71" spans="1:66" ht="13.5" hidden="1" customHeight="1" outlineLevel="1">
      <c r="A71" s="2"/>
      <c r="B71" s="498" t="str">
        <f>E92</f>
        <v>IQ34231914</v>
      </c>
      <c r="C71" s="498"/>
      <c r="D71" s="9" t="e">
        <f ca="1">D53</f>
        <v>#NAME?</v>
      </c>
      <c r="E71" s="9"/>
      <c r="F71" s="64" t="str">
        <f>E91</f>
        <v>STEP</v>
      </c>
      <c r="G71" s="446">
        <v>0.14099999999999999</v>
      </c>
      <c r="H71" s="480" t="e">
        <f ca="1">_xll.ciqfunctions.udf.CIQ($B71, "IQ_BETA_5YR",Current_Date)</f>
        <v>#NAME?</v>
      </c>
      <c r="I71" s="446" t="e">
        <f ca="1">_xll.ciqfunctions.udf.CIQ($B71, "IQ_DIVIDEND_YIELD",Current_Date)/100</f>
        <v>#NAME?</v>
      </c>
      <c r="J71" s="446" t="e">
        <f ca="1">(_xll.ciqfunctions.udf.CIQ($B71,"IQ_OPER_INC",IQ_LTM)*(1-G71))/(((_xll.ciqfunctions.udf.CIQ($B71,"IQ_TOTAL_DEBT",IQ_LTM))+_xll.ciqfunctions.udf.CIQ($B71,"IQ_TOTAL_EQUITY",IQ_LTM))-_xll.ciqfunctions.udf.CIQ($B71,"IQ_CASH_EQUIV",IQ_LTM))</f>
        <v>#NAME?</v>
      </c>
      <c r="K71" s="446" t="e">
        <f ca="1">_xll.ciqfunctions.udf.CIQ($B71, "IQ_RETURN_EQUITY",IQ_LTM)/100</f>
        <v>#NAME?</v>
      </c>
      <c r="L71" s="446" t="e">
        <f ca="1">_xll.ciqfunctions.udf.CIQ($B71, "IQ_RETURN_ASSETS",IQ_LTM)/100</f>
        <v>#NAME?</v>
      </c>
      <c r="M71" s="450" t="e">
        <f ca="1">_xll.ciqfunctions.udf.CIQ($B71, "IQ_TOTAL_DEBT_CAPITAL",IQ_FY)/100</f>
        <v>#NAME?</v>
      </c>
      <c r="N71" s="450" t="e">
        <f ca="1">_xll.ciqfunctions.udf.CIQ($B71, "IQ_TOTAL_DEBT_EBITDA",IQ_FY)</f>
        <v>#NAME?</v>
      </c>
      <c r="O71" s="450" t="e">
        <f ca="1">_xll.ciqfunctions.udf.CIQ($B71, "IQ_TOTAL_DEBT_EQUITY",IQ_FY)/100</f>
        <v>#NAME?</v>
      </c>
      <c r="P71" s="450" t="e">
        <f ca="1">_xll.ciqfunctions.udf.CIQ($B71, "IQ_EBITDA_INT",IQ_FY)</f>
        <v>#NAME?</v>
      </c>
      <c r="Q71" s="450" t="e">
        <f ca="1">_xll.ciqfunctions.udf.CIQ($B71, "IQ_EBITDA_CAPEX_INT",IQ_FY)</f>
        <v>#NAME?</v>
      </c>
      <c r="R71" s="450" t="e">
        <f ca="1">_xll.ciqfunctions.udf.CIQ($B71, "IQ_EBIT_INT",IQ_FY)</f>
        <v>#NAME?</v>
      </c>
      <c r="S71" s="450" t="e">
        <f ca="1">_xll.ciqfunctions.udf.CIQ($B71, "IQ_QUICK_RATIO",IQ_FY)</f>
        <v>#NAME?</v>
      </c>
      <c r="T71" s="450" t="e">
        <f ca="1">_xll.ciqfunctions.udf.CIQ($B71, "IQ_CURRENT_RATIO",IQ_FY)</f>
        <v>#NAME?</v>
      </c>
      <c r="U71" s="64" t="e">
        <f ca="1">_xll.ciqfunctions.udf.CIQ($B71, "IQ_SP_LC_LT",Current)</f>
        <v>#NAME?</v>
      </c>
      <c r="V71" s="64" t="e">
        <f ca="1">_xll.ciqfunctions.udf.CIQ($B71, "IQ_SP_OUTLOOK_WATCH",Current)</f>
        <v>#NAME?</v>
      </c>
      <c r="W71" s="9"/>
      <c r="X71" s="498" t="str">
        <f>I92</f>
        <v>IQ159230</v>
      </c>
      <c r="Y71" s="37"/>
      <c r="Z71" s="9" t="e">
        <f ca="1">Z53</f>
        <v>#NAME?</v>
      </c>
      <c r="AA71" s="9"/>
      <c r="AB71" s="64" t="str">
        <f>I91</f>
        <v>RTX</v>
      </c>
      <c r="AC71" s="446" t="e">
        <f ca="1">_xll.ciqfunctions.udf.CIQ($X71, "IQ_EFFECT_TAX_RATE",IQ_FY)/100</f>
        <v>#NAME?</v>
      </c>
      <c r="AD71" s="480" t="e">
        <f ca="1">_xll.ciqfunctions.udf.CIQ($X71, "IQ_BETA_5YR",Current_Date)</f>
        <v>#NAME?</v>
      </c>
      <c r="AE71" s="446" t="e">
        <f ca="1">_xll.ciqfunctions.udf.CIQ($X71, "IQ_DIVIDEND_YIELD",Current_Date)/100</f>
        <v>#NAME?</v>
      </c>
      <c r="AF71" s="446" t="e">
        <f ca="1">(_xll.ciqfunctions.udf.CIQ($X71,"IQ_OPER_INC",IQ_LTM)*(1-AC71))/(((_xll.ciqfunctions.udf.CIQ($X71,"IQ_TOTAL_DEBT",IQ_LTM))+_xll.ciqfunctions.udf.CIQ($X71,"IQ_TOTAL_EQUITY",IQ_LTM))-_xll.ciqfunctions.udf.CIQ($X71,"IQ_CASH_EQUIV",IQ_LTM))</f>
        <v>#NAME?</v>
      </c>
      <c r="AG71" s="446" t="e">
        <f ca="1">_xll.ciqfunctions.udf.CIQ($X71, "IQ_RETURN_EQUITY",IQ_LTM)/100</f>
        <v>#NAME?</v>
      </c>
      <c r="AH71" s="446" t="e">
        <f ca="1">_xll.ciqfunctions.udf.CIQ($X71, "IQ_RETURN_ASSETS",IQ_LTM)/100</f>
        <v>#NAME?</v>
      </c>
      <c r="AI71" s="450" t="e">
        <f ca="1">_xll.ciqfunctions.udf.CIQ($X71, "IQ_TOTAL_DEBT_CAPITAL",IQ_FY)/100</f>
        <v>#NAME?</v>
      </c>
      <c r="AJ71" s="450" t="e">
        <f ca="1">_xll.ciqfunctions.udf.CIQ($X71, "IQ_TOTAL_DEBT_EBITDA",IQ_FY)</f>
        <v>#NAME?</v>
      </c>
      <c r="AK71" s="450" t="e">
        <f ca="1">_xll.ciqfunctions.udf.CIQ($X71, "IQ_TOTAL_DEBT_EQUITY",IQ_FY)/100</f>
        <v>#NAME?</v>
      </c>
      <c r="AL71" s="450" t="e">
        <f ca="1">_xll.ciqfunctions.udf.CIQ($X71, "IQ_EBITDA_INT",IQ_FY)</f>
        <v>#NAME?</v>
      </c>
      <c r="AM71" s="450" t="e">
        <f ca="1">_xll.ciqfunctions.udf.CIQ($X71, "IQ_EBITDA_CAPEX_INT",IQ_FY)</f>
        <v>#NAME?</v>
      </c>
      <c r="AN71" s="450" t="e">
        <f ca="1">_xll.ciqfunctions.udf.CIQ($X71, "IQ_EBIT_INT",IQ_FY)</f>
        <v>#NAME?</v>
      </c>
      <c r="AO71" s="480" t="e">
        <f ca="1">_xll.ciqfunctions.udf.CIQ($X71, "IQ_QUICK_RATIO",IQ_FY)</f>
        <v>#NAME?</v>
      </c>
      <c r="AP71" s="480" t="e">
        <f ca="1">_xll.ciqfunctions.udf.CIQ($X71, "IQ_CURRENT_RATIO",IQ_FY)</f>
        <v>#NAME?</v>
      </c>
      <c r="AQ71" s="64" t="e">
        <f ca="1">_xll.ciqfunctions.udf.CIQ($X71, "IQ_SP_LC_LT",Current)</f>
        <v>#NAME?</v>
      </c>
      <c r="AR71" s="64" t="e">
        <f ca="1">_xll.ciqfunctions.udf.CIQ($X71, "IQ_SP_OUTLOOK_WATCH",Current)</f>
        <v>#NAME?</v>
      </c>
      <c r="AS71" s="2"/>
      <c r="AT71" s="498" t="str">
        <f>N92</f>
        <v>IQ289194</v>
      </c>
      <c r="AU71" s="37">
        <f>AU53</f>
        <v>0</v>
      </c>
      <c r="AV71" s="9" t="e">
        <f ca="1">AV53</f>
        <v>#NAME?</v>
      </c>
      <c r="AW71" s="9"/>
      <c r="AX71" s="64" t="str">
        <f>AX53</f>
        <v>MMM</v>
      </c>
      <c r="AY71" s="446" t="e">
        <f ca="1">_xll.ciqfunctions.udf.CIQ($AT71, "IQ_EFFECT_TAX_RATE",IQ_FY)/100</f>
        <v>#NAME?</v>
      </c>
      <c r="AZ71" s="480" t="e">
        <f ca="1">_xll.ciqfunctions.udf.CIQ($AT71, "IQ_BETA_5YR",Current_Date)</f>
        <v>#NAME?</v>
      </c>
      <c r="BA71" s="446" t="e">
        <f ca="1">_xll.ciqfunctions.udf.CIQ($AT71, "IQ_DIVIDEND_YIELD",Current_Date)/100</f>
        <v>#NAME?</v>
      </c>
      <c r="BB71" s="446" t="e">
        <f ca="1">(_xll.ciqfunctions.udf.CIQ($AT71,"IQ_OPER_INC",IQ_LTM)*(1-AY71))/(((_xll.ciqfunctions.udf.CIQ($AT71,"IQ_TOTAL_DEBT",IQ_LTM))+_xll.ciqfunctions.udf.CIQ($AT71,"IQ_TOTAL_EQUITY",IQ_LTM))-_xll.ciqfunctions.udf.CIQ($AT71,"IQ_CASH_EQUIV",IQ_LTM))</f>
        <v>#NAME?</v>
      </c>
      <c r="BC71" s="446" t="e">
        <f ca="1">_xll.ciqfunctions.udf.CIQ($AT71, "IQ_RETURN_EQUITY",IQ_LTM)/100</f>
        <v>#NAME?</v>
      </c>
      <c r="BD71" s="446" t="e">
        <f ca="1">_xll.ciqfunctions.udf.CIQ($AT71, "IQ_RETURN_ASSETS",IQ_LTM)/100</f>
        <v>#NAME?</v>
      </c>
      <c r="BE71" s="450" t="e">
        <f ca="1">_xll.ciqfunctions.udf.CIQ($AT71, "IQ_TOTAL_DEBT_CAPITAL",IQ_FY)/100</f>
        <v>#NAME?</v>
      </c>
      <c r="BF71" s="450" t="e">
        <f ca="1">_xll.ciqfunctions.udf.CIQ($AT71, "IQ_TOTAL_DEBT_EBITDA",IQ_FY)</f>
        <v>#NAME?</v>
      </c>
      <c r="BG71" s="450" t="e">
        <f ca="1">_xll.ciqfunctions.udf.CIQ($AT71, "IQ_TOTAL_DEBT_EQUITY",IQ_FY)/100</f>
        <v>#NAME?</v>
      </c>
      <c r="BH71" s="450" t="e">
        <f ca="1">_xll.ciqfunctions.udf.CIQ($AT71, "IQ_EBITDA_INT",IQ_FY)</f>
        <v>#NAME?</v>
      </c>
      <c r="BI71" s="450" t="e">
        <f ca="1">_xll.ciqfunctions.udf.CIQ($AT71, "IQ_EBITDA_CAPEX_INT",IQ_FY)</f>
        <v>#NAME?</v>
      </c>
      <c r="BJ71" s="450" t="e">
        <f ca="1">_xll.ciqfunctions.udf.CIQ($AT71, "IQ_EBIT_INT",IQ_FY)</f>
        <v>#NAME?</v>
      </c>
      <c r="BK71" s="480" t="e">
        <f ca="1">_xll.ciqfunctions.udf.CIQ($AT71, "IQ_QUICK_RATIO",IQ_FY)</f>
        <v>#NAME?</v>
      </c>
      <c r="BL71" s="480" t="e">
        <f ca="1">_xll.ciqfunctions.udf.CIQ($AT71, "IQ_CURRENT_RATIO",IQ_FY)</f>
        <v>#NAME?</v>
      </c>
      <c r="BM71" s="64" t="e">
        <f ca="1">_xll.ciqfunctions.udf.CIQ($AT71, "IQ_SP_LC_LT",Current)</f>
        <v>#NAME?</v>
      </c>
      <c r="BN71" s="64" t="e">
        <f ca="1">_xll.ciqfunctions.udf.CIQ($AT71, "IQ_SP_OUTLOOK_WATCH",Current)</f>
        <v>#NAME?</v>
      </c>
    </row>
    <row r="72" spans="1:66" ht="13.5" hidden="1" customHeight="1" outlineLevel="1">
      <c r="A72" s="2"/>
      <c r="B72" s="498" t="str">
        <f>E96</f>
        <v>IQ44707236</v>
      </c>
      <c r="C72" s="498"/>
      <c r="D72" s="9" t="e">
        <f ca="1">D54</f>
        <v>#NAME?</v>
      </c>
      <c r="E72" s="9"/>
      <c r="F72" s="64" t="str">
        <f>E95</f>
        <v>ARES</v>
      </c>
      <c r="G72" s="446" t="e">
        <f ca="1">_xll.ciqfunctions.udf.CIQ($B72, "IQ_EFFECT_TAX_RATE",IQ_FY)/100</f>
        <v>#NAME?</v>
      </c>
      <c r="H72" s="480" t="e">
        <f ca="1">_xll.ciqfunctions.udf.CIQ($B72, "IQ_BETA_5YR",Current_Date)</f>
        <v>#NAME?</v>
      </c>
      <c r="I72" s="446" t="e">
        <f ca="1">_xll.ciqfunctions.udf.CIQ($B72, "IQ_DIVIDEND_YIELD",Current_Date)/100</f>
        <v>#NAME?</v>
      </c>
      <c r="J72" s="446" t="e">
        <f ca="1">(_xll.ciqfunctions.udf.CIQ($B72,"IQ_OPER_INC",IQ_LTM)*(1-G72))/(((_xll.ciqfunctions.udf.CIQ($B72,"IQ_TOTAL_DEBT",IQ_LTM))+_xll.ciqfunctions.udf.CIQ($B72,"IQ_TOTAL_EQUITY",IQ_LTM))-_xll.ciqfunctions.udf.CIQ($B72,"IQ_CASH_EQUIV",IQ_LTM))</f>
        <v>#NAME?</v>
      </c>
      <c r="K72" s="446" t="e">
        <f ca="1">_xll.ciqfunctions.udf.CIQ($B72, "IQ_RETURN_EQUITY",IQ_LTM)/100</f>
        <v>#NAME?</v>
      </c>
      <c r="L72" s="446" t="e">
        <f ca="1">_xll.ciqfunctions.udf.CIQ($B72, "IQ_RETURN_ASSETS",IQ_LTM)/100</f>
        <v>#NAME?</v>
      </c>
      <c r="M72" s="450" t="e">
        <f ca="1">_xll.ciqfunctions.udf.CIQ($B72, "IQ_TOTAL_DEBT_CAPITAL",IQ_FY)/100</f>
        <v>#NAME?</v>
      </c>
      <c r="N72" s="450" t="e">
        <f ca="1">_xll.ciqfunctions.udf.CIQ($B72, "IQ_TOTAL_DEBT_EBITDA",IQ_FY)</f>
        <v>#NAME?</v>
      </c>
      <c r="O72" s="450" t="e">
        <f ca="1">_xll.ciqfunctions.udf.CIQ($B72, "IQ_TOTAL_DEBT_EQUITY",IQ_FY)/100</f>
        <v>#NAME?</v>
      </c>
      <c r="P72" s="450" t="e">
        <f ca="1">_xll.ciqfunctions.udf.CIQ($B72, "IQ_EBITDA_INT",IQ_FY)</f>
        <v>#NAME?</v>
      </c>
      <c r="Q72" s="450" t="e">
        <f ca="1">_xll.ciqfunctions.udf.CIQ($B72, "IQ_EBITDA_CAPEX_INT",IQ_FY)</f>
        <v>#NAME?</v>
      </c>
      <c r="R72" s="450" t="e">
        <f ca="1">_xll.ciqfunctions.udf.CIQ($B72, "IQ_EBIT_INT",IQ_FY)</f>
        <v>#NAME?</v>
      </c>
      <c r="S72" s="450" t="e">
        <f ca="1">_xll.ciqfunctions.udf.CIQ($B72, "IQ_QUICK_RATIO",IQ_FY)</f>
        <v>#NAME?</v>
      </c>
      <c r="T72" s="450" t="e">
        <f ca="1">_xll.ciqfunctions.udf.CIQ($B72, "IQ_CURRENT_RATIO",IQ_FY)</f>
        <v>#NAME?</v>
      </c>
      <c r="U72" s="64" t="e">
        <f ca="1">_xll.ciqfunctions.udf.CIQ($B72, "IQ_SP_LC_LT",Current)</f>
        <v>#NAME?</v>
      </c>
      <c r="V72" s="64" t="e">
        <f ca="1">_xll.ciqfunctions.udf.CIQ($B72, "IQ_SP_OUTLOOK_WATCH",Current)</f>
        <v>#NAME?</v>
      </c>
      <c r="W72" s="9"/>
      <c r="X72" s="498" t="str">
        <f>I96</f>
        <v>IQ370857</v>
      </c>
      <c r="Y72" s="37"/>
      <c r="Z72" s="9" t="e">
        <f ca="1">Z54</f>
        <v>#NAME?</v>
      </c>
      <c r="AA72" s="9"/>
      <c r="AB72" s="64" t="str">
        <f>I95</f>
        <v>BA</v>
      </c>
      <c r="AC72" s="446" t="e">
        <f ca="1">_xll.ciqfunctions.udf.CIQ($X72, "IQ_EFFECT_TAX_RATE",IQ_FY)/100</f>
        <v>#NAME?</v>
      </c>
      <c r="AD72" s="480" t="e">
        <f ca="1">_xll.ciqfunctions.udf.CIQ($X72, "IQ_BETA_5YR",Current_Date)</f>
        <v>#NAME?</v>
      </c>
      <c r="AE72" s="446" t="e">
        <f ca="1">_xll.ciqfunctions.udf.CIQ($X72, "IQ_DIVIDEND_YIELD",Current_Date)/100</f>
        <v>#NAME?</v>
      </c>
      <c r="AF72" s="446" t="e">
        <f ca="1">(_xll.ciqfunctions.udf.CIQ($X72,"IQ_OPER_INC",IQ_LTM)*(1-AC72))/(((_xll.ciqfunctions.udf.CIQ($X72,"IQ_TOTAL_DEBT",IQ_LTM))+_xll.ciqfunctions.udf.CIQ($X72,"IQ_TOTAL_EQUITY",IQ_LTM))-_xll.ciqfunctions.udf.CIQ($X72,"IQ_CASH_EQUIV",IQ_LTM))</f>
        <v>#NAME?</v>
      </c>
      <c r="AG72" s="446" t="e">
        <f ca="1">_xll.ciqfunctions.udf.CIQ($X72, "IQ_RETURN_EQUITY",IQ_LTM)/100</f>
        <v>#NAME?</v>
      </c>
      <c r="AH72" s="446" t="e">
        <f ca="1">_xll.ciqfunctions.udf.CIQ($X72, "IQ_RETURN_ASSETS",IQ_LTM)/100</f>
        <v>#NAME?</v>
      </c>
      <c r="AI72" s="450" t="e">
        <f ca="1">_xll.ciqfunctions.udf.CIQ($X72, "IQ_TOTAL_DEBT_CAPITAL",IQ_FY)/100</f>
        <v>#NAME?</v>
      </c>
      <c r="AJ72" s="450" t="e">
        <f ca="1">_xll.ciqfunctions.udf.CIQ($X72, "IQ_TOTAL_DEBT_EBITDA",IQ_FY)</f>
        <v>#NAME?</v>
      </c>
      <c r="AK72" s="450" t="e">
        <f ca="1">_xll.ciqfunctions.udf.CIQ($X72, "IQ_TOTAL_DEBT_EQUITY",IQ_FY)/100</f>
        <v>#NAME?</v>
      </c>
      <c r="AL72" s="450" t="e">
        <f ca="1">_xll.ciqfunctions.udf.CIQ($X72, "IQ_EBITDA_INT",IQ_FY)</f>
        <v>#NAME?</v>
      </c>
      <c r="AM72" s="450" t="e">
        <f ca="1">_xll.ciqfunctions.udf.CIQ($X72, "IQ_EBITDA_CAPEX_INT",IQ_FY)</f>
        <v>#NAME?</v>
      </c>
      <c r="AN72" s="450" t="e">
        <f ca="1">_xll.ciqfunctions.udf.CIQ($X72, "IQ_EBIT_INT",IQ_FY)</f>
        <v>#NAME?</v>
      </c>
      <c r="AO72" s="480" t="e">
        <f ca="1">_xll.ciqfunctions.udf.CIQ($X72, "IQ_QUICK_RATIO",IQ_FY)</f>
        <v>#NAME?</v>
      </c>
      <c r="AP72" s="480" t="e">
        <f ca="1">_xll.ciqfunctions.udf.CIQ($X72, "IQ_CURRENT_RATIO",IQ_FY)</f>
        <v>#NAME?</v>
      </c>
      <c r="AQ72" s="64" t="e">
        <f ca="1">_xll.ciqfunctions.udf.CIQ($X72, "IQ_SP_LC_LT",Current)</f>
        <v>#NAME?</v>
      </c>
      <c r="AR72" s="64" t="e">
        <f ca="1">_xll.ciqfunctions.udf.CIQ($X72, "IQ_SP_OUTLOOK_WATCH",Current)</f>
        <v>#NAME?</v>
      </c>
      <c r="AS72" s="2"/>
      <c r="AT72" s="498" t="str">
        <f>N96</f>
        <v>IQ177031</v>
      </c>
      <c r="AU72" s="37">
        <f>AU94</f>
        <v>0</v>
      </c>
      <c r="AV72" s="9" t="e">
        <f ca="1">AV54</f>
        <v>#NAME?</v>
      </c>
      <c r="AW72" s="9"/>
      <c r="AX72" s="64" t="str">
        <f>AX54</f>
        <v>GE</v>
      </c>
      <c r="AY72" s="446" t="e">
        <f ca="1">_xll.ciqfunctions.udf.CIQ($AT72, "IQ_EFFECT_TAX_RATE",IQ_FY)/100</f>
        <v>#NAME?</v>
      </c>
      <c r="AZ72" s="480" t="e">
        <f ca="1">_xll.ciqfunctions.udf.CIQ($AT72, "IQ_BETA_5YR",Current_Date)</f>
        <v>#NAME?</v>
      </c>
      <c r="BA72" s="446" t="e">
        <f ca="1">_xll.ciqfunctions.udf.CIQ($AT72, "IQ_DIVIDEND_YIELD",Current_Date)/100</f>
        <v>#NAME?</v>
      </c>
      <c r="BB72" s="446" t="e">
        <f ca="1">(_xll.ciqfunctions.udf.CIQ($AT72,"IQ_OPER_INC",IQ_LTM)*(1-AY72))/(((_xll.ciqfunctions.udf.CIQ($AT72,"IQ_TOTAL_DEBT",IQ_LTM))+_xll.ciqfunctions.udf.CIQ($AT72,"IQ_TOTAL_EQUITY",IQ_LTM))-_xll.ciqfunctions.udf.CIQ($AT72,"IQ_CASH_EQUIV",IQ_LTM))</f>
        <v>#NAME?</v>
      </c>
      <c r="BC72" s="446" t="e">
        <f ca="1">_xll.ciqfunctions.udf.CIQ($AT72, "IQ_RETURN_EQUITY",IQ_LTM)/100</f>
        <v>#NAME?</v>
      </c>
      <c r="BD72" s="446" t="e">
        <f ca="1">_xll.ciqfunctions.udf.CIQ($AT72, "IQ_RETURN_ASSETS",IQ_LTM)/100</f>
        <v>#NAME?</v>
      </c>
      <c r="BE72" s="450" t="e">
        <f ca="1">_xll.ciqfunctions.udf.CIQ($AT72, "IQ_TOTAL_DEBT_CAPITAL",IQ_FY)/100</f>
        <v>#NAME?</v>
      </c>
      <c r="BF72" s="450" t="e">
        <f ca="1">_xll.ciqfunctions.udf.CIQ($AT72, "IQ_TOTAL_DEBT_EBITDA",IQ_FY)</f>
        <v>#NAME?</v>
      </c>
      <c r="BG72" s="450" t="e">
        <f ca="1">_xll.ciqfunctions.udf.CIQ($AT72, "IQ_TOTAL_DEBT_EQUITY",IQ_FY)/100</f>
        <v>#NAME?</v>
      </c>
      <c r="BH72" s="450" t="e">
        <f ca="1">_xll.ciqfunctions.udf.CIQ($AT72, "IQ_EBITDA_INT",IQ_FY)</f>
        <v>#NAME?</v>
      </c>
      <c r="BI72" s="450" t="e">
        <f ca="1">_xll.ciqfunctions.udf.CIQ($AT72, "IQ_EBITDA_CAPEX_INT",IQ_FY)</f>
        <v>#NAME?</v>
      </c>
      <c r="BJ72" s="450" t="e">
        <f ca="1">_xll.ciqfunctions.udf.CIQ($AT72, "IQ_EBIT_INT",IQ_FY)</f>
        <v>#NAME?</v>
      </c>
      <c r="BK72" s="480" t="e">
        <f ca="1">_xll.ciqfunctions.udf.CIQ($AT72, "IQ_QUICK_RATIO",IQ_FY)</f>
        <v>#NAME?</v>
      </c>
      <c r="BL72" s="480" t="e">
        <f ca="1">_xll.ciqfunctions.udf.CIQ($AT72, "IQ_CURRENT_RATIO",IQ_FY)</f>
        <v>#NAME?</v>
      </c>
      <c r="BM72" s="64" t="e">
        <f ca="1">_xll.ciqfunctions.udf.CIQ($AT72, "IQ_SP_LC_LT",Current)</f>
        <v>#NAME?</v>
      </c>
      <c r="BN72" s="64" t="e">
        <f ca="1">_xll.ciqfunctions.udf.CIQ($AT72, "IQ_SP_OUTLOOK_WATCH",Current)</f>
        <v>#NAME?</v>
      </c>
    </row>
    <row r="73" spans="1:66" ht="13.5" hidden="1" customHeight="1" outlineLevel="1">
      <c r="A73" s="2"/>
      <c r="B73" s="498" t="str">
        <f>E100</f>
        <v>IQ671980</v>
      </c>
      <c r="C73" s="498"/>
      <c r="D73" s="9" t="e">
        <f ca="1">D55</f>
        <v>#NAME?</v>
      </c>
      <c r="E73" s="9"/>
      <c r="F73" s="64" t="str">
        <f>E99</f>
        <v>BX</v>
      </c>
      <c r="G73" s="446" t="e">
        <f ca="1">_xll.ciqfunctions.udf.CIQ($B73, "IQ_EFFECT_TAX_RATE",IQ_FY)/100</f>
        <v>#NAME?</v>
      </c>
      <c r="H73" s="480" t="e">
        <f ca="1">_xll.ciqfunctions.udf.CIQ($B73, "IQ_BETA_5YR",Current_Date)</f>
        <v>#NAME?</v>
      </c>
      <c r="I73" s="446" t="e">
        <f ca="1">_xll.ciqfunctions.udf.CIQ($B73, "IQ_DIVIDEND_YIELD",Current_Date)/100</f>
        <v>#NAME?</v>
      </c>
      <c r="J73" s="446" t="e">
        <f ca="1">(_xll.ciqfunctions.udf.CIQ($B73,"IQ_OPER_INC",IQ_LTM)*(1-G73))/(((_xll.ciqfunctions.udf.CIQ($B73,"IQ_TOTAL_DEBT",IQ_LTM))+_xll.ciqfunctions.udf.CIQ($B73,"IQ_TOTAL_EQUITY",IQ_LTM))-_xll.ciqfunctions.udf.CIQ($B73,"IQ_CASH_EQUIV",IQ_LTM))</f>
        <v>#NAME?</v>
      </c>
      <c r="K73" s="446" t="e">
        <f ca="1">_xll.ciqfunctions.udf.CIQ($B73, "IQ_RETURN_EQUITY",IQ_LTM)/100</f>
        <v>#NAME?</v>
      </c>
      <c r="L73" s="446" t="e">
        <f ca="1">_xll.ciqfunctions.udf.CIQ($B73, "IQ_RETURN_ASSETS",IQ_LTM)/100</f>
        <v>#NAME?</v>
      </c>
      <c r="M73" s="450" t="e">
        <f ca="1">_xll.ciqfunctions.udf.CIQ($B73, "IQ_TOTAL_DEBT_CAPITAL",IQ_FY)/100</f>
        <v>#NAME?</v>
      </c>
      <c r="N73" s="450" t="e">
        <f ca="1">_xll.ciqfunctions.udf.CIQ($B73, "IQ_TOTAL_DEBT_EBITDA",IQ_FY)</f>
        <v>#NAME?</v>
      </c>
      <c r="O73" s="450" t="e">
        <f ca="1">_xll.ciqfunctions.udf.CIQ($B73, "IQ_TOTAL_DEBT_EQUITY",IQ_FY)/100</f>
        <v>#NAME?</v>
      </c>
      <c r="P73" s="450" t="e">
        <f ca="1">_xll.ciqfunctions.udf.CIQ($B73, "IQ_EBITDA_INT",IQ_FY)</f>
        <v>#NAME?</v>
      </c>
      <c r="Q73" s="450" t="e">
        <f ca="1">_xll.ciqfunctions.udf.CIQ($B73, "IQ_EBITDA_CAPEX_INT",IQ_FY)</f>
        <v>#NAME?</v>
      </c>
      <c r="R73" s="450" t="e">
        <f ca="1">_xll.ciqfunctions.udf.CIQ($B73, "IQ_EBIT_INT",IQ_FY)</f>
        <v>#NAME?</v>
      </c>
      <c r="S73" s="450" t="e">
        <f ca="1">_xll.ciqfunctions.udf.CIQ($B73, "IQ_QUICK_RATIO",IQ_FY)</f>
        <v>#NAME?</v>
      </c>
      <c r="T73" s="450" t="e">
        <f ca="1">_xll.ciqfunctions.udf.CIQ($B73, "IQ_CURRENT_RATIO",IQ_FY)</f>
        <v>#NAME?</v>
      </c>
      <c r="U73" s="64" t="e">
        <f ca="1">_xll.ciqfunctions.udf.CIQ($B73, "IQ_SP_LC_LT",Current)</f>
        <v>#NAME?</v>
      </c>
      <c r="V73" s="64" t="e">
        <f ca="1">_xll.ciqfunctions.udf.CIQ($B73, "IQ_SP_OUTLOOK_WATCH",Current)</f>
        <v>#NAME?</v>
      </c>
      <c r="W73" s="9"/>
      <c r="X73" s="498" t="str">
        <f>I100</f>
        <v>IQ363263</v>
      </c>
      <c r="Y73" s="37"/>
      <c r="Z73" s="9" t="e">
        <f ca="1">Z55</f>
        <v>#NAME?</v>
      </c>
      <c r="AA73" s="9"/>
      <c r="AB73" s="64" t="str">
        <f>I99</f>
        <v>HII</v>
      </c>
      <c r="AC73" s="446" t="e">
        <f ca="1">_xll.ciqfunctions.udf.CIQ($X73, "IQ_EFFECT_TAX_RATE",IQ_FY)/100</f>
        <v>#NAME?</v>
      </c>
      <c r="AD73" s="480" t="e">
        <f ca="1">_xll.ciqfunctions.udf.CIQ($X73, "IQ_BETA_5YR",Current_Date)</f>
        <v>#NAME?</v>
      </c>
      <c r="AE73" s="446" t="e">
        <f ca="1">_xll.ciqfunctions.udf.CIQ($X73, "IQ_DIVIDEND_YIELD",Current_Date)/100</f>
        <v>#NAME?</v>
      </c>
      <c r="AF73" s="446" t="e">
        <f ca="1">(_xll.ciqfunctions.udf.CIQ($X73,"IQ_OPER_INC",IQ_LTM)*(1-AC73))/(((_xll.ciqfunctions.udf.CIQ($X73,"IQ_TOTAL_DEBT",IQ_LTM))+_xll.ciqfunctions.udf.CIQ($X73,"IQ_TOTAL_EQUITY",IQ_LTM))-_xll.ciqfunctions.udf.CIQ($X73,"IQ_CASH_EQUIV",IQ_LTM))</f>
        <v>#NAME?</v>
      </c>
      <c r="AG73" s="446" t="e">
        <f ca="1">_xll.ciqfunctions.udf.CIQ($X73, "IQ_RETURN_EQUITY",IQ_LTM)/100</f>
        <v>#NAME?</v>
      </c>
      <c r="AH73" s="446" t="e">
        <f ca="1">_xll.ciqfunctions.udf.CIQ($X73, "IQ_RETURN_ASSETS",IQ_LTM)/100</f>
        <v>#NAME?</v>
      </c>
      <c r="AI73" s="450" t="e">
        <f ca="1">_xll.ciqfunctions.udf.CIQ($X73, "IQ_TOTAL_DEBT_CAPITAL",IQ_FY)/100</f>
        <v>#NAME?</v>
      </c>
      <c r="AJ73" s="450" t="e">
        <f ca="1">_xll.ciqfunctions.udf.CIQ($X73, "IQ_TOTAL_DEBT_EBITDA",IQ_FY)</f>
        <v>#NAME?</v>
      </c>
      <c r="AK73" s="450" t="e">
        <f ca="1">_xll.ciqfunctions.udf.CIQ($X73, "IQ_TOTAL_DEBT_EQUITY",IQ_FY)/100</f>
        <v>#NAME?</v>
      </c>
      <c r="AL73" s="450" t="e">
        <f ca="1">_xll.ciqfunctions.udf.CIQ($X73, "IQ_EBITDA_INT",IQ_FY)</f>
        <v>#NAME?</v>
      </c>
      <c r="AM73" s="450" t="e">
        <f ca="1">_xll.ciqfunctions.udf.CIQ($X73, "IQ_EBITDA_CAPEX_INT",IQ_FY)</f>
        <v>#NAME?</v>
      </c>
      <c r="AN73" s="450" t="e">
        <f ca="1">_xll.ciqfunctions.udf.CIQ($X73, "IQ_EBIT_INT",IQ_FY)</f>
        <v>#NAME?</v>
      </c>
      <c r="AO73" s="480" t="e">
        <f ca="1">_xll.ciqfunctions.udf.CIQ($X73, "IQ_QUICK_RATIO",IQ_FY)</f>
        <v>#NAME?</v>
      </c>
      <c r="AP73" s="480" t="e">
        <f ca="1">_xll.ciqfunctions.udf.CIQ($X73, "IQ_CURRENT_RATIO",IQ_FY)</f>
        <v>#NAME?</v>
      </c>
      <c r="AQ73" s="64" t="e">
        <f ca="1">_xll.ciqfunctions.udf.CIQ($X73, "IQ_SP_LC_LT",Current)</f>
        <v>#NAME?</v>
      </c>
      <c r="AR73" s="64" t="e">
        <f ca="1">_xll.ciqfunctions.udf.CIQ($X73, "IQ_SP_OUTLOOK_WATCH",Current)</f>
        <v>#NAME?</v>
      </c>
      <c r="AS73" s="2"/>
      <c r="AT73" s="498" t="str">
        <f>N100</f>
        <v>IQ1340740</v>
      </c>
      <c r="AU73" s="37">
        <f>AU98</f>
        <v>0</v>
      </c>
      <c r="AV73" s="9" t="e">
        <f ca="1">AV55</f>
        <v>#NAME?</v>
      </c>
      <c r="AW73" s="9"/>
      <c r="AX73" s="64" t="str">
        <f>AX55</f>
        <v>HON</v>
      </c>
      <c r="AY73" s="446" t="e">
        <f ca="1">_xll.ciqfunctions.udf.CIQ($AT73, "IQ_EFFECT_TAX_RATE",IQ_FY)/100</f>
        <v>#NAME?</v>
      </c>
      <c r="AZ73" s="480" t="e">
        <f ca="1">_xll.ciqfunctions.udf.CIQ($AT73, "IQ_BETA_5YR",Current_Date)</f>
        <v>#NAME?</v>
      </c>
      <c r="BA73" s="446" t="e">
        <f ca="1">_xll.ciqfunctions.udf.CIQ($AT73, "IQ_DIVIDEND_YIELD",Current_Date)/100</f>
        <v>#NAME?</v>
      </c>
      <c r="BB73" s="446" t="e">
        <f ca="1">(_xll.ciqfunctions.udf.CIQ($AT73,"IQ_OPER_INC",IQ_LTM)*(1-AY73))/(((_xll.ciqfunctions.udf.CIQ($AT73,"IQ_TOTAL_DEBT",IQ_LTM))+_xll.ciqfunctions.udf.CIQ($AT73,"IQ_TOTAL_EQUITY",IQ_LTM))-_xll.ciqfunctions.udf.CIQ($AT73,"IQ_CASH_EQUIV",IQ_LTM))</f>
        <v>#NAME?</v>
      </c>
      <c r="BC73" s="446" t="e">
        <f ca="1">_xll.ciqfunctions.udf.CIQ($AT73, "IQ_RETURN_EQUITY",IQ_LTM)/100</f>
        <v>#NAME?</v>
      </c>
      <c r="BD73" s="446" t="e">
        <f ca="1">_xll.ciqfunctions.udf.CIQ($AT73, "IQ_RETURN_ASSETS",IQ_LTM)/100</f>
        <v>#NAME?</v>
      </c>
      <c r="BE73" s="450" t="e">
        <f ca="1">_xll.ciqfunctions.udf.CIQ($AT73, "IQ_TOTAL_DEBT_CAPITAL",IQ_FY)/100</f>
        <v>#NAME?</v>
      </c>
      <c r="BF73" s="450" t="e">
        <f ca="1">_xll.ciqfunctions.udf.CIQ($AT73, "IQ_TOTAL_DEBT_EBITDA",IQ_FY)</f>
        <v>#NAME?</v>
      </c>
      <c r="BG73" s="450" t="e">
        <f ca="1">_xll.ciqfunctions.udf.CIQ($AT73, "IQ_TOTAL_DEBT_EQUITY",IQ_FY)/100</f>
        <v>#NAME?</v>
      </c>
      <c r="BH73" s="450" t="e">
        <f ca="1">_xll.ciqfunctions.udf.CIQ($AT73, "IQ_EBITDA_INT",IQ_FY)</f>
        <v>#NAME?</v>
      </c>
      <c r="BI73" s="450" t="e">
        <f ca="1">_xll.ciqfunctions.udf.CIQ($AT73, "IQ_EBITDA_CAPEX_INT",IQ_FY)</f>
        <v>#NAME?</v>
      </c>
      <c r="BJ73" s="450" t="e">
        <f ca="1">_xll.ciqfunctions.udf.CIQ($AT73, "IQ_EBIT_INT",IQ_FY)</f>
        <v>#NAME?</v>
      </c>
      <c r="BK73" s="480" t="e">
        <f ca="1">_xll.ciqfunctions.udf.CIQ($AT73, "IQ_QUICK_RATIO",IQ_FY)</f>
        <v>#NAME?</v>
      </c>
      <c r="BL73" s="480" t="e">
        <f ca="1">_xll.ciqfunctions.udf.CIQ($AT73, "IQ_CURRENT_RATIO",IQ_FY)</f>
        <v>#NAME?</v>
      </c>
      <c r="BM73" s="64" t="e">
        <f ca="1">_xll.ciqfunctions.udf.CIQ($AT73, "IQ_SP_LC_LT",Current)</f>
        <v>#NAME?</v>
      </c>
      <c r="BN73" s="64" t="e">
        <f ca="1">_xll.ciqfunctions.udf.CIQ($AT73, "IQ_SP_OUTLOOK_WATCH",Current)</f>
        <v>#NAME?</v>
      </c>
    </row>
    <row r="74" spans="1:66" ht="13.5" hidden="1" customHeight="1" outlineLevel="1">
      <c r="A74" s="2"/>
      <c r="B74" s="498" t="str">
        <f>E104</f>
        <v>IQ538190258</v>
      </c>
      <c r="C74" s="498"/>
      <c r="D74" s="9" t="e">
        <f ca="1">D56</f>
        <v>#NAME?</v>
      </c>
      <c r="E74" s="9"/>
      <c r="F74" s="64" t="str">
        <f>E103</f>
        <v>TPG</v>
      </c>
      <c r="G74" s="446">
        <v>-2.0979999999999999</v>
      </c>
      <c r="H74" s="480" t="e">
        <f ca="1">_xll.ciqfunctions.udf.CIQ($B74, "IQ_BETA_5YR",Current_Date)</f>
        <v>#NAME?</v>
      </c>
      <c r="I74" s="446" t="e">
        <f ca="1">_xll.ciqfunctions.udf.CIQ($B74, "IQ_DIVIDEND_YIELD",Current_Date)/100</f>
        <v>#NAME?</v>
      </c>
      <c r="J74" s="446" t="e">
        <f ca="1">(_xll.ciqfunctions.udf.CIQ($B74,"IQ_OPER_INC",IQ_LTM)*(1-G74))/(((_xll.ciqfunctions.udf.CIQ($B74,"IQ_TOTAL_DEBT",IQ_LTM))+_xll.ciqfunctions.udf.CIQ($B74,"IQ_TOTAL_EQUITY",IQ_LTM))-_xll.ciqfunctions.udf.CIQ($B74,"IQ_CASH_EQUIV",IQ_LTM))</f>
        <v>#NAME?</v>
      </c>
      <c r="K74" s="446" t="e">
        <f ca="1">_xll.ciqfunctions.udf.CIQ($B74, "IQ_RETURN_EQUITY",IQ_LTM)/100</f>
        <v>#NAME?</v>
      </c>
      <c r="L74" s="446" t="e">
        <f ca="1">_xll.ciqfunctions.udf.CIQ($B74, "IQ_RETURN_ASSETS",IQ_LTM)/100</f>
        <v>#NAME?</v>
      </c>
      <c r="M74" s="450" t="e">
        <f ca="1">_xll.ciqfunctions.udf.CIQ($B74, "IQ_TOTAL_DEBT_CAPITAL",IQ_FY)/100</f>
        <v>#NAME?</v>
      </c>
      <c r="N74" s="450" t="e">
        <f ca="1">_xll.ciqfunctions.udf.CIQ($B74, "IQ_TOTAL_DEBT_EBITDA",IQ_FY)</f>
        <v>#NAME?</v>
      </c>
      <c r="O74" s="450" t="e">
        <f ca="1">_xll.ciqfunctions.udf.CIQ($B74, "IQ_TOTAL_DEBT_EQUITY",IQ_FY)/100</f>
        <v>#NAME?</v>
      </c>
      <c r="P74" s="450" t="e">
        <f ca="1">_xll.ciqfunctions.udf.CIQ($B74, "IQ_EBITDA_INT",IQ_FY)</f>
        <v>#NAME?</v>
      </c>
      <c r="Q74" s="450" t="e">
        <f ca="1">_xll.ciqfunctions.udf.CIQ($B74, "IQ_EBITDA_CAPEX_INT",IQ_FY)</f>
        <v>#NAME?</v>
      </c>
      <c r="R74" s="450" t="e">
        <f ca="1">_xll.ciqfunctions.udf.CIQ($B74, "IQ_EBIT_INT",IQ_FY)</f>
        <v>#NAME?</v>
      </c>
      <c r="S74" s="450" t="e">
        <f ca="1">_xll.ciqfunctions.udf.CIQ($B74, "IQ_QUICK_RATIO",IQ_FY)</f>
        <v>#NAME?</v>
      </c>
      <c r="T74" s="450" t="e">
        <f ca="1">_xll.ciqfunctions.udf.CIQ($B74, "IQ_CURRENT_RATIO",IQ_FY)</f>
        <v>#NAME?</v>
      </c>
      <c r="U74" s="64" t="s">
        <v>508</v>
      </c>
      <c r="V74" s="64" t="s">
        <v>509</v>
      </c>
      <c r="W74" s="9"/>
      <c r="X74" s="498" t="str">
        <f>I104</f>
        <v>IQ285827</v>
      </c>
      <c r="Y74" s="37"/>
      <c r="Z74" s="9" t="e">
        <f ca="1">Z56</f>
        <v>#NAME?</v>
      </c>
      <c r="AA74" s="9"/>
      <c r="AB74" s="64" t="str">
        <f>I103</f>
        <v>LMT</v>
      </c>
      <c r="AC74" s="446" t="e">
        <f ca="1">_xll.ciqfunctions.udf.CIQ($X74, "IQ_EFFECT_TAX_RATE",IQ_FY)/100</f>
        <v>#NAME?</v>
      </c>
      <c r="AD74" s="480" t="e">
        <f ca="1">_xll.ciqfunctions.udf.CIQ($X74, "IQ_BETA_5YR",Current_Date)</f>
        <v>#NAME?</v>
      </c>
      <c r="AE74" s="446" t="e">
        <f ca="1">_xll.ciqfunctions.udf.CIQ($X74, "IQ_DIVIDEND_YIELD",Current_Date)/100</f>
        <v>#NAME?</v>
      </c>
      <c r="AF74" s="446" t="e">
        <f ca="1">(_xll.ciqfunctions.udf.CIQ($X74,"IQ_OPER_INC",IQ_LTM)*(1-AC74))/(((_xll.ciqfunctions.udf.CIQ($X74,"IQ_TOTAL_DEBT",IQ_LTM))+_xll.ciqfunctions.udf.CIQ($X74,"IQ_TOTAL_EQUITY",IQ_LTM))-_xll.ciqfunctions.udf.CIQ($X74,"IQ_CASH_EQUIV",IQ_LTM))</f>
        <v>#NAME?</v>
      </c>
      <c r="AG74" s="446" t="e">
        <f ca="1">_xll.ciqfunctions.udf.CIQ($X74, "IQ_RETURN_EQUITY",IQ_LTM)/100</f>
        <v>#NAME?</v>
      </c>
      <c r="AH74" s="446" t="e">
        <f ca="1">_xll.ciqfunctions.udf.CIQ($X74, "IQ_RETURN_ASSETS",IQ_LTM)/100</f>
        <v>#NAME?</v>
      </c>
      <c r="AI74" s="450" t="e">
        <f ca="1">_xll.ciqfunctions.udf.CIQ($X74, "IQ_TOTAL_DEBT_CAPITAL",IQ_FY)/100</f>
        <v>#NAME?</v>
      </c>
      <c r="AJ74" s="450" t="e">
        <f ca="1">_xll.ciqfunctions.udf.CIQ($X74, "IQ_TOTAL_DEBT_EBITDA",IQ_FY)</f>
        <v>#NAME?</v>
      </c>
      <c r="AK74" s="450" t="e">
        <f ca="1">_xll.ciqfunctions.udf.CIQ($X74, "IQ_TOTAL_DEBT_EQUITY",IQ_FY)/100</f>
        <v>#NAME?</v>
      </c>
      <c r="AL74" s="450" t="e">
        <f ca="1">_xll.ciqfunctions.udf.CIQ($X74, "IQ_EBITDA_INT",IQ_FY)</f>
        <v>#NAME?</v>
      </c>
      <c r="AM74" s="450" t="e">
        <f ca="1">_xll.ciqfunctions.udf.CIQ($X74, "IQ_EBITDA_CAPEX_INT",IQ_FY)</f>
        <v>#NAME?</v>
      </c>
      <c r="AN74" s="450" t="e">
        <f ca="1">_xll.ciqfunctions.udf.CIQ($X74, "IQ_EBIT_INT",IQ_FY)</f>
        <v>#NAME?</v>
      </c>
      <c r="AO74" s="480" t="e">
        <f ca="1">_xll.ciqfunctions.udf.CIQ($X74, "IQ_QUICK_RATIO",IQ_FY)</f>
        <v>#NAME?</v>
      </c>
      <c r="AP74" s="480" t="e">
        <f ca="1">_xll.ciqfunctions.udf.CIQ($X74, "IQ_CURRENT_RATIO",IQ_FY)</f>
        <v>#NAME?</v>
      </c>
      <c r="AQ74" s="64" t="e">
        <f ca="1">_xll.ciqfunctions.udf.CIQ($X74, "IQ_SP_LC_LT",Current)</f>
        <v>#NAME?</v>
      </c>
      <c r="AR74" s="64" t="e">
        <f ca="1">_xll.ciqfunctions.udf.CIQ($X74, "IQ_SP_OUTLOOK_WATCH",Current)</f>
        <v>#NAME?</v>
      </c>
      <c r="AS74" s="2"/>
      <c r="AT74" s="498" t="str">
        <f>N104</f>
        <v>IQ22751</v>
      </c>
      <c r="AU74" s="37">
        <f>AU102</f>
        <v>0</v>
      </c>
      <c r="AV74" s="9" t="e">
        <f ca="1">AV56</f>
        <v>#NAME?</v>
      </c>
      <c r="AW74" s="9"/>
      <c r="AX74" s="64" t="str">
        <f>AX56</f>
        <v>ROP</v>
      </c>
      <c r="AY74" s="446" t="e">
        <f ca="1">_xll.ciqfunctions.udf.CIQ($AT74, "IQ_EFFECT_TAX_RATE",IQ_FY)/100</f>
        <v>#NAME?</v>
      </c>
      <c r="AZ74" s="480" t="e">
        <f ca="1">_xll.ciqfunctions.udf.CIQ($AT74, "IQ_BETA_5YR",Current_Date)</f>
        <v>#NAME?</v>
      </c>
      <c r="BA74" s="446" t="e">
        <f ca="1">_xll.ciqfunctions.udf.CIQ($AT74, "IQ_DIVIDEND_YIELD",Current_Date)/100</f>
        <v>#NAME?</v>
      </c>
      <c r="BB74" s="446" t="e">
        <f ca="1">(_xll.ciqfunctions.udf.CIQ($AT74,"IQ_OPER_INC",IQ_LTM)*(1-AY74))/(((_xll.ciqfunctions.udf.CIQ($AT74,"IQ_TOTAL_DEBT",IQ_LTM))+_xll.ciqfunctions.udf.CIQ($AT74,"IQ_TOTAL_EQUITY",IQ_LTM))-_xll.ciqfunctions.udf.CIQ($AT74,"IQ_CASH_EQUIV",IQ_LTM))</f>
        <v>#NAME?</v>
      </c>
      <c r="BC74" s="446" t="e">
        <f ca="1">_xll.ciqfunctions.udf.CIQ($AT74, "IQ_RETURN_EQUITY",IQ_LTM)/100</f>
        <v>#NAME?</v>
      </c>
      <c r="BD74" s="446" t="e">
        <f ca="1">_xll.ciqfunctions.udf.CIQ($AT74, "IQ_RETURN_ASSETS",IQ_LTM)/100</f>
        <v>#NAME?</v>
      </c>
      <c r="BE74" s="450" t="e">
        <f ca="1">_xll.ciqfunctions.udf.CIQ($AT74, "IQ_TOTAL_DEBT_CAPITAL",IQ_FY)/100</f>
        <v>#NAME?</v>
      </c>
      <c r="BF74" s="450" t="e">
        <f ca="1">_xll.ciqfunctions.udf.CIQ($AT74, "IQ_TOTAL_DEBT_EBITDA",IQ_FY)</f>
        <v>#NAME?</v>
      </c>
      <c r="BG74" s="450" t="e">
        <f ca="1">_xll.ciqfunctions.udf.CIQ($AT74, "IQ_TOTAL_DEBT_EQUITY",IQ_FY)/100</f>
        <v>#NAME?</v>
      </c>
      <c r="BH74" s="450" t="e">
        <f ca="1">_xll.ciqfunctions.udf.CIQ($AT74, "IQ_EBITDA_INT",IQ_FY)</f>
        <v>#NAME?</v>
      </c>
      <c r="BI74" s="450" t="e">
        <f ca="1">_xll.ciqfunctions.udf.CIQ($AT74, "IQ_EBITDA_CAPEX_INT",IQ_FY)</f>
        <v>#NAME?</v>
      </c>
      <c r="BJ74" s="450" t="e">
        <f ca="1">_xll.ciqfunctions.udf.CIQ($AT74, "IQ_EBIT_INT",IQ_FY)</f>
        <v>#NAME?</v>
      </c>
      <c r="BK74" s="480" t="e">
        <f ca="1">_xll.ciqfunctions.udf.CIQ($AT74, "IQ_QUICK_RATIO",IQ_FY)</f>
        <v>#NAME?</v>
      </c>
      <c r="BL74" s="480" t="e">
        <f ca="1">_xll.ciqfunctions.udf.CIQ($AT74, "IQ_CURRENT_RATIO",IQ_FY)</f>
        <v>#NAME?</v>
      </c>
      <c r="BM74" s="64" t="e">
        <f ca="1">_xll.ciqfunctions.udf.CIQ($AT74, "IQ_SP_LC_LT",Current)</f>
        <v>#NAME?</v>
      </c>
      <c r="BN74" s="64" t="e">
        <f ca="1">_xll.ciqfunctions.udf.CIQ($AT74, "IQ_SP_OUTLOOK_WATCH",Current)</f>
        <v>#NAME?</v>
      </c>
    </row>
    <row r="75" spans="1:66" ht="13.5" hidden="1" customHeight="1" outlineLevel="1">
      <c r="A75" s="2"/>
      <c r="B75" s="2"/>
      <c r="C75" s="2"/>
      <c r="D75" s="95"/>
      <c r="E75" s="9"/>
      <c r="F75" s="64"/>
      <c r="G75" s="506"/>
      <c r="H75" s="64"/>
      <c r="I75" s="506"/>
      <c r="J75" s="64"/>
      <c r="K75" s="64"/>
      <c r="L75" s="64"/>
      <c r="M75" s="64"/>
      <c r="N75" s="64"/>
      <c r="O75" s="439"/>
      <c r="P75" s="450"/>
      <c r="Q75" s="450"/>
      <c r="R75" s="450"/>
      <c r="S75" s="145"/>
      <c r="T75" s="64"/>
      <c r="U75" s="532"/>
      <c r="V75" s="532"/>
      <c r="W75" s="9"/>
      <c r="X75" s="2"/>
      <c r="Y75" s="37"/>
      <c r="Z75" s="95"/>
      <c r="AA75" s="9"/>
      <c r="AB75" s="64"/>
      <c r="AC75" s="506"/>
      <c r="AD75" s="64"/>
      <c r="AE75" s="506"/>
      <c r="AF75" s="64"/>
      <c r="AG75" s="64"/>
      <c r="AH75" s="64"/>
      <c r="AI75" s="64"/>
      <c r="AJ75" s="64"/>
      <c r="AK75" s="439"/>
      <c r="AL75" s="450"/>
      <c r="AM75" s="450"/>
      <c r="AN75" s="450"/>
      <c r="AO75" s="145"/>
      <c r="AP75" s="64"/>
      <c r="AQ75" s="532"/>
      <c r="AR75" s="532"/>
      <c r="AS75" s="2"/>
      <c r="AT75" s="2"/>
      <c r="AU75" s="37"/>
      <c r="AV75" s="95"/>
      <c r="AW75" s="9"/>
      <c r="AX75" s="64"/>
      <c r="AY75" s="506"/>
      <c r="AZ75" s="64"/>
      <c r="BA75" s="506"/>
      <c r="BB75" s="64"/>
      <c r="BC75" s="64"/>
      <c r="BD75" s="64"/>
      <c r="BE75" s="64"/>
      <c r="BF75" s="64"/>
      <c r="BG75" s="439"/>
      <c r="BH75" s="450"/>
      <c r="BI75" s="450"/>
      <c r="BJ75" s="450"/>
      <c r="BK75" s="145"/>
      <c r="BL75" s="64"/>
      <c r="BM75" s="532"/>
      <c r="BN75" s="532"/>
    </row>
    <row r="76" spans="1:66" ht="13.5" hidden="1" customHeight="1" outlineLevel="1">
      <c r="A76" s="2"/>
      <c r="B76" s="37"/>
      <c r="C76" s="37"/>
      <c r="D76" s="507" t="str">
        <f>D36</f>
        <v>High</v>
      </c>
      <c r="E76" s="508"/>
      <c r="F76" s="509"/>
      <c r="G76" s="510" t="e">
        <f t="shared" ref="G76:T76" ca="1" si="34">MAX(G71:G74)</f>
        <v>#NAME?</v>
      </c>
      <c r="H76" s="533" t="e">
        <f t="shared" ca="1" si="34"/>
        <v>#NAME?</v>
      </c>
      <c r="I76" s="511" t="e">
        <f t="shared" ca="1" si="34"/>
        <v>#NAME?</v>
      </c>
      <c r="J76" s="511" t="e">
        <f t="shared" ca="1" si="34"/>
        <v>#NAME?</v>
      </c>
      <c r="K76" s="511" t="e">
        <f t="shared" ca="1" si="34"/>
        <v>#NAME?</v>
      </c>
      <c r="L76" s="511" t="e">
        <f t="shared" ca="1" si="34"/>
        <v>#NAME?</v>
      </c>
      <c r="M76" s="512" t="e">
        <f t="shared" ca="1" si="34"/>
        <v>#NAME?</v>
      </c>
      <c r="N76" s="511" t="e">
        <f t="shared" ca="1" si="34"/>
        <v>#NAME?</v>
      </c>
      <c r="O76" s="511" t="e">
        <f t="shared" ca="1" si="34"/>
        <v>#NAME?</v>
      </c>
      <c r="P76" s="512" t="e">
        <f t="shared" ca="1" si="34"/>
        <v>#NAME?</v>
      </c>
      <c r="Q76" s="512" t="e">
        <f t="shared" ca="1" si="34"/>
        <v>#NAME?</v>
      </c>
      <c r="R76" s="512" t="e">
        <f t="shared" ca="1" si="34"/>
        <v>#NAME?</v>
      </c>
      <c r="S76" s="512" t="e">
        <f t="shared" ca="1" si="34"/>
        <v>#NAME?</v>
      </c>
      <c r="T76" s="512" t="e">
        <f t="shared" ca="1" si="34"/>
        <v>#NAME?</v>
      </c>
      <c r="U76" s="513"/>
      <c r="V76" s="514"/>
      <c r="W76" s="9"/>
      <c r="X76" s="2"/>
      <c r="Y76" s="37"/>
      <c r="Z76" s="507" t="str">
        <f>Z36</f>
        <v>High</v>
      </c>
      <c r="AA76" s="508"/>
      <c r="AB76" s="509"/>
      <c r="AC76" s="510" t="e">
        <f t="shared" ref="AC76:AP76" ca="1" si="35">MAX(AC71:AC74)</f>
        <v>#NAME?</v>
      </c>
      <c r="AD76" s="533" t="e">
        <f t="shared" ca="1" si="35"/>
        <v>#NAME?</v>
      </c>
      <c r="AE76" s="511" t="e">
        <f t="shared" ca="1" si="35"/>
        <v>#NAME?</v>
      </c>
      <c r="AF76" s="511" t="e">
        <f t="shared" ca="1" si="35"/>
        <v>#NAME?</v>
      </c>
      <c r="AG76" s="511" t="e">
        <f t="shared" ca="1" si="35"/>
        <v>#NAME?</v>
      </c>
      <c r="AH76" s="511" t="e">
        <f t="shared" ca="1" si="35"/>
        <v>#NAME?</v>
      </c>
      <c r="AI76" s="512" t="e">
        <f t="shared" ca="1" si="35"/>
        <v>#NAME?</v>
      </c>
      <c r="AJ76" s="511" t="e">
        <f t="shared" ca="1" si="35"/>
        <v>#NAME?</v>
      </c>
      <c r="AK76" s="513" t="e">
        <f t="shared" ca="1" si="35"/>
        <v>#NAME?</v>
      </c>
      <c r="AL76" s="513" t="e">
        <f t="shared" ca="1" si="35"/>
        <v>#NAME?</v>
      </c>
      <c r="AM76" s="513" t="e">
        <f t="shared" ca="1" si="35"/>
        <v>#NAME?</v>
      </c>
      <c r="AN76" s="513" t="e">
        <f t="shared" ca="1" si="35"/>
        <v>#NAME?</v>
      </c>
      <c r="AO76" s="513" t="e">
        <f t="shared" ca="1" si="35"/>
        <v>#NAME?</v>
      </c>
      <c r="AP76" s="513" t="e">
        <f t="shared" ca="1" si="35"/>
        <v>#NAME?</v>
      </c>
      <c r="AQ76" s="513"/>
      <c r="AR76" s="514"/>
      <c r="AS76" s="2"/>
      <c r="AT76" s="2"/>
      <c r="AU76" s="37"/>
      <c r="AV76" s="507" t="str">
        <f>AV36</f>
        <v>High</v>
      </c>
      <c r="AW76" s="508"/>
      <c r="AX76" s="509"/>
      <c r="AY76" s="510" t="e">
        <f t="shared" ref="AY76:BL76" ca="1" si="36">MAX(AY71:AY74)</f>
        <v>#NAME?</v>
      </c>
      <c r="AZ76" s="510" t="e">
        <f t="shared" ca="1" si="36"/>
        <v>#NAME?</v>
      </c>
      <c r="BA76" s="511" t="e">
        <f t="shared" ca="1" si="36"/>
        <v>#NAME?</v>
      </c>
      <c r="BB76" s="511" t="e">
        <f t="shared" ca="1" si="36"/>
        <v>#NAME?</v>
      </c>
      <c r="BC76" s="511" t="e">
        <f t="shared" ca="1" si="36"/>
        <v>#NAME?</v>
      </c>
      <c r="BD76" s="511" t="e">
        <f t="shared" ca="1" si="36"/>
        <v>#NAME?</v>
      </c>
      <c r="BE76" s="511" t="e">
        <f t="shared" ca="1" si="36"/>
        <v>#NAME?</v>
      </c>
      <c r="BF76" s="511" t="e">
        <f t="shared" ca="1" si="36"/>
        <v>#NAME?</v>
      </c>
      <c r="BG76" s="511" t="e">
        <f t="shared" ca="1" si="36"/>
        <v>#NAME?</v>
      </c>
      <c r="BH76" s="511" t="e">
        <f t="shared" ca="1" si="36"/>
        <v>#NAME?</v>
      </c>
      <c r="BI76" s="512" t="e">
        <f t="shared" ca="1" si="36"/>
        <v>#NAME?</v>
      </c>
      <c r="BJ76" s="513" t="e">
        <f t="shared" ca="1" si="36"/>
        <v>#NAME?</v>
      </c>
      <c r="BK76" s="513" t="e">
        <f t="shared" ca="1" si="36"/>
        <v>#NAME?</v>
      </c>
      <c r="BL76" s="513" t="e">
        <f t="shared" ca="1" si="36"/>
        <v>#NAME?</v>
      </c>
      <c r="BM76" s="513"/>
      <c r="BN76" s="514"/>
    </row>
    <row r="77" spans="1:66" ht="13.5" hidden="1" customHeight="1" outlineLevel="1">
      <c r="A77" s="2"/>
      <c r="B77" s="37"/>
      <c r="C77" s="37"/>
      <c r="D77" s="515" t="str">
        <f>D37</f>
        <v>Mean</v>
      </c>
      <c r="E77" s="516"/>
      <c r="F77" s="517"/>
      <c r="G77" s="518" t="e">
        <f t="shared" ref="G77:T77" ca="1" si="37">AVERAGE(G71:G74)</f>
        <v>#NAME?</v>
      </c>
      <c r="H77" s="534" t="e">
        <f t="shared" ca="1" si="37"/>
        <v>#NAME?</v>
      </c>
      <c r="I77" s="519" t="e">
        <f t="shared" ca="1" si="37"/>
        <v>#NAME?</v>
      </c>
      <c r="J77" s="519" t="e">
        <f t="shared" ca="1" si="37"/>
        <v>#NAME?</v>
      </c>
      <c r="K77" s="519" t="e">
        <f t="shared" ca="1" si="37"/>
        <v>#NAME?</v>
      </c>
      <c r="L77" s="519" t="e">
        <f t="shared" ca="1" si="37"/>
        <v>#NAME?</v>
      </c>
      <c r="M77" s="535" t="e">
        <f t="shared" ca="1" si="37"/>
        <v>#NAME?</v>
      </c>
      <c r="N77" s="519" t="e">
        <f t="shared" ca="1" si="37"/>
        <v>#NAME?</v>
      </c>
      <c r="O77" s="519" t="e">
        <f t="shared" ca="1" si="37"/>
        <v>#NAME?</v>
      </c>
      <c r="P77" s="535" t="e">
        <f t="shared" ca="1" si="37"/>
        <v>#NAME?</v>
      </c>
      <c r="Q77" s="535" t="e">
        <f t="shared" ca="1" si="37"/>
        <v>#NAME?</v>
      </c>
      <c r="R77" s="535" t="e">
        <f t="shared" ca="1" si="37"/>
        <v>#NAME?</v>
      </c>
      <c r="S77" s="535" t="e">
        <f t="shared" ca="1" si="37"/>
        <v>#NAME?</v>
      </c>
      <c r="T77" s="535" t="e">
        <f t="shared" ca="1" si="37"/>
        <v>#NAME?</v>
      </c>
      <c r="U77" s="521"/>
      <c r="V77" s="522"/>
      <c r="W77" s="9"/>
      <c r="X77" s="2"/>
      <c r="Y77" s="37"/>
      <c r="Z77" s="515" t="str">
        <f>Z37</f>
        <v>Mean</v>
      </c>
      <c r="AA77" s="516"/>
      <c r="AB77" s="517"/>
      <c r="AC77" s="518" t="e">
        <f t="shared" ref="AC77:AP77" ca="1" si="38">AVERAGE(AC71:AC74)</f>
        <v>#NAME?</v>
      </c>
      <c r="AD77" s="534" t="e">
        <f t="shared" ca="1" si="38"/>
        <v>#NAME?</v>
      </c>
      <c r="AE77" s="519" t="e">
        <f t="shared" ca="1" si="38"/>
        <v>#NAME?</v>
      </c>
      <c r="AF77" s="519" t="e">
        <f t="shared" ca="1" si="38"/>
        <v>#NAME?</v>
      </c>
      <c r="AG77" s="519" t="e">
        <f t="shared" ca="1" si="38"/>
        <v>#NAME?</v>
      </c>
      <c r="AH77" s="519" t="e">
        <f t="shared" ca="1" si="38"/>
        <v>#NAME?</v>
      </c>
      <c r="AI77" s="520" t="e">
        <f t="shared" ca="1" si="38"/>
        <v>#NAME?</v>
      </c>
      <c r="AJ77" s="519" t="e">
        <f t="shared" ca="1" si="38"/>
        <v>#NAME?</v>
      </c>
      <c r="AK77" s="521" t="e">
        <f t="shared" ca="1" si="38"/>
        <v>#NAME?</v>
      </c>
      <c r="AL77" s="521" t="e">
        <f t="shared" ca="1" si="38"/>
        <v>#NAME?</v>
      </c>
      <c r="AM77" s="521" t="e">
        <f t="shared" ca="1" si="38"/>
        <v>#NAME?</v>
      </c>
      <c r="AN77" s="521" t="e">
        <f t="shared" ca="1" si="38"/>
        <v>#NAME?</v>
      </c>
      <c r="AO77" s="521" t="e">
        <f t="shared" ca="1" si="38"/>
        <v>#NAME?</v>
      </c>
      <c r="AP77" s="521" t="e">
        <f t="shared" ca="1" si="38"/>
        <v>#NAME?</v>
      </c>
      <c r="AQ77" s="521"/>
      <c r="AR77" s="522"/>
      <c r="AS77" s="2"/>
      <c r="AT77" s="2"/>
      <c r="AU77" s="37"/>
      <c r="AV77" s="515" t="str">
        <f>AV37</f>
        <v>Mean</v>
      </c>
      <c r="AW77" s="516"/>
      <c r="AX77" s="517"/>
      <c r="AY77" s="518" t="e">
        <f t="shared" ref="AY77:BL77" ca="1" si="39">AVERAGE(AY71:AY74)</f>
        <v>#NAME?</v>
      </c>
      <c r="AZ77" s="518" t="e">
        <f t="shared" ca="1" si="39"/>
        <v>#NAME?</v>
      </c>
      <c r="BA77" s="519" t="e">
        <f t="shared" ca="1" si="39"/>
        <v>#NAME?</v>
      </c>
      <c r="BB77" s="519" t="e">
        <f t="shared" ca="1" si="39"/>
        <v>#NAME?</v>
      </c>
      <c r="BC77" s="519" t="e">
        <f t="shared" ca="1" si="39"/>
        <v>#NAME?</v>
      </c>
      <c r="BD77" s="519" t="e">
        <f t="shared" ca="1" si="39"/>
        <v>#NAME?</v>
      </c>
      <c r="BE77" s="519" t="e">
        <f t="shared" ca="1" si="39"/>
        <v>#NAME?</v>
      </c>
      <c r="BF77" s="519" t="e">
        <f t="shared" ca="1" si="39"/>
        <v>#NAME?</v>
      </c>
      <c r="BG77" s="519" t="e">
        <f t="shared" ca="1" si="39"/>
        <v>#NAME?</v>
      </c>
      <c r="BH77" s="519" t="e">
        <f t="shared" ca="1" si="39"/>
        <v>#NAME?</v>
      </c>
      <c r="BI77" s="520" t="e">
        <f t="shared" ca="1" si="39"/>
        <v>#NAME?</v>
      </c>
      <c r="BJ77" s="521" t="e">
        <f t="shared" ca="1" si="39"/>
        <v>#NAME?</v>
      </c>
      <c r="BK77" s="521" t="e">
        <f t="shared" ca="1" si="39"/>
        <v>#NAME?</v>
      </c>
      <c r="BL77" s="521" t="e">
        <f t="shared" ca="1" si="39"/>
        <v>#NAME?</v>
      </c>
      <c r="BM77" s="521"/>
      <c r="BN77" s="522"/>
    </row>
    <row r="78" spans="1:66" ht="13.5" hidden="1" customHeight="1" outlineLevel="1">
      <c r="A78" s="2"/>
      <c r="B78" s="37"/>
      <c r="C78" s="37"/>
      <c r="D78" s="515" t="str">
        <f>D38</f>
        <v>Median</v>
      </c>
      <c r="E78" s="516"/>
      <c r="F78" s="516"/>
      <c r="G78" s="518" t="e">
        <f t="shared" ref="G78:T78" ca="1" si="40">MEDIAN(G71:G74)</f>
        <v>#NAME?</v>
      </c>
      <c r="H78" s="534" t="e">
        <f t="shared" ca="1" si="40"/>
        <v>#NAME?</v>
      </c>
      <c r="I78" s="519" t="e">
        <f t="shared" ca="1" si="40"/>
        <v>#NAME?</v>
      </c>
      <c r="J78" s="519" t="e">
        <f t="shared" ca="1" si="40"/>
        <v>#NAME?</v>
      </c>
      <c r="K78" s="519" t="e">
        <f t="shared" ca="1" si="40"/>
        <v>#NAME?</v>
      </c>
      <c r="L78" s="519" t="e">
        <f t="shared" ca="1" si="40"/>
        <v>#NAME?</v>
      </c>
      <c r="M78" s="535" t="e">
        <f t="shared" ca="1" si="40"/>
        <v>#NAME?</v>
      </c>
      <c r="N78" s="519" t="e">
        <f t="shared" ca="1" si="40"/>
        <v>#NAME?</v>
      </c>
      <c r="O78" s="519" t="e">
        <f t="shared" ca="1" si="40"/>
        <v>#NAME?</v>
      </c>
      <c r="P78" s="535" t="e">
        <f t="shared" ca="1" si="40"/>
        <v>#NAME?</v>
      </c>
      <c r="Q78" s="535" t="e">
        <f t="shared" ca="1" si="40"/>
        <v>#NAME?</v>
      </c>
      <c r="R78" s="535" t="e">
        <f t="shared" ca="1" si="40"/>
        <v>#NAME?</v>
      </c>
      <c r="S78" s="535" t="e">
        <f t="shared" ca="1" si="40"/>
        <v>#NAME?</v>
      </c>
      <c r="T78" s="535" t="e">
        <f t="shared" ca="1" si="40"/>
        <v>#NAME?</v>
      </c>
      <c r="U78" s="521"/>
      <c r="V78" s="522"/>
      <c r="W78" s="9"/>
      <c r="X78" s="2"/>
      <c r="Y78" s="37"/>
      <c r="Z78" s="515" t="str">
        <f>Z38</f>
        <v>Median</v>
      </c>
      <c r="AA78" s="516"/>
      <c r="AB78" s="516"/>
      <c r="AC78" s="518" t="e">
        <f t="shared" ref="AC78:AP78" ca="1" si="41">MEDIAN(AC71:AC74)</f>
        <v>#NAME?</v>
      </c>
      <c r="AD78" s="534" t="e">
        <f t="shared" ca="1" si="41"/>
        <v>#NAME?</v>
      </c>
      <c r="AE78" s="519" t="e">
        <f t="shared" ca="1" si="41"/>
        <v>#NAME?</v>
      </c>
      <c r="AF78" s="519" t="e">
        <f t="shared" ca="1" si="41"/>
        <v>#NAME?</v>
      </c>
      <c r="AG78" s="519" t="e">
        <f t="shared" ca="1" si="41"/>
        <v>#NAME?</v>
      </c>
      <c r="AH78" s="519" t="e">
        <f t="shared" ca="1" si="41"/>
        <v>#NAME?</v>
      </c>
      <c r="AI78" s="520" t="e">
        <f t="shared" ca="1" si="41"/>
        <v>#NAME?</v>
      </c>
      <c r="AJ78" s="519" t="e">
        <f t="shared" ca="1" si="41"/>
        <v>#NAME?</v>
      </c>
      <c r="AK78" s="521" t="e">
        <f t="shared" ca="1" si="41"/>
        <v>#NAME?</v>
      </c>
      <c r="AL78" s="521" t="e">
        <f t="shared" ca="1" si="41"/>
        <v>#NAME?</v>
      </c>
      <c r="AM78" s="521" t="e">
        <f t="shared" ca="1" si="41"/>
        <v>#NAME?</v>
      </c>
      <c r="AN78" s="521" t="e">
        <f t="shared" ca="1" si="41"/>
        <v>#NAME?</v>
      </c>
      <c r="AO78" s="521" t="e">
        <f t="shared" ca="1" si="41"/>
        <v>#NAME?</v>
      </c>
      <c r="AP78" s="521" t="e">
        <f t="shared" ca="1" si="41"/>
        <v>#NAME?</v>
      </c>
      <c r="AQ78" s="521"/>
      <c r="AR78" s="522"/>
      <c r="AS78" s="2"/>
      <c r="AT78" s="2"/>
      <c r="AU78" s="37"/>
      <c r="AV78" s="515" t="str">
        <f>AV38</f>
        <v>Median</v>
      </c>
      <c r="AW78" s="516"/>
      <c r="AX78" s="516"/>
      <c r="AY78" s="518" t="e">
        <f t="shared" ref="AY78:BL78" ca="1" si="42">MEDIAN(AY71:AY74)</f>
        <v>#NAME?</v>
      </c>
      <c r="AZ78" s="518" t="e">
        <f t="shared" ca="1" si="42"/>
        <v>#NAME?</v>
      </c>
      <c r="BA78" s="519" t="e">
        <f t="shared" ca="1" si="42"/>
        <v>#NAME?</v>
      </c>
      <c r="BB78" s="519" t="e">
        <f t="shared" ca="1" si="42"/>
        <v>#NAME?</v>
      </c>
      <c r="BC78" s="519" t="e">
        <f t="shared" ca="1" si="42"/>
        <v>#NAME?</v>
      </c>
      <c r="BD78" s="519" t="e">
        <f t="shared" ca="1" si="42"/>
        <v>#NAME?</v>
      </c>
      <c r="BE78" s="519" t="e">
        <f t="shared" ca="1" si="42"/>
        <v>#NAME?</v>
      </c>
      <c r="BF78" s="519" t="e">
        <f t="shared" ca="1" si="42"/>
        <v>#NAME?</v>
      </c>
      <c r="BG78" s="519" t="e">
        <f t="shared" ca="1" si="42"/>
        <v>#NAME?</v>
      </c>
      <c r="BH78" s="519" t="e">
        <f t="shared" ca="1" si="42"/>
        <v>#NAME?</v>
      </c>
      <c r="BI78" s="520" t="e">
        <f t="shared" ca="1" si="42"/>
        <v>#NAME?</v>
      </c>
      <c r="BJ78" s="521" t="e">
        <f t="shared" ca="1" si="42"/>
        <v>#NAME?</v>
      </c>
      <c r="BK78" s="521" t="e">
        <f t="shared" ca="1" si="42"/>
        <v>#NAME?</v>
      </c>
      <c r="BL78" s="521" t="e">
        <f t="shared" ca="1" si="42"/>
        <v>#NAME?</v>
      </c>
      <c r="BM78" s="521"/>
      <c r="BN78" s="522"/>
    </row>
    <row r="79" spans="1:66" ht="13.5" hidden="1" customHeight="1" outlineLevel="1">
      <c r="A79" s="2"/>
      <c r="B79" s="37"/>
      <c r="C79" s="37"/>
      <c r="D79" s="523" t="str">
        <f>D39</f>
        <v>Low</v>
      </c>
      <c r="E79" s="524"/>
      <c r="F79" s="524"/>
      <c r="G79" s="525" t="e">
        <f t="shared" ref="G79:T79" ca="1" si="43">MIN(G71:G74)</f>
        <v>#NAME?</v>
      </c>
      <c r="H79" s="536" t="e">
        <f t="shared" ca="1" si="43"/>
        <v>#NAME?</v>
      </c>
      <c r="I79" s="526" t="e">
        <f t="shared" ca="1" si="43"/>
        <v>#NAME?</v>
      </c>
      <c r="J79" s="526" t="e">
        <f t="shared" ca="1" si="43"/>
        <v>#NAME?</v>
      </c>
      <c r="K79" s="526" t="e">
        <f t="shared" ca="1" si="43"/>
        <v>#NAME?</v>
      </c>
      <c r="L79" s="526" t="e">
        <f t="shared" ca="1" si="43"/>
        <v>#NAME?</v>
      </c>
      <c r="M79" s="537" t="e">
        <f t="shared" ca="1" si="43"/>
        <v>#NAME?</v>
      </c>
      <c r="N79" s="526" t="e">
        <f t="shared" ca="1" si="43"/>
        <v>#NAME?</v>
      </c>
      <c r="O79" s="526" t="e">
        <f t="shared" ca="1" si="43"/>
        <v>#NAME?</v>
      </c>
      <c r="P79" s="537" t="e">
        <f t="shared" ca="1" si="43"/>
        <v>#NAME?</v>
      </c>
      <c r="Q79" s="537" t="e">
        <f t="shared" ca="1" si="43"/>
        <v>#NAME?</v>
      </c>
      <c r="R79" s="537" t="e">
        <f t="shared" ca="1" si="43"/>
        <v>#NAME?</v>
      </c>
      <c r="S79" s="537" t="e">
        <f t="shared" ca="1" si="43"/>
        <v>#NAME?</v>
      </c>
      <c r="T79" s="537" t="e">
        <f t="shared" ca="1" si="43"/>
        <v>#NAME?</v>
      </c>
      <c r="U79" s="528"/>
      <c r="V79" s="529"/>
      <c r="W79" s="9"/>
      <c r="X79" s="2"/>
      <c r="Y79" s="37"/>
      <c r="Z79" s="523" t="str">
        <f>Z39</f>
        <v>Low</v>
      </c>
      <c r="AA79" s="524"/>
      <c r="AB79" s="524"/>
      <c r="AC79" s="525" t="e">
        <f t="shared" ref="AC79:AP79" ca="1" si="44">MIN(AC71:AC74)</f>
        <v>#NAME?</v>
      </c>
      <c r="AD79" s="536" t="e">
        <f t="shared" ca="1" si="44"/>
        <v>#NAME?</v>
      </c>
      <c r="AE79" s="526" t="e">
        <f t="shared" ca="1" si="44"/>
        <v>#NAME?</v>
      </c>
      <c r="AF79" s="526" t="e">
        <f t="shared" ca="1" si="44"/>
        <v>#NAME?</v>
      </c>
      <c r="AG79" s="526" t="e">
        <f t="shared" ca="1" si="44"/>
        <v>#NAME?</v>
      </c>
      <c r="AH79" s="526" t="e">
        <f t="shared" ca="1" si="44"/>
        <v>#NAME?</v>
      </c>
      <c r="AI79" s="527" t="e">
        <f t="shared" ca="1" si="44"/>
        <v>#NAME?</v>
      </c>
      <c r="AJ79" s="526" t="e">
        <f t="shared" ca="1" si="44"/>
        <v>#NAME?</v>
      </c>
      <c r="AK79" s="528" t="e">
        <f t="shared" ca="1" si="44"/>
        <v>#NAME?</v>
      </c>
      <c r="AL79" s="528" t="e">
        <f t="shared" ca="1" si="44"/>
        <v>#NAME?</v>
      </c>
      <c r="AM79" s="528" t="e">
        <f t="shared" ca="1" si="44"/>
        <v>#NAME?</v>
      </c>
      <c r="AN79" s="528" t="e">
        <f t="shared" ca="1" si="44"/>
        <v>#NAME?</v>
      </c>
      <c r="AO79" s="528" t="e">
        <f t="shared" ca="1" si="44"/>
        <v>#NAME?</v>
      </c>
      <c r="AP79" s="528" t="e">
        <f t="shared" ca="1" si="44"/>
        <v>#NAME?</v>
      </c>
      <c r="AQ79" s="528"/>
      <c r="AR79" s="529"/>
      <c r="AS79" s="2"/>
      <c r="AT79" s="2"/>
      <c r="AU79" s="37"/>
      <c r="AV79" s="523" t="str">
        <f>AV39</f>
        <v>Low</v>
      </c>
      <c r="AW79" s="524"/>
      <c r="AX79" s="524"/>
      <c r="AY79" s="525" t="e">
        <f t="shared" ref="AY79:BL79" ca="1" si="45">MIN(AY71:AY74)</f>
        <v>#NAME?</v>
      </c>
      <c r="AZ79" s="525" t="e">
        <f t="shared" ca="1" si="45"/>
        <v>#NAME?</v>
      </c>
      <c r="BA79" s="526" t="e">
        <f t="shared" ca="1" si="45"/>
        <v>#NAME?</v>
      </c>
      <c r="BB79" s="526" t="e">
        <f t="shared" ca="1" si="45"/>
        <v>#NAME?</v>
      </c>
      <c r="BC79" s="526" t="e">
        <f t="shared" ca="1" si="45"/>
        <v>#NAME?</v>
      </c>
      <c r="BD79" s="526" t="e">
        <f t="shared" ca="1" si="45"/>
        <v>#NAME?</v>
      </c>
      <c r="BE79" s="526" t="e">
        <f t="shared" ca="1" si="45"/>
        <v>#NAME?</v>
      </c>
      <c r="BF79" s="526" t="e">
        <f t="shared" ca="1" si="45"/>
        <v>#NAME?</v>
      </c>
      <c r="BG79" s="526" t="e">
        <f t="shared" ca="1" si="45"/>
        <v>#NAME?</v>
      </c>
      <c r="BH79" s="526" t="e">
        <f t="shared" ca="1" si="45"/>
        <v>#NAME?</v>
      </c>
      <c r="BI79" s="527" t="e">
        <f t="shared" ca="1" si="45"/>
        <v>#NAME?</v>
      </c>
      <c r="BJ79" s="528" t="e">
        <f t="shared" ca="1" si="45"/>
        <v>#NAME?</v>
      </c>
      <c r="BK79" s="528" t="e">
        <f t="shared" ca="1" si="45"/>
        <v>#NAME?</v>
      </c>
      <c r="BL79" s="528" t="e">
        <f t="shared" ca="1" si="45"/>
        <v>#NAME?</v>
      </c>
      <c r="BM79" s="528"/>
      <c r="BN79" s="529"/>
    </row>
    <row r="80" spans="1:66" ht="13.5" hidden="1" customHeight="1" outlineLevel="1">
      <c r="A80" s="2"/>
      <c r="B80" s="37"/>
      <c r="C80" s="37"/>
      <c r="D80" s="9"/>
      <c r="E80" s="9"/>
      <c r="F80" s="9"/>
      <c r="G80" s="494"/>
      <c r="H80" s="64"/>
      <c r="I80" s="494"/>
      <c r="J80" s="494"/>
      <c r="K80" s="494"/>
      <c r="L80" s="494"/>
      <c r="M80" s="494"/>
      <c r="N80" s="450"/>
      <c r="O80" s="494"/>
      <c r="P80" s="450"/>
      <c r="Q80" s="447"/>
      <c r="R80" s="450"/>
      <c r="S80" s="9"/>
      <c r="T80" s="494"/>
      <c r="U80" s="64"/>
      <c r="V80" s="64"/>
      <c r="W80" s="9"/>
      <c r="X80" s="2"/>
      <c r="Y80" s="37"/>
      <c r="Z80" s="9"/>
      <c r="AA80" s="9"/>
      <c r="AB80" s="9"/>
      <c r="AC80" s="494"/>
      <c r="AD80" s="64"/>
      <c r="AE80" s="494"/>
      <c r="AF80" s="494"/>
      <c r="AG80" s="494"/>
      <c r="AH80" s="494"/>
      <c r="AI80" s="494"/>
      <c r="AJ80" s="450"/>
      <c r="AK80" s="494"/>
      <c r="AL80" s="450"/>
      <c r="AM80" s="447"/>
      <c r="AN80" s="450"/>
      <c r="AO80" s="9"/>
      <c r="AP80" s="494"/>
      <c r="AQ80" s="64"/>
      <c r="AR80" s="64"/>
      <c r="AS80" s="2"/>
      <c r="AT80" s="2"/>
      <c r="AU80" s="37"/>
      <c r="AV80" s="9"/>
      <c r="AW80" s="9"/>
      <c r="AX80" s="9"/>
      <c r="AY80" s="494"/>
      <c r="AZ80" s="64"/>
      <c r="BA80" s="494"/>
      <c r="BB80" s="494"/>
      <c r="BC80" s="494"/>
      <c r="BD80" s="494"/>
      <c r="BE80" s="494"/>
      <c r="BF80" s="450"/>
      <c r="BG80" s="494"/>
      <c r="BH80" s="450"/>
      <c r="BI80" s="447"/>
      <c r="BJ80" s="450"/>
      <c r="BK80" s="9"/>
      <c r="BL80" s="494"/>
      <c r="BM80" s="64"/>
      <c r="BN80" s="64"/>
    </row>
    <row r="81" spans="1:66" ht="13.5" hidden="1" customHeight="1" outlineLevel="1">
      <c r="A81" s="2"/>
      <c r="B81" s="37"/>
      <c r="C81" s="37"/>
      <c r="D81" s="9"/>
      <c r="E81" s="9"/>
      <c r="F81" s="9"/>
      <c r="G81" s="9"/>
      <c r="H81" s="9"/>
      <c r="I81" s="9"/>
      <c r="J81" s="9"/>
      <c r="K81" s="9"/>
      <c r="L81" s="9"/>
      <c r="M81" s="9"/>
      <c r="N81" s="9"/>
      <c r="O81" s="9"/>
      <c r="P81" s="9"/>
      <c r="Q81" s="9"/>
      <c r="R81" s="9"/>
      <c r="S81" s="9"/>
      <c r="T81" s="9"/>
      <c r="U81" s="9"/>
      <c r="V81" s="9"/>
      <c r="W81" s="9"/>
      <c r="X81" s="2"/>
      <c r="Y81" s="37"/>
      <c r="Z81" s="9"/>
      <c r="AA81" s="9"/>
      <c r="AB81" s="9"/>
      <c r="AC81" s="9"/>
      <c r="AD81" s="9"/>
      <c r="AE81" s="9"/>
      <c r="AF81" s="9"/>
      <c r="AG81" s="9"/>
      <c r="AH81" s="9"/>
      <c r="AI81" s="9"/>
      <c r="AJ81" s="9"/>
      <c r="AK81" s="9"/>
      <c r="AL81" s="9"/>
      <c r="AM81" s="9"/>
      <c r="AN81" s="9"/>
      <c r="AO81" s="9"/>
      <c r="AP81" s="9"/>
      <c r="AQ81" s="9"/>
      <c r="AR81" s="9"/>
      <c r="AS81" s="2"/>
      <c r="AT81" s="2"/>
      <c r="AU81" s="2"/>
      <c r="AV81" s="2"/>
      <c r="AW81" s="2"/>
      <c r="AX81" s="2"/>
      <c r="AY81" s="2"/>
      <c r="AZ81" s="2"/>
      <c r="BA81" s="2"/>
      <c r="BB81" s="2"/>
      <c r="BC81" s="2"/>
      <c r="BD81" s="2"/>
      <c r="BE81" s="2"/>
      <c r="BF81" s="2"/>
      <c r="BG81" s="2"/>
      <c r="BH81" s="2"/>
      <c r="BI81" s="2"/>
      <c r="BJ81" s="2"/>
      <c r="BK81" s="2"/>
      <c r="BL81" s="2"/>
      <c r="BM81" s="2"/>
      <c r="BN81" s="2"/>
    </row>
    <row r="82" spans="1:66" ht="13.5" hidden="1" customHeight="1" outlineLevel="1">
      <c r="A82" s="2"/>
      <c r="B82" s="37" t="s">
        <v>0</v>
      </c>
      <c r="C82" s="37"/>
      <c r="D82" s="538" t="s">
        <v>518</v>
      </c>
      <c r="E82" s="538"/>
      <c r="F82" s="538"/>
      <c r="G82" s="538"/>
      <c r="H82" s="538"/>
      <c r="I82" s="538"/>
      <c r="J82" s="538"/>
      <c r="K82" s="538"/>
      <c r="L82" s="538"/>
      <c r="M82" s="538"/>
      <c r="N82" s="538"/>
      <c r="O82" s="538"/>
      <c r="P82" s="538"/>
      <c r="Q82" s="538"/>
      <c r="R82" s="538"/>
      <c r="S82" s="538"/>
      <c r="T82" s="538"/>
      <c r="U82" s="538"/>
      <c r="V82" s="538"/>
      <c r="W82" s="9"/>
      <c r="X82" s="9"/>
      <c r="Y82" s="9"/>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row>
    <row r="83" spans="1:66" ht="13.5" hidden="1" customHeight="1" outlineLevel="1">
      <c r="A83" s="2"/>
      <c r="B83" s="37"/>
      <c r="C83" s="37"/>
      <c r="D83" s="9"/>
      <c r="E83" s="9"/>
      <c r="F83" s="9"/>
      <c r="G83" s="9"/>
      <c r="H83" s="9"/>
      <c r="I83" s="9"/>
      <c r="J83" s="9"/>
      <c r="K83" s="9"/>
      <c r="L83" s="9"/>
      <c r="M83" s="9"/>
      <c r="N83" s="9"/>
      <c r="O83" s="9"/>
      <c r="P83" s="9"/>
      <c r="Q83" s="9"/>
      <c r="R83" s="9"/>
      <c r="S83" s="9"/>
      <c r="T83" s="9"/>
      <c r="U83" s="9"/>
      <c r="V83" s="9"/>
      <c r="W83" s="9"/>
      <c r="X83" s="9"/>
      <c r="Y83" s="9"/>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row>
    <row r="84" spans="1:66" ht="15" hidden="1" customHeight="1" outlineLevel="1">
      <c r="A84" s="2"/>
      <c r="B84" s="37"/>
      <c r="C84" s="37"/>
      <c r="D84" s="11" t="str">
        <f>S86</f>
        <v>Primary Peer Group</v>
      </c>
      <c r="E84" s="13"/>
      <c r="F84" s="10" t="s">
        <v>0</v>
      </c>
      <c r="G84" s="11" t="str">
        <f>S87</f>
        <v>Defense Peer Group</v>
      </c>
      <c r="H84" s="12"/>
      <c r="I84" s="12"/>
      <c r="J84" s="13"/>
      <c r="K84" s="9"/>
      <c r="L84" s="11" t="str">
        <f>S88</f>
        <v>Cap. Goods Peer Group</v>
      </c>
      <c r="M84" s="12"/>
      <c r="N84" s="12"/>
      <c r="O84" s="13"/>
      <c r="P84" s="9"/>
      <c r="Q84" s="11" t="s">
        <v>519</v>
      </c>
      <c r="R84" s="12"/>
      <c r="S84" s="12"/>
      <c r="T84" s="13"/>
      <c r="U84" s="9"/>
      <c r="V84" s="9"/>
      <c r="W84" s="9"/>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row>
    <row r="85" spans="1:66" ht="15" hidden="1" customHeight="1" outlineLevel="1">
      <c r="A85" s="2"/>
      <c r="B85" s="37"/>
      <c r="C85" s="37"/>
      <c r="D85" s="9"/>
      <c r="E85" s="9"/>
      <c r="F85" s="9"/>
      <c r="G85" s="9"/>
      <c r="H85" s="9"/>
      <c r="I85" s="9"/>
      <c r="J85" s="9"/>
      <c r="K85" s="9"/>
      <c r="L85" s="9"/>
      <c r="M85" s="9"/>
      <c r="N85" s="9"/>
      <c r="O85" s="9"/>
      <c r="P85" s="9"/>
      <c r="Q85" s="9"/>
      <c r="R85" s="9"/>
      <c r="S85" s="9"/>
      <c r="T85" s="96"/>
      <c r="U85" s="9"/>
      <c r="V85" s="9"/>
      <c r="W85" s="9"/>
      <c r="X85" s="9"/>
      <c r="Y85" s="9"/>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row>
    <row r="86" spans="1:66" ht="15" hidden="1" customHeight="1" outlineLevel="1">
      <c r="A86" s="2"/>
      <c r="B86" s="37"/>
      <c r="C86" s="37"/>
      <c r="D86" s="136" t="s">
        <v>520</v>
      </c>
      <c r="E86" s="198" t="str">
        <f>Company_Name</f>
        <v>Hamilton Lane Inc.</v>
      </c>
      <c r="F86" s="9"/>
      <c r="G86" s="136" t="s">
        <v>520</v>
      </c>
      <c r="H86" s="96"/>
      <c r="I86" s="96" t="str">
        <f>Company_Name</f>
        <v>Hamilton Lane Inc.</v>
      </c>
      <c r="J86" s="198"/>
      <c r="K86" s="9"/>
      <c r="L86" s="136" t="s">
        <v>520</v>
      </c>
      <c r="M86" s="96"/>
      <c r="N86" s="96" t="str">
        <f>Company_Name</f>
        <v>Hamilton Lane Inc.</v>
      </c>
      <c r="O86" s="198"/>
      <c r="P86" s="9"/>
      <c r="Q86" s="136" t="s">
        <v>521</v>
      </c>
      <c r="R86" s="96"/>
      <c r="S86" s="539" t="s">
        <v>522</v>
      </c>
      <c r="T86" s="198"/>
      <c r="U86" s="9"/>
      <c r="V86" s="9"/>
      <c r="W86" s="9"/>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row>
    <row r="87" spans="1:66" ht="15" hidden="1" customHeight="1" outlineLevel="1">
      <c r="A87" s="2"/>
      <c r="B87" s="37"/>
      <c r="C87" s="37"/>
      <c r="D87" s="134" t="s">
        <v>523</v>
      </c>
      <c r="E87" s="135" t="str">
        <f>Ticker</f>
        <v>HLNE</v>
      </c>
      <c r="F87" s="9"/>
      <c r="G87" s="134" t="s">
        <v>523</v>
      </c>
      <c r="H87" s="9"/>
      <c r="I87" s="9" t="str">
        <f>Ticker</f>
        <v>HLNE</v>
      </c>
      <c r="J87" s="135"/>
      <c r="K87" s="9"/>
      <c r="L87" s="134" t="s">
        <v>523</v>
      </c>
      <c r="M87" s="9"/>
      <c r="N87" s="9" t="str">
        <f>Ticker</f>
        <v>HLNE</v>
      </c>
      <c r="O87" s="135"/>
      <c r="P87" s="9"/>
      <c r="Q87" s="134" t="s">
        <v>524</v>
      </c>
      <c r="R87" s="9"/>
      <c r="S87" s="540" t="s">
        <v>525</v>
      </c>
      <c r="T87" s="135"/>
      <c r="U87" s="9"/>
      <c r="V87" s="9"/>
      <c r="W87" s="9"/>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row>
    <row r="88" spans="1:66" ht="15" hidden="1" customHeight="1" outlineLevel="1">
      <c r="A88" s="2"/>
      <c r="B88" s="37"/>
      <c r="C88" s="37"/>
      <c r="D88" s="137" t="s">
        <v>526</v>
      </c>
      <c r="E88" s="541" t="s">
        <v>867</v>
      </c>
      <c r="F88" s="9"/>
      <c r="G88" s="137" t="s">
        <v>526</v>
      </c>
      <c r="H88" s="95"/>
      <c r="I88" s="95" t="str">
        <f>$E$88</f>
        <v>IQ780675</v>
      </c>
      <c r="J88" s="542"/>
      <c r="K88" s="9"/>
      <c r="L88" s="137" t="s">
        <v>526</v>
      </c>
      <c r="M88" s="95"/>
      <c r="N88" s="95" t="str">
        <f>$E$88</f>
        <v>IQ780675</v>
      </c>
      <c r="O88" s="542"/>
      <c r="P88" s="9"/>
      <c r="Q88" s="137" t="s">
        <v>527</v>
      </c>
      <c r="R88" s="95"/>
      <c r="S88" s="543" t="s">
        <v>528</v>
      </c>
      <c r="T88" s="542"/>
      <c r="U88" s="9"/>
      <c r="V88" s="9"/>
      <c r="W88" s="9"/>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row>
    <row r="89" spans="1:66" ht="15" hidden="1" customHeight="1" outlineLevel="1">
      <c r="A89" s="2"/>
      <c r="B89" s="37"/>
      <c r="C89" s="37"/>
      <c r="F89" s="9"/>
      <c r="K89" s="9"/>
      <c r="P89" s="9"/>
      <c r="Q89" s="9"/>
      <c r="R89" s="9"/>
      <c r="S89" s="9"/>
      <c r="T89" s="9"/>
      <c r="U89" s="9"/>
      <c r="V89" s="9"/>
      <c r="W89" s="9"/>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row>
    <row r="90" spans="1:66" ht="15" hidden="1" customHeight="1" outlineLevel="1">
      <c r="A90" s="2"/>
      <c r="B90" s="37"/>
      <c r="C90" s="37"/>
      <c r="D90" s="136" t="s">
        <v>529</v>
      </c>
      <c r="E90" s="544" t="s">
        <v>927</v>
      </c>
      <c r="F90" s="9"/>
      <c r="G90" s="136" t="s">
        <v>529</v>
      </c>
      <c r="H90" s="96"/>
      <c r="I90" s="539" t="s">
        <v>530</v>
      </c>
      <c r="J90" s="198"/>
      <c r="K90" s="9"/>
      <c r="L90" s="136" t="s">
        <v>529</v>
      </c>
      <c r="M90" s="96"/>
      <c r="N90" s="539" t="s">
        <v>531</v>
      </c>
      <c r="O90" s="198"/>
      <c r="P90" s="9"/>
      <c r="Q90" s="9"/>
      <c r="R90" s="9"/>
      <c r="S90" s="9"/>
      <c r="T90" s="9"/>
      <c r="U90" s="9"/>
      <c r="V90" s="9"/>
      <c r="W90" s="9"/>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row>
    <row r="91" spans="1:66" ht="15" hidden="1" customHeight="1" outlineLevel="1">
      <c r="A91" s="2"/>
      <c r="B91" s="37"/>
      <c r="C91" s="37"/>
      <c r="D91" s="134" t="s">
        <v>523</v>
      </c>
      <c r="E91" s="545" t="s">
        <v>967</v>
      </c>
      <c r="F91" s="9"/>
      <c r="G91" s="134" t="s">
        <v>523</v>
      </c>
      <c r="H91" s="9"/>
      <c r="I91" s="540" t="s">
        <v>472</v>
      </c>
      <c r="J91" s="135"/>
      <c r="K91" s="9"/>
      <c r="L91" s="134" t="s">
        <v>523</v>
      </c>
      <c r="M91" s="9"/>
      <c r="N91" s="540" t="s">
        <v>473</v>
      </c>
      <c r="O91" s="135"/>
      <c r="P91" s="9"/>
      <c r="Q91" s="9"/>
      <c r="R91" s="9"/>
      <c r="S91" s="9"/>
      <c r="T91" s="9"/>
      <c r="U91" s="9"/>
      <c r="V91" s="9"/>
      <c r="W91" s="9"/>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row>
    <row r="92" spans="1:66" ht="15" hidden="1" customHeight="1" outlineLevel="1">
      <c r="A92" s="2"/>
      <c r="B92" s="37"/>
      <c r="C92" s="37"/>
      <c r="D92" s="137" t="s">
        <v>526</v>
      </c>
      <c r="E92" s="541" t="s">
        <v>932</v>
      </c>
      <c r="F92" s="9"/>
      <c r="G92" s="137" t="s">
        <v>526</v>
      </c>
      <c r="H92" s="95"/>
      <c r="I92" s="543" t="s">
        <v>532</v>
      </c>
      <c r="J92" s="542"/>
      <c r="K92" s="9"/>
      <c r="L92" s="137" t="s">
        <v>526</v>
      </c>
      <c r="M92" s="95"/>
      <c r="N92" s="543" t="s">
        <v>533</v>
      </c>
      <c r="O92" s="542"/>
      <c r="P92" s="9"/>
      <c r="Q92" s="9"/>
      <c r="R92" s="9"/>
      <c r="S92" s="9"/>
      <c r="T92" s="9"/>
      <c r="U92" s="9"/>
      <c r="V92" s="9"/>
      <c r="W92" s="9"/>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row>
    <row r="93" spans="1:66" ht="15" hidden="1" customHeight="1" outlineLevel="1">
      <c r="A93" s="2"/>
      <c r="B93" s="37"/>
      <c r="C93" s="37"/>
      <c r="F93" s="9"/>
      <c r="K93" s="9"/>
      <c r="P93" s="9"/>
      <c r="Q93" s="9"/>
      <c r="R93" s="9"/>
      <c r="S93" s="9"/>
      <c r="T93" s="9"/>
      <c r="U93" s="9"/>
      <c r="V93" s="9"/>
      <c r="W93" s="9"/>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row>
    <row r="94" spans="1:66" ht="15" hidden="1" customHeight="1" outlineLevel="1">
      <c r="A94" s="2"/>
      <c r="B94" s="37"/>
      <c r="C94" s="37"/>
      <c r="D94" s="136" t="s">
        <v>529</v>
      </c>
      <c r="E94" s="544" t="s">
        <v>937</v>
      </c>
      <c r="F94" s="9"/>
      <c r="G94" s="136" t="s">
        <v>529</v>
      </c>
      <c r="H94" s="96"/>
      <c r="I94" s="539" t="s">
        <v>535</v>
      </c>
      <c r="J94" s="198"/>
      <c r="K94" s="9"/>
      <c r="L94" s="136" t="s">
        <v>529</v>
      </c>
      <c r="M94" s="96"/>
      <c r="N94" s="539" t="s">
        <v>536</v>
      </c>
      <c r="O94" s="198"/>
      <c r="P94" s="9"/>
      <c r="Q94" s="9"/>
      <c r="R94" s="9"/>
      <c r="S94" s="9"/>
      <c r="T94" s="9"/>
      <c r="U94" s="9"/>
      <c r="V94" s="9"/>
      <c r="W94" s="9"/>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row>
    <row r="95" spans="1:66" ht="15" hidden="1" customHeight="1" outlineLevel="1">
      <c r="A95" s="2"/>
      <c r="B95" s="37"/>
      <c r="C95" s="37"/>
      <c r="D95" s="134" t="s">
        <v>523</v>
      </c>
      <c r="E95" s="545" t="s">
        <v>968</v>
      </c>
      <c r="F95" s="9"/>
      <c r="G95" s="134" t="s">
        <v>523</v>
      </c>
      <c r="H95" s="9"/>
      <c r="I95" s="540" t="s">
        <v>474</v>
      </c>
      <c r="J95" s="135"/>
      <c r="K95" s="9"/>
      <c r="L95" s="134" t="s">
        <v>523</v>
      </c>
      <c r="M95" s="9"/>
      <c r="N95" s="540" t="s">
        <v>476</v>
      </c>
      <c r="O95" s="135"/>
      <c r="P95" s="9"/>
      <c r="Q95" s="9"/>
      <c r="R95" s="9"/>
      <c r="S95" s="9"/>
      <c r="T95" s="9"/>
      <c r="U95" s="9"/>
      <c r="V95" s="9"/>
      <c r="W95" s="9"/>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row>
    <row r="96" spans="1:66" ht="15" hidden="1" customHeight="1" outlineLevel="1">
      <c r="A96" s="2"/>
      <c r="B96" s="37"/>
      <c r="C96" s="37"/>
      <c r="D96" s="137" t="s">
        <v>526</v>
      </c>
      <c r="E96" s="541" t="s">
        <v>942</v>
      </c>
      <c r="F96" s="9"/>
      <c r="G96" s="137" t="s">
        <v>526</v>
      </c>
      <c r="H96" s="95"/>
      <c r="I96" s="543" t="s">
        <v>537</v>
      </c>
      <c r="J96" s="542"/>
      <c r="K96" s="9"/>
      <c r="L96" s="137" t="s">
        <v>526</v>
      </c>
      <c r="M96" s="95"/>
      <c r="N96" s="543" t="s">
        <v>538</v>
      </c>
      <c r="O96" s="542"/>
      <c r="P96" s="9"/>
      <c r="Q96" s="9"/>
      <c r="R96" s="9"/>
      <c r="S96" s="9"/>
      <c r="T96" s="9"/>
      <c r="U96" s="9"/>
      <c r="V96" s="9"/>
      <c r="W96" s="9"/>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row>
    <row r="97" spans="1:66" ht="15" hidden="1" customHeight="1" outlineLevel="1">
      <c r="A97" s="2"/>
      <c r="B97" s="37"/>
      <c r="C97" s="37"/>
      <c r="D97" s="2"/>
      <c r="E97" s="2"/>
      <c r="F97" s="9"/>
      <c r="G97" s="2"/>
      <c r="H97" s="2"/>
      <c r="I97" s="2"/>
      <c r="J97" s="2"/>
      <c r="K97" s="9"/>
      <c r="L97" s="2"/>
      <c r="M97" s="2"/>
      <c r="N97" s="2"/>
      <c r="O97" s="2"/>
      <c r="P97" s="9"/>
      <c r="Q97" s="9"/>
      <c r="R97" s="9"/>
      <c r="S97" s="9"/>
      <c r="T97" s="9"/>
      <c r="U97" s="9"/>
      <c r="V97" s="9"/>
      <c r="W97" s="9"/>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row>
    <row r="98" spans="1:66" ht="15" hidden="1" customHeight="1" outlineLevel="1">
      <c r="A98" s="2"/>
      <c r="B98" s="37"/>
      <c r="C98" s="37"/>
      <c r="D98" s="136" t="s">
        <v>529</v>
      </c>
      <c r="E98" s="544" t="s">
        <v>952</v>
      </c>
      <c r="F98" s="9"/>
      <c r="G98" s="136" t="s">
        <v>529</v>
      </c>
      <c r="H98" s="96"/>
      <c r="I98" s="539" t="s">
        <v>539</v>
      </c>
      <c r="J98" s="198"/>
      <c r="K98" s="9"/>
      <c r="L98" s="136" t="s">
        <v>529</v>
      </c>
      <c r="M98" s="96"/>
      <c r="N98" s="539" t="s">
        <v>540</v>
      </c>
      <c r="O98" s="198"/>
      <c r="P98" s="9"/>
      <c r="Q98" s="9"/>
      <c r="R98" s="9"/>
      <c r="S98" s="9"/>
      <c r="T98" s="9"/>
      <c r="U98" s="9"/>
      <c r="V98" s="9"/>
      <c r="W98" s="9"/>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row>
    <row r="99" spans="1:66" ht="15" hidden="1" customHeight="1" outlineLevel="1">
      <c r="A99" s="2"/>
      <c r="B99" s="37"/>
      <c r="C99" s="37"/>
      <c r="D99" s="134" t="s">
        <v>523</v>
      </c>
      <c r="E99" s="545" t="s">
        <v>969</v>
      </c>
      <c r="F99" s="9"/>
      <c r="G99" s="134" t="s">
        <v>523</v>
      </c>
      <c r="H99" s="37"/>
      <c r="I99" s="540" t="s">
        <v>477</v>
      </c>
      <c r="J99" s="135"/>
      <c r="K99" s="9"/>
      <c r="L99" s="134" t="s">
        <v>523</v>
      </c>
      <c r="M99" s="37"/>
      <c r="N99" s="540" t="s">
        <v>478</v>
      </c>
      <c r="O99" s="135"/>
      <c r="P99" s="9"/>
      <c r="Q99" s="9"/>
      <c r="R99" s="9"/>
      <c r="S99" s="9"/>
      <c r="T99" s="9"/>
      <c r="U99" s="9"/>
      <c r="V99" s="9"/>
      <c r="W99" s="9"/>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row>
    <row r="100" spans="1:66" ht="15" hidden="1" customHeight="1" outlineLevel="1">
      <c r="A100" s="2"/>
      <c r="B100" s="37"/>
      <c r="C100" s="37"/>
      <c r="D100" s="137" t="s">
        <v>526</v>
      </c>
      <c r="E100" s="541" t="s">
        <v>947</v>
      </c>
      <c r="F100" s="9"/>
      <c r="G100" s="137" t="s">
        <v>526</v>
      </c>
      <c r="H100" s="95"/>
      <c r="I100" s="543" t="s">
        <v>541</v>
      </c>
      <c r="J100" s="542"/>
      <c r="K100" s="9"/>
      <c r="L100" s="137" t="s">
        <v>526</v>
      </c>
      <c r="M100" s="95"/>
      <c r="N100" s="543" t="s">
        <v>542</v>
      </c>
      <c r="O100" s="542"/>
      <c r="P100" s="9"/>
      <c r="Q100" s="9"/>
      <c r="R100" s="9"/>
      <c r="S100" s="9"/>
      <c r="T100" s="9"/>
      <c r="U100" s="9"/>
      <c r="V100" s="9"/>
      <c r="W100" s="9"/>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row>
    <row r="101" spans="1:66" ht="15" hidden="1" customHeight="1" outlineLevel="1">
      <c r="A101" s="2"/>
      <c r="B101" s="37"/>
      <c r="C101" s="37"/>
      <c r="D101" s="2"/>
      <c r="E101" s="2"/>
      <c r="F101" s="9"/>
      <c r="G101" s="2"/>
      <c r="H101" s="2"/>
      <c r="I101" s="2"/>
      <c r="J101" s="2"/>
      <c r="K101" s="9"/>
      <c r="L101" s="2"/>
      <c r="M101" s="2"/>
      <c r="N101" s="2"/>
      <c r="O101" s="2"/>
      <c r="P101" s="9"/>
      <c r="Q101" s="9"/>
      <c r="R101" s="9"/>
      <c r="S101" s="9"/>
      <c r="T101" s="9"/>
      <c r="U101" s="9"/>
      <c r="V101" s="9"/>
      <c r="W101" s="9"/>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row>
    <row r="102" spans="1:66" ht="15" hidden="1" customHeight="1" outlineLevel="1">
      <c r="A102" s="2"/>
      <c r="B102" s="37"/>
      <c r="C102" s="37"/>
      <c r="D102" s="136" t="s">
        <v>529</v>
      </c>
      <c r="E102" s="544" t="s">
        <v>962</v>
      </c>
      <c r="F102" s="9"/>
      <c r="G102" s="136" t="s">
        <v>529</v>
      </c>
      <c r="H102" s="96"/>
      <c r="I102" s="539" t="s">
        <v>543</v>
      </c>
      <c r="J102" s="198"/>
      <c r="K102" s="9"/>
      <c r="L102" s="136" t="s">
        <v>529</v>
      </c>
      <c r="M102" s="96"/>
      <c r="N102" s="539" t="s">
        <v>544</v>
      </c>
      <c r="O102" s="198"/>
      <c r="P102" s="9"/>
      <c r="Q102" s="9"/>
      <c r="R102" s="9"/>
      <c r="S102" s="9"/>
      <c r="T102" s="9"/>
      <c r="U102" s="9"/>
      <c r="V102" s="9"/>
      <c r="W102" s="9"/>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row>
    <row r="103" spans="1:66" ht="15" hidden="1" customHeight="1" outlineLevel="1">
      <c r="A103" s="2"/>
      <c r="B103" s="37"/>
      <c r="C103" s="37"/>
      <c r="D103" s="134" t="s">
        <v>523</v>
      </c>
      <c r="E103" s="545" t="s">
        <v>970</v>
      </c>
      <c r="F103" s="9"/>
      <c r="G103" s="134" t="s">
        <v>523</v>
      </c>
      <c r="H103" s="9"/>
      <c r="I103" s="540" t="s">
        <v>479</v>
      </c>
      <c r="J103" s="135"/>
      <c r="K103" s="9"/>
      <c r="L103" s="134" t="s">
        <v>523</v>
      </c>
      <c r="M103" s="9"/>
      <c r="N103" s="540" t="s">
        <v>480</v>
      </c>
      <c r="O103" s="135"/>
      <c r="P103" s="9"/>
      <c r="Q103" s="9"/>
      <c r="R103" s="9"/>
      <c r="S103" s="9"/>
      <c r="T103" s="9"/>
      <c r="U103" s="9"/>
      <c r="V103" s="9"/>
      <c r="W103" s="9"/>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row>
    <row r="104" spans="1:66" ht="15" hidden="1" customHeight="1" outlineLevel="1">
      <c r="A104" s="2"/>
      <c r="B104" s="37"/>
      <c r="C104" s="37"/>
      <c r="D104" s="137" t="s">
        <v>526</v>
      </c>
      <c r="E104" s="541" t="s">
        <v>957</v>
      </c>
      <c r="F104" s="9"/>
      <c r="G104" s="137" t="s">
        <v>526</v>
      </c>
      <c r="H104" s="95"/>
      <c r="I104" s="543" t="s">
        <v>545</v>
      </c>
      <c r="J104" s="542"/>
      <c r="K104" s="9"/>
      <c r="L104" s="137" t="s">
        <v>526</v>
      </c>
      <c r="M104" s="95"/>
      <c r="N104" s="543" t="s">
        <v>546</v>
      </c>
      <c r="O104" s="542"/>
      <c r="P104" s="9"/>
      <c r="Q104" s="9"/>
      <c r="R104" s="9"/>
      <c r="S104" s="9"/>
      <c r="T104" s="9"/>
      <c r="U104" s="9"/>
      <c r="V104" s="9"/>
      <c r="W104" s="9"/>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row>
    <row r="105" spans="1:66" ht="15" hidden="1" customHeight="1" outlineLevel="1">
      <c r="A105" s="2"/>
      <c r="B105" s="37"/>
      <c r="C105" s="37"/>
      <c r="D105" s="9"/>
      <c r="E105" s="9"/>
      <c r="F105" s="9"/>
      <c r="G105" s="9"/>
      <c r="H105" s="9"/>
      <c r="I105" s="9"/>
      <c r="J105" s="9"/>
      <c r="K105" s="9"/>
      <c r="L105" s="9"/>
      <c r="M105" s="9"/>
      <c r="N105" s="9"/>
      <c r="O105" s="9"/>
      <c r="P105" s="9"/>
      <c r="Q105" s="9"/>
      <c r="R105" s="9"/>
      <c r="S105" s="9"/>
      <c r="T105" s="9"/>
      <c r="U105" s="9"/>
      <c r="V105" s="9"/>
      <c r="W105" s="9"/>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row>
    <row r="106" spans="1:66" ht="15" hidden="1" customHeight="1" outlineLevel="1">
      <c r="A106" s="2"/>
      <c r="B106" s="37"/>
      <c r="C106" s="37"/>
      <c r="D106" s="136" t="s">
        <v>529</v>
      </c>
      <c r="E106" s="546" t="s">
        <v>547</v>
      </c>
      <c r="F106" s="9"/>
      <c r="G106" s="136" t="s">
        <v>529</v>
      </c>
      <c r="H106" s="96"/>
      <c r="I106" s="547" t="s">
        <v>548</v>
      </c>
      <c r="J106" s="198"/>
      <c r="K106" s="9"/>
      <c r="L106" s="136" t="s">
        <v>529</v>
      </c>
      <c r="M106" s="96"/>
      <c r="N106" s="547" t="s">
        <v>549</v>
      </c>
      <c r="O106" s="198"/>
      <c r="P106" s="9"/>
      <c r="Q106" s="9"/>
      <c r="R106" s="9"/>
      <c r="S106" s="9"/>
      <c r="T106" s="9"/>
      <c r="U106" s="9"/>
      <c r="V106" s="9"/>
      <c r="W106" s="9"/>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row>
    <row r="107" spans="1:66" ht="15" hidden="1" customHeight="1" outlineLevel="1">
      <c r="A107" s="2"/>
      <c r="B107" s="37"/>
      <c r="C107" s="37"/>
      <c r="D107" s="134" t="s">
        <v>523</v>
      </c>
      <c r="E107" s="545" t="s">
        <v>429</v>
      </c>
      <c r="F107" s="9"/>
      <c r="G107" s="134" t="s">
        <v>523</v>
      </c>
      <c r="H107" s="9"/>
      <c r="I107" s="540" t="s">
        <v>481</v>
      </c>
      <c r="J107" s="135"/>
      <c r="K107" s="9"/>
      <c r="L107" s="134" t="s">
        <v>523</v>
      </c>
      <c r="M107" s="9"/>
      <c r="N107" s="540" t="s">
        <v>482</v>
      </c>
      <c r="O107" s="135"/>
      <c r="P107" s="9"/>
      <c r="Q107" s="9"/>
      <c r="R107" s="9"/>
      <c r="S107" s="9"/>
      <c r="T107" s="9"/>
      <c r="U107" s="9"/>
      <c r="V107" s="9"/>
      <c r="W107" s="9"/>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row>
    <row r="108" spans="1:66" ht="15" hidden="1" customHeight="1" outlineLevel="1">
      <c r="A108" s="2"/>
      <c r="B108" s="37"/>
      <c r="C108" s="37"/>
      <c r="D108" s="137" t="s">
        <v>526</v>
      </c>
      <c r="E108" s="541" t="s">
        <v>550</v>
      </c>
      <c r="F108" s="9"/>
      <c r="G108" s="137" t="s">
        <v>526</v>
      </c>
      <c r="H108" s="95"/>
      <c r="I108" s="543" t="s">
        <v>551</v>
      </c>
      <c r="J108" s="542"/>
      <c r="K108" s="9"/>
      <c r="L108" s="137" t="s">
        <v>526</v>
      </c>
      <c r="M108" s="95"/>
      <c r="N108" s="543" t="s">
        <v>552</v>
      </c>
      <c r="O108" s="542"/>
      <c r="P108" s="9"/>
      <c r="Q108" s="9"/>
      <c r="R108" s="9"/>
      <c r="S108" s="9"/>
      <c r="T108" s="9"/>
      <c r="U108" s="9"/>
      <c r="V108" s="9"/>
      <c r="W108" s="9"/>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row>
    <row r="109" spans="1:66" ht="13.5" hidden="1" customHeight="1" outlineLevel="1">
      <c r="A109" s="2"/>
      <c r="B109" s="37"/>
      <c r="C109" s="37"/>
      <c r="D109" s="9"/>
      <c r="E109" s="9"/>
      <c r="F109" s="9"/>
      <c r="G109" s="9"/>
      <c r="H109" s="9"/>
      <c r="I109" s="9"/>
      <c r="J109" s="9"/>
      <c r="K109" s="9"/>
      <c r="L109" s="9"/>
      <c r="M109" s="9"/>
      <c r="N109" s="9"/>
      <c r="O109" s="9"/>
      <c r="P109" s="9"/>
      <c r="Q109" s="9"/>
      <c r="R109" s="9"/>
      <c r="S109" s="9"/>
      <c r="T109" s="9"/>
      <c r="U109" s="9"/>
      <c r="V109" s="9"/>
      <c r="W109" s="9"/>
      <c r="X109" s="9"/>
      <c r="Y109" s="9"/>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row>
    <row r="110" spans="1:66" ht="13.5" customHeight="1" collapsed="1">
      <c r="A110" s="2"/>
      <c r="B110" s="37"/>
      <c r="C110" s="37"/>
      <c r="D110" s="2"/>
      <c r="E110" s="2"/>
      <c r="F110" s="2"/>
      <c r="G110" s="2"/>
      <c r="H110" s="9"/>
      <c r="I110" s="9"/>
      <c r="J110" s="9"/>
      <c r="K110" s="9"/>
      <c r="L110" s="9"/>
      <c r="M110" s="9"/>
      <c r="N110" s="9"/>
      <c r="O110" s="9"/>
      <c r="P110" s="9"/>
      <c r="Q110" s="9"/>
      <c r="R110" s="9"/>
      <c r="S110" s="9"/>
      <c r="T110" s="9"/>
      <c r="U110" s="9"/>
      <c r="V110" s="9"/>
      <c r="W110" s="9"/>
      <c r="X110" s="9"/>
      <c r="Y110" s="9"/>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row>
    <row r="111" spans="1:66" ht="13.5" customHeight="1">
      <c r="A111" s="2"/>
    </row>
    <row r="112" spans="1:66" ht="13.5" customHeight="1">
      <c r="A112" s="2"/>
    </row>
    <row r="113" spans="1:66" ht="13.5" customHeight="1">
      <c r="A113" s="2"/>
    </row>
    <row r="114" spans="1:66" ht="13.5" customHeight="1">
      <c r="A114" s="2"/>
    </row>
    <row r="115" spans="1:66" ht="13.5" customHeight="1">
      <c r="A115" s="2"/>
    </row>
    <row r="116" spans="1:66" ht="13.5" customHeight="1">
      <c r="A116" s="2"/>
      <c r="B116" s="2"/>
      <c r="C116" s="37"/>
      <c r="S116" s="9"/>
      <c r="T116" s="9"/>
      <c r="U116" s="9"/>
      <c r="V116" s="9"/>
      <c r="W116" s="9"/>
      <c r="X116" s="9"/>
      <c r="Y116" s="9"/>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row>
    <row r="117" spans="1:66" ht="13.5" customHeight="1">
      <c r="A117" s="2"/>
      <c r="B117" s="2"/>
      <c r="C117" s="37"/>
      <c r="S117" s="9"/>
      <c r="T117" s="9"/>
      <c r="U117" s="9"/>
      <c r="V117" s="9"/>
      <c r="W117" s="9"/>
      <c r="X117" s="9"/>
      <c r="Y117" s="9"/>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row>
    <row r="118" spans="1:66" ht="13.5" customHeight="1">
      <c r="A118" s="2"/>
      <c r="B118" s="2"/>
      <c r="C118" s="37"/>
      <c r="S118" s="9"/>
      <c r="T118" s="9"/>
      <c r="U118" s="9"/>
      <c r="V118" s="9"/>
      <c r="W118" s="9"/>
      <c r="X118" s="9"/>
      <c r="Y118" s="9"/>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row>
    <row r="119" spans="1:66" ht="13.5" customHeight="1">
      <c r="A119" s="2"/>
      <c r="B119" s="2"/>
      <c r="C119" s="37"/>
      <c r="S119" s="9"/>
      <c r="T119" s="9"/>
      <c r="U119" s="9"/>
      <c r="V119" s="9"/>
      <c r="W119" s="9"/>
      <c r="X119" s="9"/>
      <c r="Y119" s="9"/>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row>
    <row r="120" spans="1:66" ht="13.5" customHeight="1">
      <c r="A120" s="2"/>
      <c r="B120" s="2"/>
      <c r="C120" s="37"/>
      <c r="S120" s="9"/>
      <c r="T120" s="9"/>
      <c r="U120" s="9"/>
      <c r="V120" s="9"/>
      <c r="W120" s="9"/>
      <c r="X120" s="9"/>
      <c r="Y120" s="9"/>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row>
    <row r="121" spans="1:66" ht="13.5" customHeight="1">
      <c r="A121" s="2"/>
      <c r="B121" s="2"/>
      <c r="C121" s="37"/>
      <c r="S121" s="9"/>
      <c r="T121" s="9"/>
      <c r="U121" s="9"/>
      <c r="V121" s="9"/>
      <c r="W121" s="9"/>
      <c r="X121" s="9"/>
      <c r="Y121" s="9"/>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row>
    <row r="122" spans="1:66" ht="13.5" customHeight="1">
      <c r="A122" s="2"/>
      <c r="B122" s="2"/>
      <c r="C122" s="37"/>
      <c r="S122" s="9"/>
      <c r="T122" s="9"/>
      <c r="U122" s="9"/>
      <c r="V122" s="9"/>
      <c r="W122" s="9"/>
      <c r="X122" s="9"/>
      <c r="Y122" s="9"/>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row>
    <row r="123" spans="1:66" ht="13.5" customHeight="1">
      <c r="A123" s="2"/>
      <c r="B123" s="2"/>
      <c r="C123" s="37"/>
      <c r="S123" s="9"/>
      <c r="T123" s="9"/>
      <c r="U123" s="9"/>
      <c r="V123" s="9"/>
      <c r="W123" s="9"/>
      <c r="X123" s="9"/>
      <c r="Y123" s="9"/>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row>
    <row r="124" spans="1:66" ht="13.5" customHeight="1">
      <c r="A124" s="2"/>
      <c r="B124" s="2"/>
      <c r="C124" s="433"/>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row>
    <row r="125" spans="1:66" ht="13.5" customHeight="1">
      <c r="A125" s="2"/>
      <c r="B125" s="2"/>
      <c r="C125" s="433"/>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row>
    <row r="126" spans="1:66" ht="13.5" customHeight="1">
      <c r="A126" s="2"/>
      <c r="B126" s="2"/>
      <c r="C126" s="433"/>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row>
    <row r="127" spans="1:66" ht="13.5" customHeight="1">
      <c r="A127" s="2"/>
      <c r="B127" s="2"/>
      <c r="C127" s="433"/>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row>
    <row r="128" spans="1:66" ht="13.5" customHeight="1">
      <c r="A128" s="2"/>
      <c r="B128" s="2"/>
      <c r="C128" s="433"/>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row>
    <row r="129" spans="1:66" ht="13.5" customHeight="1">
      <c r="A129" s="2"/>
      <c r="B129" s="2"/>
      <c r="C129" s="433"/>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row>
    <row r="130" spans="1:66" ht="13.5" customHeight="1">
      <c r="A130" s="2"/>
      <c r="B130" s="2"/>
      <c r="C130" s="433"/>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row>
    <row r="131" spans="1:66" ht="13.5" customHeight="1">
      <c r="A131" s="2"/>
      <c r="B131" s="2"/>
      <c r="C131" s="433"/>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row>
    <row r="132" spans="1:66" ht="13.5" customHeight="1">
      <c r="A132" s="2"/>
      <c r="B132" s="2"/>
      <c r="C132" s="433"/>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row>
    <row r="133" spans="1:66" ht="13.5" customHeight="1">
      <c r="A133" s="2"/>
      <c r="B133" s="2"/>
      <c r="C133" s="433"/>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row>
    <row r="134" spans="1:66" ht="13.5" customHeight="1">
      <c r="A134" s="2"/>
      <c r="B134" s="2"/>
      <c r="C134" s="433"/>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row>
    <row r="135" spans="1:66" ht="13.5" customHeight="1">
      <c r="A135" s="2"/>
      <c r="B135" s="2"/>
      <c r="C135" s="433"/>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row>
    <row r="136" spans="1:66" ht="13.5" customHeight="1">
      <c r="A136" s="2"/>
      <c r="B136" s="2"/>
      <c r="C136" s="433"/>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row>
    <row r="137" spans="1:66" ht="13.5" customHeight="1">
      <c r="A137" s="2"/>
      <c r="B137" s="2"/>
      <c r="C137" s="433"/>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row>
    <row r="138" spans="1:66" ht="13.5" customHeight="1">
      <c r="A138" s="2"/>
      <c r="B138" s="2"/>
      <c r="C138" s="433"/>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row>
    <row r="139" spans="1:66" ht="13.5" customHeight="1">
      <c r="A139" s="2"/>
      <c r="B139" s="2"/>
      <c r="C139" s="433"/>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row>
    <row r="140" spans="1:66" ht="13.5" customHeight="1">
      <c r="A140" s="2"/>
      <c r="B140" s="2"/>
      <c r="C140" s="433"/>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row>
    <row r="141" spans="1:66" ht="13.5" customHeight="1">
      <c r="A141" s="2"/>
      <c r="B141" s="2"/>
      <c r="C141" s="433"/>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row>
    <row r="142" spans="1:66" ht="13.5" customHeight="1">
      <c r="A142" s="2"/>
      <c r="B142" s="2"/>
      <c r="C142" s="433"/>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row>
    <row r="143" spans="1:66" ht="13.5" customHeight="1">
      <c r="A143" s="2"/>
      <c r="B143" s="2"/>
      <c r="C143" s="433"/>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row>
    <row r="144" spans="1:66" ht="13.5" customHeight="1">
      <c r="A144" s="2"/>
      <c r="B144" s="2"/>
      <c r="C144" s="433"/>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row>
    <row r="145" spans="1:66" ht="13.5" customHeight="1">
      <c r="A145" s="2"/>
      <c r="B145" s="2"/>
      <c r="C145" s="433"/>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row>
    <row r="146" spans="1:66" ht="13.5" customHeight="1">
      <c r="A146" s="2"/>
      <c r="B146" s="2"/>
      <c r="C146" s="433"/>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row>
    <row r="147" spans="1:66" ht="13.5" customHeight="1">
      <c r="A147" s="2"/>
      <c r="B147" s="2"/>
      <c r="C147" s="433"/>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row>
    <row r="148" spans="1:66" ht="13.5" customHeight="1">
      <c r="A148" s="2"/>
      <c r="B148" s="2"/>
      <c r="C148" s="433"/>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row>
    <row r="149" spans="1:66" ht="13.5" customHeight="1">
      <c r="A149" s="2"/>
      <c r="B149" s="2"/>
      <c r="C149" s="433"/>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row>
    <row r="150" spans="1:66" ht="13.5" customHeight="1">
      <c r="A150" s="2"/>
      <c r="B150" s="2"/>
      <c r="C150" s="433"/>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row>
    <row r="151" spans="1:66" ht="13.5" customHeight="1">
      <c r="A151" s="2"/>
      <c r="B151" s="2"/>
      <c r="C151" s="433"/>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row>
    <row r="152" spans="1:66" ht="13.5" customHeight="1">
      <c r="A152" s="2"/>
      <c r="B152" s="2"/>
      <c r="C152" s="433"/>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row>
    <row r="153" spans="1:66" ht="13.5" customHeight="1">
      <c r="A153" s="2"/>
      <c r="B153" s="2"/>
      <c r="C153" s="433"/>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row>
    <row r="154" spans="1:66" ht="13.5" customHeight="1">
      <c r="A154" s="2"/>
      <c r="B154" s="2"/>
      <c r="C154" s="433"/>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row>
    <row r="155" spans="1:66" ht="13.5" customHeight="1">
      <c r="A155" s="2"/>
      <c r="B155" s="2"/>
      <c r="C155" s="433"/>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row>
    <row r="156" spans="1:66" ht="13.5" customHeight="1">
      <c r="A156" s="2"/>
      <c r="B156" s="2"/>
      <c r="C156" s="433"/>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row>
    <row r="157" spans="1:66" ht="13.5" customHeight="1">
      <c r="A157" s="2"/>
      <c r="B157" s="2"/>
      <c r="C157" s="433"/>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row>
    <row r="158" spans="1:66" ht="13.5" customHeight="1">
      <c r="A158" s="2"/>
      <c r="B158" s="2"/>
      <c r="C158" s="433"/>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row>
    <row r="159" spans="1:66" ht="13.5" customHeight="1">
      <c r="A159" s="2"/>
      <c r="B159" s="2"/>
      <c r="C159" s="433"/>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row>
    <row r="160" spans="1:66" ht="13.5" customHeight="1">
      <c r="A160" s="2"/>
      <c r="B160" s="2"/>
      <c r="C160" s="433"/>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row>
    <row r="161" spans="1:66" ht="13.5" customHeight="1">
      <c r="A161" s="2"/>
      <c r="B161" s="2"/>
      <c r="C161" s="433"/>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row>
    <row r="162" spans="1:66" ht="13.5" customHeight="1">
      <c r="A162" s="2"/>
      <c r="B162" s="2"/>
      <c r="C162" s="433"/>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row>
    <row r="163" spans="1:66" ht="13.5" customHeight="1">
      <c r="A163" s="2"/>
      <c r="B163" s="2"/>
      <c r="C163" s="433"/>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row>
    <row r="164" spans="1:66" ht="13.5" customHeight="1">
      <c r="A164" s="2"/>
      <c r="B164" s="2"/>
      <c r="C164" s="433"/>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row>
    <row r="165" spans="1:66" ht="13.5" customHeight="1">
      <c r="A165" s="2"/>
      <c r="B165" s="2"/>
      <c r="C165" s="433"/>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row>
    <row r="166" spans="1:66" ht="13.5" customHeight="1">
      <c r="A166" s="2"/>
      <c r="B166" s="2"/>
      <c r="C166" s="433"/>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row>
    <row r="167" spans="1:66" ht="13.5" customHeight="1">
      <c r="A167" s="2"/>
      <c r="B167" s="2"/>
      <c r="C167" s="433"/>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row>
    <row r="168" spans="1:66" ht="13.5" customHeight="1">
      <c r="A168" s="2"/>
      <c r="B168" s="2"/>
      <c r="C168" s="433"/>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row>
    <row r="169" spans="1:66" ht="13.5" customHeight="1">
      <c r="A169" s="2"/>
      <c r="B169" s="2"/>
      <c r="C169" s="433"/>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row>
    <row r="170" spans="1:66" ht="13.5" customHeight="1">
      <c r="A170" s="2"/>
      <c r="B170" s="2"/>
      <c r="C170" s="433"/>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row>
    <row r="171" spans="1:66" ht="13.5" customHeight="1">
      <c r="A171" s="2"/>
      <c r="B171" s="2"/>
      <c r="C171" s="433"/>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row>
    <row r="172" spans="1:66" ht="13.5" customHeight="1">
      <c r="A172" s="2"/>
      <c r="B172" s="2"/>
      <c r="C172" s="433"/>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row>
    <row r="173" spans="1:66" ht="13.5" customHeight="1">
      <c r="A173" s="2"/>
      <c r="B173" s="2"/>
      <c r="C173" s="433"/>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row>
    <row r="174" spans="1:66" ht="13.5" customHeight="1">
      <c r="A174" s="2"/>
      <c r="B174" s="2"/>
      <c r="C174" s="433"/>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row>
    <row r="175" spans="1:66" ht="13.5" customHeight="1">
      <c r="A175" s="2"/>
      <c r="B175" s="2"/>
      <c r="C175" s="433"/>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row>
    <row r="176" spans="1:66" ht="13.5" customHeight="1">
      <c r="A176" s="2"/>
      <c r="B176" s="2"/>
      <c r="C176" s="433"/>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row>
    <row r="177" spans="1:66" ht="13.5" customHeight="1">
      <c r="A177" s="2"/>
      <c r="B177" s="2"/>
      <c r="C177" s="433"/>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row>
    <row r="178" spans="1:66" ht="13.5" customHeight="1">
      <c r="A178" s="2"/>
      <c r="B178" s="2"/>
      <c r="C178" s="433"/>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row>
    <row r="179" spans="1:66" ht="13.5" customHeight="1">
      <c r="A179" s="2"/>
      <c r="B179" s="2"/>
      <c r="C179" s="433"/>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row>
    <row r="180" spans="1:66" ht="13.5" customHeight="1">
      <c r="A180" s="2"/>
      <c r="B180" s="2"/>
      <c r="C180" s="433"/>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row>
    <row r="181" spans="1:66" ht="13.5" customHeight="1">
      <c r="A181" s="2"/>
      <c r="B181" s="2"/>
      <c r="C181" s="433"/>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row>
    <row r="182" spans="1:66" ht="13.5" customHeight="1">
      <c r="A182" s="2"/>
      <c r="B182" s="2"/>
      <c r="C182" s="433"/>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row>
    <row r="183" spans="1:66" ht="13.5" customHeight="1">
      <c r="A183" s="2"/>
      <c r="B183" s="2"/>
      <c r="C183" s="433"/>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row>
    <row r="184" spans="1:66" ht="13.5" customHeight="1">
      <c r="A184" s="2"/>
      <c r="B184" s="2"/>
      <c r="C184" s="433"/>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row>
    <row r="185" spans="1:66" ht="13.5" customHeight="1">
      <c r="A185" s="2"/>
      <c r="B185" s="2"/>
      <c r="C185" s="433"/>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row>
    <row r="186" spans="1:66" ht="13.5" customHeight="1">
      <c r="A186" s="2"/>
      <c r="B186" s="2"/>
      <c r="C186" s="433"/>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row>
    <row r="187" spans="1:66" ht="13.5" customHeight="1">
      <c r="A187" s="2"/>
      <c r="B187" s="2"/>
      <c r="C187" s="433"/>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row>
    <row r="188" spans="1:66" ht="13.5" customHeight="1">
      <c r="A188" s="2"/>
      <c r="B188" s="2"/>
      <c r="C188" s="433"/>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row>
    <row r="189" spans="1:66" ht="13.5" customHeight="1">
      <c r="A189" s="2"/>
      <c r="B189" s="2"/>
      <c r="C189" s="433"/>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row>
    <row r="190" spans="1:66" ht="13.5" customHeight="1">
      <c r="A190" s="2"/>
      <c r="B190" s="2"/>
      <c r="C190" s="433"/>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row>
    <row r="191" spans="1:66" ht="13.5" customHeight="1">
      <c r="A191" s="2"/>
      <c r="B191" s="2"/>
      <c r="C191" s="433"/>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row>
    <row r="192" spans="1:66" ht="13.5" customHeight="1">
      <c r="A192" s="2"/>
      <c r="B192" s="2"/>
      <c r="C192" s="433"/>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row>
    <row r="193" spans="1:66" ht="13.5" customHeight="1">
      <c r="A193" s="2"/>
      <c r="B193" s="2"/>
      <c r="C193" s="433"/>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row>
    <row r="194" spans="1:66" ht="13.5" customHeight="1">
      <c r="A194" s="2"/>
      <c r="B194" s="2"/>
      <c r="C194" s="433"/>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row>
    <row r="195" spans="1:66" ht="13.5" customHeight="1">
      <c r="A195" s="2"/>
      <c r="B195" s="2"/>
      <c r="C195" s="433"/>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row>
    <row r="196" spans="1:66" ht="13.5" customHeight="1">
      <c r="A196" s="2"/>
      <c r="B196" s="2"/>
      <c r="C196" s="433"/>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row>
    <row r="197" spans="1:66" ht="13.5" customHeight="1">
      <c r="A197" s="2"/>
      <c r="B197" s="2"/>
      <c r="C197" s="433"/>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row>
    <row r="198" spans="1:66" ht="13.5" customHeight="1">
      <c r="A198" s="2"/>
      <c r="B198" s="2"/>
      <c r="C198" s="433"/>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row>
    <row r="199" spans="1:66" ht="13.5" customHeight="1">
      <c r="A199" s="2"/>
      <c r="B199" s="2"/>
      <c r="C199" s="433"/>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row>
    <row r="200" spans="1:66" ht="13.5" customHeight="1">
      <c r="A200" s="2"/>
      <c r="B200" s="2"/>
      <c r="C200" s="433"/>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row>
    <row r="201" spans="1:66" ht="13.5" customHeight="1">
      <c r="A201" s="2"/>
      <c r="B201" s="2"/>
      <c r="C201" s="433"/>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row>
    <row r="202" spans="1:66" ht="13.5" customHeight="1">
      <c r="A202" s="2"/>
      <c r="B202" s="2"/>
      <c r="C202" s="433"/>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row>
    <row r="203" spans="1:66" ht="13.5" customHeight="1">
      <c r="A203" s="2"/>
      <c r="B203" s="2"/>
      <c r="C203" s="433"/>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row>
    <row r="204" spans="1:66" ht="13.5" customHeight="1">
      <c r="A204" s="2"/>
      <c r="B204" s="2"/>
      <c r="C204" s="433"/>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row>
    <row r="205" spans="1:66" ht="13.5" customHeight="1">
      <c r="A205" s="2"/>
      <c r="B205" s="2"/>
      <c r="C205" s="433"/>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row>
    <row r="206" spans="1:66" ht="13.5" customHeight="1">
      <c r="A206" s="2"/>
      <c r="B206" s="2"/>
      <c r="C206" s="433"/>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row>
    <row r="207" spans="1:66" ht="13.5" customHeight="1">
      <c r="A207" s="2"/>
      <c r="B207" s="2"/>
      <c r="C207" s="433"/>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row>
    <row r="208" spans="1:66" ht="13.5" customHeight="1">
      <c r="A208" s="2"/>
      <c r="B208" s="2"/>
      <c r="C208" s="433"/>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row>
    <row r="209" spans="1:66" ht="13.5" customHeight="1">
      <c r="A209" s="2"/>
      <c r="B209" s="2"/>
      <c r="C209" s="433"/>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row>
    <row r="210" spans="1:66" ht="13.5" customHeight="1">
      <c r="A210" s="2"/>
      <c r="B210" s="2"/>
      <c r="C210" s="433"/>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row>
    <row r="211" spans="1:66" ht="13.5" customHeight="1">
      <c r="A211" s="2"/>
      <c r="B211" s="2"/>
      <c r="C211" s="433"/>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row>
    <row r="212" spans="1:66" ht="13.5" customHeight="1">
      <c r="A212" s="2"/>
      <c r="B212" s="2"/>
      <c r="C212" s="433"/>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row>
    <row r="213" spans="1:66" ht="13.5" customHeight="1">
      <c r="A213" s="2"/>
      <c r="B213" s="2"/>
      <c r="C213" s="433"/>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row>
    <row r="214" spans="1:66" ht="13.5" customHeight="1">
      <c r="A214" s="2"/>
      <c r="B214" s="2"/>
      <c r="C214" s="433"/>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row>
    <row r="215" spans="1:66" ht="13.5" customHeight="1">
      <c r="A215" s="2"/>
      <c r="B215" s="2"/>
      <c r="C215" s="433"/>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row>
    <row r="216" spans="1:66" ht="13.5" customHeight="1">
      <c r="A216" s="2"/>
      <c r="B216" s="2"/>
      <c r="C216" s="433"/>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row>
    <row r="217" spans="1:66" ht="13.5" customHeight="1">
      <c r="A217" s="2"/>
      <c r="B217" s="2"/>
      <c r="C217" s="433"/>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row>
    <row r="218" spans="1:66" ht="13.5" customHeight="1">
      <c r="A218" s="2"/>
      <c r="B218" s="2"/>
      <c r="C218" s="433"/>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row>
    <row r="219" spans="1:66" ht="13.5" customHeight="1">
      <c r="A219" s="2"/>
      <c r="B219" s="2"/>
      <c r="C219" s="433"/>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row>
    <row r="220" spans="1:66" ht="13.5" customHeight="1">
      <c r="A220" s="2"/>
      <c r="B220" s="2"/>
      <c r="C220" s="433"/>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row>
    <row r="221" spans="1:66" ht="13.5" customHeight="1">
      <c r="A221" s="2"/>
      <c r="B221" s="2"/>
      <c r="C221" s="433"/>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row>
    <row r="222" spans="1:66" ht="13.5" customHeight="1">
      <c r="A222" s="2"/>
      <c r="B222" s="2"/>
      <c r="C222" s="433"/>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row>
    <row r="223" spans="1:66" ht="13.5" customHeight="1">
      <c r="A223" s="2"/>
      <c r="B223" s="2"/>
      <c r="C223" s="433"/>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row>
    <row r="224" spans="1:66" ht="13.5" customHeight="1">
      <c r="A224" s="2"/>
      <c r="B224" s="2"/>
      <c r="C224" s="433"/>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row>
    <row r="225" spans="1:66" ht="13.5" customHeight="1">
      <c r="A225" s="2"/>
      <c r="B225" s="2"/>
      <c r="C225" s="433"/>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row>
    <row r="226" spans="1:66" ht="13.5" customHeight="1">
      <c r="A226" s="2"/>
      <c r="B226" s="2"/>
      <c r="C226" s="433"/>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row>
    <row r="227" spans="1:66" ht="13.5" customHeight="1">
      <c r="A227" s="2"/>
      <c r="B227" s="2"/>
      <c r="C227" s="433"/>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row>
    <row r="228" spans="1:66" ht="13.5" customHeight="1">
      <c r="A228" s="2"/>
      <c r="B228" s="2"/>
      <c r="C228" s="433"/>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row>
    <row r="229" spans="1:66" ht="13.5" customHeight="1">
      <c r="A229" s="2"/>
      <c r="B229" s="2"/>
      <c r="C229" s="433"/>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row>
    <row r="230" spans="1:66" ht="13.5" customHeight="1">
      <c r="A230" s="2"/>
      <c r="B230" s="2"/>
      <c r="C230" s="433"/>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row>
    <row r="231" spans="1:66" ht="13.5" customHeight="1">
      <c r="A231" s="2"/>
      <c r="B231" s="2"/>
      <c r="C231" s="433"/>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row>
    <row r="232" spans="1:66" ht="13.5" customHeight="1">
      <c r="A232" s="2"/>
      <c r="B232" s="2"/>
      <c r="C232" s="433"/>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row>
    <row r="233" spans="1:66" ht="13.5" customHeight="1">
      <c r="A233" s="2"/>
      <c r="B233" s="2"/>
      <c r="C233" s="433"/>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row>
    <row r="234" spans="1:66" ht="13.5" customHeight="1">
      <c r="A234" s="2"/>
      <c r="B234" s="2"/>
      <c r="C234" s="433"/>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row>
    <row r="235" spans="1:66" ht="13.5" customHeight="1">
      <c r="A235" s="2"/>
      <c r="B235" s="2"/>
      <c r="C235" s="433"/>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row>
    <row r="236" spans="1:66" ht="13.5" customHeight="1">
      <c r="A236" s="2"/>
      <c r="B236" s="2"/>
      <c r="C236" s="433"/>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row>
    <row r="237" spans="1:66" ht="13.5" customHeight="1">
      <c r="A237" s="2"/>
      <c r="B237" s="2"/>
      <c r="C237" s="433"/>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row>
    <row r="238" spans="1:66" ht="13.5" customHeight="1">
      <c r="A238" s="2"/>
      <c r="B238" s="2"/>
      <c r="C238" s="433"/>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row>
    <row r="239" spans="1:66" ht="13.5" customHeight="1">
      <c r="A239" s="2"/>
      <c r="B239" s="2"/>
      <c r="C239" s="433"/>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row>
    <row r="240" spans="1:66" ht="13.5" customHeight="1">
      <c r="A240" s="2"/>
      <c r="B240" s="2"/>
      <c r="C240" s="433"/>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row>
    <row r="241" spans="1:66" ht="13.5" customHeight="1">
      <c r="A241" s="2"/>
      <c r="B241" s="2"/>
      <c r="C241" s="433"/>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row>
    <row r="242" spans="1:66" ht="13.5" customHeight="1">
      <c r="A242" s="2"/>
      <c r="B242" s="2"/>
      <c r="C242" s="433"/>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row>
    <row r="243" spans="1:66" ht="13.5" customHeight="1">
      <c r="A243" s="2"/>
      <c r="B243" s="2"/>
      <c r="C243" s="433"/>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row>
    <row r="244" spans="1:66" ht="13.5" customHeight="1">
      <c r="A244" s="2"/>
      <c r="B244" s="2"/>
      <c r="C244" s="433"/>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row>
    <row r="245" spans="1:66" ht="13.5" customHeight="1">
      <c r="A245" s="2"/>
      <c r="B245" s="2"/>
      <c r="C245" s="433"/>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row>
    <row r="246" spans="1:66" ht="13.5" customHeight="1">
      <c r="A246" s="2"/>
      <c r="B246" s="2"/>
      <c r="C246" s="433"/>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row>
    <row r="247" spans="1:66" ht="13.5" customHeight="1">
      <c r="A247" s="2"/>
      <c r="B247" s="2"/>
      <c r="C247" s="433"/>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row>
    <row r="248" spans="1:66" ht="13.5" customHeight="1">
      <c r="A248" s="2"/>
      <c r="B248" s="2"/>
      <c r="C248" s="433"/>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row>
    <row r="249" spans="1:66" ht="13.5" customHeight="1">
      <c r="A249" s="2"/>
      <c r="B249" s="2"/>
      <c r="C249" s="433"/>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row>
    <row r="250" spans="1:66" ht="13.5" customHeight="1">
      <c r="A250" s="2"/>
      <c r="B250" s="2"/>
      <c r="C250" s="433"/>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row>
    <row r="251" spans="1:66" ht="13.5" customHeight="1">
      <c r="A251" s="2"/>
      <c r="B251" s="2"/>
      <c r="C251" s="433"/>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row>
    <row r="252" spans="1:66" ht="13.5" customHeight="1">
      <c r="A252" s="2"/>
      <c r="B252" s="2"/>
      <c r="C252" s="433"/>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row>
    <row r="253" spans="1:66" ht="13.5" customHeight="1">
      <c r="A253" s="2"/>
      <c r="B253" s="2"/>
      <c r="C253" s="433"/>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row>
    <row r="254" spans="1:66" ht="13.5" customHeight="1">
      <c r="A254" s="2"/>
      <c r="B254" s="2"/>
      <c r="C254" s="433"/>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row>
    <row r="255" spans="1:66" ht="13.5" customHeight="1">
      <c r="A255" s="2"/>
      <c r="B255" s="2"/>
      <c r="C255" s="433"/>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row>
    <row r="256" spans="1:66" ht="13.5" customHeight="1">
      <c r="A256" s="2"/>
      <c r="B256" s="2"/>
      <c r="C256" s="433"/>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row>
    <row r="257" spans="1:66" ht="13.5" customHeight="1">
      <c r="A257" s="2"/>
      <c r="B257" s="2"/>
      <c r="C257" s="433"/>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row>
    <row r="258" spans="1:66" ht="13.5" customHeight="1">
      <c r="A258" s="2"/>
      <c r="B258" s="2"/>
      <c r="C258" s="433"/>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row>
    <row r="259" spans="1:66" ht="13.5" customHeight="1">
      <c r="A259" s="2"/>
      <c r="B259" s="2"/>
      <c r="C259" s="433"/>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row>
    <row r="260" spans="1:66" ht="13.5" customHeight="1">
      <c r="A260" s="2"/>
      <c r="B260" s="2"/>
      <c r="C260" s="433"/>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row>
    <row r="261" spans="1:66" ht="13.5" customHeight="1">
      <c r="A261" s="2"/>
      <c r="B261" s="2"/>
      <c r="C261" s="433"/>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row>
    <row r="262" spans="1:66" ht="13.5" customHeight="1">
      <c r="A262" s="2"/>
      <c r="B262" s="2"/>
      <c r="C262" s="433"/>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row>
    <row r="263" spans="1:66" ht="13.5" customHeight="1">
      <c r="A263" s="2"/>
      <c r="B263" s="2"/>
      <c r="C263" s="433"/>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row>
    <row r="264" spans="1:66" ht="13.5" customHeight="1">
      <c r="A264" s="2"/>
      <c r="B264" s="2"/>
      <c r="C264" s="433"/>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row>
    <row r="265" spans="1:66" ht="13.5" customHeight="1">
      <c r="A265" s="2"/>
      <c r="B265" s="2"/>
      <c r="C265" s="433"/>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row>
    <row r="266" spans="1:66" ht="13.5" customHeight="1">
      <c r="A266" s="2"/>
      <c r="B266" s="2"/>
      <c r="C266" s="433"/>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row>
    <row r="267" spans="1:66" ht="13.5" customHeight="1">
      <c r="A267" s="2"/>
      <c r="B267" s="2"/>
      <c r="C267" s="433"/>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row>
    <row r="268" spans="1:66" ht="13.5" customHeight="1">
      <c r="A268" s="2"/>
      <c r="B268" s="2"/>
      <c r="C268" s="433"/>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row>
    <row r="269" spans="1:66" ht="13.5" customHeight="1">
      <c r="A269" s="2"/>
      <c r="B269" s="2"/>
      <c r="C269" s="433"/>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row>
    <row r="270" spans="1:66" ht="13.5" customHeight="1">
      <c r="A270" s="2"/>
      <c r="B270" s="2"/>
      <c r="C270" s="433"/>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row>
    <row r="271" spans="1:66" ht="13.5" customHeight="1">
      <c r="A271" s="2"/>
      <c r="B271" s="2"/>
      <c r="C271" s="433"/>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row>
    <row r="272" spans="1:66" ht="13.5" customHeight="1">
      <c r="A272" s="2"/>
      <c r="B272" s="2"/>
      <c r="C272" s="433"/>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row>
    <row r="273" spans="1:66" ht="13.5" customHeight="1">
      <c r="A273" s="2"/>
      <c r="B273" s="2"/>
      <c r="C273" s="433"/>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row>
    <row r="274" spans="1:66" ht="13.5" customHeight="1">
      <c r="A274" s="2"/>
      <c r="B274" s="2"/>
      <c r="C274" s="433"/>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row>
    <row r="275" spans="1:66" ht="13.5" customHeight="1">
      <c r="A275" s="2"/>
      <c r="B275" s="2"/>
      <c r="C275" s="433"/>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row>
    <row r="276" spans="1:66" ht="13.5" customHeight="1">
      <c r="A276" s="2"/>
      <c r="B276" s="2"/>
      <c r="C276" s="433"/>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row>
    <row r="277" spans="1:66" ht="13.5" customHeight="1">
      <c r="A277" s="2"/>
      <c r="B277" s="2"/>
      <c r="C277" s="433"/>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row>
    <row r="278" spans="1:66" ht="13.5" customHeight="1">
      <c r="A278" s="2"/>
      <c r="B278" s="2"/>
      <c r="C278" s="433"/>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row>
    <row r="279" spans="1:66" ht="13.5" customHeight="1">
      <c r="A279" s="2"/>
      <c r="B279" s="2"/>
      <c r="C279" s="433"/>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row>
    <row r="280" spans="1:66" ht="13.5" customHeight="1">
      <c r="A280" s="2"/>
      <c r="B280" s="2"/>
      <c r="C280" s="433"/>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row>
    <row r="281" spans="1:66" ht="13.5" customHeight="1">
      <c r="A281" s="2"/>
      <c r="B281" s="2"/>
      <c r="C281" s="433"/>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row>
    <row r="282" spans="1:66" ht="13.5" customHeight="1">
      <c r="A282" s="2"/>
      <c r="B282" s="2"/>
      <c r="C282" s="433"/>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row>
    <row r="283" spans="1:66" ht="13.5" customHeight="1">
      <c r="A283" s="2"/>
      <c r="B283" s="2"/>
      <c r="C283" s="433"/>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row>
    <row r="284" spans="1:66" ht="13.5" customHeight="1">
      <c r="A284" s="2"/>
      <c r="B284" s="2"/>
      <c r="C284" s="433"/>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row>
    <row r="285" spans="1:66" ht="13.5" customHeight="1">
      <c r="A285" s="2"/>
      <c r="B285" s="2"/>
      <c r="C285" s="433"/>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row>
    <row r="286" spans="1:66" ht="13.5" customHeight="1">
      <c r="A286" s="2"/>
      <c r="B286" s="2"/>
      <c r="C286" s="433"/>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row>
    <row r="287" spans="1:66" ht="13.5" customHeight="1">
      <c r="A287" s="2"/>
      <c r="B287" s="2"/>
      <c r="C287" s="433"/>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row>
    <row r="288" spans="1:66" ht="13.5" customHeight="1">
      <c r="A288" s="2"/>
      <c r="B288" s="2"/>
      <c r="C288" s="433"/>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row>
    <row r="289" spans="1:66" ht="13.5" customHeight="1">
      <c r="A289" s="2"/>
      <c r="B289" s="2"/>
      <c r="C289" s="433"/>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row>
    <row r="290" spans="1:66" ht="13.5" customHeight="1">
      <c r="A290" s="2"/>
      <c r="B290" s="2"/>
      <c r="C290" s="433"/>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row>
    <row r="291" spans="1:66" ht="13.5" customHeight="1">
      <c r="A291" s="2"/>
      <c r="B291" s="2"/>
      <c r="C291" s="433"/>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row>
    <row r="292" spans="1:66" ht="13.5" customHeight="1">
      <c r="A292" s="2"/>
      <c r="B292" s="2"/>
      <c r="C292" s="433"/>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row>
    <row r="293" spans="1:66" ht="13.5" customHeight="1">
      <c r="A293" s="2"/>
      <c r="B293" s="2"/>
      <c r="C293" s="433"/>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row>
    <row r="294" spans="1:66" ht="13.5" customHeight="1">
      <c r="A294" s="2"/>
      <c r="B294" s="2"/>
      <c r="C294" s="433"/>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row>
    <row r="295" spans="1:66" ht="13.5" customHeight="1">
      <c r="A295" s="2"/>
      <c r="B295" s="2"/>
      <c r="C295" s="433"/>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row>
    <row r="296" spans="1:66" ht="13.5" customHeight="1">
      <c r="A296" s="2"/>
      <c r="B296" s="2"/>
      <c r="C296" s="433"/>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row>
    <row r="297" spans="1:66" ht="13.5" customHeight="1">
      <c r="A297" s="2"/>
      <c r="B297" s="2"/>
      <c r="C297" s="433"/>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row>
    <row r="298" spans="1:66" ht="13.5" customHeight="1">
      <c r="A298" s="2"/>
      <c r="B298" s="2"/>
      <c r="C298" s="433"/>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row>
    <row r="299" spans="1:66" ht="13.5" customHeight="1">
      <c r="A299" s="2"/>
      <c r="B299" s="2"/>
      <c r="C299" s="433"/>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row>
    <row r="300" spans="1:66" ht="13.5" customHeight="1">
      <c r="A300" s="2"/>
      <c r="B300" s="2"/>
      <c r="C300" s="433"/>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row>
    <row r="301" spans="1:66" ht="13.5" customHeight="1">
      <c r="A301" s="2"/>
      <c r="B301" s="2"/>
      <c r="C301" s="433"/>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row>
    <row r="302" spans="1:66" ht="13.5" customHeight="1">
      <c r="A302" s="2"/>
      <c r="B302" s="2"/>
      <c r="C302" s="433"/>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row>
    <row r="303" spans="1:66" ht="13.5" customHeight="1">
      <c r="A303" s="2"/>
      <c r="B303" s="2"/>
      <c r="C303" s="433"/>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row>
    <row r="304" spans="1:66" ht="13.5" customHeight="1">
      <c r="A304" s="2"/>
      <c r="B304" s="2"/>
      <c r="C304" s="433"/>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row>
    <row r="305" spans="1:66" ht="13.5" customHeight="1">
      <c r="A305" s="2"/>
      <c r="B305" s="2"/>
      <c r="C305" s="433"/>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row>
    <row r="306" spans="1:66" ht="13.5" customHeight="1">
      <c r="A306" s="2"/>
      <c r="B306" s="2"/>
      <c r="C306" s="433"/>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row>
    <row r="307" spans="1:66" ht="13.5" customHeight="1">
      <c r="A307" s="2"/>
      <c r="B307" s="2"/>
      <c r="C307" s="433"/>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row>
    <row r="308" spans="1:66" ht="13.5" customHeight="1">
      <c r="A308" s="2"/>
      <c r="B308" s="2"/>
      <c r="C308" s="433"/>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row>
    <row r="309" spans="1:66" ht="13.5" customHeight="1">
      <c r="A309" s="2"/>
      <c r="B309" s="2"/>
      <c r="C309" s="433"/>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row>
    <row r="310" spans="1:66" ht="13.5" customHeight="1">
      <c r="A310" s="2"/>
      <c r="B310" s="2"/>
      <c r="C310" s="433"/>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row>
    <row r="311" spans="1:66" ht="13.5" customHeight="1">
      <c r="A311" s="2"/>
      <c r="B311" s="2"/>
      <c r="C311" s="433"/>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row>
    <row r="312" spans="1:66" ht="13.5" customHeight="1">
      <c r="A312" s="2"/>
      <c r="B312" s="2"/>
      <c r="C312" s="433"/>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row>
    <row r="313" spans="1:66" ht="13.5" customHeight="1">
      <c r="A313" s="2"/>
      <c r="B313" s="2"/>
      <c r="C313" s="433"/>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row>
    <row r="314" spans="1:66" ht="13.5" customHeight="1">
      <c r="A314" s="2"/>
      <c r="B314" s="2"/>
      <c r="C314" s="433"/>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row>
    <row r="315" spans="1:66" ht="13.5" customHeight="1">
      <c r="A315" s="2"/>
      <c r="B315" s="2"/>
      <c r="C315" s="433"/>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row>
    <row r="316" spans="1:66" ht="13.5" customHeight="1">
      <c r="A316" s="2"/>
      <c r="B316" s="2"/>
      <c r="C316" s="433"/>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row>
    <row r="317" spans="1:66" ht="13.5" customHeight="1">
      <c r="A317" s="2"/>
      <c r="B317" s="2"/>
      <c r="C317" s="433"/>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row>
    <row r="318" spans="1:66" ht="13.5" customHeight="1">
      <c r="A318" s="2"/>
      <c r="B318" s="2"/>
      <c r="C318" s="433"/>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row>
    <row r="319" spans="1:66" ht="13.5" customHeight="1">
      <c r="A319" s="2"/>
      <c r="B319" s="2"/>
      <c r="C319" s="433"/>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row>
    <row r="320" spans="1:66" ht="13.5" customHeight="1">
      <c r="A320" s="2"/>
      <c r="B320" s="2"/>
      <c r="C320" s="433"/>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row>
    <row r="321" spans="1:66" ht="13.5" customHeight="1">
      <c r="A321" s="2"/>
      <c r="B321" s="2"/>
      <c r="C321" s="433"/>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row>
    <row r="322" spans="1:66" ht="13.5" customHeight="1">
      <c r="A322" s="2"/>
      <c r="B322" s="2"/>
      <c r="C322" s="433"/>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row>
    <row r="323" spans="1:66" ht="13.5" customHeight="1">
      <c r="A323" s="2"/>
      <c r="B323" s="2"/>
      <c r="C323" s="433"/>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row>
    <row r="324" spans="1:66" ht="13.5" customHeight="1">
      <c r="A324" s="2"/>
      <c r="B324" s="2"/>
      <c r="C324" s="433"/>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row>
    <row r="325" spans="1:66" ht="13.5" customHeight="1">
      <c r="A325" s="2"/>
      <c r="B325" s="2"/>
      <c r="C325" s="433"/>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row>
    <row r="326" spans="1:66" ht="13.5" customHeight="1">
      <c r="A326" s="2"/>
      <c r="B326" s="2"/>
      <c r="C326" s="433"/>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row>
    <row r="327" spans="1:66" ht="13.5" customHeight="1">
      <c r="A327" s="2"/>
      <c r="B327" s="2"/>
      <c r="C327" s="433"/>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row>
    <row r="328" spans="1:66" ht="13.5" customHeight="1">
      <c r="A328" s="2"/>
      <c r="B328" s="2"/>
      <c r="C328" s="433"/>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row>
    <row r="329" spans="1:66" ht="13.5" customHeight="1">
      <c r="A329" s="2"/>
      <c r="B329" s="2"/>
      <c r="C329" s="433"/>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row>
    <row r="330" spans="1:66" ht="13.5" customHeight="1">
      <c r="A330" s="2"/>
      <c r="B330" s="2"/>
      <c r="C330" s="433"/>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row>
    <row r="331" spans="1:66" ht="13.5" customHeight="1">
      <c r="A331" s="2"/>
      <c r="B331" s="2"/>
      <c r="C331" s="433"/>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row>
    <row r="332" spans="1:66" ht="13.5" customHeight="1">
      <c r="A332" s="2"/>
      <c r="B332" s="2"/>
      <c r="C332" s="433"/>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row>
    <row r="333" spans="1:66" ht="13.5" customHeight="1">
      <c r="A333" s="2"/>
      <c r="B333" s="2"/>
      <c r="C333" s="433"/>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row>
    <row r="334" spans="1:66" ht="13.5" customHeight="1">
      <c r="A334" s="2"/>
      <c r="B334" s="2"/>
      <c r="C334" s="433"/>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row>
    <row r="335" spans="1:66" ht="13.5" customHeight="1">
      <c r="A335" s="2"/>
      <c r="B335" s="2"/>
      <c r="C335" s="433"/>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row>
    <row r="336" spans="1:66" ht="13.5" customHeight="1">
      <c r="A336" s="2"/>
      <c r="B336" s="2"/>
      <c r="C336" s="433"/>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row>
    <row r="337" spans="1:66" ht="13.5" customHeight="1">
      <c r="A337" s="2"/>
      <c r="B337" s="2"/>
      <c r="C337" s="433"/>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row>
    <row r="338" spans="1:66" ht="13.5" customHeight="1">
      <c r="A338" s="2"/>
      <c r="B338" s="2"/>
      <c r="C338" s="433"/>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row>
    <row r="339" spans="1:66" ht="13.5" customHeight="1">
      <c r="A339" s="2"/>
      <c r="B339" s="2"/>
      <c r="C339" s="433"/>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row>
    <row r="340" spans="1:66" ht="13.5" customHeight="1">
      <c r="A340" s="2"/>
      <c r="B340" s="2"/>
      <c r="C340" s="433"/>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row>
    <row r="341" spans="1:66" ht="13.5" customHeight="1">
      <c r="A341" s="2"/>
      <c r="B341" s="2"/>
      <c r="C341" s="433"/>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row>
    <row r="342" spans="1:66" ht="13.5" customHeight="1">
      <c r="A342" s="2"/>
      <c r="B342" s="2"/>
      <c r="C342" s="433"/>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row>
    <row r="343" spans="1:66" ht="13.5" customHeight="1">
      <c r="A343" s="2"/>
      <c r="B343" s="2"/>
      <c r="C343" s="433"/>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row>
    <row r="344" spans="1:66" ht="13.5" customHeight="1">
      <c r="A344" s="2"/>
      <c r="B344" s="2"/>
      <c r="C344" s="433"/>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row>
    <row r="345" spans="1:66" ht="13.5" customHeight="1">
      <c r="A345" s="2"/>
      <c r="B345" s="2"/>
      <c r="C345" s="433"/>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row>
    <row r="346" spans="1:66" ht="13.5" customHeight="1">
      <c r="A346" s="2"/>
      <c r="B346" s="2"/>
      <c r="C346" s="433"/>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row>
    <row r="347" spans="1:66" ht="13.5" customHeight="1">
      <c r="A347" s="2"/>
      <c r="B347" s="2"/>
      <c r="C347" s="433"/>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row>
    <row r="348" spans="1:66" ht="13.5" customHeight="1">
      <c r="A348" s="2"/>
      <c r="B348" s="2"/>
      <c r="C348" s="433"/>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row>
    <row r="349" spans="1:66" ht="13.5" customHeight="1">
      <c r="A349" s="2"/>
      <c r="B349" s="2"/>
      <c r="C349" s="433"/>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row>
    <row r="350" spans="1:66" ht="13.5" customHeight="1">
      <c r="A350" s="2"/>
      <c r="B350" s="2"/>
      <c r="C350" s="433"/>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row>
    <row r="351" spans="1:66" ht="13.5" customHeight="1">
      <c r="A351" s="2"/>
      <c r="B351" s="2"/>
      <c r="C351" s="433"/>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row>
    <row r="352" spans="1:66" ht="13.5" customHeight="1">
      <c r="A352" s="2"/>
      <c r="B352" s="2"/>
      <c r="C352" s="433"/>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row>
    <row r="353" spans="1:66" ht="13.5" customHeight="1">
      <c r="A353" s="2"/>
      <c r="B353" s="2"/>
      <c r="C353" s="433"/>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row>
    <row r="354" spans="1:66" ht="13.5" customHeight="1">
      <c r="A354" s="2"/>
      <c r="B354" s="2"/>
      <c r="C354" s="433"/>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row>
    <row r="355" spans="1:66" ht="13.5" customHeight="1">
      <c r="A355" s="2"/>
      <c r="B355" s="2"/>
      <c r="C355" s="433"/>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row>
    <row r="356" spans="1:66" ht="13.5" customHeight="1">
      <c r="A356" s="2"/>
      <c r="B356" s="2"/>
      <c r="C356" s="433"/>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row>
    <row r="357" spans="1:66" ht="13.5" customHeight="1">
      <c r="A357" s="2"/>
      <c r="B357" s="2"/>
      <c r="C357" s="433"/>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row>
    <row r="358" spans="1:66" ht="13.5" customHeight="1">
      <c r="A358" s="2"/>
      <c r="B358" s="2"/>
      <c r="C358" s="433"/>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row>
    <row r="359" spans="1:66" ht="13.5" customHeight="1">
      <c r="A359" s="2"/>
      <c r="B359" s="2"/>
      <c r="C359" s="433"/>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row>
    <row r="360" spans="1:66" ht="13.5" customHeight="1">
      <c r="A360" s="2"/>
      <c r="B360" s="2"/>
      <c r="C360" s="433"/>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row>
    <row r="361" spans="1:66" ht="13.5" customHeight="1">
      <c r="A361" s="2"/>
      <c r="B361" s="2"/>
      <c r="C361" s="433"/>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row>
    <row r="362" spans="1:66" ht="13.5" customHeight="1">
      <c r="A362" s="2"/>
      <c r="B362" s="2"/>
      <c r="C362" s="433"/>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row>
    <row r="363" spans="1:66" ht="13.5" customHeight="1">
      <c r="A363" s="2"/>
      <c r="B363" s="2"/>
      <c r="C363" s="433"/>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row>
    <row r="364" spans="1:66" ht="13.5" customHeight="1">
      <c r="A364" s="2"/>
      <c r="B364" s="2"/>
      <c r="C364" s="433"/>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row>
    <row r="365" spans="1:66" ht="13.5" customHeight="1">
      <c r="A365" s="2"/>
      <c r="B365" s="2"/>
      <c r="C365" s="433"/>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row>
    <row r="366" spans="1:66" ht="13.5" customHeight="1">
      <c r="A366" s="2"/>
      <c r="B366" s="2"/>
      <c r="C366" s="433"/>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row>
    <row r="367" spans="1:66" ht="13.5" customHeight="1">
      <c r="A367" s="2"/>
      <c r="B367" s="2"/>
      <c r="C367" s="433"/>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row>
    <row r="368" spans="1:66" ht="13.5" customHeight="1">
      <c r="A368" s="2"/>
      <c r="B368" s="2"/>
      <c r="C368" s="433"/>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row>
    <row r="369" spans="1:66" ht="13.5" customHeight="1">
      <c r="A369" s="2"/>
      <c r="B369" s="2"/>
      <c r="C369" s="433"/>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row>
    <row r="370" spans="1:66" ht="13.5" customHeight="1">
      <c r="A370" s="2"/>
      <c r="B370" s="2"/>
      <c r="C370" s="433"/>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row>
    <row r="371" spans="1:66" ht="13.5" customHeight="1">
      <c r="A371" s="2"/>
      <c r="B371" s="2"/>
      <c r="C371" s="433"/>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row>
    <row r="372" spans="1:66" ht="13.5" customHeight="1">
      <c r="A372" s="2"/>
      <c r="B372" s="2"/>
      <c r="C372" s="433"/>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row>
    <row r="373" spans="1:66" ht="13.5" customHeight="1">
      <c r="A373" s="2"/>
      <c r="B373" s="2"/>
      <c r="C373" s="433"/>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row>
    <row r="374" spans="1:66" ht="13.5" customHeight="1">
      <c r="A374" s="2"/>
      <c r="B374" s="2"/>
      <c r="C374" s="433"/>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row>
    <row r="375" spans="1:66" ht="13.5" customHeight="1">
      <c r="A375" s="2"/>
      <c r="B375" s="2"/>
      <c r="C375" s="433"/>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row>
    <row r="376" spans="1:66" ht="13.5" customHeight="1">
      <c r="A376" s="2"/>
      <c r="B376" s="2"/>
      <c r="C376" s="433"/>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row>
    <row r="377" spans="1:66" ht="13.5" customHeight="1">
      <c r="A377" s="2"/>
      <c r="B377" s="2"/>
      <c r="C377" s="433"/>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row>
    <row r="378" spans="1:66" ht="13.5" customHeight="1">
      <c r="A378" s="2"/>
      <c r="B378" s="2"/>
      <c r="C378" s="433"/>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row>
    <row r="379" spans="1:66" ht="13.5" customHeight="1">
      <c r="A379" s="2"/>
      <c r="B379" s="2"/>
      <c r="C379" s="433"/>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row>
    <row r="380" spans="1:66" ht="13.5" customHeight="1">
      <c r="A380" s="2"/>
      <c r="B380" s="2"/>
      <c r="C380" s="433"/>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row>
    <row r="381" spans="1:66" ht="13.5" customHeight="1">
      <c r="A381" s="2"/>
      <c r="B381" s="2"/>
      <c r="C381" s="433"/>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row>
    <row r="382" spans="1:66" ht="13.5" customHeight="1">
      <c r="A382" s="2"/>
      <c r="B382" s="2"/>
      <c r="C382" s="433"/>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row>
    <row r="383" spans="1:66" ht="13.5" customHeight="1">
      <c r="A383" s="2"/>
      <c r="B383" s="2"/>
      <c r="C383" s="433"/>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row>
    <row r="384" spans="1:66" ht="13.5" customHeight="1">
      <c r="A384" s="2"/>
      <c r="B384" s="2"/>
      <c r="C384" s="433"/>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row>
    <row r="385" spans="1:66" ht="13.5" customHeight="1">
      <c r="A385" s="2"/>
      <c r="B385" s="2"/>
      <c r="C385" s="433"/>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row>
    <row r="386" spans="1:66" ht="13.5" customHeight="1">
      <c r="A386" s="2"/>
      <c r="B386" s="2"/>
      <c r="C386" s="433"/>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row>
    <row r="387" spans="1:66" ht="13.5" customHeight="1">
      <c r="A387" s="2"/>
      <c r="B387" s="2"/>
      <c r="C387" s="433"/>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row>
    <row r="388" spans="1:66" ht="13.5" customHeight="1">
      <c r="A388" s="2"/>
      <c r="B388" s="2"/>
      <c r="C388" s="433"/>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row>
    <row r="389" spans="1:66" ht="13.5" customHeight="1">
      <c r="A389" s="2"/>
      <c r="B389" s="2"/>
      <c r="C389" s="433"/>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row>
    <row r="390" spans="1:66" ht="13.5" customHeight="1">
      <c r="A390" s="2"/>
      <c r="B390" s="2"/>
      <c r="C390" s="433"/>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row>
    <row r="391" spans="1:66" ht="13.5" customHeight="1">
      <c r="A391" s="2"/>
      <c r="B391" s="2"/>
      <c r="C391" s="433"/>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row>
    <row r="392" spans="1:66" ht="13.5" customHeight="1">
      <c r="A392" s="2"/>
      <c r="B392" s="2"/>
      <c r="C392" s="433"/>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row>
    <row r="393" spans="1:66" ht="13.5" customHeight="1">
      <c r="A393" s="2"/>
      <c r="B393" s="2"/>
      <c r="C393" s="433"/>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row>
    <row r="394" spans="1:66" ht="13.5" customHeight="1">
      <c r="A394" s="2"/>
      <c r="B394" s="2"/>
      <c r="C394" s="433"/>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row>
    <row r="395" spans="1:66" ht="13.5" customHeight="1">
      <c r="A395" s="2"/>
      <c r="B395" s="2"/>
      <c r="C395" s="433"/>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row>
    <row r="396" spans="1:66" ht="13.5" customHeight="1">
      <c r="A396" s="2"/>
      <c r="B396" s="2"/>
      <c r="C396" s="433"/>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row>
    <row r="397" spans="1:66" ht="13.5" customHeight="1">
      <c r="A397" s="2"/>
      <c r="B397" s="2"/>
      <c r="C397" s="433"/>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row>
    <row r="398" spans="1:66" ht="13.5" customHeight="1">
      <c r="A398" s="2"/>
      <c r="B398" s="2"/>
      <c r="C398" s="433"/>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row>
    <row r="399" spans="1:66" ht="13.5" customHeight="1">
      <c r="A399" s="2"/>
      <c r="B399" s="2"/>
      <c r="C399" s="433"/>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row>
    <row r="400" spans="1:66" ht="13.5" customHeight="1">
      <c r="A400" s="2"/>
      <c r="B400" s="2"/>
      <c r="C400" s="433"/>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row>
    <row r="401" spans="1:66" ht="13.5" customHeight="1">
      <c r="A401" s="2"/>
      <c r="B401" s="2"/>
      <c r="C401" s="433"/>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row>
    <row r="402" spans="1:66" ht="13.5" customHeight="1">
      <c r="A402" s="2"/>
      <c r="B402" s="2"/>
      <c r="C402" s="433"/>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row>
    <row r="403" spans="1:66" ht="13.5" customHeight="1">
      <c r="A403" s="2"/>
      <c r="B403" s="2"/>
      <c r="C403" s="433"/>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row>
    <row r="404" spans="1:66" ht="13.5" customHeight="1">
      <c r="A404" s="2"/>
      <c r="B404" s="2"/>
      <c r="C404" s="433"/>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row>
    <row r="405" spans="1:66" ht="13.5" customHeight="1">
      <c r="A405" s="2"/>
      <c r="B405" s="2"/>
      <c r="C405" s="433"/>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row>
    <row r="406" spans="1:66" ht="13.5" customHeight="1">
      <c r="A406" s="2"/>
      <c r="B406" s="2"/>
      <c r="C406" s="433"/>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row>
    <row r="407" spans="1:66" ht="13.5" customHeight="1">
      <c r="A407" s="2"/>
      <c r="B407" s="2"/>
      <c r="C407" s="433"/>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row>
    <row r="408" spans="1:66" ht="13.5" customHeight="1">
      <c r="A408" s="2"/>
      <c r="B408" s="2"/>
      <c r="C408" s="433"/>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row>
    <row r="409" spans="1:66" ht="13.5" customHeight="1">
      <c r="A409" s="2"/>
      <c r="B409" s="2"/>
      <c r="C409" s="433"/>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row>
    <row r="410" spans="1:66" ht="13.5" customHeight="1">
      <c r="A410" s="2"/>
      <c r="B410" s="2"/>
      <c r="C410" s="433"/>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row>
    <row r="411" spans="1:66" ht="13.5" customHeight="1">
      <c r="A411" s="2"/>
      <c r="B411" s="2"/>
      <c r="C411" s="433"/>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row>
    <row r="412" spans="1:66" ht="13.5" customHeight="1">
      <c r="A412" s="2"/>
      <c r="B412" s="2"/>
      <c r="C412" s="433"/>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row>
    <row r="413" spans="1:66" ht="13.5" customHeight="1">
      <c r="A413" s="2"/>
      <c r="B413" s="2"/>
      <c r="C413" s="433"/>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row>
    <row r="414" spans="1:66" ht="13.5" customHeight="1">
      <c r="A414" s="2"/>
      <c r="B414" s="2"/>
      <c r="C414" s="433"/>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row>
    <row r="415" spans="1:66" ht="13.5" customHeight="1">
      <c r="A415" s="2"/>
      <c r="B415" s="2"/>
      <c r="C415" s="433"/>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row>
    <row r="416" spans="1:66" ht="13.5" customHeight="1">
      <c r="A416" s="2"/>
      <c r="B416" s="2"/>
      <c r="C416" s="433"/>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row>
    <row r="417" spans="1:66" ht="13.5" customHeight="1">
      <c r="A417" s="2"/>
      <c r="B417" s="2"/>
      <c r="C417" s="433"/>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row>
    <row r="418" spans="1:66" ht="13.5" customHeight="1">
      <c r="A418" s="2"/>
      <c r="B418" s="2"/>
      <c r="C418" s="433"/>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row>
    <row r="419" spans="1:66" ht="13.5" customHeight="1">
      <c r="A419" s="2"/>
      <c r="B419" s="2"/>
      <c r="C419" s="433"/>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row>
    <row r="420" spans="1:66" ht="13.5" customHeight="1">
      <c r="A420" s="2"/>
      <c r="B420" s="2"/>
      <c r="C420" s="433"/>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row>
    <row r="421" spans="1:66" ht="13.5" customHeight="1">
      <c r="A421" s="2"/>
      <c r="B421" s="2"/>
      <c r="C421" s="433"/>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row>
    <row r="422" spans="1:66" ht="13.5" customHeight="1">
      <c r="A422" s="2"/>
      <c r="B422" s="2"/>
      <c r="C422" s="433"/>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row>
    <row r="423" spans="1:66" ht="13.5" customHeight="1">
      <c r="A423" s="2"/>
      <c r="B423" s="2"/>
      <c r="C423" s="433"/>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row>
    <row r="424" spans="1:66" ht="13.5" customHeight="1">
      <c r="A424" s="2"/>
      <c r="B424" s="2"/>
      <c r="C424" s="433"/>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row>
    <row r="425" spans="1:66" ht="13.5" customHeight="1">
      <c r="A425" s="2"/>
      <c r="B425" s="2"/>
      <c r="C425" s="433"/>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row>
    <row r="426" spans="1:66" ht="13.5" customHeight="1">
      <c r="A426" s="2"/>
      <c r="B426" s="2"/>
      <c r="C426" s="433"/>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row>
    <row r="427" spans="1:66" ht="13.5" customHeight="1">
      <c r="A427" s="2"/>
      <c r="B427" s="2"/>
      <c r="C427" s="433"/>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row>
    <row r="428" spans="1:66" ht="13.5" customHeight="1">
      <c r="A428" s="2"/>
      <c r="B428" s="2"/>
      <c r="C428" s="433"/>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row>
    <row r="429" spans="1:66" ht="13.5" customHeight="1">
      <c r="A429" s="2"/>
      <c r="B429" s="2"/>
      <c r="C429" s="433"/>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row>
    <row r="430" spans="1:66" ht="13.5" customHeight="1">
      <c r="A430" s="2"/>
      <c r="B430" s="2"/>
      <c r="C430" s="433"/>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row>
    <row r="431" spans="1:66" ht="13.5" customHeight="1">
      <c r="A431" s="2"/>
      <c r="B431" s="2"/>
      <c r="C431" s="433"/>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row>
    <row r="432" spans="1:66" ht="13.5" customHeight="1">
      <c r="A432" s="2"/>
      <c r="B432" s="2"/>
      <c r="C432" s="433"/>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row>
    <row r="433" spans="1:66" ht="13.5" customHeight="1">
      <c r="A433" s="2"/>
      <c r="B433" s="2"/>
      <c r="C433" s="433"/>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row>
    <row r="434" spans="1:66" ht="13.5" customHeight="1">
      <c r="A434" s="2"/>
      <c r="B434" s="2"/>
      <c r="C434" s="433"/>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row>
    <row r="435" spans="1:66" ht="13.5" customHeight="1">
      <c r="A435" s="2"/>
      <c r="B435" s="2"/>
      <c r="C435" s="433"/>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row>
    <row r="436" spans="1:66" ht="13.5" customHeight="1">
      <c r="A436" s="2"/>
      <c r="B436" s="2"/>
      <c r="C436" s="433"/>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row>
    <row r="437" spans="1:66" ht="13.5" customHeight="1">
      <c r="A437" s="2"/>
      <c r="B437" s="2"/>
      <c r="C437" s="433"/>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row>
    <row r="438" spans="1:66" ht="13.5" customHeight="1">
      <c r="A438" s="2"/>
      <c r="B438" s="2"/>
      <c r="C438" s="433"/>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row>
    <row r="439" spans="1:66" ht="13.5" customHeight="1">
      <c r="A439" s="2"/>
      <c r="B439" s="2"/>
      <c r="C439" s="433"/>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row>
    <row r="440" spans="1:66" ht="13.5" customHeight="1">
      <c r="A440" s="2"/>
      <c r="B440" s="2"/>
      <c r="C440" s="433"/>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row>
    <row r="441" spans="1:66" ht="13.5" customHeight="1">
      <c r="A441" s="2"/>
      <c r="B441" s="2"/>
      <c r="C441" s="433"/>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row>
    <row r="442" spans="1:66" ht="13.5" customHeight="1">
      <c r="A442" s="2"/>
      <c r="B442" s="2"/>
      <c r="C442" s="433"/>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row>
    <row r="443" spans="1:66" ht="13.5" customHeight="1">
      <c r="A443" s="2"/>
      <c r="B443" s="2"/>
      <c r="C443" s="433"/>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row>
    <row r="444" spans="1:66" ht="13.5" customHeight="1">
      <c r="A444" s="2"/>
      <c r="B444" s="2"/>
      <c r="C444" s="433"/>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row>
    <row r="445" spans="1:66" ht="13.5" customHeight="1">
      <c r="A445" s="2"/>
      <c r="B445" s="2"/>
      <c r="C445" s="433"/>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row>
    <row r="446" spans="1:66" ht="13.5" customHeight="1">
      <c r="A446" s="2"/>
      <c r="B446" s="2"/>
      <c r="C446" s="433"/>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row>
    <row r="447" spans="1:66" ht="13.5" customHeight="1">
      <c r="A447" s="2"/>
      <c r="B447" s="2"/>
      <c r="C447" s="433"/>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row>
    <row r="448" spans="1:66" ht="13.5" customHeight="1">
      <c r="A448" s="2"/>
      <c r="B448" s="2"/>
      <c r="C448" s="433"/>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row>
    <row r="449" spans="1:66" ht="13.5" customHeight="1">
      <c r="A449" s="2"/>
      <c r="B449" s="2"/>
      <c r="C449" s="433"/>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row>
    <row r="450" spans="1:66" ht="13.5" customHeight="1">
      <c r="A450" s="2"/>
      <c r="B450" s="2"/>
      <c r="C450" s="433"/>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row>
    <row r="451" spans="1:66" ht="13.5" customHeight="1">
      <c r="A451" s="2"/>
      <c r="B451" s="2"/>
      <c r="C451" s="433"/>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row>
    <row r="452" spans="1:66" ht="13.5" customHeight="1">
      <c r="A452" s="2"/>
      <c r="B452" s="2"/>
      <c r="C452" s="433"/>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row>
    <row r="453" spans="1:66" ht="13.5" customHeight="1">
      <c r="A453" s="2"/>
      <c r="B453" s="2"/>
      <c r="C453" s="433"/>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row>
    <row r="454" spans="1:66" ht="13.5" customHeight="1">
      <c r="A454" s="2"/>
      <c r="B454" s="2"/>
      <c r="C454" s="433"/>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row>
    <row r="455" spans="1:66" ht="13.5" customHeight="1">
      <c r="A455" s="2"/>
      <c r="B455" s="2"/>
      <c r="C455" s="433"/>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row>
    <row r="456" spans="1:66" ht="13.5" customHeight="1">
      <c r="A456" s="2"/>
      <c r="B456" s="2"/>
      <c r="C456" s="433"/>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row>
    <row r="457" spans="1:66" ht="13.5" customHeight="1">
      <c r="A457" s="2"/>
      <c r="B457" s="2"/>
      <c r="C457" s="433"/>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row>
    <row r="458" spans="1:66" ht="13.5" customHeight="1">
      <c r="A458" s="2"/>
      <c r="B458" s="2"/>
      <c r="C458" s="433"/>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row>
    <row r="459" spans="1:66" ht="13.5" customHeight="1">
      <c r="A459" s="2"/>
      <c r="B459" s="2"/>
      <c r="C459" s="433"/>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row>
    <row r="460" spans="1:66" ht="13.5" customHeight="1">
      <c r="A460" s="2"/>
      <c r="B460" s="2"/>
      <c r="C460" s="433"/>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row>
    <row r="461" spans="1:66" ht="13.5" customHeight="1">
      <c r="A461" s="2"/>
      <c r="B461" s="2"/>
      <c r="C461" s="433"/>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row>
    <row r="462" spans="1:66" ht="13.5" customHeight="1">
      <c r="A462" s="2"/>
      <c r="B462" s="2"/>
      <c r="C462" s="433"/>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row>
    <row r="463" spans="1:66" ht="13.5" customHeight="1">
      <c r="A463" s="2"/>
      <c r="B463" s="2"/>
      <c r="C463" s="433"/>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row>
    <row r="464" spans="1:66" ht="13.5" customHeight="1">
      <c r="A464" s="2"/>
      <c r="B464" s="2"/>
      <c r="C464" s="433"/>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row>
    <row r="465" spans="1:66" ht="13.5" customHeight="1">
      <c r="A465" s="2"/>
      <c r="B465" s="2"/>
      <c r="C465" s="433"/>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row>
    <row r="466" spans="1:66" ht="13.5" customHeight="1">
      <c r="A466" s="2"/>
      <c r="B466" s="2"/>
      <c r="C466" s="433"/>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row>
    <row r="467" spans="1:66" ht="13.5" customHeight="1">
      <c r="A467" s="2"/>
      <c r="B467" s="2"/>
      <c r="C467" s="433"/>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row>
    <row r="468" spans="1:66" ht="13.5" customHeight="1">
      <c r="A468" s="2"/>
      <c r="B468" s="2"/>
      <c r="C468" s="433"/>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row>
    <row r="469" spans="1:66" ht="13.5" customHeight="1">
      <c r="A469" s="2"/>
      <c r="B469" s="2"/>
      <c r="C469" s="433"/>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row>
    <row r="470" spans="1:66" ht="13.5" customHeight="1">
      <c r="A470" s="2"/>
      <c r="B470" s="2"/>
      <c r="C470" s="433"/>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row>
    <row r="471" spans="1:66" ht="13.5" customHeight="1">
      <c r="A471" s="2"/>
      <c r="B471" s="2"/>
      <c r="C471" s="433"/>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row>
    <row r="472" spans="1:66" ht="13.5" customHeight="1">
      <c r="A472" s="2"/>
      <c r="B472" s="2"/>
      <c r="C472" s="433"/>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row>
    <row r="473" spans="1:66" ht="13.5" customHeight="1">
      <c r="A473" s="2"/>
      <c r="B473" s="2"/>
      <c r="C473" s="433"/>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row>
    <row r="474" spans="1:66" ht="13.5" customHeight="1">
      <c r="A474" s="2"/>
      <c r="B474" s="2"/>
      <c r="C474" s="433"/>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row>
    <row r="475" spans="1:66" ht="13.5" customHeight="1">
      <c r="A475" s="2"/>
      <c r="B475" s="2"/>
      <c r="C475" s="433"/>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row>
    <row r="476" spans="1:66" ht="13.5" customHeight="1">
      <c r="A476" s="2"/>
      <c r="B476" s="2"/>
      <c r="C476" s="433"/>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row>
    <row r="477" spans="1:66" ht="13.5" customHeight="1">
      <c r="A477" s="2"/>
      <c r="B477" s="2"/>
      <c r="C477" s="433"/>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row>
    <row r="478" spans="1:66" ht="13.5" customHeight="1">
      <c r="A478" s="2"/>
      <c r="B478" s="2"/>
      <c r="C478" s="433"/>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row>
    <row r="479" spans="1:66" ht="13.5" customHeight="1">
      <c r="A479" s="2"/>
      <c r="B479" s="2"/>
      <c r="C479" s="433"/>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row>
    <row r="480" spans="1:66" ht="13.5" customHeight="1">
      <c r="A480" s="2"/>
      <c r="B480" s="2"/>
      <c r="C480" s="433"/>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row>
    <row r="481" spans="1:66" ht="13.5" customHeight="1">
      <c r="A481" s="2"/>
      <c r="B481" s="2"/>
      <c r="C481" s="433"/>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row>
    <row r="482" spans="1:66" ht="13.5" customHeight="1">
      <c r="A482" s="2"/>
      <c r="B482" s="2"/>
      <c r="C482" s="433"/>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row>
    <row r="483" spans="1:66" ht="13.5" customHeight="1">
      <c r="A483" s="2"/>
      <c r="B483" s="2"/>
      <c r="C483" s="433"/>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row>
    <row r="484" spans="1:66" ht="13.5" customHeight="1">
      <c r="A484" s="2"/>
      <c r="B484" s="2"/>
      <c r="C484" s="433"/>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row>
    <row r="485" spans="1:66" ht="13.5" customHeight="1">
      <c r="A485" s="2"/>
      <c r="B485" s="2"/>
      <c r="C485" s="433"/>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row>
    <row r="486" spans="1:66" ht="13.5" customHeight="1">
      <c r="A486" s="2"/>
      <c r="B486" s="2"/>
      <c r="C486" s="433"/>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row>
    <row r="487" spans="1:66" ht="13.5" customHeight="1">
      <c r="A487" s="2"/>
      <c r="B487" s="2"/>
      <c r="C487" s="433"/>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row>
    <row r="488" spans="1:66" ht="13.5" customHeight="1">
      <c r="A488" s="2"/>
      <c r="B488" s="2"/>
      <c r="C488" s="433"/>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row>
    <row r="489" spans="1:66" ht="13.5" customHeight="1">
      <c r="A489" s="2"/>
      <c r="B489" s="2"/>
      <c r="C489" s="433"/>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row>
    <row r="490" spans="1:66" ht="13.5" customHeight="1">
      <c r="A490" s="2"/>
      <c r="B490" s="2"/>
      <c r="C490" s="433"/>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row>
    <row r="491" spans="1:66" ht="13.5" customHeight="1">
      <c r="A491" s="2"/>
      <c r="B491" s="2"/>
      <c r="C491" s="433"/>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row>
    <row r="492" spans="1:66" ht="13.5" customHeight="1">
      <c r="A492" s="2"/>
      <c r="B492" s="2"/>
      <c r="C492" s="433"/>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row>
    <row r="493" spans="1:66" ht="13.5" customHeight="1">
      <c r="A493" s="2"/>
      <c r="B493" s="2"/>
      <c r="C493" s="433"/>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row>
    <row r="494" spans="1:66" ht="13.5" customHeight="1">
      <c r="A494" s="2"/>
      <c r="B494" s="2"/>
      <c r="C494" s="433"/>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row>
    <row r="495" spans="1:66" ht="13.5" customHeight="1">
      <c r="A495" s="2"/>
      <c r="B495" s="2"/>
      <c r="C495" s="433"/>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row>
    <row r="496" spans="1:66" ht="13.5" customHeight="1">
      <c r="A496" s="2"/>
      <c r="B496" s="2"/>
      <c r="C496" s="433"/>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row>
    <row r="497" spans="1:66" ht="13.5" customHeight="1">
      <c r="A497" s="2"/>
      <c r="B497" s="2"/>
      <c r="C497" s="433"/>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row>
    <row r="498" spans="1:66" ht="13.5" customHeight="1">
      <c r="A498" s="2"/>
      <c r="B498" s="2"/>
      <c r="C498" s="433"/>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row>
    <row r="499" spans="1:66" ht="13.5" customHeight="1">
      <c r="A499" s="2"/>
      <c r="B499" s="2"/>
      <c r="C499" s="433"/>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row>
    <row r="500" spans="1:66" ht="13.5" customHeight="1">
      <c r="A500" s="2"/>
      <c r="B500" s="2"/>
      <c r="C500" s="433"/>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row>
    <row r="501" spans="1:66" ht="13.5" customHeight="1">
      <c r="A501" s="2"/>
      <c r="B501" s="2"/>
      <c r="C501" s="433"/>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row>
    <row r="502" spans="1:66" ht="13.5" customHeight="1">
      <c r="A502" s="2"/>
      <c r="B502" s="2"/>
      <c r="C502" s="433"/>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row>
    <row r="503" spans="1:66" ht="13.5" customHeight="1">
      <c r="A503" s="2"/>
      <c r="B503" s="2"/>
      <c r="C503" s="433"/>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row>
    <row r="504" spans="1:66" ht="13.5" customHeight="1">
      <c r="A504" s="2"/>
      <c r="B504" s="2"/>
      <c r="C504" s="433"/>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row>
    <row r="505" spans="1:66" ht="13.5" customHeight="1">
      <c r="A505" s="2"/>
      <c r="B505" s="2"/>
      <c r="C505" s="433"/>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row>
    <row r="506" spans="1:66" ht="13.5" customHeight="1">
      <c r="A506" s="2"/>
      <c r="B506" s="2"/>
      <c r="C506" s="433"/>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row>
    <row r="507" spans="1:66" ht="13.5" customHeight="1">
      <c r="A507" s="2"/>
      <c r="B507" s="2"/>
      <c r="C507" s="433"/>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row>
    <row r="508" spans="1:66" ht="13.5" customHeight="1">
      <c r="A508" s="2"/>
      <c r="B508" s="2"/>
      <c r="C508" s="433"/>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row>
    <row r="509" spans="1:66" ht="13.5" customHeight="1">
      <c r="A509" s="2"/>
      <c r="B509" s="2"/>
      <c r="C509" s="433"/>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row>
    <row r="510" spans="1:66" ht="13.5" customHeight="1">
      <c r="A510" s="2"/>
      <c r="B510" s="2"/>
      <c r="C510" s="433"/>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row>
    <row r="511" spans="1:66" ht="13.5" customHeight="1">
      <c r="A511" s="2"/>
      <c r="B511" s="2"/>
      <c r="C511" s="433"/>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row>
    <row r="512" spans="1:66" ht="13.5" customHeight="1">
      <c r="A512" s="2"/>
      <c r="B512" s="2"/>
      <c r="C512" s="433"/>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row>
    <row r="513" spans="1:66" ht="13.5" customHeight="1">
      <c r="A513" s="2"/>
      <c r="B513" s="2"/>
      <c r="C513" s="433"/>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row>
    <row r="514" spans="1:66" ht="13.5" customHeight="1">
      <c r="A514" s="2"/>
      <c r="B514" s="2"/>
      <c r="C514" s="433"/>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row>
    <row r="515" spans="1:66" ht="13.5" customHeight="1">
      <c r="A515" s="2"/>
      <c r="B515" s="2"/>
      <c r="C515" s="433"/>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row>
    <row r="516" spans="1:66" ht="13.5" customHeight="1">
      <c r="A516" s="2"/>
      <c r="B516" s="2"/>
      <c r="C516" s="433"/>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row>
    <row r="517" spans="1:66" ht="13.5" customHeight="1">
      <c r="A517" s="2"/>
      <c r="B517" s="2"/>
      <c r="C517" s="433"/>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row>
    <row r="518" spans="1:66" ht="13.5" customHeight="1">
      <c r="A518" s="2"/>
      <c r="B518" s="2"/>
      <c r="C518" s="433"/>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row>
    <row r="519" spans="1:66" ht="13.5" customHeight="1">
      <c r="A519" s="2"/>
      <c r="B519" s="2"/>
      <c r="C519" s="433"/>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row>
    <row r="520" spans="1:66" ht="13.5" customHeight="1">
      <c r="A520" s="2"/>
      <c r="B520" s="2"/>
      <c r="C520" s="433"/>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row>
    <row r="521" spans="1:66" ht="13.5" customHeight="1">
      <c r="A521" s="2"/>
      <c r="B521" s="2"/>
      <c r="C521" s="433"/>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row>
    <row r="522" spans="1:66" ht="13.5" customHeight="1">
      <c r="A522" s="2"/>
      <c r="B522" s="2"/>
      <c r="C522" s="433"/>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row>
    <row r="523" spans="1:66" ht="13.5" customHeight="1">
      <c r="A523" s="2"/>
      <c r="B523" s="2"/>
      <c r="C523" s="433"/>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row>
    <row r="524" spans="1:66" ht="13.5" customHeight="1">
      <c r="A524" s="2"/>
      <c r="B524" s="2"/>
      <c r="C524" s="433"/>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row>
    <row r="525" spans="1:66" ht="13.5" customHeight="1">
      <c r="A525" s="2"/>
      <c r="B525" s="2"/>
      <c r="C525" s="433"/>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row>
    <row r="526" spans="1:66" ht="13.5" customHeight="1">
      <c r="A526" s="2"/>
      <c r="B526" s="2"/>
      <c r="C526" s="433"/>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row>
    <row r="527" spans="1:66" ht="13.5" customHeight="1">
      <c r="A527" s="2"/>
      <c r="B527" s="2"/>
      <c r="C527" s="433"/>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row>
    <row r="528" spans="1:66" ht="13.5" customHeight="1">
      <c r="A528" s="2"/>
      <c r="B528" s="2"/>
      <c r="C528" s="433"/>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row>
    <row r="529" spans="1:66" ht="13.5" customHeight="1">
      <c r="A529" s="2"/>
      <c r="B529" s="2"/>
      <c r="C529" s="433"/>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row>
    <row r="530" spans="1:66" ht="13.5" customHeight="1">
      <c r="A530" s="2"/>
      <c r="B530" s="2"/>
      <c r="C530" s="433"/>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row>
    <row r="531" spans="1:66" ht="13.5" customHeight="1">
      <c r="A531" s="2"/>
      <c r="B531" s="2"/>
      <c r="C531" s="433"/>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row>
    <row r="532" spans="1:66" ht="13.5" customHeight="1">
      <c r="A532" s="2"/>
      <c r="B532" s="2"/>
      <c r="C532" s="433"/>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row>
    <row r="533" spans="1:66" ht="13.5" customHeight="1">
      <c r="A533" s="2"/>
      <c r="B533" s="2"/>
      <c r="C533" s="433"/>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row>
    <row r="534" spans="1:66" ht="13.5" customHeight="1">
      <c r="A534" s="2"/>
      <c r="B534" s="2"/>
      <c r="C534" s="433"/>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row>
    <row r="535" spans="1:66" ht="13.5" customHeight="1">
      <c r="A535" s="2"/>
      <c r="B535" s="2"/>
      <c r="C535" s="433"/>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row>
    <row r="536" spans="1:66" ht="13.5" customHeight="1">
      <c r="A536" s="2"/>
      <c r="B536" s="2"/>
      <c r="C536" s="433"/>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row>
    <row r="537" spans="1:66" ht="13.5" customHeight="1">
      <c r="A537" s="2"/>
      <c r="B537" s="2"/>
      <c r="C537" s="433"/>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row>
    <row r="538" spans="1:66" ht="13.5" customHeight="1">
      <c r="A538" s="2"/>
      <c r="B538" s="2"/>
      <c r="C538" s="433"/>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row>
    <row r="539" spans="1:66" ht="13.5" customHeight="1">
      <c r="A539" s="2"/>
      <c r="B539" s="2"/>
      <c r="C539" s="433"/>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row>
    <row r="540" spans="1:66" ht="13.5" customHeight="1">
      <c r="A540" s="2"/>
      <c r="B540" s="2"/>
      <c r="C540" s="433"/>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row>
    <row r="541" spans="1:66" ht="13.5" customHeight="1">
      <c r="A541" s="2"/>
      <c r="B541" s="2"/>
      <c r="C541" s="433"/>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row>
    <row r="542" spans="1:66" ht="13.5" customHeight="1">
      <c r="A542" s="2"/>
      <c r="B542" s="2"/>
      <c r="C542" s="433"/>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row>
    <row r="543" spans="1:66" ht="13.5" customHeight="1">
      <c r="A543" s="2"/>
      <c r="B543" s="2"/>
      <c r="C543" s="433"/>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row>
    <row r="544" spans="1:66" ht="13.5" customHeight="1">
      <c r="A544" s="2"/>
      <c r="B544" s="2"/>
      <c r="C544" s="433"/>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row>
    <row r="545" spans="1:66" ht="13.5" customHeight="1">
      <c r="A545" s="2"/>
      <c r="B545" s="2"/>
      <c r="C545" s="433"/>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row>
    <row r="546" spans="1:66" ht="13.5" customHeight="1">
      <c r="A546" s="2"/>
      <c r="B546" s="2"/>
      <c r="C546" s="433"/>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row>
    <row r="547" spans="1:66" ht="13.5" customHeight="1">
      <c r="A547" s="2"/>
      <c r="B547" s="2"/>
      <c r="C547" s="433"/>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row>
    <row r="548" spans="1:66" ht="13.5" customHeight="1">
      <c r="A548" s="2"/>
      <c r="B548" s="2"/>
      <c r="C548" s="433"/>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row>
    <row r="549" spans="1:66" ht="13.5" customHeight="1">
      <c r="A549" s="2"/>
      <c r="B549" s="2"/>
      <c r="C549" s="433"/>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row>
    <row r="550" spans="1:66" ht="13.5" customHeight="1">
      <c r="A550" s="2"/>
      <c r="B550" s="2"/>
      <c r="C550" s="433"/>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row>
    <row r="551" spans="1:66" ht="13.5" customHeight="1">
      <c r="A551" s="2"/>
      <c r="B551" s="2"/>
      <c r="C551" s="433"/>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row>
    <row r="552" spans="1:66" ht="13.5" customHeight="1">
      <c r="A552" s="2"/>
      <c r="B552" s="2"/>
      <c r="C552" s="433"/>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row>
    <row r="553" spans="1:66" ht="13.5" customHeight="1">
      <c r="A553" s="2"/>
      <c r="B553" s="2"/>
      <c r="C553" s="433"/>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row>
    <row r="554" spans="1:66" ht="13.5" customHeight="1">
      <c r="A554" s="2"/>
      <c r="B554" s="2"/>
      <c r="C554" s="433"/>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row>
    <row r="555" spans="1:66" ht="13.5" customHeight="1">
      <c r="A555" s="2"/>
      <c r="B555" s="2"/>
      <c r="C555" s="433"/>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row>
    <row r="556" spans="1:66" ht="13.5" customHeight="1">
      <c r="A556" s="2"/>
      <c r="B556" s="2"/>
      <c r="C556" s="433"/>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row>
    <row r="557" spans="1:66" ht="13.5" customHeight="1">
      <c r="A557" s="2"/>
      <c r="B557" s="2"/>
      <c r="C557" s="433"/>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row>
    <row r="558" spans="1:66" ht="13.5" customHeight="1">
      <c r="A558" s="2"/>
      <c r="B558" s="2"/>
      <c r="C558" s="433"/>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row>
    <row r="559" spans="1:66" ht="13.5" customHeight="1">
      <c r="A559" s="2"/>
      <c r="B559" s="2"/>
      <c r="C559" s="433"/>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row>
    <row r="560" spans="1:66" ht="13.5" customHeight="1">
      <c r="A560" s="2"/>
      <c r="B560" s="2"/>
      <c r="C560" s="433"/>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row>
    <row r="561" spans="1:66" ht="13.5" customHeight="1">
      <c r="A561" s="2"/>
      <c r="B561" s="2"/>
      <c r="C561" s="433"/>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row>
    <row r="562" spans="1:66" ht="13.5" customHeight="1">
      <c r="A562" s="2"/>
      <c r="B562" s="2"/>
      <c r="C562" s="433"/>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row>
    <row r="563" spans="1:66" ht="13.5" customHeight="1">
      <c r="A563" s="2"/>
      <c r="B563" s="2"/>
      <c r="C563" s="433"/>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row>
    <row r="564" spans="1:66" ht="13.5" customHeight="1">
      <c r="A564" s="2"/>
      <c r="B564" s="2"/>
      <c r="C564" s="433"/>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row>
    <row r="565" spans="1:66" ht="13.5" customHeight="1">
      <c r="A565" s="2"/>
      <c r="B565" s="2"/>
      <c r="C565" s="433"/>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row>
    <row r="566" spans="1:66" ht="13.5" customHeight="1">
      <c r="A566" s="2"/>
      <c r="B566" s="2"/>
      <c r="C566" s="433"/>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row>
    <row r="567" spans="1:66" ht="13.5" customHeight="1">
      <c r="A567" s="2"/>
      <c r="B567" s="2"/>
      <c r="C567" s="433"/>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row>
    <row r="568" spans="1:66" ht="13.5" customHeight="1">
      <c r="A568" s="2"/>
      <c r="B568" s="2"/>
      <c r="C568" s="433"/>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row>
    <row r="569" spans="1:66" ht="13.5" customHeight="1">
      <c r="A569" s="2"/>
      <c r="B569" s="2"/>
      <c r="C569" s="433"/>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row>
    <row r="570" spans="1:66" ht="13.5" customHeight="1">
      <c r="A570" s="2"/>
      <c r="B570" s="2"/>
      <c r="C570" s="433"/>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row>
    <row r="571" spans="1:66" ht="13.5" customHeight="1">
      <c r="A571" s="2"/>
      <c r="B571" s="2"/>
      <c r="C571" s="433"/>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row>
    <row r="572" spans="1:66" ht="13.5" customHeight="1">
      <c r="A572" s="2"/>
      <c r="B572" s="2"/>
      <c r="C572" s="433"/>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row>
    <row r="573" spans="1:66" ht="13.5" customHeight="1">
      <c r="A573" s="2"/>
      <c r="B573" s="2"/>
      <c r="C573" s="433"/>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row>
    <row r="574" spans="1:66" ht="13.5" customHeight="1">
      <c r="A574" s="2"/>
      <c r="B574" s="2"/>
      <c r="C574" s="433"/>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row>
    <row r="575" spans="1:66" ht="13.5" customHeight="1">
      <c r="A575" s="2"/>
      <c r="B575" s="2"/>
      <c r="C575" s="433"/>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row>
    <row r="576" spans="1:66" ht="13.5" customHeight="1">
      <c r="A576" s="2"/>
      <c r="B576" s="2"/>
      <c r="C576" s="433"/>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row>
    <row r="577" spans="1:66" ht="13.5" customHeight="1">
      <c r="A577" s="2"/>
      <c r="B577" s="2"/>
      <c r="C577" s="433"/>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row>
    <row r="578" spans="1:66" ht="13.5" customHeight="1">
      <c r="A578" s="2"/>
      <c r="B578" s="2"/>
      <c r="C578" s="433"/>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row>
    <row r="579" spans="1:66" ht="13.5" customHeight="1">
      <c r="A579" s="2"/>
      <c r="B579" s="2"/>
      <c r="C579" s="433"/>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row>
    <row r="580" spans="1:66" ht="13.5" customHeight="1">
      <c r="A580" s="2"/>
      <c r="B580" s="2"/>
      <c r="C580" s="433"/>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row>
    <row r="581" spans="1:66" ht="13.5" customHeight="1">
      <c r="A581" s="2"/>
      <c r="B581" s="2"/>
      <c r="C581" s="433"/>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row>
    <row r="582" spans="1:66" ht="13.5" customHeight="1">
      <c r="A582" s="2"/>
      <c r="B582" s="2"/>
      <c r="C582" s="433"/>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row>
    <row r="583" spans="1:66" ht="13.5" customHeight="1">
      <c r="A583" s="2"/>
      <c r="B583" s="2"/>
      <c r="C583" s="433"/>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row>
    <row r="584" spans="1:66" ht="13.5" customHeight="1">
      <c r="A584" s="2"/>
      <c r="B584" s="2"/>
      <c r="C584" s="433"/>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row>
    <row r="585" spans="1:66" ht="13.5" customHeight="1">
      <c r="A585" s="2"/>
      <c r="B585" s="2"/>
      <c r="C585" s="433"/>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row>
    <row r="586" spans="1:66" ht="13.5" customHeight="1">
      <c r="A586" s="2"/>
      <c r="B586" s="2"/>
      <c r="C586" s="433"/>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row>
    <row r="587" spans="1:66" ht="13.5" customHeight="1">
      <c r="A587" s="2"/>
      <c r="B587" s="2"/>
      <c r="C587" s="433"/>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row>
    <row r="588" spans="1:66" ht="13.5" customHeight="1">
      <c r="A588" s="2"/>
      <c r="B588" s="2"/>
      <c r="C588" s="433"/>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row>
    <row r="589" spans="1:66" ht="13.5" customHeight="1">
      <c r="A589" s="2"/>
      <c r="B589" s="2"/>
      <c r="C589" s="433"/>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row>
    <row r="590" spans="1:66" ht="13.5" customHeight="1">
      <c r="A590" s="2"/>
      <c r="B590" s="2"/>
      <c r="C590" s="433"/>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row>
    <row r="591" spans="1:66" ht="13.5" customHeight="1">
      <c r="A591" s="2"/>
      <c r="B591" s="2"/>
      <c r="C591" s="433"/>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row>
    <row r="592" spans="1:66" ht="13.5" customHeight="1">
      <c r="A592" s="2"/>
      <c r="B592" s="2"/>
      <c r="C592" s="433"/>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row>
    <row r="593" spans="1:66" ht="13.5" customHeight="1">
      <c r="A593" s="2"/>
      <c r="B593" s="2"/>
      <c r="C593" s="433"/>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row>
    <row r="594" spans="1:66" ht="13.5" customHeight="1">
      <c r="A594" s="2"/>
      <c r="B594" s="2"/>
      <c r="C594" s="433"/>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row>
    <row r="595" spans="1:66" ht="13.5" customHeight="1">
      <c r="A595" s="2"/>
      <c r="B595" s="2"/>
      <c r="C595" s="433"/>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row>
    <row r="596" spans="1:66" ht="13.5" customHeight="1">
      <c r="A596" s="2"/>
      <c r="B596" s="2"/>
      <c r="C596" s="433"/>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row>
    <row r="597" spans="1:66" ht="13.5" customHeight="1">
      <c r="A597" s="2"/>
      <c r="B597" s="2"/>
      <c r="C597" s="433"/>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row>
    <row r="598" spans="1:66" ht="13.5" customHeight="1">
      <c r="A598" s="2"/>
      <c r="B598" s="2"/>
      <c r="C598" s="433"/>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row>
    <row r="599" spans="1:66" ht="13.5" customHeight="1">
      <c r="A599" s="2"/>
      <c r="B599" s="2"/>
      <c r="C599" s="433"/>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row>
    <row r="600" spans="1:66" ht="13.5" customHeight="1">
      <c r="A600" s="2"/>
      <c r="B600" s="2"/>
      <c r="C600" s="433"/>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row>
    <row r="601" spans="1:66" ht="13.5" customHeight="1">
      <c r="A601" s="2"/>
      <c r="B601" s="2"/>
      <c r="C601" s="433"/>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row>
    <row r="602" spans="1:66" ht="13.5" customHeight="1">
      <c r="A602" s="2"/>
      <c r="B602" s="2"/>
      <c r="C602" s="433"/>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row>
    <row r="603" spans="1:66" ht="13.5" customHeight="1">
      <c r="A603" s="2"/>
      <c r="B603" s="2"/>
      <c r="C603" s="433"/>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row>
    <row r="604" spans="1:66" ht="13.5" customHeight="1">
      <c r="A604" s="2"/>
      <c r="B604" s="2"/>
      <c r="C604" s="433"/>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row>
    <row r="605" spans="1:66" ht="13.5" customHeight="1">
      <c r="A605" s="2"/>
      <c r="B605" s="2"/>
      <c r="C605" s="433"/>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row>
    <row r="606" spans="1:66" ht="13.5" customHeight="1">
      <c r="A606" s="2"/>
      <c r="B606" s="2"/>
      <c r="C606" s="433"/>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row>
    <row r="607" spans="1:66" ht="13.5" customHeight="1">
      <c r="A607" s="2"/>
      <c r="B607" s="2"/>
      <c r="C607" s="433"/>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row>
    <row r="608" spans="1:66" ht="13.5" customHeight="1">
      <c r="A608" s="2"/>
      <c r="B608" s="2"/>
      <c r="C608" s="433"/>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row>
    <row r="609" spans="1:66" ht="13.5" customHeight="1">
      <c r="A609" s="2"/>
      <c r="B609" s="2"/>
      <c r="C609" s="433"/>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row>
    <row r="610" spans="1:66" ht="13.5" customHeight="1">
      <c r="A610" s="2"/>
      <c r="B610" s="2"/>
      <c r="C610" s="433"/>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row>
    <row r="611" spans="1:66" ht="13.5" customHeight="1">
      <c r="A611" s="2"/>
      <c r="B611" s="2"/>
      <c r="C611" s="433"/>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row>
    <row r="612" spans="1:66" ht="13.5" customHeight="1">
      <c r="A612" s="2"/>
      <c r="B612" s="2"/>
      <c r="C612" s="433"/>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row>
    <row r="613" spans="1:66" ht="13.5" customHeight="1">
      <c r="A613" s="2"/>
      <c r="B613" s="2"/>
      <c r="C613" s="433"/>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row>
    <row r="614" spans="1:66" ht="13.5" customHeight="1">
      <c r="A614" s="2"/>
      <c r="B614" s="2"/>
      <c r="C614" s="433"/>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row>
    <row r="615" spans="1:66" ht="13.5" customHeight="1">
      <c r="A615" s="2"/>
      <c r="B615" s="2"/>
      <c r="C615" s="433"/>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row>
    <row r="616" spans="1:66" ht="13.5" customHeight="1">
      <c r="A616" s="2"/>
      <c r="B616" s="2"/>
      <c r="C616" s="433"/>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row>
    <row r="617" spans="1:66" ht="13.5" customHeight="1">
      <c r="A617" s="2"/>
      <c r="B617" s="2"/>
      <c r="C617" s="433"/>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row>
    <row r="618" spans="1:66" ht="13.5" customHeight="1">
      <c r="A618" s="2"/>
      <c r="B618" s="2"/>
      <c r="C618" s="433"/>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row>
    <row r="619" spans="1:66" ht="13.5" customHeight="1">
      <c r="A619" s="2"/>
      <c r="B619" s="2"/>
      <c r="C619" s="433"/>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row>
    <row r="620" spans="1:66" ht="13.5" customHeight="1">
      <c r="A620" s="2"/>
      <c r="B620" s="2"/>
      <c r="C620" s="433"/>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row>
    <row r="621" spans="1:66" ht="13.5" customHeight="1">
      <c r="A621" s="2"/>
      <c r="B621" s="2"/>
      <c r="C621" s="433"/>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row>
    <row r="622" spans="1:66" ht="13.5" customHeight="1">
      <c r="A622" s="2"/>
      <c r="B622" s="2"/>
      <c r="C622" s="433"/>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row>
    <row r="623" spans="1:66" ht="13.5" customHeight="1">
      <c r="A623" s="2"/>
      <c r="B623" s="2"/>
      <c r="C623" s="433"/>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row>
    <row r="624" spans="1:66" ht="13.5" customHeight="1">
      <c r="A624" s="2"/>
      <c r="B624" s="2"/>
      <c r="C624" s="433"/>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row>
    <row r="625" spans="1:66" ht="13.5" customHeight="1">
      <c r="A625" s="2"/>
      <c r="B625" s="2"/>
      <c r="C625" s="433"/>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row>
    <row r="626" spans="1:66" ht="13.5" customHeight="1">
      <c r="A626" s="2"/>
      <c r="B626" s="2"/>
      <c r="C626" s="433"/>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row>
    <row r="627" spans="1:66" ht="13.5" customHeight="1">
      <c r="A627" s="2"/>
      <c r="B627" s="2"/>
      <c r="C627" s="433"/>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row>
    <row r="628" spans="1:66" ht="13.5" customHeight="1">
      <c r="A628" s="2"/>
      <c r="B628" s="2"/>
      <c r="C628" s="433"/>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row>
    <row r="629" spans="1:66" ht="13.5" customHeight="1">
      <c r="A629" s="2"/>
      <c r="B629" s="2"/>
      <c r="C629" s="433"/>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row>
    <row r="630" spans="1:66" ht="13.5" customHeight="1">
      <c r="A630" s="2"/>
      <c r="B630" s="2"/>
      <c r="C630" s="433"/>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row>
    <row r="631" spans="1:66" ht="13.5" customHeight="1">
      <c r="A631" s="2"/>
      <c r="B631" s="2"/>
      <c r="C631" s="433"/>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row>
    <row r="632" spans="1:66" ht="13.5" customHeight="1">
      <c r="A632" s="2"/>
      <c r="B632" s="2"/>
      <c r="C632" s="433"/>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row>
    <row r="633" spans="1:66" ht="13.5" customHeight="1">
      <c r="A633" s="2"/>
      <c r="B633" s="2"/>
      <c r="C633" s="433"/>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row>
    <row r="634" spans="1:66" ht="13.5" customHeight="1">
      <c r="A634" s="2"/>
      <c r="B634" s="2"/>
      <c r="C634" s="433"/>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row>
    <row r="635" spans="1:66" ht="13.5" customHeight="1">
      <c r="A635" s="2"/>
      <c r="B635" s="2"/>
      <c r="C635" s="433"/>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row>
    <row r="636" spans="1:66" ht="13.5" customHeight="1">
      <c r="A636" s="2"/>
      <c r="B636" s="2"/>
      <c r="C636" s="433"/>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row>
    <row r="637" spans="1:66" ht="13.5" customHeight="1">
      <c r="A637" s="2"/>
      <c r="B637" s="2"/>
      <c r="C637" s="433"/>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row>
    <row r="638" spans="1:66" ht="13.5" customHeight="1">
      <c r="A638" s="2"/>
      <c r="B638" s="2"/>
      <c r="C638" s="433"/>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row>
    <row r="639" spans="1:66" ht="13.5" customHeight="1">
      <c r="A639" s="2"/>
      <c r="B639" s="2"/>
      <c r="C639" s="433"/>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row>
    <row r="640" spans="1:66" ht="13.5" customHeight="1">
      <c r="A640" s="2"/>
      <c r="B640" s="2"/>
      <c r="C640" s="433"/>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row>
    <row r="641" spans="1:66" ht="13.5" customHeight="1">
      <c r="A641" s="2"/>
      <c r="B641" s="2"/>
      <c r="C641" s="433"/>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row>
    <row r="642" spans="1:66" ht="13.5" customHeight="1">
      <c r="A642" s="2"/>
      <c r="B642" s="2"/>
      <c r="C642" s="433"/>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row>
    <row r="643" spans="1:66" ht="13.5" customHeight="1">
      <c r="A643" s="2"/>
      <c r="B643" s="2"/>
      <c r="C643" s="433"/>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row>
    <row r="644" spans="1:66" ht="13.5" customHeight="1">
      <c r="A644" s="2"/>
      <c r="B644" s="2"/>
      <c r="C644" s="433"/>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row>
    <row r="645" spans="1:66" ht="13.5" customHeight="1">
      <c r="A645" s="2"/>
      <c r="B645" s="2"/>
      <c r="C645" s="433"/>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row>
    <row r="646" spans="1:66" ht="13.5" customHeight="1">
      <c r="A646" s="2"/>
      <c r="B646" s="2"/>
      <c r="C646" s="433"/>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row>
    <row r="647" spans="1:66" ht="13.5" customHeight="1">
      <c r="A647" s="2"/>
      <c r="B647" s="2"/>
      <c r="C647" s="433"/>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row>
    <row r="648" spans="1:66" ht="13.5" customHeight="1">
      <c r="A648" s="2"/>
      <c r="B648" s="2"/>
      <c r="C648" s="433"/>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row>
    <row r="649" spans="1:66" ht="13.5" customHeight="1">
      <c r="A649" s="2"/>
      <c r="B649" s="2"/>
      <c r="C649" s="433"/>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row>
    <row r="650" spans="1:66" ht="13.5" customHeight="1">
      <c r="A650" s="2"/>
      <c r="B650" s="2"/>
      <c r="C650" s="433"/>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row>
    <row r="651" spans="1:66" ht="13.5" customHeight="1">
      <c r="A651" s="2"/>
      <c r="B651" s="2"/>
      <c r="C651" s="433"/>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row>
    <row r="652" spans="1:66" ht="13.5" customHeight="1">
      <c r="A652" s="2"/>
      <c r="B652" s="2"/>
      <c r="C652" s="433"/>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row>
    <row r="653" spans="1:66" ht="13.5" customHeight="1">
      <c r="A653" s="2"/>
      <c r="B653" s="2"/>
      <c r="C653" s="433"/>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row>
    <row r="654" spans="1:66" ht="13.5" customHeight="1">
      <c r="A654" s="2"/>
      <c r="B654" s="2"/>
      <c r="C654" s="433"/>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row>
    <row r="655" spans="1:66" ht="13.5" customHeight="1">
      <c r="A655" s="2"/>
      <c r="B655" s="2"/>
      <c r="C655" s="433"/>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row>
    <row r="656" spans="1:66" ht="13.5" customHeight="1">
      <c r="A656" s="2"/>
      <c r="B656" s="2"/>
      <c r="C656" s="433"/>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row>
    <row r="657" spans="1:66" ht="13.5" customHeight="1">
      <c r="A657" s="2"/>
      <c r="B657" s="2"/>
      <c r="C657" s="433"/>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row>
    <row r="658" spans="1:66" ht="13.5" customHeight="1">
      <c r="A658" s="2"/>
      <c r="B658" s="2"/>
      <c r="C658" s="433"/>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row>
    <row r="659" spans="1:66" ht="13.5" customHeight="1">
      <c r="A659" s="2"/>
      <c r="B659" s="2"/>
      <c r="C659" s="433"/>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row>
    <row r="660" spans="1:66" ht="13.5" customHeight="1">
      <c r="A660" s="2"/>
      <c r="B660" s="2"/>
      <c r="C660" s="433"/>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row>
    <row r="661" spans="1:66" ht="13.5" customHeight="1">
      <c r="A661" s="2"/>
      <c r="B661" s="2"/>
      <c r="C661" s="433"/>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row>
    <row r="662" spans="1:66" ht="13.5" customHeight="1">
      <c r="A662" s="2"/>
      <c r="B662" s="2"/>
      <c r="C662" s="433"/>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row>
    <row r="663" spans="1:66" ht="13.5" customHeight="1">
      <c r="A663" s="2"/>
      <c r="B663" s="2"/>
      <c r="C663" s="433"/>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row>
    <row r="664" spans="1:66" ht="13.5" customHeight="1">
      <c r="A664" s="2"/>
      <c r="B664" s="2"/>
      <c r="C664" s="433"/>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row>
    <row r="665" spans="1:66" ht="13.5" customHeight="1">
      <c r="A665" s="2"/>
      <c r="B665" s="2"/>
      <c r="C665" s="433"/>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row>
    <row r="666" spans="1:66" ht="13.5" customHeight="1">
      <c r="A666" s="2"/>
      <c r="B666" s="2"/>
      <c r="C666" s="433"/>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row>
    <row r="667" spans="1:66" ht="13.5" customHeight="1">
      <c r="A667" s="2"/>
      <c r="B667" s="2"/>
      <c r="C667" s="433"/>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row>
    <row r="668" spans="1:66" ht="13.5" customHeight="1">
      <c r="A668" s="2"/>
      <c r="B668" s="2"/>
      <c r="C668" s="433"/>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row>
    <row r="669" spans="1:66" ht="13.5" customHeight="1">
      <c r="A669" s="2"/>
      <c r="B669" s="2"/>
      <c r="C669" s="433"/>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row>
    <row r="670" spans="1:66" ht="13.5" customHeight="1">
      <c r="A670" s="2"/>
      <c r="B670" s="2"/>
      <c r="C670" s="433"/>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row>
    <row r="671" spans="1:66" ht="13.5" customHeight="1">
      <c r="A671" s="2"/>
      <c r="B671" s="2"/>
      <c r="C671" s="433"/>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row>
    <row r="672" spans="1:66" ht="13.5" customHeight="1">
      <c r="A672" s="2"/>
      <c r="B672" s="2"/>
      <c r="C672" s="433"/>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row>
    <row r="673" spans="1:66" ht="13.5" customHeight="1">
      <c r="A673" s="2"/>
      <c r="B673" s="2"/>
      <c r="C673" s="433"/>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row>
    <row r="674" spans="1:66" ht="13.5" customHeight="1">
      <c r="A674" s="2"/>
      <c r="B674" s="2"/>
      <c r="C674" s="433"/>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row>
    <row r="675" spans="1:66" ht="13.5" customHeight="1">
      <c r="A675" s="2"/>
      <c r="B675" s="2"/>
      <c r="C675" s="433"/>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row>
    <row r="676" spans="1:66" ht="13.5" customHeight="1">
      <c r="A676" s="2"/>
      <c r="B676" s="2"/>
      <c r="C676" s="433"/>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row>
    <row r="677" spans="1:66" ht="13.5" customHeight="1">
      <c r="A677" s="2"/>
      <c r="B677" s="2"/>
      <c r="C677" s="433"/>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row>
    <row r="678" spans="1:66" ht="13.5" customHeight="1">
      <c r="A678" s="2"/>
      <c r="B678" s="2"/>
      <c r="C678" s="433"/>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row>
    <row r="679" spans="1:66" ht="13.5" customHeight="1">
      <c r="A679" s="2"/>
      <c r="B679" s="2"/>
      <c r="C679" s="433"/>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row>
    <row r="680" spans="1:66" ht="13.5" customHeight="1">
      <c r="A680" s="2"/>
      <c r="B680" s="2"/>
      <c r="C680" s="433"/>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row>
    <row r="681" spans="1:66" ht="13.5" customHeight="1">
      <c r="A681" s="2"/>
      <c r="B681" s="2"/>
      <c r="C681" s="433"/>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row>
    <row r="682" spans="1:66" ht="13.5" customHeight="1">
      <c r="A682" s="2"/>
      <c r="B682" s="2"/>
      <c r="C682" s="433"/>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row>
    <row r="683" spans="1:66" ht="13.5" customHeight="1">
      <c r="A683" s="2"/>
      <c r="B683" s="2"/>
      <c r="C683" s="433"/>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row>
    <row r="684" spans="1:66" ht="13.5" customHeight="1">
      <c r="A684" s="2"/>
      <c r="B684" s="2"/>
      <c r="C684" s="433"/>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row>
    <row r="685" spans="1:66" ht="13.5" customHeight="1">
      <c r="A685" s="2"/>
      <c r="B685" s="2"/>
      <c r="C685" s="433"/>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row>
    <row r="686" spans="1:66" ht="13.5" customHeight="1">
      <c r="A686" s="2"/>
      <c r="B686" s="2"/>
      <c r="C686" s="433"/>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row>
    <row r="687" spans="1:66" ht="13.5" customHeight="1">
      <c r="A687" s="2"/>
      <c r="B687" s="2"/>
      <c r="C687" s="433"/>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row>
    <row r="688" spans="1:66" ht="13.5" customHeight="1">
      <c r="A688" s="2"/>
      <c r="B688" s="2"/>
      <c r="C688" s="433"/>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row>
    <row r="689" spans="1:66" ht="13.5" customHeight="1">
      <c r="A689" s="2"/>
      <c r="B689" s="2"/>
      <c r="C689" s="433"/>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row>
    <row r="690" spans="1:66" ht="13.5" customHeight="1">
      <c r="A690" s="2"/>
      <c r="B690" s="2"/>
      <c r="C690" s="433"/>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row>
    <row r="691" spans="1:66" ht="13.5" customHeight="1">
      <c r="A691" s="2"/>
      <c r="B691" s="2"/>
      <c r="C691" s="433"/>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row>
    <row r="692" spans="1:66" ht="13.5" customHeight="1">
      <c r="A692" s="2"/>
      <c r="B692" s="2"/>
      <c r="C692" s="433"/>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row>
    <row r="693" spans="1:66" ht="13.5" customHeight="1">
      <c r="A693" s="2"/>
      <c r="B693" s="2"/>
      <c r="C693" s="433"/>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row>
    <row r="694" spans="1:66" ht="13.5" customHeight="1">
      <c r="A694" s="2"/>
      <c r="B694" s="2"/>
      <c r="C694" s="433"/>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row>
    <row r="695" spans="1:66" ht="13.5" customHeight="1">
      <c r="A695" s="2"/>
      <c r="B695" s="2"/>
      <c r="C695" s="433"/>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row>
    <row r="696" spans="1:66" ht="13.5" customHeight="1">
      <c r="A696" s="2"/>
      <c r="B696" s="2"/>
      <c r="C696" s="433"/>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row>
    <row r="697" spans="1:66" ht="13.5" customHeight="1">
      <c r="A697" s="2"/>
      <c r="B697" s="2"/>
      <c r="C697" s="433"/>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row>
    <row r="698" spans="1:66" ht="13.5" customHeight="1">
      <c r="A698" s="2"/>
      <c r="B698" s="2"/>
      <c r="C698" s="433"/>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row>
    <row r="699" spans="1:66" ht="13.5" customHeight="1">
      <c r="A699" s="2"/>
      <c r="B699" s="2"/>
      <c r="C699" s="433"/>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row>
    <row r="700" spans="1:66" ht="13.5" customHeight="1">
      <c r="A700" s="2"/>
      <c r="B700" s="2"/>
      <c r="C700" s="433"/>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row>
    <row r="701" spans="1:66" ht="13.5" customHeight="1">
      <c r="A701" s="2"/>
      <c r="B701" s="2"/>
      <c r="C701" s="433"/>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row>
    <row r="702" spans="1:66" ht="13.5" customHeight="1">
      <c r="A702" s="2"/>
      <c r="B702" s="2"/>
      <c r="C702" s="433"/>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row>
    <row r="703" spans="1:66" ht="13.5" customHeight="1">
      <c r="A703" s="2"/>
      <c r="B703" s="2"/>
      <c r="C703" s="433"/>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row>
    <row r="704" spans="1:66" ht="13.5" customHeight="1">
      <c r="A704" s="2"/>
      <c r="B704" s="2"/>
      <c r="C704" s="433"/>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row>
    <row r="705" spans="1:66" ht="13.5" customHeight="1">
      <c r="A705" s="2"/>
      <c r="B705" s="2"/>
      <c r="C705" s="433"/>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row>
    <row r="706" spans="1:66" ht="13.5" customHeight="1">
      <c r="A706" s="2"/>
      <c r="B706" s="2"/>
      <c r="C706" s="433"/>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row>
    <row r="707" spans="1:66" ht="13.5" customHeight="1">
      <c r="A707" s="2"/>
      <c r="B707" s="2"/>
      <c r="C707" s="433"/>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row>
    <row r="708" spans="1:66" ht="13.5" customHeight="1">
      <c r="A708" s="2"/>
      <c r="B708" s="2"/>
      <c r="C708" s="433"/>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row>
    <row r="709" spans="1:66" ht="13.5" customHeight="1">
      <c r="A709" s="2"/>
      <c r="B709" s="2"/>
      <c r="C709" s="433"/>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row>
    <row r="710" spans="1:66" ht="13.5" customHeight="1">
      <c r="A710" s="2"/>
      <c r="B710" s="2"/>
      <c r="C710" s="433"/>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row>
    <row r="711" spans="1:66" ht="13.5" customHeight="1">
      <c r="A711" s="2"/>
      <c r="B711" s="2"/>
      <c r="C711" s="433"/>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row>
    <row r="712" spans="1:66" ht="13.5" customHeight="1">
      <c r="A712" s="2"/>
      <c r="B712" s="2"/>
      <c r="C712" s="433"/>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row>
    <row r="713" spans="1:66" ht="13.5" customHeight="1">
      <c r="A713" s="2"/>
      <c r="B713" s="2"/>
      <c r="C713" s="433"/>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row>
    <row r="714" spans="1:66" ht="13.5" customHeight="1">
      <c r="A714" s="2"/>
      <c r="B714" s="2"/>
      <c r="C714" s="433"/>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row>
    <row r="715" spans="1:66" ht="13.5" customHeight="1">
      <c r="A715" s="2"/>
      <c r="B715" s="2"/>
      <c r="C715" s="433"/>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row>
    <row r="716" spans="1:66" ht="13.5" customHeight="1">
      <c r="A716" s="2"/>
      <c r="B716" s="2"/>
      <c r="C716" s="433"/>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row>
    <row r="717" spans="1:66" ht="13.5" customHeight="1">
      <c r="A717" s="2"/>
      <c r="B717" s="2"/>
      <c r="C717" s="433"/>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row>
    <row r="718" spans="1:66" ht="13.5" customHeight="1">
      <c r="A718" s="2"/>
      <c r="B718" s="2"/>
      <c r="C718" s="433"/>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row>
    <row r="719" spans="1:66" ht="13.5" customHeight="1">
      <c r="A719" s="2"/>
      <c r="B719" s="2"/>
      <c r="C719" s="433"/>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row>
    <row r="720" spans="1:66" ht="13.5" customHeight="1">
      <c r="A720" s="2"/>
      <c r="B720" s="2"/>
      <c r="C720" s="433"/>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row>
    <row r="721" spans="1:66" ht="13.5" customHeight="1">
      <c r="A721" s="2"/>
      <c r="B721" s="2"/>
      <c r="C721" s="433"/>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row>
    <row r="722" spans="1:66" ht="13.5" customHeight="1">
      <c r="A722" s="2"/>
      <c r="B722" s="2"/>
      <c r="C722" s="433"/>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row>
    <row r="723" spans="1:66" ht="13.5" customHeight="1">
      <c r="A723" s="2"/>
      <c r="B723" s="2"/>
      <c r="C723" s="433"/>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row>
    <row r="724" spans="1:66" ht="13.5" customHeight="1">
      <c r="A724" s="2"/>
      <c r="B724" s="2"/>
      <c r="C724" s="433"/>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row>
    <row r="725" spans="1:66" ht="13.5" customHeight="1">
      <c r="A725" s="2"/>
      <c r="B725" s="2"/>
      <c r="C725" s="433"/>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row>
    <row r="726" spans="1:66" ht="13.5" customHeight="1">
      <c r="A726" s="2"/>
      <c r="B726" s="2"/>
      <c r="C726" s="433"/>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row>
    <row r="727" spans="1:66" ht="13.5" customHeight="1">
      <c r="A727" s="2"/>
      <c r="B727" s="2"/>
      <c r="C727" s="433"/>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row>
    <row r="728" spans="1:66" ht="13.5" customHeight="1">
      <c r="A728" s="2"/>
      <c r="B728" s="2"/>
      <c r="C728" s="433"/>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row>
    <row r="729" spans="1:66" ht="13.5" customHeight="1">
      <c r="A729" s="2"/>
      <c r="B729" s="2"/>
      <c r="C729" s="433"/>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row>
    <row r="730" spans="1:66" ht="13.5" customHeight="1">
      <c r="A730" s="2"/>
      <c r="B730" s="2"/>
      <c r="C730" s="433"/>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row>
    <row r="731" spans="1:66" ht="13.5" customHeight="1">
      <c r="A731" s="2"/>
      <c r="B731" s="2"/>
      <c r="C731" s="433"/>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row>
    <row r="732" spans="1:66" ht="13.5" customHeight="1">
      <c r="A732" s="2"/>
      <c r="B732" s="2"/>
      <c r="C732" s="433"/>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row>
    <row r="733" spans="1:66" ht="13.5" customHeight="1">
      <c r="A733" s="2"/>
      <c r="B733" s="2"/>
      <c r="C733" s="433"/>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row>
    <row r="734" spans="1:66" ht="13.5" customHeight="1">
      <c r="A734" s="2"/>
      <c r="B734" s="2"/>
      <c r="C734" s="433"/>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row>
    <row r="735" spans="1:66" ht="13.5" customHeight="1">
      <c r="A735" s="2"/>
      <c r="B735" s="2"/>
      <c r="C735" s="433"/>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row>
    <row r="736" spans="1:66" ht="13.5" customHeight="1">
      <c r="A736" s="2"/>
      <c r="B736" s="2"/>
      <c r="C736" s="433"/>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row>
    <row r="737" spans="1:66" ht="13.5" customHeight="1">
      <c r="A737" s="2"/>
      <c r="B737" s="2"/>
      <c r="C737" s="433"/>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row>
    <row r="738" spans="1:66" ht="13.5" customHeight="1">
      <c r="A738" s="2"/>
      <c r="B738" s="2"/>
      <c r="C738" s="433"/>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row>
    <row r="739" spans="1:66" ht="13.5" customHeight="1">
      <c r="A739" s="2"/>
      <c r="B739" s="2"/>
      <c r="C739" s="433"/>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row>
    <row r="740" spans="1:66" ht="13.5" customHeight="1">
      <c r="A740" s="2"/>
      <c r="B740" s="2"/>
      <c r="C740" s="433"/>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row>
    <row r="741" spans="1:66" ht="13.5" customHeight="1">
      <c r="A741" s="2"/>
      <c r="B741" s="2"/>
      <c r="C741" s="433"/>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row>
    <row r="742" spans="1:66" ht="13.5" customHeight="1">
      <c r="A742" s="2"/>
      <c r="B742" s="2"/>
      <c r="C742" s="433"/>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row>
    <row r="743" spans="1:66" ht="13.5" customHeight="1">
      <c r="A743" s="2"/>
      <c r="B743" s="2"/>
      <c r="C743" s="433"/>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row>
    <row r="744" spans="1:66" ht="13.5" customHeight="1">
      <c r="A744" s="2"/>
      <c r="B744" s="2"/>
      <c r="C744" s="433"/>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row>
    <row r="745" spans="1:66" ht="13.5" customHeight="1">
      <c r="A745" s="2"/>
      <c r="B745" s="2"/>
      <c r="C745" s="433"/>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row>
    <row r="746" spans="1:66" ht="13.5" customHeight="1">
      <c r="A746" s="2"/>
      <c r="B746" s="2"/>
      <c r="C746" s="433"/>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row>
    <row r="747" spans="1:66" ht="13.5" customHeight="1">
      <c r="A747" s="2"/>
      <c r="B747" s="2"/>
      <c r="C747" s="433"/>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row>
    <row r="748" spans="1:66" ht="13.5" customHeight="1">
      <c r="A748" s="2"/>
      <c r="B748" s="2"/>
      <c r="C748" s="433"/>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row>
    <row r="749" spans="1:66" ht="13.5" customHeight="1">
      <c r="A749" s="2"/>
      <c r="B749" s="2"/>
      <c r="C749" s="433"/>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row>
    <row r="750" spans="1:66" ht="13.5" customHeight="1">
      <c r="A750" s="2"/>
      <c r="B750" s="2"/>
      <c r="C750" s="433"/>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row>
    <row r="751" spans="1:66" ht="13.5" customHeight="1">
      <c r="A751" s="2"/>
      <c r="B751" s="2"/>
      <c r="C751" s="433"/>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row>
    <row r="752" spans="1:66" ht="13.5" customHeight="1">
      <c r="A752" s="2"/>
      <c r="B752" s="2"/>
      <c r="C752" s="433"/>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row>
    <row r="753" spans="1:66" ht="13.5" customHeight="1">
      <c r="A753" s="2"/>
      <c r="B753" s="2"/>
      <c r="C753" s="433"/>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row>
    <row r="754" spans="1:66" ht="13.5" customHeight="1">
      <c r="A754" s="2"/>
      <c r="B754" s="2"/>
      <c r="C754" s="433"/>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row>
    <row r="755" spans="1:66" ht="13.5" customHeight="1">
      <c r="A755" s="2"/>
      <c r="B755" s="2"/>
      <c r="C755" s="433"/>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row>
    <row r="756" spans="1:66" ht="13.5" customHeight="1">
      <c r="A756" s="2"/>
      <c r="B756" s="2"/>
      <c r="C756" s="433"/>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row>
    <row r="757" spans="1:66" ht="13.5" customHeight="1">
      <c r="A757" s="2"/>
      <c r="B757" s="2"/>
      <c r="C757" s="433"/>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row>
    <row r="758" spans="1:66" ht="13.5" customHeight="1">
      <c r="A758" s="2"/>
      <c r="B758" s="2"/>
      <c r="C758" s="433"/>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row>
    <row r="759" spans="1:66" ht="13.5" customHeight="1">
      <c r="A759" s="2"/>
      <c r="B759" s="2"/>
      <c r="C759" s="433"/>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row>
    <row r="760" spans="1:66" ht="13.5" customHeight="1">
      <c r="A760" s="2"/>
      <c r="B760" s="2"/>
      <c r="C760" s="433"/>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row>
    <row r="761" spans="1:66" ht="13.5" customHeight="1">
      <c r="A761" s="2"/>
      <c r="B761" s="2"/>
      <c r="C761" s="433"/>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row>
    <row r="762" spans="1:66" ht="13.5" customHeight="1">
      <c r="A762" s="2"/>
      <c r="B762" s="2"/>
      <c r="C762" s="433"/>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row>
    <row r="763" spans="1:66" ht="13.5" customHeight="1">
      <c r="A763" s="2"/>
      <c r="B763" s="2"/>
      <c r="C763" s="433"/>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row>
    <row r="764" spans="1:66" ht="13.5" customHeight="1">
      <c r="A764" s="2"/>
      <c r="B764" s="2"/>
      <c r="C764" s="433"/>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row>
    <row r="765" spans="1:66" ht="13.5" customHeight="1">
      <c r="A765" s="2"/>
      <c r="B765" s="2"/>
      <c r="C765" s="433"/>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row>
    <row r="766" spans="1:66" ht="13.5" customHeight="1">
      <c r="A766" s="2"/>
      <c r="B766" s="2"/>
      <c r="C766" s="433"/>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row>
    <row r="767" spans="1:66" ht="13.5" customHeight="1">
      <c r="A767" s="2"/>
      <c r="B767" s="2"/>
      <c r="C767" s="433"/>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row>
    <row r="768" spans="1:66" ht="13.5" customHeight="1">
      <c r="A768" s="2"/>
      <c r="B768" s="2"/>
      <c r="C768" s="433"/>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row>
    <row r="769" spans="1:66" ht="13.5" customHeight="1">
      <c r="A769" s="2"/>
      <c r="B769" s="2"/>
      <c r="C769" s="433"/>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row>
    <row r="770" spans="1:66" ht="13.5" customHeight="1">
      <c r="A770" s="2"/>
      <c r="B770" s="2"/>
      <c r="C770" s="433"/>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row>
    <row r="771" spans="1:66" ht="13.5" customHeight="1">
      <c r="A771" s="2"/>
      <c r="B771" s="2"/>
      <c r="C771" s="433"/>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row>
    <row r="772" spans="1:66" ht="13.5" customHeight="1">
      <c r="A772" s="2"/>
      <c r="B772" s="2"/>
      <c r="C772" s="433"/>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row>
    <row r="773" spans="1:66" ht="13.5" customHeight="1">
      <c r="A773" s="2"/>
      <c r="B773" s="2"/>
      <c r="C773" s="433"/>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row>
    <row r="774" spans="1:66" ht="13.5" customHeight="1">
      <c r="A774" s="2"/>
      <c r="B774" s="2"/>
      <c r="C774" s="433"/>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row>
    <row r="775" spans="1:66" ht="13.5" customHeight="1">
      <c r="A775" s="2"/>
      <c r="B775" s="2"/>
      <c r="C775" s="433"/>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row>
    <row r="776" spans="1:66" ht="13.5" customHeight="1">
      <c r="A776" s="2"/>
      <c r="B776" s="2"/>
      <c r="C776" s="433"/>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row>
    <row r="777" spans="1:66" ht="13.5" customHeight="1">
      <c r="A777" s="2"/>
      <c r="B777" s="2"/>
      <c r="C777" s="433"/>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row>
    <row r="778" spans="1:66" ht="13.5" customHeight="1">
      <c r="A778" s="2"/>
      <c r="B778" s="2"/>
      <c r="C778" s="433"/>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row>
    <row r="779" spans="1:66" ht="13.5" customHeight="1">
      <c r="A779" s="2"/>
      <c r="B779" s="2"/>
      <c r="C779" s="433"/>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row>
    <row r="780" spans="1:66" ht="13.5" customHeight="1">
      <c r="A780" s="2"/>
      <c r="B780" s="2"/>
      <c r="C780" s="433"/>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row>
    <row r="781" spans="1:66" ht="13.5" customHeight="1">
      <c r="A781" s="2"/>
      <c r="B781" s="2"/>
      <c r="C781" s="433"/>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row>
    <row r="782" spans="1:66" ht="13.5" customHeight="1">
      <c r="A782" s="2"/>
      <c r="B782" s="2"/>
      <c r="C782" s="433"/>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row>
    <row r="783" spans="1:66" ht="13.5" customHeight="1">
      <c r="A783" s="2"/>
      <c r="B783" s="2"/>
      <c r="C783" s="433"/>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row>
    <row r="784" spans="1:66" ht="13.5" customHeight="1">
      <c r="A784" s="2"/>
      <c r="B784" s="2"/>
      <c r="C784" s="433"/>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row>
    <row r="785" spans="1:66" ht="13.5" customHeight="1">
      <c r="A785" s="2"/>
      <c r="B785" s="2"/>
      <c r="C785" s="433"/>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row>
    <row r="786" spans="1:66" ht="13.5" customHeight="1">
      <c r="A786" s="2"/>
      <c r="B786" s="2"/>
      <c r="C786" s="433"/>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row>
    <row r="787" spans="1:66" ht="13.5" customHeight="1">
      <c r="A787" s="2"/>
      <c r="B787" s="2"/>
      <c r="C787" s="433"/>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row>
    <row r="788" spans="1:66" ht="13.5" customHeight="1">
      <c r="A788" s="2"/>
      <c r="B788" s="2"/>
      <c r="C788" s="433"/>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row>
    <row r="789" spans="1:66" ht="13.5" customHeight="1">
      <c r="A789" s="2"/>
      <c r="B789" s="2"/>
      <c r="C789" s="433"/>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row>
    <row r="790" spans="1:66" ht="13.5" customHeight="1">
      <c r="A790" s="2"/>
      <c r="B790" s="2"/>
      <c r="C790" s="433"/>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row>
    <row r="791" spans="1:66" ht="13.5" customHeight="1">
      <c r="A791" s="2"/>
      <c r="B791" s="2"/>
      <c r="C791" s="433"/>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row>
    <row r="792" spans="1:66" ht="13.5" customHeight="1">
      <c r="A792" s="2"/>
      <c r="B792" s="2"/>
      <c r="C792" s="433"/>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row>
    <row r="793" spans="1:66" ht="13.5" customHeight="1">
      <c r="A793" s="2"/>
      <c r="B793" s="2"/>
      <c r="C793" s="433"/>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row>
    <row r="794" spans="1:66" ht="13.5" customHeight="1">
      <c r="A794" s="2"/>
      <c r="B794" s="2"/>
      <c r="C794" s="433"/>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row>
    <row r="795" spans="1:66" ht="13.5" customHeight="1">
      <c r="A795" s="2"/>
      <c r="B795" s="2"/>
      <c r="C795" s="433"/>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row>
    <row r="796" spans="1:66" ht="13.5" customHeight="1">
      <c r="A796" s="2"/>
      <c r="B796" s="2"/>
      <c r="C796" s="433"/>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row>
    <row r="797" spans="1:66" ht="13.5" customHeight="1">
      <c r="A797" s="2"/>
      <c r="B797" s="2"/>
      <c r="C797" s="433"/>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row>
    <row r="798" spans="1:66" ht="13.5" customHeight="1">
      <c r="A798" s="2"/>
      <c r="B798" s="2"/>
      <c r="C798" s="433"/>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row>
    <row r="799" spans="1:66" ht="13.5" customHeight="1">
      <c r="A799" s="2"/>
      <c r="B799" s="2"/>
      <c r="C799" s="433"/>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row>
    <row r="800" spans="1:66" ht="13.5" customHeight="1">
      <c r="A800" s="2"/>
      <c r="B800" s="2"/>
      <c r="C800" s="433"/>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row>
    <row r="801" spans="1:66" ht="13.5" customHeight="1">
      <c r="A801" s="2"/>
      <c r="B801" s="2"/>
      <c r="C801" s="433"/>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row>
    <row r="802" spans="1:66" ht="13.5" customHeight="1">
      <c r="A802" s="2"/>
      <c r="B802" s="2"/>
      <c r="C802" s="433"/>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row>
    <row r="803" spans="1:66" ht="13.5" customHeight="1">
      <c r="A803" s="2"/>
      <c r="B803" s="2"/>
      <c r="C803" s="433"/>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row>
    <row r="804" spans="1:66" ht="13.5" customHeight="1">
      <c r="A804" s="2"/>
      <c r="B804" s="2"/>
      <c r="C804" s="433"/>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row>
    <row r="805" spans="1:66" ht="13.5" customHeight="1">
      <c r="A805" s="2"/>
      <c r="B805" s="2"/>
      <c r="C805" s="433"/>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row>
    <row r="806" spans="1:66" ht="13.5" customHeight="1">
      <c r="A806" s="2"/>
      <c r="B806" s="2"/>
      <c r="C806" s="433"/>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row>
    <row r="807" spans="1:66" ht="13.5" customHeight="1">
      <c r="A807" s="2"/>
      <c r="B807" s="2"/>
      <c r="C807" s="433"/>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row>
    <row r="808" spans="1:66" ht="13.5" customHeight="1">
      <c r="A808" s="2"/>
      <c r="B808" s="2"/>
      <c r="C808" s="433"/>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row>
    <row r="809" spans="1:66" ht="13.5" customHeight="1">
      <c r="A809" s="2"/>
      <c r="B809" s="2"/>
      <c r="C809" s="433"/>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row>
    <row r="810" spans="1:66" ht="13.5" customHeight="1">
      <c r="A810" s="2"/>
      <c r="B810" s="2"/>
      <c r="C810" s="433"/>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row>
    <row r="811" spans="1:66" ht="13.5" customHeight="1">
      <c r="A811" s="2"/>
      <c r="B811" s="2"/>
      <c r="C811" s="433"/>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row>
    <row r="812" spans="1:66" ht="13.5" customHeight="1">
      <c r="A812" s="2"/>
      <c r="B812" s="2"/>
      <c r="C812" s="433"/>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row>
    <row r="813" spans="1:66" ht="13.5" customHeight="1">
      <c r="A813" s="2"/>
      <c r="B813" s="2"/>
      <c r="C813" s="433"/>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row>
    <row r="814" spans="1:66" ht="13.5" customHeight="1">
      <c r="A814" s="2"/>
      <c r="B814" s="2"/>
      <c r="C814" s="433"/>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row>
    <row r="815" spans="1:66" ht="13.5" customHeight="1">
      <c r="A815" s="2"/>
      <c r="B815" s="2"/>
      <c r="C815" s="433"/>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row>
    <row r="816" spans="1:66" ht="13.5" customHeight="1">
      <c r="A816" s="2"/>
      <c r="B816" s="2"/>
      <c r="C816" s="433"/>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row>
    <row r="817" spans="1:66" ht="13.5" customHeight="1">
      <c r="A817" s="2"/>
      <c r="B817" s="2"/>
      <c r="C817" s="433"/>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row>
    <row r="818" spans="1:66" ht="13.5" customHeight="1">
      <c r="A818" s="2"/>
      <c r="B818" s="2"/>
      <c r="C818" s="433"/>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row>
    <row r="819" spans="1:66" ht="13.5" customHeight="1">
      <c r="A819" s="2"/>
      <c r="B819" s="2"/>
      <c r="C819" s="433"/>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row>
    <row r="820" spans="1:66" ht="13.5" customHeight="1">
      <c r="A820" s="2"/>
      <c r="B820" s="2"/>
      <c r="C820" s="433"/>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row>
    <row r="821" spans="1:66" ht="13.5" customHeight="1">
      <c r="A821" s="2"/>
      <c r="B821" s="2"/>
      <c r="C821" s="433"/>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row>
    <row r="822" spans="1:66" ht="13.5" customHeight="1">
      <c r="A822" s="2"/>
      <c r="B822" s="2"/>
      <c r="C822" s="433"/>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row>
    <row r="823" spans="1:66" ht="13.5" customHeight="1">
      <c r="A823" s="2"/>
      <c r="B823" s="2"/>
      <c r="C823" s="433"/>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row>
    <row r="824" spans="1:66" ht="13.5" customHeight="1">
      <c r="A824" s="2"/>
      <c r="B824" s="2"/>
      <c r="C824" s="433"/>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row>
    <row r="825" spans="1:66" ht="13.5" customHeight="1">
      <c r="A825" s="2"/>
      <c r="B825" s="2"/>
      <c r="C825" s="433"/>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row>
    <row r="826" spans="1:66" ht="13.5" customHeight="1">
      <c r="A826" s="2"/>
      <c r="B826" s="2"/>
      <c r="C826" s="433"/>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row>
    <row r="827" spans="1:66" ht="13.5" customHeight="1">
      <c r="A827" s="2"/>
      <c r="B827" s="2"/>
      <c r="C827" s="433"/>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row>
    <row r="828" spans="1:66" ht="13.5" customHeight="1">
      <c r="A828" s="2"/>
      <c r="B828" s="2"/>
      <c r="C828" s="433"/>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row>
    <row r="829" spans="1:66" ht="13.5" customHeight="1">
      <c r="A829" s="2"/>
      <c r="B829" s="2"/>
      <c r="C829" s="433"/>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row>
    <row r="830" spans="1:66" ht="13.5" customHeight="1">
      <c r="A830" s="2"/>
      <c r="B830" s="2"/>
      <c r="C830" s="433"/>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row>
    <row r="831" spans="1:66" ht="13.5" customHeight="1">
      <c r="A831" s="2"/>
      <c r="B831" s="2"/>
      <c r="C831" s="433"/>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row>
    <row r="832" spans="1:66" ht="13.5" customHeight="1">
      <c r="A832" s="2"/>
      <c r="B832" s="2"/>
      <c r="C832" s="433"/>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row>
    <row r="833" spans="1:66" ht="13.5" customHeight="1">
      <c r="A833" s="2"/>
      <c r="B833" s="2"/>
      <c r="C833" s="433"/>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row>
    <row r="834" spans="1:66" ht="13.5" customHeight="1">
      <c r="A834" s="2"/>
      <c r="B834" s="2"/>
      <c r="C834" s="433"/>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row>
    <row r="835" spans="1:66" ht="13.5" customHeight="1">
      <c r="A835" s="2"/>
      <c r="B835" s="2"/>
      <c r="C835" s="433"/>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row>
    <row r="836" spans="1:66" ht="13.5" customHeight="1">
      <c r="A836" s="2"/>
      <c r="B836" s="2"/>
      <c r="C836" s="433"/>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row>
    <row r="837" spans="1:66" ht="13.5" customHeight="1">
      <c r="A837" s="2"/>
      <c r="B837" s="2"/>
      <c r="C837" s="433"/>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row>
    <row r="838" spans="1:66" ht="13.5" customHeight="1">
      <c r="A838" s="2"/>
      <c r="B838" s="2"/>
      <c r="C838" s="433"/>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row>
    <row r="839" spans="1:66" ht="13.5" customHeight="1">
      <c r="A839" s="2"/>
      <c r="B839" s="2"/>
      <c r="C839" s="433"/>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row>
    <row r="840" spans="1:66" ht="13.5" customHeight="1">
      <c r="A840" s="2"/>
      <c r="B840" s="2"/>
      <c r="C840" s="433"/>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row>
    <row r="841" spans="1:66" ht="13.5" customHeight="1">
      <c r="A841" s="2"/>
      <c r="B841" s="2"/>
      <c r="C841" s="433"/>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row>
    <row r="842" spans="1:66" ht="13.5" customHeight="1">
      <c r="A842" s="2"/>
      <c r="B842" s="2"/>
      <c r="C842" s="433"/>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row>
    <row r="843" spans="1:66" ht="13.5" customHeight="1">
      <c r="A843" s="2"/>
      <c r="B843" s="2"/>
      <c r="C843" s="433"/>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row>
    <row r="844" spans="1:66" ht="13.5" customHeight="1">
      <c r="A844" s="2"/>
      <c r="B844" s="2"/>
      <c r="C844" s="433"/>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row>
    <row r="845" spans="1:66" ht="13.5" customHeight="1">
      <c r="A845" s="2"/>
      <c r="B845" s="2"/>
      <c r="C845" s="433"/>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row>
    <row r="846" spans="1:66" ht="13.5" customHeight="1">
      <c r="A846" s="2"/>
      <c r="B846" s="2"/>
      <c r="C846" s="433"/>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row>
    <row r="847" spans="1:66" ht="13.5" customHeight="1">
      <c r="A847" s="2"/>
      <c r="B847" s="2"/>
      <c r="C847" s="433"/>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row>
    <row r="848" spans="1:66" ht="13.5" customHeight="1">
      <c r="A848" s="2"/>
      <c r="B848" s="2"/>
      <c r="C848" s="433"/>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row>
    <row r="849" spans="1:66" ht="13.5" customHeight="1">
      <c r="A849" s="2"/>
      <c r="B849" s="2"/>
      <c r="C849" s="433"/>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row>
    <row r="850" spans="1:66" ht="13.5" customHeight="1">
      <c r="A850" s="2"/>
      <c r="B850" s="2"/>
      <c r="C850" s="433"/>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row>
    <row r="851" spans="1:66" ht="13.5" customHeight="1">
      <c r="A851" s="2"/>
      <c r="B851" s="2"/>
      <c r="C851" s="433"/>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row>
    <row r="852" spans="1:66" ht="13.5" customHeight="1">
      <c r="A852" s="2"/>
      <c r="B852" s="2"/>
      <c r="C852" s="433"/>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row>
    <row r="853" spans="1:66" ht="13.5" customHeight="1">
      <c r="A853" s="2"/>
      <c r="B853" s="2"/>
      <c r="C853" s="433"/>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row>
    <row r="854" spans="1:66" ht="13.5" customHeight="1">
      <c r="A854" s="2"/>
      <c r="B854" s="2"/>
      <c r="C854" s="433"/>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row>
    <row r="855" spans="1:66" ht="13.5" customHeight="1">
      <c r="A855" s="2"/>
      <c r="B855" s="2"/>
      <c r="C855" s="433"/>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row>
    <row r="856" spans="1:66" ht="13.5" customHeight="1">
      <c r="A856" s="2"/>
      <c r="B856" s="2"/>
      <c r="C856" s="433"/>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row>
    <row r="857" spans="1:66" ht="13.5" customHeight="1">
      <c r="A857" s="2"/>
      <c r="B857" s="2"/>
      <c r="C857" s="433"/>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row>
    <row r="858" spans="1:66" ht="13.5" customHeight="1">
      <c r="A858" s="2"/>
      <c r="B858" s="2"/>
      <c r="C858" s="433"/>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row>
    <row r="859" spans="1:66" ht="13.5" customHeight="1">
      <c r="A859" s="2"/>
      <c r="B859" s="2"/>
      <c r="C859" s="433"/>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row>
    <row r="860" spans="1:66" ht="13.5" customHeight="1">
      <c r="A860" s="2"/>
      <c r="B860" s="2"/>
      <c r="C860" s="433"/>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row>
    <row r="861" spans="1:66" ht="13.5" customHeight="1">
      <c r="A861" s="2"/>
      <c r="B861" s="2"/>
      <c r="C861" s="433"/>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row>
    <row r="862" spans="1:66" ht="13.5" customHeight="1">
      <c r="A862" s="2"/>
      <c r="B862" s="2"/>
      <c r="C862" s="433"/>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row>
    <row r="863" spans="1:66" ht="13.5" customHeight="1">
      <c r="A863" s="2"/>
      <c r="B863" s="2"/>
      <c r="C863" s="433"/>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row>
    <row r="864" spans="1:66" ht="13.5" customHeight="1">
      <c r="A864" s="2"/>
      <c r="B864" s="2"/>
      <c r="C864" s="433"/>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row>
    <row r="865" spans="1:66" ht="13.5" customHeight="1">
      <c r="A865" s="2"/>
      <c r="B865" s="2"/>
      <c r="C865" s="433"/>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row>
    <row r="866" spans="1:66" ht="13.5" customHeight="1">
      <c r="A866" s="2"/>
      <c r="B866" s="2"/>
      <c r="C866" s="433"/>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row>
    <row r="867" spans="1:66" ht="13.5" customHeight="1">
      <c r="A867" s="2"/>
      <c r="B867" s="2"/>
      <c r="C867" s="433"/>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row>
    <row r="868" spans="1:66" ht="13.5" customHeight="1">
      <c r="A868" s="2"/>
      <c r="B868" s="2"/>
      <c r="C868" s="433"/>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row>
    <row r="869" spans="1:66" ht="13.5" customHeight="1">
      <c r="A869" s="2"/>
      <c r="B869" s="2"/>
      <c r="C869" s="433"/>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row>
    <row r="870" spans="1:66" ht="13.5" customHeight="1">
      <c r="A870" s="2"/>
      <c r="B870" s="2"/>
      <c r="C870" s="433"/>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row>
    <row r="871" spans="1:66" ht="13.5" customHeight="1">
      <c r="A871" s="2"/>
      <c r="B871" s="2"/>
      <c r="C871" s="433"/>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row>
    <row r="872" spans="1:66" ht="13.5" customHeight="1">
      <c r="A872" s="2"/>
      <c r="B872" s="2"/>
      <c r="C872" s="433"/>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row>
    <row r="873" spans="1:66" ht="13.5" customHeight="1">
      <c r="A873" s="2"/>
      <c r="B873" s="2"/>
      <c r="C873" s="433"/>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row>
    <row r="874" spans="1:66" ht="13.5" customHeight="1">
      <c r="A874" s="2"/>
      <c r="B874" s="2"/>
      <c r="C874" s="433"/>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row>
    <row r="875" spans="1:66" ht="13.5" customHeight="1">
      <c r="A875" s="2"/>
      <c r="B875" s="2"/>
      <c r="C875" s="433"/>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row>
    <row r="876" spans="1:66" ht="13.5" customHeight="1">
      <c r="A876" s="2"/>
      <c r="B876" s="2"/>
      <c r="C876" s="433"/>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row>
    <row r="877" spans="1:66" ht="13.5" customHeight="1">
      <c r="A877" s="2"/>
      <c r="B877" s="2"/>
      <c r="C877" s="433"/>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row>
    <row r="878" spans="1:66" ht="13.5" customHeight="1">
      <c r="A878" s="2"/>
      <c r="B878" s="2"/>
      <c r="C878" s="433"/>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row>
    <row r="879" spans="1:66" ht="13.5" customHeight="1">
      <c r="A879" s="2"/>
      <c r="B879" s="2"/>
      <c r="C879" s="433"/>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row>
    <row r="880" spans="1:66" ht="13.5" customHeight="1">
      <c r="A880" s="2"/>
      <c r="B880" s="2"/>
      <c r="C880" s="433"/>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row>
    <row r="881" spans="1:66" ht="13.5" customHeight="1">
      <c r="A881" s="2"/>
      <c r="B881" s="2"/>
      <c r="C881" s="433"/>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row>
    <row r="882" spans="1:66" ht="13.5" customHeight="1">
      <c r="A882" s="2"/>
      <c r="B882" s="2"/>
      <c r="C882" s="433"/>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row>
    <row r="883" spans="1:66" ht="13.5" customHeight="1">
      <c r="A883" s="2"/>
      <c r="B883" s="2"/>
      <c r="C883" s="433"/>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row>
    <row r="884" spans="1:66" ht="13.5" customHeight="1">
      <c r="A884" s="2"/>
      <c r="B884" s="2"/>
      <c r="C884" s="433"/>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row>
    <row r="885" spans="1:66" ht="13.5" customHeight="1">
      <c r="A885" s="2"/>
      <c r="B885" s="2"/>
      <c r="C885" s="433"/>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row>
    <row r="886" spans="1:66" ht="13.5" customHeight="1">
      <c r="A886" s="2"/>
      <c r="B886" s="2"/>
      <c r="C886" s="433"/>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row>
    <row r="887" spans="1:66" ht="13.5" customHeight="1">
      <c r="A887" s="2"/>
      <c r="B887" s="2"/>
      <c r="C887" s="433"/>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row>
    <row r="888" spans="1:66" ht="13.5" customHeight="1">
      <c r="A888" s="2"/>
      <c r="B888" s="2"/>
      <c r="C888" s="433"/>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row>
    <row r="889" spans="1:66" ht="13.5" customHeight="1">
      <c r="A889" s="2"/>
      <c r="B889" s="2"/>
      <c r="C889" s="433"/>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row>
    <row r="890" spans="1:66" ht="13.5" customHeight="1">
      <c r="A890" s="2"/>
      <c r="B890" s="2"/>
      <c r="C890" s="433"/>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row>
    <row r="891" spans="1:66" ht="13.5" customHeight="1">
      <c r="A891" s="2"/>
      <c r="B891" s="2"/>
      <c r="C891" s="433"/>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row>
    <row r="892" spans="1:66" ht="13.5" customHeight="1">
      <c r="A892" s="2"/>
      <c r="B892" s="2"/>
      <c r="C892" s="433"/>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row>
    <row r="893" spans="1:66" ht="13.5" customHeight="1">
      <c r="A893" s="2"/>
      <c r="B893" s="2"/>
      <c r="C893" s="433"/>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row>
    <row r="894" spans="1:66" ht="13.5" customHeight="1">
      <c r="A894" s="2"/>
      <c r="B894" s="2"/>
      <c r="C894" s="433"/>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row>
    <row r="895" spans="1:66" ht="13.5" customHeight="1">
      <c r="A895" s="2"/>
      <c r="B895" s="2"/>
      <c r="C895" s="433"/>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row>
    <row r="896" spans="1:66" ht="13.5" customHeight="1">
      <c r="A896" s="2"/>
      <c r="B896" s="2"/>
      <c r="C896" s="433"/>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row>
    <row r="897" spans="1:66" ht="13.5" customHeight="1">
      <c r="A897" s="2"/>
      <c r="B897" s="2"/>
      <c r="C897" s="433"/>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row>
    <row r="898" spans="1:66" ht="13.5" customHeight="1">
      <c r="A898" s="2"/>
      <c r="B898" s="2"/>
      <c r="C898" s="433"/>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row>
    <row r="899" spans="1:66" ht="13.5" customHeight="1">
      <c r="A899" s="2"/>
      <c r="B899" s="2"/>
      <c r="C899" s="433"/>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row>
    <row r="900" spans="1:66" ht="13.5" customHeight="1">
      <c r="A900" s="2"/>
      <c r="B900" s="2"/>
      <c r="C900" s="433"/>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row>
    <row r="901" spans="1:66" ht="13.5" customHeight="1">
      <c r="A901" s="2"/>
      <c r="B901" s="2"/>
      <c r="C901" s="433"/>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row>
    <row r="902" spans="1:66" ht="13.5" customHeight="1">
      <c r="A902" s="2"/>
      <c r="B902" s="2"/>
      <c r="C902" s="433"/>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row>
    <row r="903" spans="1:66" ht="13.5" customHeight="1">
      <c r="A903" s="2"/>
      <c r="B903" s="2"/>
      <c r="C903" s="433"/>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row>
    <row r="904" spans="1:66" ht="13.5" customHeight="1">
      <c r="A904" s="2"/>
      <c r="B904" s="2"/>
      <c r="C904" s="433"/>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row>
    <row r="905" spans="1:66" ht="13.5" customHeight="1">
      <c r="A905" s="2"/>
      <c r="B905" s="2"/>
      <c r="C905" s="433"/>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row>
    <row r="906" spans="1:66" ht="13.5" customHeight="1">
      <c r="A906" s="2"/>
      <c r="B906" s="2"/>
      <c r="C906" s="433"/>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row>
    <row r="907" spans="1:66" ht="13.5" customHeight="1">
      <c r="A907" s="2"/>
      <c r="B907" s="2"/>
      <c r="C907" s="433"/>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row>
    <row r="908" spans="1:66" ht="13.5" customHeight="1">
      <c r="A908" s="2"/>
      <c r="B908" s="2"/>
      <c r="C908" s="433"/>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row>
    <row r="909" spans="1:66" ht="13.5" customHeight="1">
      <c r="A909" s="2"/>
      <c r="B909" s="2"/>
      <c r="C909" s="433"/>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row>
    <row r="910" spans="1:66" ht="13.5" customHeight="1">
      <c r="A910" s="2"/>
      <c r="B910" s="2"/>
      <c r="C910" s="433"/>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row>
    <row r="911" spans="1:66" ht="13.5" customHeight="1">
      <c r="A911" s="2"/>
      <c r="B911" s="2"/>
      <c r="C911" s="433"/>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row>
    <row r="912" spans="1:66" ht="13.5" customHeight="1">
      <c r="A912" s="2"/>
      <c r="B912" s="2"/>
      <c r="C912" s="433"/>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row>
    <row r="913" spans="1:66" ht="13.5" customHeight="1">
      <c r="A913" s="2"/>
      <c r="B913" s="2"/>
      <c r="C913" s="433"/>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row>
    <row r="914" spans="1:66" ht="13.5" customHeight="1">
      <c r="A914" s="2"/>
      <c r="B914" s="2"/>
      <c r="C914" s="433"/>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row>
    <row r="915" spans="1:66" ht="13.5" customHeight="1">
      <c r="A915" s="2"/>
      <c r="B915" s="2"/>
      <c r="C915" s="433"/>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row>
    <row r="916" spans="1:66" ht="13.5" customHeight="1">
      <c r="A916" s="2"/>
      <c r="B916" s="2"/>
      <c r="C916" s="433"/>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row>
    <row r="917" spans="1:66" ht="13.5" customHeight="1">
      <c r="A917" s="2"/>
      <c r="B917" s="2"/>
      <c r="C917" s="433"/>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row>
    <row r="918" spans="1:66" ht="13.5" customHeight="1">
      <c r="A918" s="2"/>
      <c r="B918" s="2"/>
      <c r="C918" s="433"/>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row>
    <row r="919" spans="1:66" ht="13.5" customHeight="1">
      <c r="A919" s="2"/>
      <c r="B919" s="2"/>
      <c r="C919" s="433"/>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row>
    <row r="920" spans="1:66" ht="13.5" customHeight="1">
      <c r="A920" s="2"/>
      <c r="B920" s="2"/>
      <c r="C920" s="433"/>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row>
    <row r="921" spans="1:66" ht="13.5" customHeight="1">
      <c r="A921" s="2"/>
      <c r="B921" s="2"/>
      <c r="C921" s="433"/>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row>
    <row r="922" spans="1:66" ht="13.5" customHeight="1">
      <c r="A922" s="2"/>
      <c r="B922" s="2"/>
      <c r="C922" s="433"/>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row>
    <row r="923" spans="1:66" ht="13.5" customHeight="1">
      <c r="A923" s="2"/>
      <c r="B923" s="2"/>
      <c r="C923" s="433"/>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row>
    <row r="924" spans="1:66" ht="13.5" customHeight="1">
      <c r="A924" s="2"/>
      <c r="B924" s="2"/>
      <c r="C924" s="433"/>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row>
    <row r="925" spans="1:66" ht="13.5" customHeight="1">
      <c r="A925" s="2"/>
      <c r="B925" s="2"/>
      <c r="C925" s="433"/>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row>
    <row r="926" spans="1:66" ht="13.5" customHeight="1">
      <c r="A926" s="2"/>
      <c r="B926" s="2"/>
      <c r="C926" s="433"/>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row>
    <row r="927" spans="1:66" ht="13.5" customHeight="1">
      <c r="A927" s="2"/>
      <c r="B927" s="2"/>
      <c r="C927" s="433"/>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row>
    <row r="928" spans="1:66" ht="13.5" customHeight="1">
      <c r="A928" s="2"/>
      <c r="B928" s="2"/>
      <c r="C928" s="433"/>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row>
    <row r="929" spans="1:66" ht="13.5" customHeight="1">
      <c r="A929" s="2"/>
      <c r="B929" s="2"/>
      <c r="C929" s="433"/>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row>
    <row r="930" spans="1:66" ht="13.5" customHeight="1">
      <c r="A930" s="2"/>
      <c r="B930" s="2"/>
      <c r="C930" s="433"/>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row>
    <row r="931" spans="1:66" ht="13.5" customHeight="1">
      <c r="A931" s="2"/>
      <c r="B931" s="2"/>
      <c r="C931" s="433"/>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row>
    <row r="932" spans="1:66" ht="13.5" customHeight="1">
      <c r="A932" s="2"/>
      <c r="B932" s="2"/>
      <c r="C932" s="433"/>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row>
    <row r="933" spans="1:66" ht="13.5" customHeight="1">
      <c r="A933" s="2"/>
      <c r="B933" s="2"/>
      <c r="C933" s="433"/>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row>
    <row r="934" spans="1:66" ht="13.5" customHeight="1">
      <c r="A934" s="2"/>
      <c r="B934" s="2"/>
      <c r="C934" s="433"/>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row>
    <row r="935" spans="1:66" ht="13.5" customHeight="1">
      <c r="A935" s="2"/>
      <c r="B935" s="2"/>
      <c r="C935" s="433"/>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row>
    <row r="936" spans="1:66" ht="13.5" customHeight="1">
      <c r="A936" s="2"/>
      <c r="B936" s="2"/>
      <c r="C936" s="433"/>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row>
    <row r="937" spans="1:66" ht="13.5" customHeight="1">
      <c r="A937" s="2"/>
      <c r="B937" s="2"/>
      <c r="C937" s="433"/>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row>
    <row r="938" spans="1:66" ht="13.5" customHeight="1">
      <c r="A938" s="2"/>
      <c r="B938" s="2"/>
      <c r="C938" s="433"/>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row>
    <row r="939" spans="1:66" ht="13.5" customHeight="1">
      <c r="A939" s="2"/>
      <c r="B939" s="2"/>
      <c r="C939" s="433"/>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row>
    <row r="940" spans="1:66" ht="13.5" customHeight="1">
      <c r="A940" s="2"/>
      <c r="B940" s="2"/>
      <c r="C940" s="433"/>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row>
    <row r="941" spans="1:66" ht="13.5" customHeight="1">
      <c r="A941" s="2"/>
      <c r="B941" s="2"/>
      <c r="C941" s="433"/>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row>
    <row r="942" spans="1:66" ht="13.5" customHeight="1">
      <c r="A942" s="2"/>
      <c r="B942" s="2"/>
      <c r="C942" s="433"/>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row>
    <row r="943" spans="1:66" ht="13.5" customHeight="1">
      <c r="A943" s="2"/>
      <c r="B943" s="2"/>
      <c r="C943" s="433"/>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row>
    <row r="944" spans="1:66" ht="13.5" customHeight="1">
      <c r="A944" s="2"/>
      <c r="B944" s="2"/>
      <c r="C944" s="433"/>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row>
    <row r="945" spans="1:66" ht="13.5" customHeight="1">
      <c r="A945" s="2"/>
      <c r="B945" s="2"/>
      <c r="C945" s="433"/>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row>
    <row r="946" spans="1:66" ht="13.5" customHeight="1">
      <c r="A946" s="2"/>
      <c r="B946" s="2"/>
      <c r="C946" s="433"/>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row>
    <row r="947" spans="1:66" ht="13.5" customHeight="1">
      <c r="A947" s="2"/>
      <c r="B947" s="2"/>
      <c r="C947" s="433"/>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row>
    <row r="948" spans="1:66" ht="13.5" customHeight="1">
      <c r="A948" s="2"/>
      <c r="B948" s="2"/>
      <c r="C948" s="433"/>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row>
    <row r="949" spans="1:66" ht="13.5" customHeight="1">
      <c r="A949" s="2"/>
      <c r="B949" s="2"/>
      <c r="C949" s="433"/>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row>
    <row r="950" spans="1:66" ht="13.5" customHeight="1">
      <c r="A950" s="2"/>
      <c r="B950" s="2"/>
      <c r="C950" s="433"/>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row>
    <row r="951" spans="1:66" ht="13.5" customHeight="1">
      <c r="A951" s="2"/>
      <c r="B951" s="2"/>
      <c r="C951" s="433"/>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row>
    <row r="952" spans="1:66" ht="13.5" customHeight="1">
      <c r="A952" s="2"/>
      <c r="B952" s="2"/>
      <c r="C952" s="433"/>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row>
    <row r="953" spans="1:66" ht="13.5" customHeight="1">
      <c r="A953" s="2"/>
      <c r="B953" s="2"/>
      <c r="C953" s="433"/>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row>
    <row r="954" spans="1:66" ht="13.5" customHeight="1">
      <c r="A954" s="2"/>
      <c r="B954" s="2"/>
      <c r="C954" s="433"/>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row>
    <row r="955" spans="1:66" ht="13.5" customHeight="1">
      <c r="A955" s="2"/>
      <c r="B955" s="2"/>
      <c r="C955" s="433"/>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row>
    <row r="956" spans="1:66" ht="13.5" customHeight="1">
      <c r="A956" s="2"/>
      <c r="B956" s="2"/>
      <c r="C956" s="433"/>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row>
    <row r="957" spans="1:66" ht="13.5" customHeight="1">
      <c r="A957" s="2"/>
      <c r="B957" s="2"/>
      <c r="C957" s="433"/>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row>
    <row r="958" spans="1:66" ht="13.5" customHeight="1">
      <c r="A958" s="2"/>
      <c r="B958" s="2"/>
      <c r="C958" s="433"/>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row>
    <row r="959" spans="1:66" ht="13.5" customHeight="1">
      <c r="A959" s="2"/>
      <c r="B959" s="2"/>
      <c r="C959" s="433"/>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row>
    <row r="960" spans="1:66" ht="13.5" customHeight="1">
      <c r="A960" s="2"/>
      <c r="B960" s="2"/>
      <c r="C960" s="433"/>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row>
    <row r="961" spans="1:66" ht="13.5" customHeight="1">
      <c r="A961" s="2"/>
      <c r="B961" s="2"/>
      <c r="C961" s="433"/>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row>
    <row r="962" spans="1:66" ht="13.5" customHeight="1">
      <c r="A962" s="2"/>
      <c r="B962" s="2"/>
      <c r="C962" s="433"/>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row>
    <row r="963" spans="1:66" ht="13.5" customHeight="1">
      <c r="A963" s="2"/>
      <c r="B963" s="2"/>
      <c r="C963" s="433"/>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row>
    <row r="964" spans="1:66" ht="13.5" customHeight="1">
      <c r="A964" s="2"/>
      <c r="B964" s="2"/>
      <c r="C964" s="433"/>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row>
    <row r="965" spans="1:66" ht="13.5" customHeight="1">
      <c r="A965" s="2"/>
      <c r="B965" s="2"/>
      <c r="C965" s="433"/>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row>
    <row r="966" spans="1:66" ht="13.5" customHeight="1">
      <c r="A966" s="2"/>
      <c r="B966" s="2"/>
      <c r="C966" s="433"/>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row>
    <row r="967" spans="1:66" ht="13.5" customHeight="1">
      <c r="A967" s="2"/>
      <c r="B967" s="2"/>
      <c r="C967" s="433"/>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row>
    <row r="968" spans="1:66" ht="13.5" customHeight="1">
      <c r="A968" s="2"/>
      <c r="B968" s="2"/>
      <c r="C968" s="433"/>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row>
    <row r="969" spans="1:66" ht="13.5" customHeight="1">
      <c r="A969" s="2"/>
      <c r="B969" s="2"/>
      <c r="C969" s="433"/>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row>
    <row r="970" spans="1:66" ht="13.5" customHeight="1">
      <c r="A970" s="2"/>
      <c r="B970" s="2"/>
      <c r="C970" s="433"/>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row>
    <row r="971" spans="1:66" ht="13.5" customHeight="1">
      <c r="A971" s="2"/>
      <c r="B971" s="2"/>
      <c r="C971" s="433"/>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row>
    <row r="972" spans="1:66" ht="13.5" customHeight="1">
      <c r="A972" s="2"/>
      <c r="B972" s="2"/>
      <c r="C972" s="433"/>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row>
    <row r="973" spans="1:66" ht="13.5" customHeight="1">
      <c r="A973" s="2"/>
      <c r="B973" s="2"/>
      <c r="C973" s="433"/>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row>
    <row r="974" spans="1:66" ht="13.5" customHeight="1">
      <c r="A974" s="2"/>
      <c r="B974" s="2"/>
      <c r="C974" s="433"/>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row>
    <row r="975" spans="1:66" ht="13.5" customHeight="1">
      <c r="A975" s="2"/>
      <c r="B975" s="2"/>
      <c r="C975" s="433"/>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row>
    <row r="976" spans="1:66" ht="13.5" customHeight="1">
      <c r="A976" s="2"/>
      <c r="B976" s="2"/>
      <c r="C976" s="433"/>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row>
    <row r="977" spans="1:66" ht="13.5" customHeight="1">
      <c r="A977" s="2"/>
      <c r="B977" s="2"/>
      <c r="C977" s="433"/>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row>
    <row r="978" spans="1:66" ht="13.5" customHeight="1">
      <c r="A978" s="2"/>
      <c r="B978" s="2"/>
      <c r="C978" s="433"/>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row>
    <row r="979" spans="1:66" ht="13.5" customHeight="1">
      <c r="A979" s="2"/>
      <c r="B979" s="2"/>
      <c r="C979" s="433"/>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row>
    <row r="980" spans="1:66" ht="13.5" customHeight="1">
      <c r="A980" s="2"/>
      <c r="B980" s="2"/>
      <c r="C980" s="433"/>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row>
    <row r="981" spans="1:66" ht="13.5" customHeight="1">
      <c r="A981" s="2"/>
      <c r="B981" s="2"/>
      <c r="C981" s="433"/>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row>
    <row r="982" spans="1:66" ht="13.5" customHeight="1">
      <c r="A982" s="2"/>
      <c r="B982" s="2"/>
      <c r="C982" s="433"/>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row>
    <row r="983" spans="1:66" ht="13.5" customHeight="1">
      <c r="A983" s="2"/>
      <c r="B983" s="2"/>
      <c r="C983" s="433"/>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row>
    <row r="984" spans="1:66" ht="13.5" customHeight="1">
      <c r="A984" s="2"/>
      <c r="B984" s="2"/>
      <c r="C984" s="433"/>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row>
    <row r="985" spans="1:66" ht="13.5" customHeight="1">
      <c r="A985" s="2"/>
      <c r="B985" s="2"/>
      <c r="C985" s="433"/>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row>
    <row r="986" spans="1:66" ht="13.5" customHeight="1">
      <c r="A986" s="2"/>
      <c r="B986" s="2"/>
      <c r="C986" s="433"/>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row>
    <row r="987" spans="1:66" ht="13.5" customHeight="1">
      <c r="A987" s="2"/>
      <c r="B987" s="2"/>
      <c r="C987" s="433"/>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row>
    <row r="988" spans="1:66" ht="13.5" customHeight="1">
      <c r="A988" s="2"/>
      <c r="B988" s="2"/>
      <c r="C988" s="433"/>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row>
    <row r="989" spans="1:66" ht="13.5" customHeight="1">
      <c r="A989" s="2"/>
      <c r="B989" s="2"/>
      <c r="C989" s="433"/>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row>
    <row r="990" spans="1:66" ht="13.5" customHeight="1">
      <c r="A990" s="2"/>
      <c r="B990" s="2"/>
      <c r="C990" s="433"/>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row>
    <row r="991" spans="1:66" ht="13.5" customHeight="1">
      <c r="A991" s="2"/>
      <c r="B991" s="2"/>
      <c r="C991" s="433"/>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row>
    <row r="992" spans="1:66" ht="13.5" customHeight="1">
      <c r="A992" s="2"/>
      <c r="B992" s="2"/>
      <c r="C992" s="433"/>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row>
    <row r="993" spans="1:66" ht="13.5" customHeight="1">
      <c r="A993" s="2"/>
      <c r="B993" s="2"/>
      <c r="C993" s="433"/>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row>
    <row r="994" spans="1:66" ht="13.5" customHeight="1">
      <c r="A994" s="2"/>
      <c r="B994" s="2"/>
      <c r="C994" s="433"/>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row>
    <row r="995" spans="1:66" ht="13.5" customHeight="1">
      <c r="A995" s="2"/>
      <c r="B995" s="2"/>
      <c r="C995" s="433"/>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row>
    <row r="996" spans="1:66" ht="13.5" customHeight="1">
      <c r="A996" s="2"/>
      <c r="B996" s="2"/>
      <c r="C996" s="433"/>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row>
    <row r="997" spans="1:66" ht="13.5" customHeight="1">
      <c r="A997" s="2"/>
      <c r="B997" s="2"/>
      <c r="C997" s="433"/>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row>
    <row r="998" spans="1:66" ht="13.5" customHeight="1">
      <c r="A998" s="2"/>
      <c r="B998" s="2"/>
      <c r="C998" s="433"/>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row>
  </sheetData>
  <mergeCells count="102">
    <mergeCell ref="D23:F23"/>
    <mergeCell ref="G23:I23"/>
    <mergeCell ref="J23:L23"/>
    <mergeCell ref="M23:O23"/>
    <mergeCell ref="P23:R23"/>
    <mergeCell ref="AI24:AK24"/>
    <mergeCell ref="AM7:AN7"/>
    <mergeCell ref="AO7:AP7"/>
    <mergeCell ref="BC7:BD7"/>
    <mergeCell ref="AO23:AP23"/>
    <mergeCell ref="AQ23:AR23"/>
    <mergeCell ref="AQ7:AR7"/>
    <mergeCell ref="BA7:BB7"/>
    <mergeCell ref="M24:O24"/>
    <mergeCell ref="BE24:BG24"/>
    <mergeCell ref="M65:O65"/>
    <mergeCell ref="AV64:AX64"/>
    <mergeCell ref="AY64:BA64"/>
    <mergeCell ref="BB64:BD64"/>
    <mergeCell ref="BE64:BG64"/>
    <mergeCell ref="O48:P48"/>
    <mergeCell ref="Q48:R48"/>
    <mergeCell ref="S48:T48"/>
    <mergeCell ref="U48:V48"/>
    <mergeCell ref="Z46:AR46"/>
    <mergeCell ref="AV46:BN46"/>
    <mergeCell ref="AM47:AO47"/>
    <mergeCell ref="BI47:BK47"/>
    <mergeCell ref="BA48:BB48"/>
    <mergeCell ref="BC48:BD48"/>
    <mergeCell ref="BE48:BF48"/>
    <mergeCell ref="BG48:BH48"/>
    <mergeCell ref="BI48:BJ48"/>
    <mergeCell ref="BK48:BL48"/>
    <mergeCell ref="BH64:BJ64"/>
    <mergeCell ref="BK64:BL64"/>
    <mergeCell ref="BM64:BN64"/>
    <mergeCell ref="BE65:BG65"/>
    <mergeCell ref="Z64:AB64"/>
    <mergeCell ref="AC64:AE64"/>
    <mergeCell ref="AF64:AH64"/>
    <mergeCell ref="AI64:AK64"/>
    <mergeCell ref="AL64:AN64"/>
    <mergeCell ref="AO64:AP64"/>
    <mergeCell ref="AQ64:AR64"/>
    <mergeCell ref="AI65:AK65"/>
    <mergeCell ref="D64:F64"/>
    <mergeCell ref="G64:I64"/>
    <mergeCell ref="J64:L64"/>
    <mergeCell ref="M64:O64"/>
    <mergeCell ref="P64:R64"/>
    <mergeCell ref="S64:T64"/>
    <mergeCell ref="U64:V64"/>
    <mergeCell ref="D46:V46"/>
    <mergeCell ref="Q47:S47"/>
    <mergeCell ref="BM48:BN48"/>
    <mergeCell ref="AE48:AF48"/>
    <mergeCell ref="AG48:AH48"/>
    <mergeCell ref="AI48:AJ48"/>
    <mergeCell ref="AK48:AL48"/>
    <mergeCell ref="AM48:AN48"/>
    <mergeCell ref="AO48:AP48"/>
    <mergeCell ref="AQ48:AR48"/>
    <mergeCell ref="I48:J48"/>
    <mergeCell ref="K48:L48"/>
    <mergeCell ref="M48:N48"/>
    <mergeCell ref="BE23:BG23"/>
    <mergeCell ref="BH23:BJ23"/>
    <mergeCell ref="BK23:BL23"/>
    <mergeCell ref="BM23:BN23"/>
    <mergeCell ref="S23:T23"/>
    <mergeCell ref="U23:V23"/>
    <mergeCell ref="Z23:AB23"/>
    <mergeCell ref="AC23:AE23"/>
    <mergeCell ref="AF23:AH23"/>
    <mergeCell ref="AI23:AK23"/>
    <mergeCell ref="AL23:AN23"/>
    <mergeCell ref="AV23:AX23"/>
    <mergeCell ref="AY23:BA23"/>
    <mergeCell ref="BB23:BD23"/>
    <mergeCell ref="BG7:BH7"/>
    <mergeCell ref="BI7:BJ7"/>
    <mergeCell ref="BK7:BL7"/>
    <mergeCell ref="BM7:BN7"/>
    <mergeCell ref="D4:V4"/>
    <mergeCell ref="Z4:AR4"/>
    <mergeCell ref="AV4:BN4"/>
    <mergeCell ref="Q6:T6"/>
    <mergeCell ref="AM6:AP6"/>
    <mergeCell ref="BI6:BL6"/>
    <mergeCell ref="I7:J7"/>
    <mergeCell ref="O7:P7"/>
    <mergeCell ref="Q7:R7"/>
    <mergeCell ref="S7:T7"/>
    <mergeCell ref="U7:V7"/>
    <mergeCell ref="AE7:AF7"/>
    <mergeCell ref="AG7:AH7"/>
    <mergeCell ref="AI7:AJ7"/>
    <mergeCell ref="AK7:AL7"/>
    <mergeCell ref="K7:L7"/>
    <mergeCell ref="M7:N7"/>
    <mergeCell ref="BE7:BF7"/>
  </mergeCells>
  <pageMargins left="0.7" right="0.7" top="0.75" bottom="0.75" header="0" footer="0"/>
  <pageSetup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60000"/>
  </sheetPr>
  <dimension ref="A1:AC1000"/>
  <sheetViews>
    <sheetView showGridLines="0" zoomScale="80" zoomScaleNormal="80" workbookViewId="0">
      <pane ySplit="8" topLeftCell="A9" activePane="bottomLeft" state="frozen"/>
      <selection pane="bottomLeft"/>
    </sheetView>
  </sheetViews>
  <sheetFormatPr defaultColWidth="14.44140625" defaultRowHeight="15" customHeight="1" outlineLevelRow="1"/>
  <cols>
    <col min="1" max="1" width="1.6640625" customWidth="1"/>
    <col min="2" max="2" width="33.5546875" customWidth="1"/>
    <col min="3" max="3" width="9.109375" customWidth="1"/>
    <col min="4" max="4" width="7.88671875" customWidth="1"/>
    <col min="5" max="5" width="44.44140625" customWidth="1"/>
    <col min="6" max="6" width="12.109375" customWidth="1"/>
    <col min="7" max="7" width="18.5546875" customWidth="1"/>
    <col min="8" max="9" width="9.109375" customWidth="1"/>
    <col min="11" max="11" width="29" customWidth="1"/>
    <col min="12" max="12" width="34.5546875" customWidth="1"/>
    <col min="13" max="13" width="48.5546875" customWidth="1"/>
    <col min="14" max="14" width="32" customWidth="1"/>
    <col min="15" max="29" width="9.109375" customWidth="1"/>
  </cols>
  <sheetData>
    <row r="1" spans="1:29" ht="18" customHeight="1">
      <c r="A1" s="9"/>
      <c r="B1" s="9"/>
      <c r="C1" s="9"/>
      <c r="D1" s="9"/>
      <c r="E1" s="9"/>
      <c r="F1" s="9"/>
      <c r="G1" s="9"/>
      <c r="H1" s="548"/>
      <c r="I1" s="548"/>
      <c r="J1" s="548"/>
      <c r="K1" s="548"/>
      <c r="L1" s="548"/>
      <c r="M1" s="548"/>
      <c r="N1" s="548"/>
      <c r="O1" s="548"/>
      <c r="P1" s="548"/>
      <c r="Q1" s="548"/>
      <c r="R1" s="548"/>
      <c r="S1" s="548"/>
      <c r="T1" s="548"/>
      <c r="U1" s="9"/>
      <c r="V1" s="9"/>
      <c r="W1" s="9"/>
      <c r="X1" s="9"/>
      <c r="Y1" s="9"/>
      <c r="Z1" s="9"/>
      <c r="AA1" s="9"/>
      <c r="AB1" s="9"/>
      <c r="AC1" s="9"/>
    </row>
    <row r="2" spans="1:29" ht="12.75" customHeight="1">
      <c r="A2" s="9"/>
      <c r="B2" s="9" t="s">
        <v>553</v>
      </c>
      <c r="C2" s="9"/>
      <c r="D2" s="9"/>
      <c r="E2" s="9"/>
      <c r="F2" s="9"/>
      <c r="G2" s="9"/>
      <c r="H2" s="548"/>
      <c r="I2" s="548"/>
      <c r="J2" s="548"/>
      <c r="K2" s="548"/>
      <c r="L2" s="548">
        <v>1</v>
      </c>
      <c r="M2" s="548"/>
      <c r="N2" s="548"/>
      <c r="O2" s="548"/>
      <c r="P2" s="548"/>
      <c r="Q2" s="548"/>
      <c r="R2" s="548"/>
      <c r="S2" s="548"/>
      <c r="T2" s="548"/>
      <c r="U2" s="9"/>
      <c r="V2" s="9"/>
      <c r="W2" s="9"/>
      <c r="X2" s="9"/>
      <c r="Y2" s="9"/>
      <c r="Z2" s="9"/>
      <c r="AA2" s="9"/>
      <c r="AB2" s="9"/>
      <c r="AC2" s="549" t="str">
        <f>_xll.ciqfunctions.udf.CIQ("3304","iq_ev_over_ltm_ebitda")</f>
        <v>(Invalid Identifier)</v>
      </c>
    </row>
    <row r="3" spans="1:29" ht="12.75" customHeight="1">
      <c r="A3" s="9"/>
      <c r="B3" s="9" t="s">
        <v>554</v>
      </c>
      <c r="C3" s="9"/>
      <c r="D3" s="9"/>
      <c r="E3" s="9"/>
      <c r="F3" s="9"/>
      <c r="G3" s="9"/>
      <c r="H3" s="548"/>
      <c r="I3" s="548"/>
      <c r="J3" s="548"/>
      <c r="K3" s="548"/>
      <c r="L3" s="548">
        <f>L2+1</f>
        <v>2</v>
      </c>
      <c r="M3" s="548"/>
      <c r="N3" s="548"/>
      <c r="O3" s="548"/>
      <c r="P3" s="548"/>
      <c r="Q3" s="548"/>
      <c r="R3" s="548"/>
      <c r="S3" s="548"/>
      <c r="T3" s="548"/>
      <c r="U3" s="9"/>
      <c r="V3" s="9"/>
      <c r="W3" s="9"/>
      <c r="X3" s="9"/>
      <c r="Y3" s="9"/>
      <c r="Z3" s="9"/>
      <c r="AA3" s="9"/>
      <c r="AB3" s="9"/>
      <c r="AC3" s="9"/>
    </row>
    <row r="4" spans="1:29" ht="12.75" customHeight="1">
      <c r="A4" s="9"/>
      <c r="B4" s="9" t="s">
        <v>555</v>
      </c>
      <c r="C4" s="9"/>
      <c r="D4" s="9"/>
      <c r="E4" s="9"/>
      <c r="F4" s="9"/>
      <c r="G4" s="9"/>
      <c r="H4" s="548"/>
      <c r="I4" s="548"/>
      <c r="J4" s="548"/>
      <c r="K4" s="548"/>
      <c r="L4" s="548">
        <f>L3+1</f>
        <v>3</v>
      </c>
      <c r="M4" s="548"/>
      <c r="N4" s="548"/>
      <c r="O4" s="548"/>
      <c r="P4" s="548"/>
      <c r="Q4" s="548"/>
      <c r="R4" s="548"/>
      <c r="S4" s="548"/>
      <c r="T4" s="548"/>
      <c r="U4" s="9"/>
      <c r="V4" s="9"/>
      <c r="W4" s="9"/>
      <c r="X4" s="9"/>
      <c r="Y4" s="9"/>
      <c r="Z4" s="9"/>
      <c r="AA4" s="9"/>
      <c r="AB4" s="9"/>
      <c r="AC4" s="9"/>
    </row>
    <row r="5" spans="1:29" ht="12.75" customHeight="1">
      <c r="A5" s="9"/>
      <c r="B5" s="9" t="s">
        <v>556</v>
      </c>
      <c r="C5" s="9"/>
      <c r="D5" s="9"/>
      <c r="E5" s="9"/>
      <c r="F5" s="9"/>
      <c r="G5" s="9"/>
      <c r="H5" s="548"/>
      <c r="I5" s="548"/>
      <c r="J5" s="548"/>
      <c r="K5" s="548"/>
      <c r="L5" s="548">
        <f>L4+1</f>
        <v>4</v>
      </c>
      <c r="M5" s="548"/>
      <c r="N5" s="548"/>
      <c r="O5" s="548"/>
      <c r="P5" s="548"/>
      <c r="Q5" s="548"/>
      <c r="R5" s="548"/>
      <c r="S5" s="548"/>
      <c r="T5" s="548"/>
      <c r="U5" s="9"/>
      <c r="V5" s="9"/>
      <c r="W5" s="9"/>
      <c r="X5" s="9"/>
      <c r="Y5" s="9"/>
      <c r="Z5" s="9"/>
      <c r="AA5" s="9"/>
      <c r="AB5" s="9"/>
      <c r="AC5" s="9"/>
    </row>
    <row r="6" spans="1:29" ht="12.75" customHeight="1">
      <c r="A6" s="9"/>
      <c r="B6" s="9"/>
      <c r="C6" s="9"/>
      <c r="D6" s="9"/>
      <c r="E6" s="9"/>
      <c r="F6" s="9"/>
      <c r="G6" s="9"/>
      <c r="H6" s="548"/>
      <c r="I6" s="548"/>
      <c r="J6" s="548"/>
      <c r="K6" s="548"/>
      <c r="L6" s="548">
        <f>L5+1</f>
        <v>5</v>
      </c>
      <c r="M6" s="548"/>
      <c r="N6" s="548"/>
      <c r="O6" s="548"/>
      <c r="P6" s="548"/>
      <c r="Q6" s="548"/>
      <c r="R6" s="548"/>
      <c r="S6" s="548"/>
      <c r="T6" s="548"/>
      <c r="U6" s="9"/>
      <c r="V6" s="9"/>
      <c r="W6" s="9"/>
      <c r="X6" s="9"/>
      <c r="Y6" s="9"/>
      <c r="Z6" s="9"/>
      <c r="AA6" s="9"/>
      <c r="AB6" s="9"/>
      <c r="AC6" s="9"/>
    </row>
    <row r="7" spans="1:29" ht="12.75" customHeight="1">
      <c r="A7" s="9"/>
      <c r="B7" s="9" t="s">
        <v>557</v>
      </c>
      <c r="C7" s="9"/>
      <c r="D7" s="9"/>
      <c r="E7" s="9"/>
      <c r="F7" s="9"/>
      <c r="G7" s="9"/>
      <c r="H7" s="548"/>
      <c r="I7" s="548"/>
      <c r="J7" s="548"/>
      <c r="K7" s="548"/>
      <c r="L7" s="548"/>
      <c r="M7" s="548"/>
      <c r="N7" s="548"/>
      <c r="O7" s="548"/>
      <c r="P7" s="548"/>
      <c r="Q7" s="548"/>
      <c r="R7" s="548"/>
      <c r="S7" s="548"/>
      <c r="T7" s="548"/>
      <c r="U7" s="9"/>
      <c r="V7" s="9"/>
      <c r="W7" s="9"/>
      <c r="X7" s="9"/>
      <c r="Y7" s="9"/>
      <c r="Z7" s="9"/>
      <c r="AA7" s="9"/>
      <c r="AB7" s="9"/>
      <c r="AC7" s="9"/>
    </row>
    <row r="8" spans="1:29" ht="25.5" customHeight="1">
      <c r="A8" s="9"/>
      <c r="B8" s="1028" t="s">
        <v>558</v>
      </c>
      <c r="C8" s="978"/>
      <c r="D8" s="978"/>
      <c r="E8" s="978"/>
      <c r="F8" s="978"/>
      <c r="G8" s="978"/>
      <c r="H8" s="548"/>
      <c r="I8" s="548"/>
      <c r="J8" s="548"/>
      <c r="K8" s="548"/>
      <c r="L8" s="548"/>
      <c r="M8" s="548"/>
      <c r="N8" s="548"/>
      <c r="O8" s="548"/>
      <c r="P8" s="548"/>
      <c r="Q8" s="548"/>
      <c r="R8" s="548"/>
      <c r="S8" s="548"/>
      <c r="T8" s="548"/>
      <c r="U8" s="9"/>
      <c r="V8" s="9"/>
      <c r="W8" s="9"/>
      <c r="X8" s="9"/>
      <c r="Y8" s="9"/>
      <c r="Z8" s="9"/>
      <c r="AA8" s="9"/>
      <c r="AB8" s="9"/>
      <c r="AC8" s="9"/>
    </row>
    <row r="9" spans="1:29" ht="31.5" customHeight="1">
      <c r="A9" s="9"/>
      <c r="B9" s="550" t="s">
        <v>559</v>
      </c>
      <c r="C9" s="550"/>
      <c r="D9" s="551"/>
      <c r="E9" s="551"/>
      <c r="F9" s="551"/>
      <c r="G9" s="551"/>
      <c r="H9" s="548"/>
      <c r="I9" s="548"/>
      <c r="J9" s="9"/>
      <c r="K9" s="9"/>
      <c r="L9" s="9"/>
      <c r="M9" s="9"/>
      <c r="N9" s="9"/>
      <c r="O9" s="9"/>
      <c r="P9" s="9"/>
      <c r="Q9" s="9"/>
      <c r="R9" s="9"/>
      <c r="S9" s="9"/>
      <c r="T9" s="9"/>
      <c r="U9" s="9"/>
      <c r="V9" s="9"/>
      <c r="W9" s="9"/>
      <c r="X9" s="9"/>
      <c r="Y9" s="9"/>
      <c r="Z9" s="9"/>
      <c r="AA9" s="9"/>
      <c r="AB9" s="9"/>
      <c r="AC9" s="9"/>
    </row>
    <row r="10" spans="1:29" ht="12.75" customHeight="1">
      <c r="A10" s="9"/>
      <c r="B10" s="9"/>
      <c r="C10" s="9"/>
      <c r="D10" s="9"/>
      <c r="E10" s="9"/>
      <c r="F10" s="9"/>
      <c r="G10" s="9"/>
      <c r="H10" s="548"/>
      <c r="I10" s="548"/>
      <c r="J10" s="9"/>
      <c r="K10" s="9"/>
      <c r="L10" s="9"/>
      <c r="M10" s="9"/>
      <c r="N10" s="9"/>
      <c r="O10" s="9"/>
      <c r="P10" s="9"/>
      <c r="Q10" s="9"/>
      <c r="R10" s="9"/>
      <c r="S10" s="9"/>
      <c r="T10" s="9"/>
      <c r="U10" s="9"/>
      <c r="V10" s="9"/>
      <c r="W10" s="9"/>
      <c r="X10" s="9"/>
      <c r="Y10" s="9"/>
      <c r="Z10" s="9"/>
      <c r="AA10" s="9"/>
      <c r="AB10" s="9"/>
      <c r="AC10" s="9"/>
    </row>
    <row r="11" spans="1:29" ht="12.75" customHeight="1">
      <c r="A11" s="9"/>
      <c r="B11" s="552"/>
      <c r="C11" s="552" t="s">
        <v>560</v>
      </c>
      <c r="D11" s="552" t="s">
        <v>561</v>
      </c>
      <c r="E11" s="552"/>
      <c r="F11" s="552"/>
      <c r="G11" s="552"/>
      <c r="H11" s="548"/>
      <c r="I11" s="548"/>
      <c r="J11" s="9"/>
      <c r="K11" s="9"/>
      <c r="L11" s="9"/>
      <c r="M11" s="9"/>
      <c r="N11" s="9"/>
      <c r="O11" s="9"/>
      <c r="P11" s="9"/>
      <c r="Q11" s="9"/>
      <c r="R11" s="9"/>
      <c r="S11" s="9"/>
      <c r="T11" s="9"/>
      <c r="U11" s="9"/>
      <c r="V11" s="9"/>
      <c r="W11" s="9"/>
      <c r="X11" s="9"/>
      <c r="Y11" s="9"/>
      <c r="Z11" s="9"/>
      <c r="AA11" s="9"/>
      <c r="AB11" s="9"/>
      <c r="AC11" s="9"/>
    </row>
    <row r="12" spans="1:29" ht="12.75" customHeight="1">
      <c r="A12" s="9"/>
      <c r="B12" s="553" t="s">
        <v>562</v>
      </c>
      <c r="C12" s="553" t="s">
        <v>563</v>
      </c>
      <c r="D12" s="553" t="s">
        <v>564</v>
      </c>
      <c r="E12" s="553" t="s">
        <v>565</v>
      </c>
      <c r="F12" s="553" t="s">
        <v>566</v>
      </c>
      <c r="G12" s="553" t="s">
        <v>21</v>
      </c>
      <c r="H12" s="548"/>
      <c r="I12" s="548"/>
      <c r="J12" s="9"/>
      <c r="K12" s="9">
        <f>J12+1</f>
        <v>1</v>
      </c>
      <c r="L12" s="9">
        <f>K12+1</f>
        <v>2</v>
      </c>
      <c r="M12" s="9">
        <f>L12+1</f>
        <v>3</v>
      </c>
      <c r="N12" s="9">
        <f>M12+1</f>
        <v>4</v>
      </c>
      <c r="O12" s="9">
        <f>N12+1</f>
        <v>5</v>
      </c>
      <c r="P12" s="548"/>
      <c r="Q12" s="548">
        <f>P12+1</f>
        <v>1</v>
      </c>
      <c r="R12" s="548">
        <f>Q12+1</f>
        <v>2</v>
      </c>
      <c r="S12" s="548">
        <f>R12+1</f>
        <v>3</v>
      </c>
      <c r="T12" s="548">
        <f>S12+1</f>
        <v>4</v>
      </c>
      <c r="U12" s="548">
        <f>T12+1</f>
        <v>5</v>
      </c>
      <c r="V12" s="9"/>
      <c r="W12" s="9"/>
      <c r="X12" s="9"/>
      <c r="Y12" s="9"/>
      <c r="Z12" s="9"/>
      <c r="AA12" s="9"/>
      <c r="AB12" s="9"/>
      <c r="AC12" s="9"/>
    </row>
    <row r="13" spans="1:29" ht="12.75" hidden="1" customHeight="1" outlineLevel="1">
      <c r="A13" s="9"/>
      <c r="B13" s="540" t="s">
        <v>567</v>
      </c>
      <c r="C13" s="408" t="str">
        <f t="shared" ref="C13:C30" si="0">IF(J13="","",IFERROR(MATCH(B13,$K13:O13,0),"NO"))</f>
        <v>NO</v>
      </c>
      <c r="D13" s="540">
        <v>1</v>
      </c>
      <c r="E13" s="9" t="str">
        <f t="shared" ref="E13:E30" si="1">IF(INDEX($K13:$O13,,MATCH($D13,$K$12:$O$12,0))=0,"No Result",INDEX($K13:$O13,,MATCH($D13,$K$12:$O$12,0)))</f>
        <v>No Result</v>
      </c>
      <c r="F13" s="9" t="str">
        <f t="shared" ref="F13:F30" si="2">IF(INDEX($Q13:$U13,,MATCH($D13,$Q$12:$U$12,0))=0,"",INDEX($Q13:$U13,,MATCH($D13,$Q$12:$U$12,0)))</f>
        <v/>
      </c>
      <c r="G13" s="364" t="str">
        <f t="shared" ref="G13:G30" si="3">IF(OR(_xll.ciqfunctions.udf.CIQ($F13,"IQ_COMPANY_TICKER")=0,_xll.ciqfunctions.udf.CIQ($F13,"IQ_COMPANY_TICKER")="(Invalid Identifier)"),"-",_xll.ciqfunctions.udf.CIQ($F13,"IQ_COMPANY_TICKER"))</f>
        <v>-</v>
      </c>
      <c r="H13" s="548"/>
      <c r="I13" s="548"/>
      <c r="J13" s="9" t="str">
        <f t="shared" ref="J13:J30" si="4">_xll.ciqfunctions.udf.CIQRANGEA($B13,"IQ_COMPANY_NAME_QUICK_MATCH",1,5,,,,,,,"NAME")</f>
        <v>(Invalid Identifier)</v>
      </c>
      <c r="K13" s="9"/>
      <c r="L13" s="9"/>
      <c r="M13" s="9"/>
      <c r="N13" s="9"/>
      <c r="O13" s="548"/>
      <c r="P13" s="548" t="str">
        <f t="shared" ref="P13:P30" si="5">_xll.ciqfunctions.udf.CIQRANGEA($B13,"IQ_COMPANY_ID_QUICK_MATCH",1,5,,,,,,,"ID")</f>
        <v>(Invalid Identifier)</v>
      </c>
      <c r="Q13" s="548"/>
      <c r="R13" s="548"/>
      <c r="S13" s="548"/>
      <c r="T13" s="548"/>
      <c r="U13" s="548"/>
      <c r="V13" s="9"/>
      <c r="W13" s="9"/>
      <c r="X13" s="9"/>
      <c r="Y13" s="9"/>
      <c r="Z13" s="9"/>
      <c r="AA13" s="9"/>
      <c r="AB13" s="9"/>
      <c r="AC13" s="9"/>
    </row>
    <row r="14" spans="1:29" ht="12.75" customHeight="1" collapsed="1">
      <c r="A14" s="9"/>
      <c r="B14" s="540" t="s">
        <v>840</v>
      </c>
      <c r="C14" s="408" t="str">
        <f t="shared" si="0"/>
        <v>NO</v>
      </c>
      <c r="D14" s="540">
        <v>1</v>
      </c>
      <c r="E14" s="9" t="str">
        <f t="shared" si="1"/>
        <v>Hamilton Lane Incorporated</v>
      </c>
      <c r="F14" s="9" t="str">
        <f t="shared" si="2"/>
        <v>IQ780675</v>
      </c>
      <c r="G14" s="364" t="str">
        <f t="shared" si="3"/>
        <v>NasdaqGS:HLNE</v>
      </c>
      <c r="H14" s="548"/>
      <c r="I14" s="548"/>
      <c r="J14" s="9" t="str">
        <f t="shared" si="4"/>
        <v>NAME</v>
      </c>
      <c r="K14" s="9" t="s">
        <v>872</v>
      </c>
      <c r="L14" s="9" t="s">
        <v>873</v>
      </c>
      <c r="M14" s="9" t="s">
        <v>874</v>
      </c>
      <c r="N14" s="9" t="s">
        <v>875</v>
      </c>
      <c r="O14" s="548" t="s">
        <v>876</v>
      </c>
      <c r="P14" s="548" t="str">
        <f t="shared" si="5"/>
        <v>ID</v>
      </c>
      <c r="Q14" s="548" t="s">
        <v>867</v>
      </c>
      <c r="R14" s="548" t="s">
        <v>868</v>
      </c>
      <c r="S14" s="548" t="s">
        <v>869</v>
      </c>
      <c r="T14" s="548" t="s">
        <v>870</v>
      </c>
      <c r="U14" s="548" t="s">
        <v>871</v>
      </c>
      <c r="V14" s="9"/>
      <c r="W14" s="9"/>
      <c r="X14" s="9"/>
      <c r="Y14" s="9"/>
      <c r="Z14" s="9"/>
      <c r="AA14" s="9"/>
      <c r="AB14" s="9"/>
      <c r="AC14" s="9"/>
    </row>
    <row r="15" spans="1:29" ht="12.75" customHeight="1">
      <c r="A15" s="9"/>
      <c r="B15" s="540" t="s">
        <v>1151</v>
      </c>
      <c r="C15" s="408" t="e">
        <f t="shared" ca="1" si="0"/>
        <v>#NAME?</v>
      </c>
      <c r="D15" s="540">
        <v>1</v>
      </c>
      <c r="E15" s="9" t="str">
        <f t="shared" si="1"/>
        <v>StepStone Group Inc.</v>
      </c>
      <c r="F15" s="9" t="str">
        <f t="shared" si="2"/>
        <v>IQ34231914</v>
      </c>
      <c r="G15" s="364" t="str">
        <f t="shared" si="3"/>
        <v>NasdaqGS:STEP</v>
      </c>
      <c r="H15" s="548"/>
      <c r="I15" s="548"/>
      <c r="J15" s="9" t="e">
        <f t="shared" ca="1" si="4"/>
        <v>#NAME?</v>
      </c>
      <c r="K15" s="9" t="s">
        <v>927</v>
      </c>
      <c r="L15" s="9" t="s">
        <v>928</v>
      </c>
      <c r="M15" s="9" t="s">
        <v>929</v>
      </c>
      <c r="N15" s="9" t="s">
        <v>930</v>
      </c>
      <c r="O15" s="548" t="s">
        <v>931</v>
      </c>
      <c r="P15" s="548" t="e">
        <f t="shared" ca="1" si="5"/>
        <v>#NAME?</v>
      </c>
      <c r="Q15" s="548" t="s">
        <v>932</v>
      </c>
      <c r="R15" s="548" t="s">
        <v>933</v>
      </c>
      <c r="S15" s="548" t="s">
        <v>934</v>
      </c>
      <c r="T15" s="548" t="s">
        <v>935</v>
      </c>
      <c r="U15" s="548" t="s">
        <v>936</v>
      </c>
      <c r="V15" s="9"/>
      <c r="W15" s="9"/>
      <c r="X15" s="9"/>
      <c r="Y15" s="9"/>
      <c r="Z15" s="9"/>
      <c r="AA15" s="9"/>
      <c r="AB15" s="9"/>
      <c r="AC15" s="9"/>
    </row>
    <row r="16" spans="1:29" ht="12.75" customHeight="1">
      <c r="A16" s="9"/>
      <c r="B16" s="540" t="s">
        <v>1152</v>
      </c>
      <c r="C16" s="408" t="e">
        <f t="shared" ca="1" si="0"/>
        <v>#NAME?</v>
      </c>
      <c r="D16" s="540">
        <v>1</v>
      </c>
      <c r="E16" s="9" t="str">
        <f t="shared" si="1"/>
        <v>Ares Management Corporation</v>
      </c>
      <c r="F16" s="9" t="str">
        <f t="shared" si="2"/>
        <v>IQ44707236</v>
      </c>
      <c r="G16" s="364" t="str">
        <f t="shared" si="3"/>
        <v>NYSE:ARES</v>
      </c>
      <c r="H16" s="548"/>
      <c r="I16" s="548"/>
      <c r="J16" s="9" t="e">
        <f t="shared" ca="1" si="4"/>
        <v>#NAME?</v>
      </c>
      <c r="K16" s="9" t="s">
        <v>937</v>
      </c>
      <c r="L16" s="9" t="s">
        <v>938</v>
      </c>
      <c r="M16" s="9" t="s">
        <v>939</v>
      </c>
      <c r="N16" s="9" t="s">
        <v>940</v>
      </c>
      <c r="O16" s="548" t="s">
        <v>941</v>
      </c>
      <c r="P16" s="548" t="e">
        <f t="shared" ca="1" si="5"/>
        <v>#NAME?</v>
      </c>
      <c r="Q16" s="548" t="s">
        <v>942</v>
      </c>
      <c r="R16" s="548" t="s">
        <v>943</v>
      </c>
      <c r="S16" s="548" t="s">
        <v>944</v>
      </c>
      <c r="T16" s="548" t="s">
        <v>945</v>
      </c>
      <c r="U16" s="548" t="s">
        <v>946</v>
      </c>
      <c r="V16" s="9"/>
      <c r="W16" s="9"/>
      <c r="X16" s="9"/>
      <c r="Y16" s="9"/>
      <c r="Z16" s="9"/>
      <c r="AA16" s="9"/>
      <c r="AB16" s="9"/>
      <c r="AC16" s="9"/>
    </row>
    <row r="17" spans="1:29" ht="12.75" customHeight="1">
      <c r="A17" s="9"/>
      <c r="B17" s="540" t="s">
        <v>969</v>
      </c>
      <c r="C17" s="408" t="e">
        <f t="shared" ca="1" si="0"/>
        <v>#NAME?</v>
      </c>
      <c r="D17" s="540">
        <v>1</v>
      </c>
      <c r="E17" s="9" t="str">
        <f t="shared" si="1"/>
        <v>Blackstone Inc.</v>
      </c>
      <c r="F17" s="9" t="str">
        <f t="shared" si="2"/>
        <v>IQ671980</v>
      </c>
      <c r="G17" s="364" t="str">
        <f t="shared" si="3"/>
        <v>NYSE:BX</v>
      </c>
      <c r="H17" s="548"/>
      <c r="I17" s="548"/>
      <c r="J17" s="9" t="e">
        <f t="shared" ca="1" si="4"/>
        <v>#NAME?</v>
      </c>
      <c r="K17" s="9" t="s">
        <v>952</v>
      </c>
      <c r="L17" s="9" t="s">
        <v>953</v>
      </c>
      <c r="M17" s="9" t="s">
        <v>954</v>
      </c>
      <c r="N17" s="9" t="s">
        <v>955</v>
      </c>
      <c r="O17" s="548" t="s">
        <v>956</v>
      </c>
      <c r="P17" s="548" t="e">
        <f t="shared" ca="1" si="5"/>
        <v>#NAME?</v>
      </c>
      <c r="Q17" s="548" t="s">
        <v>947</v>
      </c>
      <c r="R17" s="548" t="s">
        <v>948</v>
      </c>
      <c r="S17" s="548" t="s">
        <v>949</v>
      </c>
      <c r="T17" s="548" t="s">
        <v>950</v>
      </c>
      <c r="U17" s="548" t="s">
        <v>951</v>
      </c>
      <c r="V17" s="9"/>
      <c r="W17" s="9"/>
      <c r="X17" s="9"/>
      <c r="Y17" s="9"/>
      <c r="Z17" s="9"/>
      <c r="AA17" s="9"/>
      <c r="AB17" s="9"/>
      <c r="AC17" s="9"/>
    </row>
    <row r="18" spans="1:29" ht="12.75" customHeight="1">
      <c r="A18" s="9"/>
      <c r="B18" s="540" t="s">
        <v>970</v>
      </c>
      <c r="C18" s="408" t="e">
        <f t="shared" ca="1" si="0"/>
        <v>#NAME?</v>
      </c>
      <c r="D18" s="540">
        <v>1</v>
      </c>
      <c r="E18" s="9" t="str">
        <f t="shared" si="1"/>
        <v>TPG Inc.</v>
      </c>
      <c r="F18" s="9" t="str">
        <f t="shared" si="2"/>
        <v>IQ538190258</v>
      </c>
      <c r="G18" s="364" t="str">
        <f t="shared" si="3"/>
        <v>NasdaqGS:TPG</v>
      </c>
      <c r="H18" s="548"/>
      <c r="I18" s="548"/>
      <c r="J18" s="9" t="e">
        <f t="shared" ca="1" si="4"/>
        <v>#NAME?</v>
      </c>
      <c r="K18" s="9" t="s">
        <v>962</v>
      </c>
      <c r="L18" s="9" t="s">
        <v>963</v>
      </c>
      <c r="M18" s="9" t="s">
        <v>964</v>
      </c>
      <c r="N18" s="9" t="s">
        <v>965</v>
      </c>
      <c r="O18" s="548" t="s">
        <v>966</v>
      </c>
      <c r="P18" s="548" t="e">
        <f t="shared" ca="1" si="5"/>
        <v>#NAME?</v>
      </c>
      <c r="Q18" s="548" t="s">
        <v>957</v>
      </c>
      <c r="R18" s="548" t="s">
        <v>958</v>
      </c>
      <c r="S18" s="548" t="s">
        <v>959</v>
      </c>
      <c r="T18" s="548" t="s">
        <v>960</v>
      </c>
      <c r="U18" s="548" t="s">
        <v>961</v>
      </c>
      <c r="V18" s="9"/>
      <c r="W18" s="9"/>
      <c r="X18" s="9"/>
      <c r="Y18" s="9"/>
      <c r="Z18" s="9"/>
      <c r="AA18" s="9"/>
      <c r="AB18" s="9"/>
      <c r="AC18" s="9"/>
    </row>
    <row r="19" spans="1:29" ht="12.75" customHeight="1">
      <c r="A19" s="9"/>
      <c r="B19" s="540" t="s">
        <v>568</v>
      </c>
      <c r="C19" s="408">
        <f t="shared" si="0"/>
        <v>1</v>
      </c>
      <c r="D19" s="540">
        <v>1</v>
      </c>
      <c r="E19" s="9" t="str">
        <f t="shared" si="1"/>
        <v>Emerson Electric Co.</v>
      </c>
      <c r="F19" s="9" t="str">
        <f t="shared" si="2"/>
        <v>IQ269231</v>
      </c>
      <c r="G19" s="364" t="str">
        <f t="shared" si="3"/>
        <v>NYSE:EMR</v>
      </c>
      <c r="H19" s="548"/>
      <c r="I19" s="548"/>
      <c r="J19" s="9" t="str">
        <f t="shared" si="4"/>
        <v>NAME</v>
      </c>
      <c r="K19" s="9" t="s">
        <v>568</v>
      </c>
      <c r="L19" s="9" t="s">
        <v>884</v>
      </c>
      <c r="M19" s="9" t="s">
        <v>569</v>
      </c>
      <c r="N19" s="9" t="s">
        <v>885</v>
      </c>
      <c r="O19" s="548" t="s">
        <v>886</v>
      </c>
      <c r="P19" s="548" t="str">
        <f t="shared" si="5"/>
        <v>ID</v>
      </c>
      <c r="Q19" s="548" t="s">
        <v>552</v>
      </c>
      <c r="R19" s="548" t="s">
        <v>879</v>
      </c>
      <c r="S19" s="548" t="s">
        <v>570</v>
      </c>
      <c r="T19" s="548" t="s">
        <v>880</v>
      </c>
      <c r="U19" s="548" t="s">
        <v>881</v>
      </c>
      <c r="V19" s="9"/>
      <c r="W19" s="9"/>
      <c r="X19" s="9"/>
      <c r="Y19" s="9"/>
      <c r="Z19" s="9"/>
      <c r="AA19" s="9"/>
      <c r="AB19" s="9"/>
      <c r="AC19" s="9"/>
    </row>
    <row r="20" spans="1:29" ht="12.75" customHeight="1">
      <c r="A20" s="9"/>
      <c r="B20" s="540" t="s">
        <v>534</v>
      </c>
      <c r="C20" s="408">
        <f t="shared" si="0"/>
        <v>2</v>
      </c>
      <c r="D20" s="540">
        <v>1</v>
      </c>
      <c r="E20" s="9" t="str">
        <f t="shared" si="1"/>
        <v>Apple Inc.</v>
      </c>
      <c r="F20" s="9" t="str">
        <f t="shared" si="2"/>
        <v>IQ24937</v>
      </c>
      <c r="G20" s="364" t="str">
        <f t="shared" si="3"/>
        <v>NasdaqGS:AAPL</v>
      </c>
      <c r="H20" s="548"/>
      <c r="I20" s="548"/>
      <c r="J20" s="9" t="str">
        <f t="shared" si="4"/>
        <v>NAME</v>
      </c>
      <c r="K20" s="9" t="s">
        <v>571</v>
      </c>
      <c r="L20" s="9" t="s">
        <v>534</v>
      </c>
      <c r="M20" s="9" t="s">
        <v>573</v>
      </c>
      <c r="N20" s="9" t="s">
        <v>572</v>
      </c>
      <c r="O20" s="548" t="s">
        <v>571</v>
      </c>
      <c r="P20" s="548" t="str">
        <f t="shared" si="5"/>
        <v>ID</v>
      </c>
      <c r="Q20" s="548" t="s">
        <v>574</v>
      </c>
      <c r="R20" s="548" t="s">
        <v>575</v>
      </c>
      <c r="S20" s="548" t="s">
        <v>577</v>
      </c>
      <c r="T20" s="548" t="s">
        <v>576</v>
      </c>
      <c r="U20" s="548" t="s">
        <v>578</v>
      </c>
      <c r="V20" s="9"/>
      <c r="W20" s="9"/>
      <c r="X20" s="9"/>
      <c r="Y20" s="9"/>
      <c r="Z20" s="9"/>
      <c r="AA20" s="9"/>
      <c r="AB20" s="9"/>
      <c r="AC20" s="9"/>
    </row>
    <row r="21" spans="1:29" ht="12.75" customHeight="1">
      <c r="A21" s="9"/>
      <c r="B21" s="540" t="s">
        <v>579</v>
      </c>
      <c r="C21" s="408" t="str">
        <f t="shared" si="0"/>
        <v>NO</v>
      </c>
      <c r="D21" s="540">
        <v>1</v>
      </c>
      <c r="E21" s="9" t="str">
        <f t="shared" si="1"/>
        <v>Oracle Corporation</v>
      </c>
      <c r="F21" s="9" t="str">
        <f t="shared" si="2"/>
        <v>IQ22247</v>
      </c>
      <c r="G21" s="364" t="str">
        <f t="shared" si="3"/>
        <v>NYSE:ORCL</v>
      </c>
      <c r="H21" s="548"/>
      <c r="I21" s="548"/>
      <c r="J21" s="9" t="str">
        <f t="shared" si="4"/>
        <v>NAME</v>
      </c>
      <c r="K21" s="9" t="s">
        <v>580</v>
      </c>
      <c r="L21" s="9" t="s">
        <v>581</v>
      </c>
      <c r="M21" s="9" t="s">
        <v>582</v>
      </c>
      <c r="N21" s="9" t="s">
        <v>911</v>
      </c>
      <c r="O21" s="548" t="s">
        <v>912</v>
      </c>
      <c r="P21" s="548" t="str">
        <f t="shared" si="5"/>
        <v>ID</v>
      </c>
      <c r="Q21" s="548" t="s">
        <v>583</v>
      </c>
      <c r="R21" s="548" t="s">
        <v>584</v>
      </c>
      <c r="S21" s="548" t="s">
        <v>585</v>
      </c>
      <c r="T21" s="548" t="s">
        <v>877</v>
      </c>
      <c r="U21" s="548" t="s">
        <v>878</v>
      </c>
      <c r="V21" s="9"/>
      <c r="W21" s="9"/>
      <c r="X21" s="9"/>
      <c r="Y21" s="9"/>
      <c r="Z21" s="9"/>
      <c r="AA21" s="9"/>
      <c r="AB21" s="9"/>
      <c r="AC21" s="9"/>
    </row>
    <row r="22" spans="1:29" ht="12.75" customHeight="1">
      <c r="A22" s="9"/>
      <c r="B22" s="540" t="s">
        <v>586</v>
      </c>
      <c r="C22" s="408" t="str">
        <f t="shared" si="0"/>
        <v>NO</v>
      </c>
      <c r="D22" s="540">
        <v>1</v>
      </c>
      <c r="E22" s="9" t="str">
        <f t="shared" si="1"/>
        <v>Citrix Systems, Inc.</v>
      </c>
      <c r="F22" s="9" t="str">
        <f t="shared" si="2"/>
        <v>IQ26524</v>
      </c>
      <c r="G22" s="364" t="str">
        <f t="shared" si="3"/>
        <v>NasdaqGM:CTXS</v>
      </c>
      <c r="H22" s="548"/>
      <c r="I22" s="548"/>
      <c r="J22" s="9" t="str">
        <f t="shared" si="4"/>
        <v>NAME</v>
      </c>
      <c r="K22" s="9" t="s">
        <v>587</v>
      </c>
      <c r="L22" s="9" t="s">
        <v>588</v>
      </c>
      <c r="M22" s="9" t="s">
        <v>905</v>
      </c>
      <c r="N22" s="9" t="s">
        <v>906</v>
      </c>
      <c r="O22" s="548" t="s">
        <v>907</v>
      </c>
      <c r="P22" s="548" t="str">
        <f t="shared" si="5"/>
        <v>ID</v>
      </c>
      <c r="Q22" s="548" t="s">
        <v>589</v>
      </c>
      <c r="R22" s="548" t="s">
        <v>590</v>
      </c>
      <c r="S22" s="548" t="s">
        <v>887</v>
      </c>
      <c r="T22" s="548" t="s">
        <v>591</v>
      </c>
      <c r="U22" s="548" t="s">
        <v>888</v>
      </c>
      <c r="V22" s="9"/>
      <c r="W22" s="9"/>
      <c r="X22" s="9"/>
      <c r="Y22" s="9"/>
      <c r="Z22" s="9"/>
      <c r="AA22" s="9"/>
      <c r="AB22" s="9"/>
      <c r="AC22" s="9"/>
    </row>
    <row r="23" spans="1:29" ht="12.75" customHeight="1">
      <c r="A23" s="9"/>
      <c r="B23" s="540" t="s">
        <v>592</v>
      </c>
      <c r="C23" s="408" t="str">
        <f t="shared" si="0"/>
        <v>NO</v>
      </c>
      <c r="D23" s="540">
        <v>1</v>
      </c>
      <c r="E23" s="9" t="str">
        <f t="shared" si="1"/>
        <v>Cyren Ltd.</v>
      </c>
      <c r="F23" s="9" t="str">
        <f t="shared" si="2"/>
        <v>IQ26767</v>
      </c>
      <c r="G23" s="364" t="str">
        <f t="shared" si="3"/>
        <v>OTCPK:CYRN.Q</v>
      </c>
      <c r="H23" s="548"/>
      <c r="I23" s="548"/>
      <c r="J23" s="9" t="str">
        <f t="shared" si="4"/>
        <v>NAME</v>
      </c>
      <c r="K23" s="9" t="s">
        <v>593</v>
      </c>
      <c r="L23" s="9" t="s">
        <v>889</v>
      </c>
      <c r="M23" s="9" t="s">
        <v>594</v>
      </c>
      <c r="N23" s="9" t="s">
        <v>594</v>
      </c>
      <c r="O23" s="548" t="s">
        <v>594</v>
      </c>
      <c r="P23" s="548" t="str">
        <f t="shared" si="5"/>
        <v>ID</v>
      </c>
      <c r="Q23" s="548" t="s">
        <v>595</v>
      </c>
      <c r="R23" s="548" t="s">
        <v>913</v>
      </c>
      <c r="S23" s="548" t="s">
        <v>914</v>
      </c>
      <c r="T23" s="548" t="s">
        <v>915</v>
      </c>
      <c r="U23" s="548" t="s">
        <v>916</v>
      </c>
      <c r="V23" s="9"/>
      <c r="W23" s="9"/>
      <c r="X23" s="9"/>
      <c r="Y23" s="9"/>
      <c r="Z23" s="9"/>
      <c r="AA23" s="9"/>
      <c r="AB23" s="9"/>
      <c r="AC23" s="9"/>
    </row>
    <row r="24" spans="1:29" ht="12.75" customHeight="1">
      <c r="A24" s="9"/>
      <c r="B24" s="540" t="s">
        <v>596</v>
      </c>
      <c r="C24" s="408" t="str">
        <f t="shared" si="0"/>
        <v>NO</v>
      </c>
      <c r="D24" s="540">
        <v>1</v>
      </c>
      <c r="E24" s="9" t="str">
        <f t="shared" si="1"/>
        <v>Commvault Systems, Inc.</v>
      </c>
      <c r="F24" s="9" t="str">
        <f t="shared" si="2"/>
        <v>IQ26789</v>
      </c>
      <c r="G24" s="364" t="str">
        <f t="shared" si="3"/>
        <v>NasdaqGS:CVLT</v>
      </c>
      <c r="H24" s="548"/>
      <c r="I24" s="548"/>
      <c r="J24" s="9" t="str">
        <f t="shared" si="4"/>
        <v>NAME</v>
      </c>
      <c r="K24" s="9" t="s">
        <v>597</v>
      </c>
      <c r="L24" s="9" t="s">
        <v>908</v>
      </c>
      <c r="M24" s="9" t="s">
        <v>909</v>
      </c>
      <c r="N24" s="9" t="s">
        <v>598</v>
      </c>
      <c r="O24" s="548" t="s">
        <v>910</v>
      </c>
      <c r="P24" s="548" t="str">
        <f t="shared" si="5"/>
        <v>ID</v>
      </c>
      <c r="Q24" s="548" t="s">
        <v>599</v>
      </c>
      <c r="R24" s="548" t="s">
        <v>890</v>
      </c>
      <c r="S24" s="548" t="s">
        <v>891</v>
      </c>
      <c r="T24" s="548" t="s">
        <v>600</v>
      </c>
      <c r="U24" s="548" t="s">
        <v>892</v>
      </c>
      <c r="V24" s="9"/>
      <c r="W24" s="9"/>
      <c r="X24" s="9"/>
      <c r="Y24" s="9"/>
      <c r="Z24" s="9"/>
      <c r="AA24" s="9"/>
      <c r="AB24" s="9"/>
      <c r="AC24" s="9"/>
    </row>
    <row r="25" spans="1:29" ht="12.75" customHeight="1">
      <c r="A25" s="9"/>
      <c r="B25" s="540" t="s">
        <v>601</v>
      </c>
      <c r="C25" s="408">
        <f t="shared" si="0"/>
        <v>1</v>
      </c>
      <c r="D25" s="540">
        <v>1</v>
      </c>
      <c r="E25" s="9" t="str">
        <f t="shared" si="1"/>
        <v>eGain Corporation</v>
      </c>
      <c r="F25" s="9" t="str">
        <f t="shared" si="2"/>
        <v>IQ27928</v>
      </c>
      <c r="G25" s="364" t="str">
        <f t="shared" si="3"/>
        <v>NasdaqCM:EGAN</v>
      </c>
      <c r="H25" s="548"/>
      <c r="I25" s="548"/>
      <c r="J25" s="9" t="str">
        <f t="shared" si="4"/>
        <v>NAME</v>
      </c>
      <c r="K25" s="9" t="s">
        <v>601</v>
      </c>
      <c r="L25" s="9" t="s">
        <v>897</v>
      </c>
      <c r="M25" s="9" t="s">
        <v>898</v>
      </c>
      <c r="N25" s="9" t="s">
        <v>899</v>
      </c>
      <c r="O25" s="548" t="s">
        <v>900</v>
      </c>
      <c r="P25" s="548" t="str">
        <f t="shared" si="5"/>
        <v>ID</v>
      </c>
      <c r="Q25" s="548" t="s">
        <v>602</v>
      </c>
      <c r="R25" s="548" t="s">
        <v>893</v>
      </c>
      <c r="S25" s="548" t="s">
        <v>894</v>
      </c>
      <c r="T25" s="548" t="s">
        <v>895</v>
      </c>
      <c r="U25" s="548" t="s">
        <v>896</v>
      </c>
      <c r="V25" s="9"/>
      <c r="W25" s="9"/>
      <c r="X25" s="9"/>
      <c r="Y25" s="9"/>
      <c r="Z25" s="9"/>
      <c r="AA25" s="9"/>
      <c r="AB25" s="9"/>
      <c r="AC25" s="9"/>
    </row>
    <row r="26" spans="1:29" ht="12.75" customHeight="1">
      <c r="A26" s="9"/>
      <c r="B26" s="540" t="s">
        <v>603</v>
      </c>
      <c r="C26" s="408" t="str">
        <f t="shared" si="0"/>
        <v>NO</v>
      </c>
      <c r="D26" s="540">
        <v>1</v>
      </c>
      <c r="E26" s="9" t="str">
        <f t="shared" si="1"/>
        <v>Harmonic Inc.</v>
      </c>
      <c r="F26" s="9" t="str">
        <f t="shared" si="2"/>
        <v>IQ29282</v>
      </c>
      <c r="G26" s="364" t="str">
        <f t="shared" si="3"/>
        <v>NasdaqGS:HLIT</v>
      </c>
      <c r="H26" s="548"/>
      <c r="I26" s="548"/>
      <c r="J26" s="9" t="str">
        <f t="shared" si="4"/>
        <v>NAME</v>
      </c>
      <c r="K26" s="9" t="s">
        <v>604</v>
      </c>
      <c r="L26" s="9" t="s">
        <v>605</v>
      </c>
      <c r="M26" s="9" t="s">
        <v>606</v>
      </c>
      <c r="N26" s="9" t="s">
        <v>882</v>
      </c>
      <c r="O26" s="548" t="s">
        <v>883</v>
      </c>
      <c r="P26" s="548" t="str">
        <f t="shared" si="5"/>
        <v>ID</v>
      </c>
      <c r="Q26" s="548" t="s">
        <v>607</v>
      </c>
      <c r="R26" s="548" t="s">
        <v>608</v>
      </c>
      <c r="S26" s="548" t="s">
        <v>609</v>
      </c>
      <c r="T26" s="548" t="s">
        <v>925</v>
      </c>
      <c r="U26" s="548" t="s">
        <v>926</v>
      </c>
      <c r="V26" s="9"/>
      <c r="W26" s="9"/>
      <c r="X26" s="9"/>
      <c r="Y26" s="9"/>
      <c r="Z26" s="9"/>
      <c r="AA26" s="9"/>
      <c r="AB26" s="9"/>
      <c r="AC26" s="9"/>
    </row>
    <row r="27" spans="1:29" ht="12.75" customHeight="1">
      <c r="A27" s="9"/>
      <c r="B27" s="540" t="s">
        <v>610</v>
      </c>
      <c r="C27" s="408" t="str">
        <f t="shared" si="0"/>
        <v>NO</v>
      </c>
      <c r="D27" s="540">
        <v>1</v>
      </c>
      <c r="E27" s="9" t="str">
        <f t="shared" si="1"/>
        <v>NetApp, Inc.</v>
      </c>
      <c r="F27" s="9" t="str">
        <f t="shared" si="2"/>
        <v>IQ32052</v>
      </c>
      <c r="G27" s="364" t="str">
        <f t="shared" si="3"/>
        <v>NasdaqGS:NTAP</v>
      </c>
      <c r="H27" s="548"/>
      <c r="I27" s="548"/>
      <c r="J27" s="9" t="str">
        <f t="shared" si="4"/>
        <v>NAME</v>
      </c>
      <c r="K27" s="9" t="s">
        <v>611</v>
      </c>
      <c r="L27" s="9" t="s">
        <v>613</v>
      </c>
      <c r="M27" s="9" t="s">
        <v>903</v>
      </c>
      <c r="N27" s="9" t="s">
        <v>612</v>
      </c>
      <c r="O27" s="548" t="s">
        <v>904</v>
      </c>
      <c r="P27" s="548" t="str">
        <f t="shared" si="5"/>
        <v>ID</v>
      </c>
      <c r="Q27" s="548" t="s">
        <v>614</v>
      </c>
      <c r="R27" s="548" t="s">
        <v>616</v>
      </c>
      <c r="S27" s="548" t="s">
        <v>901</v>
      </c>
      <c r="T27" s="548" t="s">
        <v>615</v>
      </c>
      <c r="U27" s="548" t="s">
        <v>902</v>
      </c>
      <c r="V27" s="9"/>
      <c r="W27" s="9"/>
      <c r="X27" s="9"/>
      <c r="Y27" s="9"/>
      <c r="Z27" s="9"/>
      <c r="AA27" s="9"/>
      <c r="AB27" s="9"/>
      <c r="AC27" s="9"/>
    </row>
    <row r="28" spans="1:29" ht="12.75" customHeight="1">
      <c r="A28" s="9"/>
      <c r="B28" s="540" t="s">
        <v>617</v>
      </c>
      <c r="C28" s="408" t="str">
        <f t="shared" si="0"/>
        <v>NO</v>
      </c>
      <c r="D28" s="540">
        <v>1</v>
      </c>
      <c r="E28" s="9" t="str">
        <f t="shared" si="1"/>
        <v>Inseego Corp.</v>
      </c>
      <c r="F28" s="9" t="str">
        <f t="shared" si="2"/>
        <v>IQ32261</v>
      </c>
      <c r="G28" s="364" t="str">
        <f t="shared" si="3"/>
        <v>NasdaqGS:INSG</v>
      </c>
      <c r="H28" s="548"/>
      <c r="I28" s="548"/>
      <c r="J28" s="9" t="str">
        <f t="shared" si="4"/>
        <v>NAME</v>
      </c>
      <c r="K28" s="9" t="s">
        <v>618</v>
      </c>
      <c r="L28" s="9" t="s">
        <v>917</v>
      </c>
      <c r="M28" s="9" t="s">
        <v>918</v>
      </c>
      <c r="N28" s="9" t="s">
        <v>919</v>
      </c>
      <c r="O28" s="548" t="s">
        <v>920</v>
      </c>
      <c r="P28" s="548" t="str">
        <f t="shared" si="5"/>
        <v>ID</v>
      </c>
      <c r="Q28" s="548" t="s">
        <v>619</v>
      </c>
      <c r="R28" s="548" t="s">
        <v>921</v>
      </c>
      <c r="S28" s="548" t="s">
        <v>922</v>
      </c>
      <c r="T28" s="548" t="s">
        <v>923</v>
      </c>
      <c r="U28" s="548" t="s">
        <v>924</v>
      </c>
      <c r="V28" s="9"/>
      <c r="W28" s="9"/>
      <c r="X28" s="9"/>
      <c r="Y28" s="9"/>
      <c r="Z28" s="9"/>
      <c r="AA28" s="9"/>
      <c r="AB28" s="9"/>
      <c r="AC28" s="9"/>
    </row>
    <row r="29" spans="1:29" ht="12.75" customHeight="1">
      <c r="A29" s="9"/>
      <c r="B29" s="540" t="s">
        <v>620</v>
      </c>
      <c r="C29" s="408" t="str">
        <f t="shared" si="0"/>
        <v>NO</v>
      </c>
      <c r="D29" s="540">
        <v>1</v>
      </c>
      <c r="E29" s="9" t="str">
        <f t="shared" si="1"/>
        <v>Intouch Insight Ltd.</v>
      </c>
      <c r="F29" s="9" t="str">
        <f t="shared" si="2"/>
        <v>IQ3160034</v>
      </c>
      <c r="G29" s="364" t="str">
        <f t="shared" si="3"/>
        <v>TSXV:INX</v>
      </c>
      <c r="H29" s="548"/>
      <c r="I29" s="548"/>
      <c r="J29" s="9" t="str">
        <f t="shared" si="4"/>
        <v>NAME</v>
      </c>
      <c r="K29" s="9" t="s">
        <v>621</v>
      </c>
      <c r="L29" s="9" t="s">
        <v>622</v>
      </c>
      <c r="M29" s="9"/>
      <c r="N29" s="9"/>
      <c r="O29" s="548"/>
      <c r="P29" s="548" t="str">
        <f t="shared" si="5"/>
        <v>ID</v>
      </c>
      <c r="Q29" s="548" t="s">
        <v>623</v>
      </c>
      <c r="R29" s="548" t="s">
        <v>624</v>
      </c>
      <c r="S29" s="548"/>
      <c r="T29" s="548"/>
      <c r="U29" s="548"/>
      <c r="V29" s="9"/>
      <c r="W29" s="9"/>
      <c r="X29" s="9"/>
      <c r="Y29" s="9"/>
      <c r="Z29" s="9"/>
      <c r="AA29" s="9"/>
      <c r="AB29" s="9"/>
      <c r="AC29" s="9"/>
    </row>
    <row r="30" spans="1:29" ht="12.75" customHeight="1">
      <c r="A30" s="9"/>
      <c r="B30" s="540" t="s">
        <v>625</v>
      </c>
      <c r="C30" s="408" t="str">
        <f t="shared" si="0"/>
        <v>NO</v>
      </c>
      <c r="D30" s="540">
        <v>1</v>
      </c>
      <c r="E30" s="9" t="str">
        <f t="shared" si="1"/>
        <v>Energy Plug Technologies Corp.</v>
      </c>
      <c r="F30" s="9" t="str">
        <f t="shared" si="2"/>
        <v>IQ282167789</v>
      </c>
      <c r="G30" s="364" t="str">
        <f t="shared" si="3"/>
        <v>CNSX:PLUG</v>
      </c>
      <c r="H30" s="548"/>
      <c r="I30" s="548"/>
      <c r="J30" s="9" t="str">
        <f t="shared" si="4"/>
        <v>NAME</v>
      </c>
      <c r="K30" s="9" t="s">
        <v>626</v>
      </c>
      <c r="L30" s="9"/>
      <c r="M30" s="9"/>
      <c r="N30" s="9"/>
      <c r="O30" s="548"/>
      <c r="P30" s="548" t="str">
        <f t="shared" si="5"/>
        <v>ID</v>
      </c>
      <c r="Q30" s="548" t="s">
        <v>627</v>
      </c>
      <c r="R30" s="548"/>
      <c r="S30" s="548"/>
      <c r="T30" s="548"/>
      <c r="U30" s="548"/>
      <c r="V30" s="9"/>
      <c r="W30" s="9"/>
      <c r="X30" s="9"/>
      <c r="Y30" s="9"/>
      <c r="Z30" s="9"/>
      <c r="AA30" s="9"/>
      <c r="AB30" s="9"/>
      <c r="AC30" s="9"/>
    </row>
    <row r="31" spans="1:29" ht="12.75" customHeight="1">
      <c r="A31" s="9"/>
      <c r="B31" s="9"/>
      <c r="C31" s="9"/>
      <c r="D31" s="9"/>
      <c r="E31" s="9"/>
      <c r="F31" s="9"/>
      <c r="G31" s="9"/>
      <c r="H31" s="548"/>
      <c r="I31" s="548"/>
      <c r="J31" s="548"/>
      <c r="K31" s="548"/>
      <c r="L31" s="548"/>
      <c r="M31" s="548"/>
      <c r="N31" s="548"/>
      <c r="O31" s="548"/>
      <c r="P31" s="548"/>
      <c r="Q31" s="548"/>
      <c r="R31" s="548"/>
      <c r="S31" s="548"/>
      <c r="T31" s="548"/>
      <c r="U31" s="9"/>
      <c r="V31" s="9"/>
      <c r="W31" s="9"/>
      <c r="X31" s="9"/>
      <c r="Y31" s="9"/>
      <c r="Z31" s="9"/>
      <c r="AA31" s="9"/>
      <c r="AB31" s="9"/>
      <c r="AC31" s="9"/>
    </row>
    <row r="32" spans="1:29" ht="12.75" customHeight="1">
      <c r="A32" s="9"/>
      <c r="B32" s="9"/>
      <c r="C32" s="9"/>
      <c r="D32" s="9"/>
      <c r="E32" s="9"/>
      <c r="F32" s="9"/>
      <c r="G32" s="9"/>
      <c r="H32" s="548"/>
      <c r="I32" s="548"/>
      <c r="J32" s="548"/>
      <c r="K32" s="548"/>
      <c r="L32" s="548"/>
      <c r="M32" s="548"/>
      <c r="N32" s="548"/>
      <c r="O32" s="548"/>
      <c r="P32" s="548"/>
      <c r="Q32" s="548"/>
      <c r="R32" s="548"/>
      <c r="S32" s="548"/>
      <c r="T32" s="548"/>
      <c r="U32" s="9"/>
      <c r="V32" s="9"/>
      <c r="W32" s="9"/>
      <c r="X32" s="9"/>
      <c r="Y32" s="9"/>
      <c r="Z32" s="9"/>
      <c r="AA32" s="9"/>
      <c r="AB32" s="9"/>
      <c r="AC32" s="9"/>
    </row>
    <row r="33" spans="1:29" ht="12.75" customHeight="1">
      <c r="A33" s="9"/>
      <c r="B33" s="9"/>
      <c r="C33" s="9"/>
      <c r="D33" s="9"/>
      <c r="E33" s="9"/>
      <c r="F33" s="9"/>
      <c r="G33" s="9"/>
      <c r="H33" s="548"/>
      <c r="I33" s="548"/>
      <c r="J33" s="548"/>
      <c r="K33" s="548"/>
      <c r="L33" s="548"/>
      <c r="M33" s="548"/>
      <c r="N33" s="548"/>
      <c r="O33" s="548"/>
      <c r="P33" s="548"/>
      <c r="Q33" s="548"/>
      <c r="R33" s="548"/>
      <c r="S33" s="548"/>
      <c r="T33" s="548"/>
      <c r="U33" s="9"/>
      <c r="V33" s="9"/>
      <c r="W33" s="9"/>
      <c r="X33" s="9"/>
      <c r="Y33" s="9"/>
      <c r="Z33" s="9"/>
      <c r="AA33" s="9"/>
      <c r="AB33" s="9"/>
      <c r="AC33" s="9"/>
    </row>
    <row r="34" spans="1:29" ht="12.75" customHeight="1">
      <c r="A34" s="9"/>
      <c r="B34" s="9"/>
      <c r="C34" s="9"/>
      <c r="D34" s="9"/>
      <c r="E34" s="9"/>
      <c r="F34" s="9"/>
      <c r="G34" s="9"/>
      <c r="H34" s="548"/>
      <c r="I34" s="548"/>
      <c r="J34" s="548"/>
      <c r="K34" s="548"/>
      <c r="L34" s="548"/>
      <c r="M34" s="548"/>
      <c r="N34" s="548"/>
      <c r="O34" s="548"/>
      <c r="P34" s="548"/>
      <c r="Q34" s="548"/>
      <c r="R34" s="548"/>
      <c r="S34" s="548"/>
      <c r="T34" s="548"/>
      <c r="U34" s="9"/>
      <c r="V34" s="9"/>
      <c r="W34" s="9"/>
      <c r="X34" s="9"/>
      <c r="Y34" s="9"/>
      <c r="Z34" s="9"/>
      <c r="AA34" s="9"/>
      <c r="AB34" s="9"/>
      <c r="AC34" s="9"/>
    </row>
    <row r="35" spans="1:29" ht="12.75" customHeight="1">
      <c r="A35" s="9"/>
      <c r="B35" s="9"/>
      <c r="C35" s="9"/>
      <c r="D35" s="9"/>
      <c r="E35" s="9"/>
      <c r="F35" s="9"/>
      <c r="G35" s="9"/>
      <c r="H35" s="548"/>
      <c r="I35" s="548"/>
      <c r="J35" s="548"/>
      <c r="K35" s="548"/>
      <c r="L35" s="548"/>
      <c r="M35" s="548"/>
      <c r="N35" s="548"/>
      <c r="O35" s="548"/>
      <c r="P35" s="548"/>
      <c r="Q35" s="548"/>
      <c r="R35" s="548"/>
      <c r="S35" s="548"/>
      <c r="T35" s="548"/>
      <c r="U35" s="9"/>
      <c r="V35" s="9"/>
      <c r="W35" s="9"/>
      <c r="X35" s="9"/>
      <c r="Y35" s="9"/>
      <c r="Z35" s="9"/>
      <c r="AA35" s="9"/>
      <c r="AB35" s="9"/>
      <c r="AC35" s="9"/>
    </row>
    <row r="36" spans="1:29" ht="12.75" customHeight="1">
      <c r="A36" s="9"/>
      <c r="B36" s="9"/>
      <c r="C36" s="9"/>
      <c r="D36" s="9"/>
      <c r="E36" s="9"/>
      <c r="F36" s="9"/>
      <c r="G36" s="9"/>
      <c r="H36" s="548"/>
      <c r="I36" s="548"/>
      <c r="J36" s="548"/>
      <c r="K36" s="548"/>
      <c r="L36" s="548"/>
      <c r="M36" s="548"/>
      <c r="N36" s="548"/>
      <c r="O36" s="548"/>
      <c r="P36" s="548"/>
      <c r="Q36" s="548"/>
      <c r="R36" s="548"/>
      <c r="S36" s="548"/>
      <c r="T36" s="548"/>
      <c r="U36" s="9"/>
      <c r="V36" s="9"/>
      <c r="W36" s="9"/>
      <c r="X36" s="9"/>
      <c r="Y36" s="9"/>
      <c r="Z36" s="9"/>
      <c r="AA36" s="9"/>
      <c r="AB36" s="9"/>
      <c r="AC36" s="9"/>
    </row>
    <row r="37" spans="1:29" ht="12.75" customHeight="1">
      <c r="A37" s="9"/>
      <c r="B37" s="9"/>
      <c r="C37" s="9"/>
      <c r="D37" s="9"/>
      <c r="E37" s="9"/>
      <c r="F37" s="9"/>
      <c r="G37" s="9"/>
      <c r="H37" s="548"/>
      <c r="I37" s="548"/>
      <c r="J37" s="548"/>
      <c r="K37" s="548"/>
      <c r="L37" s="548"/>
      <c r="M37" s="548"/>
      <c r="N37" s="548"/>
      <c r="O37" s="548"/>
      <c r="P37" s="548"/>
      <c r="Q37" s="548"/>
      <c r="R37" s="548"/>
      <c r="S37" s="548"/>
      <c r="T37" s="548"/>
      <c r="U37" s="9"/>
      <c r="V37" s="9"/>
      <c r="W37" s="9"/>
      <c r="X37" s="9"/>
      <c r="Y37" s="9"/>
      <c r="Z37" s="9"/>
      <c r="AA37" s="9"/>
      <c r="AB37" s="9"/>
      <c r="AC37" s="9"/>
    </row>
    <row r="38" spans="1:29" ht="12.75" customHeight="1">
      <c r="A38" s="9"/>
      <c r="B38" s="9"/>
      <c r="C38" s="9"/>
      <c r="D38" s="9"/>
      <c r="E38" s="9"/>
      <c r="F38" s="9"/>
      <c r="G38" s="9"/>
      <c r="H38" s="548"/>
      <c r="I38" s="548"/>
      <c r="J38" s="548"/>
      <c r="K38" s="548"/>
      <c r="L38" s="548"/>
      <c r="M38" s="548"/>
      <c r="N38" s="548"/>
      <c r="O38" s="548"/>
      <c r="P38" s="548"/>
      <c r="Q38" s="548"/>
      <c r="R38" s="548"/>
      <c r="S38" s="548"/>
      <c r="T38" s="548"/>
      <c r="U38" s="9"/>
      <c r="V38" s="9"/>
      <c r="W38" s="9"/>
      <c r="X38" s="9"/>
      <c r="Y38" s="9"/>
      <c r="Z38" s="9"/>
      <c r="AA38" s="9"/>
      <c r="AB38" s="9"/>
      <c r="AC38" s="9"/>
    </row>
    <row r="39" spans="1:29" ht="12.75" customHeight="1">
      <c r="A39" s="9"/>
      <c r="B39" s="9"/>
      <c r="C39" s="9"/>
      <c r="D39" s="9"/>
      <c r="E39" s="9"/>
      <c r="F39" s="9"/>
      <c r="G39" s="9"/>
      <c r="H39" s="548"/>
      <c r="I39" s="548"/>
      <c r="J39" s="548"/>
      <c r="K39" s="548"/>
      <c r="L39" s="548"/>
      <c r="M39" s="548"/>
      <c r="N39" s="548"/>
      <c r="O39" s="548"/>
      <c r="P39" s="548"/>
      <c r="Q39" s="548"/>
      <c r="R39" s="548"/>
      <c r="S39" s="548"/>
      <c r="T39" s="548"/>
      <c r="U39" s="9"/>
      <c r="V39" s="9"/>
      <c r="W39" s="9"/>
      <c r="X39" s="9"/>
      <c r="Y39" s="9"/>
      <c r="Z39" s="9"/>
      <c r="AA39" s="9"/>
      <c r="AB39" s="9"/>
      <c r="AC39" s="9"/>
    </row>
    <row r="40" spans="1:29" ht="12.75" customHeight="1">
      <c r="A40" s="9"/>
      <c r="B40" s="9"/>
      <c r="C40" s="9"/>
      <c r="D40" s="9"/>
      <c r="E40" s="9"/>
      <c r="F40" s="9"/>
      <c r="G40" s="9"/>
      <c r="H40" s="548"/>
      <c r="I40" s="548"/>
      <c r="J40" s="548"/>
      <c r="K40" s="548"/>
      <c r="L40" s="548"/>
      <c r="M40" s="548"/>
      <c r="N40" s="548"/>
      <c r="O40" s="548"/>
      <c r="P40" s="548"/>
      <c r="Q40" s="548"/>
      <c r="R40" s="548"/>
      <c r="S40" s="548"/>
      <c r="T40" s="548"/>
      <c r="U40" s="9"/>
      <c r="V40" s="9"/>
      <c r="W40" s="9"/>
      <c r="X40" s="9"/>
      <c r="Y40" s="9"/>
      <c r="Z40" s="9"/>
      <c r="AA40" s="9"/>
      <c r="AB40" s="9"/>
      <c r="AC40" s="9"/>
    </row>
    <row r="41" spans="1:29" ht="12.75" customHeight="1">
      <c r="A41" s="9"/>
      <c r="B41" s="9"/>
      <c r="C41" s="9"/>
      <c r="D41" s="9"/>
      <c r="E41" s="9"/>
      <c r="F41" s="9"/>
      <c r="G41" s="9"/>
      <c r="H41" s="548"/>
      <c r="I41" s="548"/>
      <c r="J41" s="548"/>
      <c r="K41" s="548"/>
      <c r="L41" s="548"/>
      <c r="M41" s="548"/>
      <c r="N41" s="548"/>
      <c r="O41" s="548"/>
      <c r="P41" s="548"/>
      <c r="Q41" s="548"/>
      <c r="R41" s="548"/>
      <c r="S41" s="548"/>
      <c r="T41" s="548"/>
      <c r="U41" s="9"/>
      <c r="V41" s="9"/>
      <c r="W41" s="9"/>
      <c r="X41" s="9"/>
      <c r="Y41" s="9"/>
      <c r="Z41" s="9"/>
      <c r="AA41" s="9"/>
      <c r="AB41" s="9"/>
      <c r="AC41" s="9"/>
    </row>
    <row r="42" spans="1:29" ht="12.75" customHeight="1">
      <c r="A42" s="9"/>
      <c r="B42" s="9"/>
      <c r="C42" s="9"/>
      <c r="D42" s="9"/>
      <c r="E42" s="9"/>
      <c r="F42" s="9"/>
      <c r="G42" s="9"/>
      <c r="H42" s="548"/>
      <c r="I42" s="548"/>
      <c r="J42" s="548"/>
      <c r="K42" s="548"/>
      <c r="L42" s="548"/>
      <c r="M42" s="548"/>
      <c r="N42" s="548"/>
      <c r="O42" s="548"/>
      <c r="P42" s="548"/>
      <c r="Q42" s="548"/>
      <c r="R42" s="548"/>
      <c r="S42" s="548"/>
      <c r="T42" s="548"/>
      <c r="U42" s="9"/>
      <c r="V42" s="9"/>
      <c r="W42" s="9"/>
      <c r="X42" s="9"/>
      <c r="Y42" s="9"/>
      <c r="Z42" s="9"/>
      <c r="AA42" s="9"/>
      <c r="AB42" s="9"/>
      <c r="AC42" s="9"/>
    </row>
    <row r="43" spans="1:29" ht="12.75" customHeight="1">
      <c r="A43" s="9"/>
      <c r="B43" s="9"/>
      <c r="C43" s="9"/>
      <c r="D43" s="9"/>
      <c r="E43" s="9"/>
      <c r="F43" s="9"/>
      <c r="G43" s="9"/>
      <c r="H43" s="548"/>
      <c r="I43" s="548"/>
      <c r="J43" s="548"/>
      <c r="K43" s="548"/>
      <c r="L43" s="548"/>
      <c r="M43" s="548"/>
      <c r="N43" s="548"/>
      <c r="O43" s="548"/>
      <c r="P43" s="548"/>
      <c r="Q43" s="548"/>
      <c r="R43" s="548"/>
      <c r="S43" s="548"/>
      <c r="T43" s="548"/>
      <c r="U43" s="9"/>
      <c r="V43" s="9"/>
      <c r="W43" s="9"/>
      <c r="X43" s="9"/>
      <c r="Y43" s="9"/>
      <c r="Z43" s="9"/>
      <c r="AA43" s="9"/>
      <c r="AB43" s="9"/>
      <c r="AC43" s="9"/>
    </row>
    <row r="44" spans="1:29" ht="12.75" customHeight="1">
      <c r="A44" s="9"/>
      <c r="B44" s="9"/>
      <c r="C44" s="9"/>
      <c r="D44" s="9"/>
      <c r="E44" s="9"/>
      <c r="F44" s="9"/>
      <c r="G44" s="9"/>
      <c r="H44" s="548"/>
      <c r="I44" s="548"/>
      <c r="J44" s="548"/>
      <c r="K44" s="548"/>
      <c r="L44" s="548"/>
      <c r="M44" s="548"/>
      <c r="N44" s="548"/>
      <c r="O44" s="548"/>
      <c r="P44" s="548"/>
      <c r="Q44" s="548"/>
      <c r="R44" s="548"/>
      <c r="S44" s="548"/>
      <c r="T44" s="548"/>
      <c r="U44" s="9"/>
      <c r="V44" s="9"/>
      <c r="W44" s="9"/>
      <c r="X44" s="9"/>
      <c r="Y44" s="9"/>
      <c r="Z44" s="9"/>
      <c r="AA44" s="9"/>
      <c r="AB44" s="9"/>
      <c r="AC44" s="9"/>
    </row>
    <row r="45" spans="1:29" ht="12.75" customHeight="1">
      <c r="A45" s="9"/>
      <c r="B45" s="9"/>
      <c r="C45" s="9"/>
      <c r="D45" s="9"/>
      <c r="E45" s="9"/>
      <c r="F45" s="9"/>
      <c r="G45" s="9"/>
      <c r="H45" s="548"/>
      <c r="I45" s="548"/>
      <c r="J45" s="548"/>
      <c r="K45" s="548"/>
      <c r="L45" s="548"/>
      <c r="M45" s="548"/>
      <c r="N45" s="548"/>
      <c r="O45" s="548"/>
      <c r="P45" s="548"/>
      <c r="Q45" s="548"/>
      <c r="R45" s="548"/>
      <c r="S45" s="548"/>
      <c r="T45" s="548"/>
      <c r="U45" s="9"/>
      <c r="V45" s="9"/>
      <c r="W45" s="9"/>
      <c r="X45" s="9"/>
      <c r="Y45" s="9"/>
      <c r="Z45" s="9"/>
      <c r="AA45" s="9"/>
      <c r="AB45" s="9"/>
      <c r="AC45" s="9"/>
    </row>
    <row r="46" spans="1:29" ht="12.75" customHeight="1">
      <c r="A46" s="9"/>
      <c r="B46" s="9"/>
      <c r="C46" s="9"/>
      <c r="D46" s="9"/>
      <c r="E46" s="9"/>
      <c r="F46" s="9"/>
      <c r="G46" s="9"/>
      <c r="H46" s="548"/>
      <c r="I46" s="548"/>
      <c r="J46" s="548"/>
      <c r="K46" s="548"/>
      <c r="L46" s="548"/>
      <c r="M46" s="548"/>
      <c r="N46" s="548"/>
      <c r="O46" s="548"/>
      <c r="P46" s="548"/>
      <c r="Q46" s="548"/>
      <c r="R46" s="548"/>
      <c r="S46" s="548"/>
      <c r="T46" s="548"/>
      <c r="U46" s="9"/>
      <c r="V46" s="9"/>
      <c r="W46" s="9"/>
      <c r="X46" s="9"/>
      <c r="Y46" s="9"/>
      <c r="Z46" s="9"/>
      <c r="AA46" s="9"/>
      <c r="AB46" s="9"/>
      <c r="AC46" s="9"/>
    </row>
    <row r="47" spans="1:29" ht="12.75" customHeight="1">
      <c r="A47" s="9"/>
      <c r="B47" s="9"/>
      <c r="C47" s="9"/>
      <c r="D47" s="9"/>
      <c r="E47" s="9"/>
      <c r="F47" s="9"/>
      <c r="G47" s="9"/>
      <c r="H47" s="548"/>
      <c r="I47" s="548"/>
      <c r="J47" s="548"/>
      <c r="K47" s="548"/>
      <c r="L47" s="548"/>
      <c r="M47" s="548"/>
      <c r="N47" s="548"/>
      <c r="O47" s="548"/>
      <c r="P47" s="548"/>
      <c r="Q47" s="548"/>
      <c r="R47" s="548"/>
      <c r="S47" s="548"/>
      <c r="T47" s="548"/>
      <c r="U47" s="9"/>
      <c r="V47" s="9"/>
      <c r="W47" s="9"/>
      <c r="X47" s="9"/>
      <c r="Y47" s="9"/>
      <c r="Z47" s="9"/>
      <c r="AA47" s="9"/>
      <c r="AB47" s="9"/>
      <c r="AC47" s="9"/>
    </row>
    <row r="48" spans="1:29" ht="12.75" customHeight="1">
      <c r="A48" s="9"/>
      <c r="B48" s="9"/>
      <c r="C48" s="9"/>
      <c r="D48" s="9"/>
      <c r="E48" s="9"/>
      <c r="F48" s="9"/>
      <c r="G48" s="9"/>
      <c r="H48" s="548"/>
      <c r="I48" s="548"/>
      <c r="J48" s="548"/>
      <c r="K48" s="548"/>
      <c r="L48" s="548"/>
      <c r="M48" s="548"/>
      <c r="N48" s="548"/>
      <c r="O48" s="548"/>
      <c r="P48" s="548"/>
      <c r="Q48" s="548"/>
      <c r="R48" s="548"/>
      <c r="S48" s="548"/>
      <c r="T48" s="548"/>
      <c r="U48" s="9"/>
      <c r="V48" s="9"/>
      <c r="W48" s="9"/>
      <c r="X48" s="9"/>
      <c r="Y48" s="9"/>
      <c r="Z48" s="9"/>
      <c r="AA48" s="9"/>
      <c r="AB48" s="9"/>
      <c r="AC48" s="9"/>
    </row>
    <row r="49" spans="1:29" ht="12.75" customHeight="1">
      <c r="A49" s="9"/>
      <c r="B49" s="9"/>
      <c r="C49" s="9"/>
      <c r="D49" s="9"/>
      <c r="E49" s="9"/>
      <c r="F49" s="9"/>
      <c r="G49" s="9"/>
      <c r="H49" s="548"/>
      <c r="I49" s="548"/>
      <c r="J49" s="548"/>
      <c r="K49" s="548"/>
      <c r="L49" s="548"/>
      <c r="M49" s="548"/>
      <c r="N49" s="548"/>
      <c r="O49" s="548"/>
      <c r="P49" s="548"/>
      <c r="Q49" s="548"/>
      <c r="R49" s="548"/>
      <c r="S49" s="548"/>
      <c r="T49" s="548"/>
      <c r="U49" s="9"/>
      <c r="V49" s="9"/>
      <c r="W49" s="9"/>
      <c r="X49" s="9"/>
      <c r="Y49" s="9"/>
      <c r="Z49" s="9"/>
      <c r="AA49" s="9"/>
      <c r="AB49" s="9"/>
      <c r="AC49" s="9"/>
    </row>
    <row r="50" spans="1:29" ht="12.75" customHeight="1">
      <c r="A50" s="9"/>
      <c r="B50" s="9"/>
      <c r="C50" s="9"/>
      <c r="D50" s="9"/>
      <c r="E50" s="9"/>
      <c r="F50" s="9"/>
      <c r="G50" s="9"/>
      <c r="H50" s="548"/>
      <c r="I50" s="548"/>
      <c r="J50" s="548"/>
      <c r="K50" s="548"/>
      <c r="L50" s="548"/>
      <c r="M50" s="548"/>
      <c r="N50" s="548"/>
      <c r="O50" s="548"/>
      <c r="P50" s="548"/>
      <c r="Q50" s="548"/>
      <c r="R50" s="548"/>
      <c r="S50" s="548"/>
      <c r="T50" s="548"/>
      <c r="U50" s="9"/>
      <c r="V50" s="9"/>
      <c r="W50" s="9"/>
      <c r="X50" s="9"/>
      <c r="Y50" s="9"/>
      <c r="Z50" s="9"/>
      <c r="AA50" s="9"/>
      <c r="AB50" s="9"/>
      <c r="AC50" s="9"/>
    </row>
    <row r="51" spans="1:29" ht="12.75" customHeight="1">
      <c r="A51" s="9"/>
      <c r="B51" s="9"/>
      <c r="C51" s="9"/>
      <c r="D51" s="9"/>
      <c r="E51" s="9"/>
      <c r="F51" s="9"/>
      <c r="G51" s="9"/>
      <c r="H51" s="548"/>
      <c r="I51" s="548"/>
      <c r="J51" s="548"/>
      <c r="K51" s="548"/>
      <c r="L51" s="548"/>
      <c r="M51" s="548"/>
      <c r="N51" s="548"/>
      <c r="O51" s="548"/>
      <c r="P51" s="548"/>
      <c r="Q51" s="548"/>
      <c r="R51" s="548"/>
      <c r="S51" s="548"/>
      <c r="T51" s="548"/>
      <c r="U51" s="9"/>
      <c r="V51" s="9"/>
      <c r="W51" s="9"/>
      <c r="X51" s="9"/>
      <c r="Y51" s="9"/>
      <c r="Z51" s="9"/>
      <c r="AA51" s="9"/>
      <c r="AB51" s="9"/>
      <c r="AC51" s="9"/>
    </row>
    <row r="52" spans="1:29" ht="12.75" customHeight="1">
      <c r="A52" s="9"/>
      <c r="B52" s="9"/>
      <c r="C52" s="9"/>
      <c r="D52" s="9"/>
      <c r="E52" s="9"/>
      <c r="F52" s="9"/>
      <c r="G52" s="9"/>
      <c r="H52" s="548"/>
      <c r="I52" s="548"/>
      <c r="J52" s="548"/>
      <c r="K52" s="548"/>
      <c r="L52" s="548"/>
      <c r="M52" s="548"/>
      <c r="N52" s="548"/>
      <c r="O52" s="548"/>
      <c r="P52" s="548"/>
      <c r="Q52" s="548"/>
      <c r="R52" s="548"/>
      <c r="S52" s="548"/>
      <c r="T52" s="548"/>
      <c r="U52" s="9"/>
      <c r="V52" s="9"/>
      <c r="W52" s="9"/>
      <c r="X52" s="9"/>
      <c r="Y52" s="9"/>
      <c r="Z52" s="9"/>
      <c r="AA52" s="9"/>
      <c r="AB52" s="9"/>
      <c r="AC52" s="9"/>
    </row>
    <row r="53" spans="1:29" ht="12.75" customHeight="1">
      <c r="A53" s="9"/>
      <c r="B53" s="9"/>
      <c r="C53" s="9"/>
      <c r="D53" s="9"/>
      <c r="E53" s="9"/>
      <c r="F53" s="9"/>
      <c r="G53" s="9"/>
      <c r="H53" s="548"/>
      <c r="I53" s="548"/>
      <c r="J53" s="548"/>
      <c r="K53" s="548"/>
      <c r="L53" s="548"/>
      <c r="M53" s="548"/>
      <c r="N53" s="548"/>
      <c r="O53" s="548"/>
      <c r="P53" s="548"/>
      <c r="Q53" s="548"/>
      <c r="R53" s="548"/>
      <c r="S53" s="548"/>
      <c r="T53" s="548"/>
      <c r="U53" s="9"/>
      <c r="V53" s="9"/>
      <c r="W53" s="9"/>
      <c r="X53" s="9"/>
      <c r="Y53" s="9"/>
      <c r="Z53" s="9"/>
      <c r="AA53" s="9"/>
      <c r="AB53" s="9"/>
      <c r="AC53" s="9"/>
    </row>
    <row r="54" spans="1:29" ht="12.75" customHeight="1">
      <c r="A54" s="9"/>
      <c r="B54" s="9"/>
      <c r="C54" s="9"/>
      <c r="D54" s="9"/>
      <c r="E54" s="9"/>
      <c r="F54" s="9"/>
      <c r="G54" s="9"/>
      <c r="H54" s="548"/>
      <c r="I54" s="548"/>
      <c r="J54" s="548"/>
      <c r="K54" s="548"/>
      <c r="L54" s="548"/>
      <c r="M54" s="548"/>
      <c r="N54" s="548"/>
      <c r="O54" s="548"/>
      <c r="P54" s="548"/>
      <c r="Q54" s="548"/>
      <c r="R54" s="548"/>
      <c r="S54" s="548"/>
      <c r="T54" s="548"/>
      <c r="U54" s="9"/>
      <c r="V54" s="9"/>
      <c r="W54" s="9"/>
      <c r="X54" s="9"/>
      <c r="Y54" s="9"/>
      <c r="Z54" s="9"/>
      <c r="AA54" s="9"/>
      <c r="AB54" s="9"/>
      <c r="AC54" s="9"/>
    </row>
    <row r="55" spans="1:29" ht="12.75" customHeight="1">
      <c r="A55" s="9"/>
      <c r="B55" s="9"/>
      <c r="C55" s="9"/>
      <c r="D55" s="9"/>
      <c r="E55" s="9"/>
      <c r="F55" s="9"/>
      <c r="G55" s="9"/>
      <c r="H55" s="548"/>
      <c r="I55" s="548"/>
      <c r="J55" s="548"/>
      <c r="K55" s="548"/>
      <c r="L55" s="548"/>
      <c r="M55" s="548"/>
      <c r="N55" s="548"/>
      <c r="O55" s="548"/>
      <c r="P55" s="548"/>
      <c r="Q55" s="548"/>
      <c r="R55" s="548"/>
      <c r="S55" s="548"/>
      <c r="T55" s="548"/>
      <c r="U55" s="9"/>
      <c r="V55" s="9"/>
      <c r="W55" s="9"/>
      <c r="X55" s="9"/>
      <c r="Y55" s="9"/>
      <c r="Z55" s="9"/>
      <c r="AA55" s="9"/>
      <c r="AB55" s="9"/>
      <c r="AC55" s="9"/>
    </row>
    <row r="56" spans="1:29" ht="12.75" customHeight="1">
      <c r="A56" s="9"/>
      <c r="B56" s="9"/>
      <c r="C56" s="9"/>
      <c r="D56" s="9"/>
      <c r="E56" s="9"/>
      <c r="F56" s="9"/>
      <c r="G56" s="9"/>
      <c r="H56" s="548"/>
      <c r="I56" s="548"/>
      <c r="J56" s="548"/>
      <c r="K56" s="548"/>
      <c r="L56" s="548"/>
      <c r="M56" s="548"/>
      <c r="N56" s="548"/>
      <c r="O56" s="548"/>
      <c r="P56" s="548"/>
      <c r="Q56" s="548"/>
      <c r="R56" s="548"/>
      <c r="S56" s="548"/>
      <c r="T56" s="548"/>
      <c r="U56" s="9"/>
      <c r="V56" s="9"/>
      <c r="W56" s="9"/>
      <c r="X56" s="9"/>
      <c r="Y56" s="9"/>
      <c r="Z56" s="9"/>
      <c r="AA56" s="9"/>
      <c r="AB56" s="9"/>
      <c r="AC56" s="9"/>
    </row>
    <row r="57" spans="1:29" ht="12.75" customHeight="1">
      <c r="A57" s="9"/>
      <c r="B57" s="9"/>
      <c r="C57" s="9"/>
      <c r="D57" s="9"/>
      <c r="E57" s="9"/>
      <c r="F57" s="9"/>
      <c r="G57" s="9"/>
      <c r="H57" s="548"/>
      <c r="I57" s="548"/>
      <c r="J57" s="548"/>
      <c r="K57" s="548"/>
      <c r="L57" s="548"/>
      <c r="M57" s="548"/>
      <c r="N57" s="548"/>
      <c r="O57" s="548"/>
      <c r="P57" s="548"/>
      <c r="Q57" s="548"/>
      <c r="R57" s="548"/>
      <c r="S57" s="548"/>
      <c r="T57" s="548"/>
      <c r="U57" s="9"/>
      <c r="V57" s="9"/>
      <c r="W57" s="9"/>
      <c r="X57" s="9"/>
      <c r="Y57" s="9"/>
      <c r="Z57" s="9"/>
      <c r="AA57" s="9"/>
      <c r="AB57" s="9"/>
      <c r="AC57" s="9"/>
    </row>
    <row r="58" spans="1:29" ht="12.75" customHeight="1">
      <c r="A58" s="9"/>
      <c r="B58" s="9"/>
      <c r="C58" s="9"/>
      <c r="D58" s="9"/>
      <c r="E58" s="9"/>
      <c r="F58" s="9"/>
      <c r="G58" s="9"/>
      <c r="H58" s="548"/>
      <c r="I58" s="548"/>
      <c r="J58" s="548"/>
      <c r="K58" s="548"/>
      <c r="L58" s="548"/>
      <c r="M58" s="548"/>
      <c r="N58" s="548"/>
      <c r="O58" s="548"/>
      <c r="P58" s="548"/>
      <c r="Q58" s="548"/>
      <c r="R58" s="548"/>
      <c r="S58" s="548"/>
      <c r="T58" s="548"/>
      <c r="U58" s="9"/>
      <c r="V58" s="9"/>
      <c r="W58" s="9"/>
      <c r="X58" s="9"/>
      <c r="Y58" s="9"/>
      <c r="Z58" s="9"/>
      <c r="AA58" s="9"/>
      <c r="AB58" s="9"/>
      <c r="AC58" s="9"/>
    </row>
    <row r="59" spans="1:29" ht="12.75" customHeight="1">
      <c r="A59" s="9"/>
      <c r="B59" s="9"/>
      <c r="C59" s="9"/>
      <c r="D59" s="9"/>
      <c r="E59" s="9"/>
      <c r="F59" s="9"/>
      <c r="G59" s="9"/>
      <c r="H59" s="548"/>
      <c r="I59" s="548"/>
      <c r="J59" s="548"/>
      <c r="K59" s="548"/>
      <c r="L59" s="548"/>
      <c r="M59" s="548"/>
      <c r="N59" s="548"/>
      <c r="O59" s="548"/>
      <c r="P59" s="548"/>
      <c r="Q59" s="548"/>
      <c r="R59" s="548"/>
      <c r="S59" s="548"/>
      <c r="T59" s="548"/>
      <c r="U59" s="9"/>
      <c r="V59" s="9"/>
      <c r="W59" s="9"/>
      <c r="X59" s="9"/>
      <c r="Y59" s="9"/>
      <c r="Z59" s="9"/>
      <c r="AA59" s="9"/>
      <c r="AB59" s="9"/>
      <c r="AC59" s="9"/>
    </row>
    <row r="60" spans="1:29" ht="12.75" customHeight="1">
      <c r="A60" s="9"/>
      <c r="B60" s="9"/>
      <c r="C60" s="9"/>
      <c r="D60" s="9"/>
      <c r="E60" s="9"/>
      <c r="F60" s="9"/>
      <c r="G60" s="9"/>
      <c r="H60" s="548"/>
      <c r="I60" s="548"/>
      <c r="J60" s="548"/>
      <c r="K60" s="548"/>
      <c r="L60" s="548"/>
      <c r="M60" s="548"/>
      <c r="N60" s="548"/>
      <c r="O60" s="548"/>
      <c r="P60" s="548"/>
      <c r="Q60" s="548"/>
      <c r="R60" s="548"/>
      <c r="S60" s="548"/>
      <c r="T60" s="548"/>
      <c r="U60" s="9"/>
      <c r="V60" s="9"/>
      <c r="W60" s="9"/>
      <c r="X60" s="9"/>
      <c r="Y60" s="9"/>
      <c r="Z60" s="9"/>
      <c r="AA60" s="9"/>
      <c r="AB60" s="9"/>
      <c r="AC60" s="9"/>
    </row>
    <row r="61" spans="1:29" ht="12.75" customHeight="1">
      <c r="A61" s="9"/>
      <c r="B61" s="9"/>
      <c r="C61" s="9"/>
      <c r="D61" s="9"/>
      <c r="E61" s="9"/>
      <c r="F61" s="9"/>
      <c r="G61" s="9"/>
      <c r="H61" s="548"/>
      <c r="I61" s="548"/>
      <c r="J61" s="548"/>
      <c r="K61" s="548"/>
      <c r="L61" s="548"/>
      <c r="M61" s="548"/>
      <c r="N61" s="548"/>
      <c r="O61" s="548"/>
      <c r="P61" s="548"/>
      <c r="Q61" s="548"/>
      <c r="R61" s="548"/>
      <c r="S61" s="548"/>
      <c r="T61" s="548"/>
      <c r="U61" s="9"/>
      <c r="V61" s="9"/>
      <c r="W61" s="9"/>
      <c r="X61" s="9"/>
      <c r="Y61" s="9"/>
      <c r="Z61" s="9"/>
      <c r="AA61" s="9"/>
      <c r="AB61" s="9"/>
      <c r="AC61" s="9"/>
    </row>
    <row r="62" spans="1:29" ht="12.75" customHeight="1">
      <c r="A62" s="9"/>
      <c r="B62" s="9"/>
      <c r="C62" s="9"/>
      <c r="D62" s="9"/>
      <c r="E62" s="9"/>
      <c r="F62" s="9"/>
      <c r="G62" s="9"/>
      <c r="H62" s="548"/>
      <c r="I62" s="548"/>
      <c r="J62" s="548"/>
      <c r="K62" s="548"/>
      <c r="L62" s="548"/>
      <c r="M62" s="548"/>
      <c r="N62" s="548"/>
      <c r="O62" s="548"/>
      <c r="P62" s="548"/>
      <c r="Q62" s="548"/>
      <c r="R62" s="548"/>
      <c r="S62" s="548"/>
      <c r="T62" s="548"/>
      <c r="U62" s="9"/>
      <c r="V62" s="9"/>
      <c r="W62" s="9"/>
      <c r="X62" s="9"/>
      <c r="Y62" s="9"/>
      <c r="Z62" s="9"/>
      <c r="AA62" s="9"/>
      <c r="AB62" s="9"/>
      <c r="AC62" s="9"/>
    </row>
    <row r="63" spans="1:29" ht="12.75" customHeight="1">
      <c r="A63" s="9"/>
      <c r="B63" s="9"/>
      <c r="C63" s="9"/>
      <c r="D63" s="9"/>
      <c r="E63" s="9"/>
      <c r="F63" s="9"/>
      <c r="G63" s="9"/>
      <c r="H63" s="548"/>
      <c r="I63" s="548"/>
      <c r="J63" s="548"/>
      <c r="K63" s="548"/>
      <c r="L63" s="548"/>
      <c r="M63" s="548"/>
      <c r="N63" s="548"/>
      <c r="O63" s="548"/>
      <c r="P63" s="548"/>
      <c r="Q63" s="548"/>
      <c r="R63" s="548"/>
      <c r="S63" s="548"/>
      <c r="T63" s="548"/>
      <c r="U63" s="9"/>
      <c r="V63" s="9"/>
      <c r="W63" s="9"/>
      <c r="X63" s="9"/>
      <c r="Y63" s="9"/>
      <c r="Z63" s="9"/>
      <c r="AA63" s="9"/>
      <c r="AB63" s="9"/>
      <c r="AC63" s="9"/>
    </row>
    <row r="64" spans="1:29" ht="12.75" customHeight="1">
      <c r="A64" s="9"/>
      <c r="B64" s="9"/>
      <c r="C64" s="9"/>
      <c r="D64" s="9"/>
      <c r="E64" s="9"/>
      <c r="F64" s="9"/>
      <c r="G64" s="9"/>
      <c r="H64" s="548"/>
      <c r="I64" s="548"/>
      <c r="J64" s="548"/>
      <c r="K64" s="548"/>
      <c r="L64" s="548"/>
      <c r="M64" s="548"/>
      <c r="N64" s="548"/>
      <c r="O64" s="548"/>
      <c r="P64" s="548"/>
      <c r="Q64" s="548"/>
      <c r="R64" s="548"/>
      <c r="S64" s="548"/>
      <c r="T64" s="548"/>
      <c r="U64" s="9"/>
      <c r="V64" s="9"/>
      <c r="W64" s="9"/>
      <c r="X64" s="9"/>
      <c r="Y64" s="9"/>
      <c r="Z64" s="9"/>
      <c r="AA64" s="9"/>
      <c r="AB64" s="9"/>
      <c r="AC64" s="9"/>
    </row>
    <row r="65" spans="1:29" ht="12.75" customHeight="1">
      <c r="A65" s="9"/>
      <c r="B65" s="9"/>
      <c r="C65" s="9"/>
      <c r="D65" s="9"/>
      <c r="E65" s="9"/>
      <c r="F65" s="9"/>
      <c r="G65" s="9"/>
      <c r="H65" s="548"/>
      <c r="I65" s="548"/>
      <c r="J65" s="548"/>
      <c r="K65" s="548"/>
      <c r="L65" s="548"/>
      <c r="M65" s="548"/>
      <c r="N65" s="548"/>
      <c r="O65" s="548"/>
      <c r="P65" s="548"/>
      <c r="Q65" s="548"/>
      <c r="R65" s="548"/>
      <c r="S65" s="548"/>
      <c r="T65" s="548"/>
      <c r="U65" s="9"/>
      <c r="V65" s="9"/>
      <c r="W65" s="9"/>
      <c r="X65" s="9"/>
      <c r="Y65" s="9"/>
      <c r="Z65" s="9"/>
      <c r="AA65" s="9"/>
      <c r="AB65" s="9"/>
      <c r="AC65" s="9"/>
    </row>
    <row r="66" spans="1:29" ht="12.75" customHeight="1">
      <c r="A66" s="9"/>
      <c r="B66" s="9"/>
      <c r="C66" s="9"/>
      <c r="D66" s="9"/>
      <c r="E66" s="9"/>
      <c r="F66" s="9"/>
      <c r="G66" s="9"/>
      <c r="H66" s="548"/>
      <c r="I66" s="548"/>
      <c r="J66" s="548"/>
      <c r="K66" s="548"/>
      <c r="L66" s="548"/>
      <c r="M66" s="548"/>
      <c r="N66" s="548"/>
      <c r="O66" s="548"/>
      <c r="P66" s="548"/>
      <c r="Q66" s="548"/>
      <c r="R66" s="548"/>
      <c r="S66" s="548"/>
      <c r="T66" s="548"/>
      <c r="U66" s="9"/>
      <c r="V66" s="9"/>
      <c r="W66" s="9"/>
      <c r="X66" s="9"/>
      <c r="Y66" s="9"/>
      <c r="Z66" s="9"/>
      <c r="AA66" s="9"/>
      <c r="AB66" s="9"/>
      <c r="AC66" s="9"/>
    </row>
    <row r="67" spans="1:29" ht="12.75" customHeight="1">
      <c r="A67" s="9"/>
      <c r="B67" s="9"/>
      <c r="C67" s="9"/>
      <c r="D67" s="9"/>
      <c r="E67" s="9"/>
      <c r="F67" s="9"/>
      <c r="G67" s="9"/>
      <c r="H67" s="548"/>
      <c r="I67" s="548"/>
      <c r="J67" s="548"/>
      <c r="K67" s="548"/>
      <c r="L67" s="548"/>
      <c r="M67" s="548"/>
      <c r="N67" s="548"/>
      <c r="O67" s="548"/>
      <c r="P67" s="548"/>
      <c r="Q67" s="548"/>
      <c r="R67" s="548"/>
      <c r="S67" s="548"/>
      <c r="T67" s="548"/>
      <c r="U67" s="9"/>
      <c r="V67" s="9"/>
      <c r="W67" s="9"/>
      <c r="X67" s="9"/>
      <c r="Y67" s="9"/>
      <c r="Z67" s="9"/>
      <c r="AA67" s="9"/>
      <c r="AB67" s="9"/>
      <c r="AC67" s="9"/>
    </row>
    <row r="68" spans="1:29" ht="12.75" customHeight="1">
      <c r="A68" s="9"/>
      <c r="B68" s="9"/>
      <c r="C68" s="9"/>
      <c r="D68" s="9"/>
      <c r="E68" s="9"/>
      <c r="F68" s="9"/>
      <c r="G68" s="9"/>
      <c r="H68" s="548"/>
      <c r="I68" s="548"/>
      <c r="J68" s="548"/>
      <c r="K68" s="548"/>
      <c r="L68" s="548"/>
      <c r="M68" s="548"/>
      <c r="N68" s="548"/>
      <c r="O68" s="548"/>
      <c r="P68" s="548"/>
      <c r="Q68" s="548"/>
      <c r="R68" s="548"/>
      <c r="S68" s="548"/>
      <c r="T68" s="548"/>
      <c r="U68" s="9"/>
      <c r="V68" s="9"/>
      <c r="W68" s="9"/>
      <c r="X68" s="9"/>
      <c r="Y68" s="9"/>
      <c r="Z68" s="9"/>
      <c r="AA68" s="9"/>
      <c r="AB68" s="9"/>
      <c r="AC68" s="9"/>
    </row>
    <row r="69" spans="1:29" ht="12.75" customHeight="1">
      <c r="A69" s="9"/>
      <c r="B69" s="9"/>
      <c r="C69" s="9"/>
      <c r="D69" s="9"/>
      <c r="E69" s="9"/>
      <c r="F69" s="9"/>
      <c r="G69" s="9"/>
      <c r="H69" s="548"/>
      <c r="I69" s="548"/>
      <c r="J69" s="548"/>
      <c r="K69" s="548"/>
      <c r="L69" s="548"/>
      <c r="M69" s="548"/>
      <c r="N69" s="548"/>
      <c r="O69" s="548"/>
      <c r="P69" s="548"/>
      <c r="Q69" s="548"/>
      <c r="R69" s="548"/>
      <c r="S69" s="548"/>
      <c r="T69" s="548"/>
      <c r="U69" s="9"/>
      <c r="V69" s="9"/>
      <c r="W69" s="9"/>
      <c r="X69" s="9"/>
      <c r="Y69" s="9"/>
      <c r="Z69" s="9"/>
      <c r="AA69" s="9"/>
      <c r="AB69" s="9"/>
      <c r="AC69" s="9"/>
    </row>
    <row r="70" spans="1:29" ht="12.75" customHeight="1">
      <c r="A70" s="9"/>
      <c r="B70" s="9"/>
      <c r="C70" s="9"/>
      <c r="D70" s="9"/>
      <c r="E70" s="9"/>
      <c r="F70" s="9"/>
      <c r="G70" s="9"/>
      <c r="H70" s="548"/>
      <c r="I70" s="548"/>
      <c r="J70" s="548"/>
      <c r="K70" s="548"/>
      <c r="L70" s="548"/>
      <c r="M70" s="548"/>
      <c r="N70" s="548"/>
      <c r="O70" s="548"/>
      <c r="P70" s="548"/>
      <c r="Q70" s="548"/>
      <c r="R70" s="548"/>
      <c r="S70" s="548"/>
      <c r="T70" s="548"/>
      <c r="U70" s="9"/>
      <c r="V70" s="9"/>
      <c r="W70" s="9"/>
      <c r="X70" s="9"/>
      <c r="Y70" s="9"/>
      <c r="Z70" s="9"/>
      <c r="AA70" s="9"/>
      <c r="AB70" s="9"/>
      <c r="AC70" s="9"/>
    </row>
    <row r="71" spans="1:29" ht="12.75" customHeight="1">
      <c r="A71" s="9"/>
      <c r="B71" s="9"/>
      <c r="C71" s="9"/>
      <c r="D71" s="9"/>
      <c r="E71" s="9"/>
      <c r="F71" s="9"/>
      <c r="G71" s="9"/>
      <c r="H71" s="548"/>
      <c r="I71" s="548"/>
      <c r="J71" s="548"/>
      <c r="K71" s="548"/>
      <c r="L71" s="548"/>
      <c r="M71" s="548"/>
      <c r="N71" s="548"/>
      <c r="O71" s="548"/>
      <c r="P71" s="548"/>
      <c r="Q71" s="548"/>
      <c r="R71" s="548"/>
      <c r="S71" s="548"/>
      <c r="T71" s="548"/>
      <c r="U71" s="9"/>
      <c r="V71" s="9"/>
      <c r="W71" s="9"/>
      <c r="X71" s="9"/>
      <c r="Y71" s="9"/>
      <c r="Z71" s="9"/>
      <c r="AA71" s="9"/>
      <c r="AB71" s="9"/>
      <c r="AC71" s="9"/>
    </row>
    <row r="72" spans="1:29" ht="12.75" customHeight="1">
      <c r="A72" s="9"/>
      <c r="B72" s="9"/>
      <c r="C72" s="9"/>
      <c r="D72" s="9"/>
      <c r="E72" s="9"/>
      <c r="F72" s="9"/>
      <c r="G72" s="9"/>
      <c r="H72" s="548"/>
      <c r="I72" s="548"/>
      <c r="J72" s="548"/>
      <c r="K72" s="548"/>
      <c r="L72" s="548"/>
      <c r="M72" s="548"/>
      <c r="N72" s="548"/>
      <c r="O72" s="548"/>
      <c r="P72" s="548"/>
      <c r="Q72" s="548"/>
      <c r="R72" s="548"/>
      <c r="S72" s="548"/>
      <c r="T72" s="548"/>
      <c r="U72" s="9"/>
      <c r="V72" s="9"/>
      <c r="W72" s="9"/>
      <c r="X72" s="9"/>
      <c r="Y72" s="9"/>
      <c r="Z72" s="9"/>
      <c r="AA72" s="9"/>
      <c r="AB72" s="9"/>
      <c r="AC72" s="9"/>
    </row>
    <row r="73" spans="1:29" ht="12.75" customHeight="1">
      <c r="A73" s="9"/>
      <c r="B73" s="9"/>
      <c r="C73" s="9"/>
      <c r="D73" s="9"/>
      <c r="E73" s="9"/>
      <c r="F73" s="9"/>
      <c r="G73" s="9"/>
      <c r="H73" s="548"/>
      <c r="I73" s="548"/>
      <c r="J73" s="548"/>
      <c r="K73" s="548"/>
      <c r="L73" s="548"/>
      <c r="M73" s="548"/>
      <c r="N73" s="548"/>
      <c r="O73" s="548"/>
      <c r="P73" s="548"/>
      <c r="Q73" s="548"/>
      <c r="R73" s="548"/>
      <c r="S73" s="548"/>
      <c r="T73" s="548"/>
      <c r="U73" s="9"/>
      <c r="V73" s="9"/>
      <c r="W73" s="9"/>
      <c r="X73" s="9"/>
      <c r="Y73" s="9"/>
      <c r="Z73" s="9"/>
      <c r="AA73" s="9"/>
      <c r="AB73" s="9"/>
      <c r="AC73" s="9"/>
    </row>
    <row r="74" spans="1:29" ht="12.75" customHeight="1">
      <c r="A74" s="9"/>
      <c r="B74" s="9"/>
      <c r="C74" s="9"/>
      <c r="D74" s="9"/>
      <c r="E74" s="9"/>
      <c r="F74" s="9"/>
      <c r="G74" s="9"/>
      <c r="H74" s="548"/>
      <c r="I74" s="548"/>
      <c r="J74" s="548"/>
      <c r="K74" s="548"/>
      <c r="L74" s="548"/>
      <c r="M74" s="548"/>
      <c r="N74" s="548"/>
      <c r="O74" s="548"/>
      <c r="P74" s="548"/>
      <c r="Q74" s="548"/>
      <c r="R74" s="548"/>
      <c r="S74" s="548"/>
      <c r="T74" s="548"/>
      <c r="U74" s="9"/>
      <c r="V74" s="9"/>
      <c r="W74" s="9"/>
      <c r="X74" s="9"/>
      <c r="Y74" s="9"/>
      <c r="Z74" s="9"/>
      <c r="AA74" s="9"/>
      <c r="AB74" s="9"/>
      <c r="AC74" s="9"/>
    </row>
    <row r="75" spans="1:29" ht="12.75" customHeight="1">
      <c r="A75" s="9"/>
      <c r="B75" s="9"/>
      <c r="C75" s="9"/>
      <c r="D75" s="9"/>
      <c r="E75" s="9"/>
      <c r="F75" s="9"/>
      <c r="G75" s="9"/>
      <c r="H75" s="548"/>
      <c r="I75" s="548"/>
      <c r="J75" s="548"/>
      <c r="K75" s="548"/>
      <c r="L75" s="548"/>
      <c r="M75" s="548"/>
      <c r="N75" s="548"/>
      <c r="O75" s="548"/>
      <c r="P75" s="548"/>
      <c r="Q75" s="548"/>
      <c r="R75" s="548"/>
      <c r="S75" s="548"/>
      <c r="T75" s="548"/>
      <c r="U75" s="9"/>
      <c r="V75" s="9"/>
      <c r="W75" s="9"/>
      <c r="X75" s="9"/>
      <c r="Y75" s="9"/>
      <c r="Z75" s="9"/>
      <c r="AA75" s="9"/>
      <c r="AB75" s="9"/>
      <c r="AC75" s="9"/>
    </row>
    <row r="76" spans="1:29" ht="12.75" customHeight="1">
      <c r="A76" s="9"/>
      <c r="B76" s="9"/>
      <c r="C76" s="9"/>
      <c r="D76" s="9"/>
      <c r="E76" s="9"/>
      <c r="F76" s="9"/>
      <c r="G76" s="9"/>
      <c r="H76" s="548"/>
      <c r="I76" s="548"/>
      <c r="J76" s="548"/>
      <c r="K76" s="548"/>
      <c r="L76" s="548"/>
      <c r="M76" s="548"/>
      <c r="N76" s="548"/>
      <c r="O76" s="548"/>
      <c r="P76" s="548"/>
      <c r="Q76" s="548"/>
      <c r="R76" s="548"/>
      <c r="S76" s="548"/>
      <c r="T76" s="548"/>
      <c r="U76" s="9"/>
      <c r="V76" s="9"/>
      <c r="W76" s="9"/>
      <c r="X76" s="9"/>
      <c r="Y76" s="9"/>
      <c r="Z76" s="9"/>
      <c r="AA76" s="9"/>
      <c r="AB76" s="9"/>
      <c r="AC76" s="9"/>
    </row>
    <row r="77" spans="1:29" ht="12.75" customHeight="1">
      <c r="A77" s="9"/>
      <c r="B77" s="9"/>
      <c r="C77" s="9"/>
      <c r="D77" s="9"/>
      <c r="E77" s="9"/>
      <c r="F77" s="9"/>
      <c r="G77" s="9"/>
      <c r="H77" s="548"/>
      <c r="I77" s="548"/>
      <c r="J77" s="548"/>
      <c r="K77" s="548"/>
      <c r="L77" s="548"/>
      <c r="M77" s="548"/>
      <c r="N77" s="548"/>
      <c r="O77" s="548"/>
      <c r="P77" s="548"/>
      <c r="Q77" s="548"/>
      <c r="R77" s="548"/>
      <c r="S77" s="548"/>
      <c r="T77" s="548"/>
      <c r="U77" s="9"/>
      <c r="V77" s="9"/>
      <c r="W77" s="9"/>
      <c r="X77" s="9"/>
      <c r="Y77" s="9"/>
      <c r="Z77" s="9"/>
      <c r="AA77" s="9"/>
      <c r="AB77" s="9"/>
      <c r="AC77" s="9"/>
    </row>
    <row r="78" spans="1:29" ht="12.75" customHeight="1">
      <c r="A78" s="9"/>
      <c r="B78" s="9"/>
      <c r="C78" s="9"/>
      <c r="D78" s="9"/>
      <c r="E78" s="9"/>
      <c r="F78" s="9"/>
      <c r="G78" s="9"/>
      <c r="H78" s="548"/>
      <c r="I78" s="548"/>
      <c r="J78" s="548"/>
      <c r="K78" s="548"/>
      <c r="L78" s="548"/>
      <c r="M78" s="548"/>
      <c r="N78" s="548"/>
      <c r="O78" s="548"/>
      <c r="P78" s="548"/>
      <c r="Q78" s="548"/>
      <c r="R78" s="548"/>
      <c r="S78" s="548"/>
      <c r="T78" s="548"/>
      <c r="U78" s="9"/>
      <c r="V78" s="9"/>
      <c r="W78" s="9"/>
      <c r="X78" s="9"/>
      <c r="Y78" s="9"/>
      <c r="Z78" s="9"/>
      <c r="AA78" s="9"/>
      <c r="AB78" s="9"/>
      <c r="AC78" s="9"/>
    </row>
    <row r="79" spans="1:29" ht="12.75" customHeight="1">
      <c r="A79" s="9"/>
      <c r="B79" s="9"/>
      <c r="C79" s="9"/>
      <c r="D79" s="9"/>
      <c r="E79" s="9"/>
      <c r="F79" s="9"/>
      <c r="G79" s="9"/>
      <c r="H79" s="548"/>
      <c r="I79" s="548"/>
      <c r="J79" s="548"/>
      <c r="K79" s="548"/>
      <c r="L79" s="548"/>
      <c r="M79" s="548"/>
      <c r="N79" s="548"/>
      <c r="O79" s="548"/>
      <c r="P79" s="548"/>
      <c r="Q79" s="548"/>
      <c r="R79" s="548"/>
      <c r="S79" s="548"/>
      <c r="T79" s="548"/>
      <c r="U79" s="9"/>
      <c r="V79" s="9"/>
      <c r="W79" s="9"/>
      <c r="X79" s="9"/>
      <c r="Y79" s="9"/>
      <c r="Z79" s="9"/>
      <c r="AA79" s="9"/>
      <c r="AB79" s="9"/>
      <c r="AC79" s="9"/>
    </row>
    <row r="80" spans="1:29" ht="12.75" customHeight="1">
      <c r="A80" s="9"/>
      <c r="B80" s="9"/>
      <c r="C80" s="9"/>
      <c r="D80" s="9"/>
      <c r="E80" s="9"/>
      <c r="F80" s="9"/>
      <c r="G80" s="9"/>
      <c r="H80" s="548"/>
      <c r="I80" s="548"/>
      <c r="J80" s="548"/>
      <c r="K80" s="548"/>
      <c r="L80" s="548"/>
      <c r="M80" s="548"/>
      <c r="N80" s="548"/>
      <c r="O80" s="548"/>
      <c r="P80" s="548"/>
      <c r="Q80" s="548"/>
      <c r="R80" s="548"/>
      <c r="S80" s="548"/>
      <c r="T80" s="548"/>
      <c r="U80" s="9"/>
      <c r="V80" s="9"/>
      <c r="W80" s="9"/>
      <c r="X80" s="9"/>
      <c r="Y80" s="9"/>
      <c r="Z80" s="9"/>
      <c r="AA80" s="9"/>
      <c r="AB80" s="9"/>
      <c r="AC80" s="9"/>
    </row>
    <row r="81" spans="1:29" ht="12.75" customHeight="1">
      <c r="A81" s="9"/>
      <c r="B81" s="9"/>
      <c r="C81" s="9"/>
      <c r="D81" s="9"/>
      <c r="E81" s="9"/>
      <c r="F81" s="9"/>
      <c r="G81" s="9"/>
      <c r="H81" s="548"/>
      <c r="I81" s="548"/>
      <c r="J81" s="548"/>
      <c r="K81" s="548"/>
      <c r="L81" s="548"/>
      <c r="M81" s="548"/>
      <c r="N81" s="548"/>
      <c r="O81" s="548"/>
      <c r="P81" s="548"/>
      <c r="Q81" s="548"/>
      <c r="R81" s="548"/>
      <c r="S81" s="548"/>
      <c r="T81" s="548"/>
      <c r="U81" s="9"/>
      <c r="V81" s="9"/>
      <c r="W81" s="9"/>
      <c r="X81" s="9"/>
      <c r="Y81" s="9"/>
      <c r="Z81" s="9"/>
      <c r="AA81" s="9"/>
      <c r="AB81" s="9"/>
      <c r="AC81" s="9"/>
    </row>
    <row r="82" spans="1:29" ht="12.75" customHeight="1">
      <c r="A82" s="9"/>
      <c r="B82" s="9"/>
      <c r="C82" s="9"/>
      <c r="D82" s="9"/>
      <c r="E82" s="9"/>
      <c r="F82" s="9"/>
      <c r="G82" s="9"/>
      <c r="H82" s="548"/>
      <c r="I82" s="548"/>
      <c r="J82" s="548"/>
      <c r="K82" s="548"/>
      <c r="L82" s="548"/>
      <c r="M82" s="548"/>
      <c r="N82" s="548"/>
      <c r="O82" s="548"/>
      <c r="P82" s="548"/>
      <c r="Q82" s="548"/>
      <c r="R82" s="548"/>
      <c r="S82" s="548"/>
      <c r="T82" s="548"/>
      <c r="U82" s="9"/>
      <c r="V82" s="9"/>
      <c r="W82" s="9"/>
      <c r="X82" s="9"/>
      <c r="Y82" s="9"/>
      <c r="Z82" s="9"/>
      <c r="AA82" s="9"/>
      <c r="AB82" s="9"/>
      <c r="AC82" s="9"/>
    </row>
    <row r="83" spans="1:29" ht="12.75" customHeight="1">
      <c r="A83" s="9"/>
      <c r="B83" s="9"/>
      <c r="C83" s="9"/>
      <c r="D83" s="9"/>
      <c r="E83" s="9"/>
      <c r="F83" s="9"/>
      <c r="G83" s="9"/>
      <c r="H83" s="548"/>
      <c r="I83" s="548"/>
      <c r="J83" s="548"/>
      <c r="K83" s="548"/>
      <c r="L83" s="548"/>
      <c r="M83" s="548"/>
      <c r="N83" s="548"/>
      <c r="O83" s="548"/>
      <c r="P83" s="548"/>
      <c r="Q83" s="548"/>
      <c r="R83" s="548"/>
      <c r="S83" s="548"/>
      <c r="T83" s="548"/>
      <c r="U83" s="9"/>
      <c r="V83" s="9"/>
      <c r="W83" s="9"/>
      <c r="X83" s="9"/>
      <c r="Y83" s="9"/>
      <c r="Z83" s="9"/>
      <c r="AA83" s="9"/>
      <c r="AB83" s="9"/>
      <c r="AC83" s="9"/>
    </row>
    <row r="84" spans="1:29" ht="12.75" customHeight="1">
      <c r="A84" s="9"/>
      <c r="B84" s="9"/>
      <c r="C84" s="9"/>
      <c r="D84" s="9"/>
      <c r="E84" s="9"/>
      <c r="F84" s="9"/>
      <c r="G84" s="9"/>
      <c r="H84" s="548"/>
      <c r="I84" s="548"/>
      <c r="J84" s="548"/>
      <c r="K84" s="548"/>
      <c r="L84" s="548"/>
      <c r="M84" s="548"/>
      <c r="N84" s="548"/>
      <c r="O84" s="548"/>
      <c r="P84" s="548"/>
      <c r="Q84" s="548"/>
      <c r="R84" s="548"/>
      <c r="S84" s="548"/>
      <c r="T84" s="548"/>
      <c r="U84" s="9"/>
      <c r="V84" s="9"/>
      <c r="W84" s="9"/>
      <c r="X84" s="9"/>
      <c r="Y84" s="9"/>
      <c r="Z84" s="9"/>
      <c r="AA84" s="9"/>
      <c r="AB84" s="9"/>
      <c r="AC84" s="9"/>
    </row>
    <row r="85" spans="1:29" ht="12.75" customHeight="1">
      <c r="A85" s="9"/>
      <c r="B85" s="9"/>
      <c r="C85" s="9"/>
      <c r="D85" s="9"/>
      <c r="E85" s="9"/>
      <c r="F85" s="9"/>
      <c r="G85" s="9"/>
      <c r="H85" s="548"/>
      <c r="I85" s="548"/>
      <c r="J85" s="548"/>
      <c r="K85" s="548"/>
      <c r="L85" s="548"/>
      <c r="M85" s="548"/>
      <c r="N85" s="548"/>
      <c r="O85" s="548"/>
      <c r="P85" s="548"/>
      <c r="Q85" s="548"/>
      <c r="R85" s="548"/>
      <c r="S85" s="548"/>
      <c r="T85" s="548"/>
      <c r="U85" s="9"/>
      <c r="V85" s="9"/>
      <c r="W85" s="9"/>
      <c r="X85" s="9"/>
      <c r="Y85" s="9"/>
      <c r="Z85" s="9"/>
      <c r="AA85" s="9"/>
      <c r="AB85" s="9"/>
      <c r="AC85" s="9"/>
    </row>
    <row r="86" spans="1:29" ht="12.75" customHeight="1">
      <c r="A86" s="9"/>
      <c r="B86" s="9"/>
      <c r="C86" s="9"/>
      <c r="D86" s="9"/>
      <c r="E86" s="9"/>
      <c r="F86" s="9"/>
      <c r="G86" s="9"/>
      <c r="H86" s="548"/>
      <c r="I86" s="548"/>
      <c r="J86" s="548"/>
      <c r="K86" s="548"/>
      <c r="L86" s="548"/>
      <c r="M86" s="548"/>
      <c r="N86" s="548"/>
      <c r="O86" s="548"/>
      <c r="P86" s="548"/>
      <c r="Q86" s="548"/>
      <c r="R86" s="548"/>
      <c r="S86" s="548"/>
      <c r="T86" s="548"/>
      <c r="U86" s="9"/>
      <c r="V86" s="9"/>
      <c r="W86" s="9"/>
      <c r="X86" s="9"/>
      <c r="Y86" s="9"/>
      <c r="Z86" s="9"/>
      <c r="AA86" s="9"/>
      <c r="AB86" s="9"/>
      <c r="AC86" s="9"/>
    </row>
    <row r="87" spans="1:29" ht="12.75" customHeight="1">
      <c r="A87" s="9"/>
      <c r="B87" s="9"/>
      <c r="C87" s="9"/>
      <c r="D87" s="9"/>
      <c r="E87" s="9"/>
      <c r="F87" s="9"/>
      <c r="G87" s="9"/>
      <c r="H87" s="548"/>
      <c r="I87" s="548"/>
      <c r="J87" s="548"/>
      <c r="K87" s="548"/>
      <c r="L87" s="548"/>
      <c r="M87" s="548"/>
      <c r="N87" s="548"/>
      <c r="O87" s="548"/>
      <c r="P87" s="548"/>
      <c r="Q87" s="548"/>
      <c r="R87" s="548"/>
      <c r="S87" s="548"/>
      <c r="T87" s="548"/>
      <c r="U87" s="9"/>
      <c r="V87" s="9"/>
      <c r="W87" s="9"/>
      <c r="X87" s="9"/>
      <c r="Y87" s="9"/>
      <c r="Z87" s="9"/>
      <c r="AA87" s="9"/>
      <c r="AB87" s="9"/>
      <c r="AC87" s="9"/>
    </row>
    <row r="88" spans="1:29" ht="12.75" customHeight="1">
      <c r="A88" s="9"/>
      <c r="B88" s="9"/>
      <c r="C88" s="9"/>
      <c r="D88" s="9"/>
      <c r="E88" s="9"/>
      <c r="F88" s="9"/>
      <c r="G88" s="9"/>
      <c r="H88" s="548"/>
      <c r="I88" s="548"/>
      <c r="J88" s="548"/>
      <c r="K88" s="548"/>
      <c r="L88" s="548"/>
      <c r="M88" s="548"/>
      <c r="N88" s="548"/>
      <c r="O88" s="548"/>
      <c r="P88" s="548"/>
      <c r="Q88" s="548"/>
      <c r="R88" s="548"/>
      <c r="S88" s="548"/>
      <c r="T88" s="548"/>
      <c r="U88" s="9"/>
      <c r="V88" s="9"/>
      <c r="W88" s="9"/>
      <c r="X88" s="9"/>
      <c r="Y88" s="9"/>
      <c r="Z88" s="9"/>
      <c r="AA88" s="9"/>
      <c r="AB88" s="9"/>
      <c r="AC88" s="9"/>
    </row>
    <row r="89" spans="1:29" ht="12.75" customHeight="1">
      <c r="A89" s="9"/>
      <c r="B89" s="9"/>
      <c r="C89" s="9"/>
      <c r="D89" s="9"/>
      <c r="E89" s="9"/>
      <c r="F89" s="9"/>
      <c r="G89" s="9"/>
      <c r="H89" s="548"/>
      <c r="I89" s="548"/>
      <c r="J89" s="548"/>
      <c r="K89" s="548"/>
      <c r="L89" s="548"/>
      <c r="M89" s="548"/>
      <c r="N89" s="548"/>
      <c r="O89" s="548"/>
      <c r="P89" s="548"/>
      <c r="Q89" s="548"/>
      <c r="R89" s="548"/>
      <c r="S89" s="548"/>
      <c r="T89" s="548"/>
      <c r="U89" s="9"/>
      <c r="V89" s="9"/>
      <c r="W89" s="9"/>
      <c r="X89" s="9"/>
      <c r="Y89" s="9"/>
      <c r="Z89" s="9"/>
      <c r="AA89" s="9"/>
      <c r="AB89" s="9"/>
      <c r="AC89" s="9"/>
    </row>
    <row r="90" spans="1:29" ht="12.75" customHeight="1">
      <c r="A90" s="9"/>
      <c r="B90" s="9"/>
      <c r="C90" s="9"/>
      <c r="D90" s="9"/>
      <c r="E90" s="9"/>
      <c r="F90" s="9"/>
      <c r="G90" s="9"/>
      <c r="H90" s="548"/>
      <c r="I90" s="548"/>
      <c r="J90" s="548"/>
      <c r="K90" s="548"/>
      <c r="L90" s="548"/>
      <c r="M90" s="548"/>
      <c r="N90" s="548"/>
      <c r="O90" s="548"/>
      <c r="P90" s="548"/>
      <c r="Q90" s="548"/>
      <c r="R90" s="548"/>
      <c r="S90" s="548"/>
      <c r="T90" s="548"/>
      <c r="U90" s="9"/>
      <c r="V90" s="9"/>
      <c r="W90" s="9"/>
      <c r="X90" s="9"/>
      <c r="Y90" s="9"/>
      <c r="Z90" s="9"/>
      <c r="AA90" s="9"/>
      <c r="AB90" s="9"/>
      <c r="AC90" s="9"/>
    </row>
    <row r="91" spans="1:29" ht="12.75" customHeight="1">
      <c r="A91" s="9"/>
      <c r="B91" s="9"/>
      <c r="C91" s="9"/>
      <c r="D91" s="9"/>
      <c r="E91" s="9"/>
      <c r="F91" s="9"/>
      <c r="G91" s="9"/>
      <c r="H91" s="548"/>
      <c r="I91" s="548"/>
      <c r="J91" s="548"/>
      <c r="K91" s="548"/>
      <c r="L91" s="548"/>
      <c r="M91" s="548"/>
      <c r="N91" s="548"/>
      <c r="O91" s="548"/>
      <c r="P91" s="548"/>
      <c r="Q91" s="548"/>
      <c r="R91" s="548"/>
      <c r="S91" s="548"/>
      <c r="T91" s="548"/>
      <c r="U91" s="9"/>
      <c r="V91" s="9"/>
      <c r="W91" s="9"/>
      <c r="X91" s="9"/>
      <c r="Y91" s="9"/>
      <c r="Z91" s="9"/>
      <c r="AA91" s="9"/>
      <c r="AB91" s="9"/>
      <c r="AC91" s="9"/>
    </row>
    <row r="92" spans="1:29" ht="12.75" customHeight="1">
      <c r="A92" s="9"/>
      <c r="B92" s="9"/>
      <c r="C92" s="9"/>
      <c r="D92" s="9"/>
      <c r="E92" s="9"/>
      <c r="F92" s="9"/>
      <c r="G92" s="9"/>
      <c r="H92" s="548"/>
      <c r="I92" s="548"/>
      <c r="J92" s="548"/>
      <c r="K92" s="548"/>
      <c r="L92" s="548"/>
      <c r="M92" s="548"/>
      <c r="N92" s="548"/>
      <c r="O92" s="548"/>
      <c r="P92" s="548"/>
      <c r="Q92" s="548"/>
      <c r="R92" s="548"/>
      <c r="S92" s="548"/>
      <c r="T92" s="548"/>
      <c r="U92" s="9"/>
      <c r="V92" s="9"/>
      <c r="W92" s="9"/>
      <c r="X92" s="9"/>
      <c r="Y92" s="9"/>
      <c r="Z92" s="9"/>
      <c r="AA92" s="9"/>
      <c r="AB92" s="9"/>
      <c r="AC92" s="9"/>
    </row>
    <row r="93" spans="1:29" ht="12.75" customHeight="1">
      <c r="A93" s="9"/>
      <c r="B93" s="9"/>
      <c r="C93" s="9"/>
      <c r="D93" s="9"/>
      <c r="E93" s="9"/>
      <c r="F93" s="9"/>
      <c r="G93" s="9"/>
      <c r="H93" s="548"/>
      <c r="I93" s="548"/>
      <c r="J93" s="548"/>
      <c r="K93" s="548"/>
      <c r="L93" s="548"/>
      <c r="M93" s="548"/>
      <c r="N93" s="548"/>
      <c r="O93" s="548"/>
      <c r="P93" s="548"/>
      <c r="Q93" s="548"/>
      <c r="R93" s="548"/>
      <c r="S93" s="548"/>
      <c r="T93" s="548"/>
      <c r="U93" s="9"/>
      <c r="V93" s="9"/>
      <c r="W93" s="9"/>
      <c r="X93" s="9"/>
      <c r="Y93" s="9"/>
      <c r="Z93" s="9"/>
      <c r="AA93" s="9"/>
      <c r="AB93" s="9"/>
      <c r="AC93" s="9"/>
    </row>
    <row r="94" spans="1:29" ht="12.75" customHeight="1">
      <c r="A94" s="9"/>
      <c r="B94" s="9"/>
      <c r="C94" s="9"/>
      <c r="D94" s="9"/>
      <c r="E94" s="9"/>
      <c r="F94" s="9"/>
      <c r="G94" s="9"/>
      <c r="H94" s="548"/>
      <c r="I94" s="548"/>
      <c r="J94" s="548"/>
      <c r="K94" s="548"/>
      <c r="L94" s="548"/>
      <c r="M94" s="548"/>
      <c r="N94" s="548"/>
      <c r="O94" s="548"/>
      <c r="P94" s="548"/>
      <c r="Q94" s="548"/>
      <c r="R94" s="548"/>
      <c r="S94" s="548"/>
      <c r="T94" s="548"/>
      <c r="U94" s="9"/>
      <c r="V94" s="9"/>
      <c r="W94" s="9"/>
      <c r="X94" s="9"/>
      <c r="Y94" s="9"/>
      <c r="Z94" s="9"/>
      <c r="AA94" s="9"/>
      <c r="AB94" s="9"/>
      <c r="AC94" s="9"/>
    </row>
    <row r="95" spans="1:29" ht="12.75" customHeight="1">
      <c r="A95" s="9"/>
      <c r="B95" s="9"/>
      <c r="C95" s="9"/>
      <c r="D95" s="9"/>
      <c r="E95" s="9"/>
      <c r="F95" s="9"/>
      <c r="G95" s="9"/>
      <c r="H95" s="548"/>
      <c r="I95" s="548"/>
      <c r="J95" s="548"/>
      <c r="K95" s="548"/>
      <c r="L95" s="548"/>
      <c r="M95" s="548"/>
      <c r="N95" s="548"/>
      <c r="O95" s="548"/>
      <c r="P95" s="548"/>
      <c r="Q95" s="548"/>
      <c r="R95" s="548"/>
      <c r="S95" s="548"/>
      <c r="T95" s="548"/>
      <c r="U95" s="9"/>
      <c r="V95" s="9"/>
      <c r="W95" s="9"/>
      <c r="X95" s="9"/>
      <c r="Y95" s="9"/>
      <c r="Z95" s="9"/>
      <c r="AA95" s="9"/>
      <c r="AB95" s="9"/>
      <c r="AC95" s="9"/>
    </row>
    <row r="96" spans="1:29" ht="12.75" customHeight="1">
      <c r="A96" s="9"/>
      <c r="B96" s="9"/>
      <c r="C96" s="9"/>
      <c r="D96" s="9"/>
      <c r="E96" s="9"/>
      <c r="F96" s="9"/>
      <c r="G96" s="9"/>
      <c r="H96" s="548"/>
      <c r="I96" s="548"/>
      <c r="J96" s="548"/>
      <c r="K96" s="548"/>
      <c r="L96" s="548"/>
      <c r="M96" s="548"/>
      <c r="N96" s="548"/>
      <c r="O96" s="548"/>
      <c r="P96" s="548"/>
      <c r="Q96" s="548"/>
      <c r="R96" s="548"/>
      <c r="S96" s="548"/>
      <c r="T96" s="548"/>
      <c r="U96" s="9"/>
      <c r="V96" s="9"/>
      <c r="W96" s="9"/>
      <c r="X96" s="9"/>
      <c r="Y96" s="9"/>
      <c r="Z96" s="9"/>
      <c r="AA96" s="9"/>
      <c r="AB96" s="9"/>
      <c r="AC96" s="9"/>
    </row>
    <row r="97" spans="1:29" ht="12.75" customHeight="1">
      <c r="A97" s="9"/>
      <c r="B97" s="9"/>
      <c r="C97" s="9"/>
      <c r="D97" s="9"/>
      <c r="E97" s="9"/>
      <c r="F97" s="9"/>
      <c r="G97" s="9"/>
      <c r="H97" s="548"/>
      <c r="I97" s="548"/>
      <c r="J97" s="548"/>
      <c r="K97" s="548"/>
      <c r="L97" s="548"/>
      <c r="M97" s="548"/>
      <c r="N97" s="548"/>
      <c r="O97" s="548"/>
      <c r="P97" s="548"/>
      <c r="Q97" s="548"/>
      <c r="R97" s="548"/>
      <c r="S97" s="548"/>
      <c r="T97" s="548"/>
      <c r="U97" s="9"/>
      <c r="V97" s="9"/>
      <c r="W97" s="9"/>
      <c r="X97" s="9"/>
      <c r="Y97" s="9"/>
      <c r="Z97" s="9"/>
      <c r="AA97" s="9"/>
      <c r="AB97" s="9"/>
      <c r="AC97" s="9"/>
    </row>
    <row r="98" spans="1:29" ht="12.75" customHeight="1">
      <c r="A98" s="9"/>
      <c r="B98" s="9"/>
      <c r="C98" s="9"/>
      <c r="D98" s="9"/>
      <c r="E98" s="9"/>
      <c r="F98" s="9"/>
      <c r="G98" s="9"/>
      <c r="H98" s="548"/>
      <c r="I98" s="548"/>
      <c r="J98" s="548"/>
      <c r="K98" s="548"/>
      <c r="L98" s="548"/>
      <c r="M98" s="548"/>
      <c r="N98" s="548"/>
      <c r="O98" s="548"/>
      <c r="P98" s="548"/>
      <c r="Q98" s="548"/>
      <c r="R98" s="548"/>
      <c r="S98" s="548"/>
      <c r="T98" s="548"/>
      <c r="U98" s="9"/>
      <c r="V98" s="9"/>
      <c r="W98" s="9"/>
      <c r="X98" s="9"/>
      <c r="Y98" s="9"/>
      <c r="Z98" s="9"/>
      <c r="AA98" s="9"/>
      <c r="AB98" s="9"/>
      <c r="AC98" s="9"/>
    </row>
    <row r="99" spans="1:29" ht="12.75" customHeight="1">
      <c r="A99" s="9"/>
      <c r="B99" s="9"/>
      <c r="C99" s="9"/>
      <c r="D99" s="9"/>
      <c r="E99" s="9"/>
      <c r="F99" s="9"/>
      <c r="G99" s="9"/>
      <c r="H99" s="548"/>
      <c r="I99" s="548"/>
      <c r="J99" s="548"/>
      <c r="K99" s="548"/>
      <c r="L99" s="548"/>
      <c r="M99" s="548"/>
      <c r="N99" s="548"/>
      <c r="O99" s="548"/>
      <c r="P99" s="548"/>
      <c r="Q99" s="548"/>
      <c r="R99" s="548"/>
      <c r="S99" s="548"/>
      <c r="T99" s="548"/>
      <c r="U99" s="9"/>
      <c r="V99" s="9"/>
      <c r="W99" s="9"/>
      <c r="X99" s="9"/>
      <c r="Y99" s="9"/>
      <c r="Z99" s="9"/>
      <c r="AA99" s="9"/>
      <c r="AB99" s="9"/>
      <c r="AC99" s="9"/>
    </row>
    <row r="100" spans="1:29" ht="12.75" customHeight="1">
      <c r="A100" s="9"/>
      <c r="B100" s="9"/>
      <c r="C100" s="9"/>
      <c r="D100" s="9"/>
      <c r="E100" s="9"/>
      <c r="F100" s="9"/>
      <c r="G100" s="9"/>
      <c r="H100" s="548"/>
      <c r="I100" s="548"/>
      <c r="J100" s="548"/>
      <c r="K100" s="548"/>
      <c r="L100" s="548"/>
      <c r="M100" s="548"/>
      <c r="N100" s="548"/>
      <c r="O100" s="548"/>
      <c r="P100" s="548"/>
      <c r="Q100" s="548"/>
      <c r="R100" s="548"/>
      <c r="S100" s="548"/>
      <c r="T100" s="548"/>
      <c r="U100" s="9"/>
      <c r="V100" s="9"/>
      <c r="W100" s="9"/>
      <c r="X100" s="9"/>
      <c r="Y100" s="9"/>
      <c r="Z100" s="9"/>
      <c r="AA100" s="9"/>
      <c r="AB100" s="9"/>
      <c r="AC100" s="9"/>
    </row>
    <row r="101" spans="1:29" ht="12.75" customHeight="1">
      <c r="A101" s="9"/>
      <c r="B101" s="9"/>
      <c r="C101" s="9"/>
      <c r="D101" s="9"/>
      <c r="E101" s="9"/>
      <c r="F101" s="9"/>
      <c r="G101" s="9"/>
      <c r="H101" s="548"/>
      <c r="I101" s="548"/>
      <c r="J101" s="548"/>
      <c r="K101" s="548"/>
      <c r="L101" s="548"/>
      <c r="M101" s="548"/>
      <c r="N101" s="548"/>
      <c r="O101" s="548"/>
      <c r="P101" s="548"/>
      <c r="Q101" s="548"/>
      <c r="R101" s="548"/>
      <c r="S101" s="548"/>
      <c r="T101" s="548"/>
      <c r="U101" s="9"/>
      <c r="V101" s="9"/>
      <c r="W101" s="9"/>
      <c r="X101" s="9"/>
      <c r="Y101" s="9"/>
      <c r="Z101" s="9"/>
      <c r="AA101" s="9"/>
      <c r="AB101" s="9"/>
      <c r="AC101" s="9"/>
    </row>
    <row r="102" spans="1:29" ht="12.75" customHeight="1">
      <c r="A102" s="9"/>
      <c r="B102" s="9"/>
      <c r="C102" s="9"/>
      <c r="D102" s="9"/>
      <c r="E102" s="9"/>
      <c r="F102" s="9"/>
      <c r="G102" s="9"/>
      <c r="H102" s="548"/>
      <c r="I102" s="548"/>
      <c r="J102" s="548"/>
      <c r="K102" s="548"/>
      <c r="L102" s="548"/>
      <c r="M102" s="548"/>
      <c r="N102" s="548"/>
      <c r="O102" s="548"/>
      <c r="P102" s="548"/>
      <c r="Q102" s="548"/>
      <c r="R102" s="548"/>
      <c r="S102" s="548"/>
      <c r="T102" s="548"/>
      <c r="U102" s="9"/>
      <c r="V102" s="9"/>
      <c r="W102" s="9"/>
      <c r="X102" s="9"/>
      <c r="Y102" s="9"/>
      <c r="Z102" s="9"/>
      <c r="AA102" s="9"/>
      <c r="AB102" s="9"/>
      <c r="AC102" s="9"/>
    </row>
    <row r="103" spans="1:29" ht="12.75" customHeight="1">
      <c r="A103" s="9"/>
      <c r="B103" s="9"/>
      <c r="C103" s="9"/>
      <c r="D103" s="9"/>
      <c r="E103" s="9"/>
      <c r="F103" s="9"/>
      <c r="G103" s="9"/>
      <c r="H103" s="548"/>
      <c r="I103" s="548"/>
      <c r="J103" s="548"/>
      <c r="K103" s="548"/>
      <c r="L103" s="548"/>
      <c r="M103" s="548"/>
      <c r="N103" s="548"/>
      <c r="O103" s="548"/>
      <c r="P103" s="548"/>
      <c r="Q103" s="548"/>
      <c r="R103" s="548"/>
      <c r="S103" s="548"/>
      <c r="T103" s="548"/>
      <c r="U103" s="9"/>
      <c r="V103" s="9"/>
      <c r="W103" s="9"/>
      <c r="X103" s="9"/>
      <c r="Y103" s="9"/>
      <c r="Z103" s="9"/>
      <c r="AA103" s="9"/>
      <c r="AB103" s="9"/>
      <c r="AC103" s="9"/>
    </row>
    <row r="104" spans="1:29" ht="12.75" customHeight="1">
      <c r="A104" s="9"/>
      <c r="B104" s="9"/>
      <c r="C104" s="9"/>
      <c r="D104" s="9"/>
      <c r="E104" s="9"/>
      <c r="F104" s="9"/>
      <c r="G104" s="9"/>
      <c r="H104" s="548"/>
      <c r="I104" s="548"/>
      <c r="J104" s="548"/>
      <c r="K104" s="548"/>
      <c r="L104" s="548"/>
      <c r="M104" s="548"/>
      <c r="N104" s="548"/>
      <c r="O104" s="548"/>
      <c r="P104" s="548"/>
      <c r="Q104" s="548"/>
      <c r="R104" s="548"/>
      <c r="S104" s="548"/>
      <c r="T104" s="548"/>
      <c r="U104" s="9"/>
      <c r="V104" s="9"/>
      <c r="W104" s="9"/>
      <c r="X104" s="9"/>
      <c r="Y104" s="9"/>
      <c r="Z104" s="9"/>
      <c r="AA104" s="9"/>
      <c r="AB104" s="9"/>
      <c r="AC104" s="9"/>
    </row>
    <row r="105" spans="1:29" ht="12.75" customHeight="1">
      <c r="A105" s="9"/>
      <c r="B105" s="9"/>
      <c r="C105" s="9"/>
      <c r="D105" s="9"/>
      <c r="E105" s="9"/>
      <c r="F105" s="9"/>
      <c r="G105" s="9"/>
      <c r="H105" s="548"/>
      <c r="I105" s="548"/>
      <c r="J105" s="548"/>
      <c r="K105" s="548"/>
      <c r="L105" s="548"/>
      <c r="M105" s="548"/>
      <c r="N105" s="548"/>
      <c r="O105" s="548"/>
      <c r="P105" s="548"/>
      <c r="Q105" s="548"/>
      <c r="R105" s="548"/>
      <c r="S105" s="548"/>
      <c r="T105" s="548"/>
      <c r="U105" s="9"/>
      <c r="V105" s="9"/>
      <c r="W105" s="9"/>
      <c r="X105" s="9"/>
      <c r="Y105" s="9"/>
      <c r="Z105" s="9"/>
      <c r="AA105" s="9"/>
      <c r="AB105" s="9"/>
      <c r="AC105" s="9"/>
    </row>
    <row r="106" spans="1:29" ht="12.75" customHeight="1">
      <c r="A106" s="9"/>
      <c r="B106" s="9"/>
      <c r="C106" s="9"/>
      <c r="D106" s="9"/>
      <c r="E106" s="9"/>
      <c r="F106" s="9"/>
      <c r="G106" s="9"/>
      <c r="H106" s="548"/>
      <c r="I106" s="548"/>
      <c r="J106" s="548"/>
      <c r="K106" s="548"/>
      <c r="L106" s="548"/>
      <c r="M106" s="548"/>
      <c r="N106" s="548"/>
      <c r="O106" s="548"/>
      <c r="P106" s="548"/>
      <c r="Q106" s="548"/>
      <c r="R106" s="548"/>
      <c r="S106" s="548"/>
      <c r="T106" s="548"/>
      <c r="U106" s="9"/>
      <c r="V106" s="9"/>
      <c r="W106" s="9"/>
      <c r="X106" s="9"/>
      <c r="Y106" s="9"/>
      <c r="Z106" s="9"/>
      <c r="AA106" s="9"/>
      <c r="AB106" s="9"/>
      <c r="AC106" s="9"/>
    </row>
    <row r="107" spans="1:29" ht="12.75" customHeight="1">
      <c r="A107" s="9"/>
      <c r="B107" s="9"/>
      <c r="C107" s="9"/>
      <c r="D107" s="9"/>
      <c r="E107" s="9"/>
      <c r="F107" s="9"/>
      <c r="G107" s="9"/>
      <c r="H107" s="548"/>
      <c r="I107" s="548"/>
      <c r="J107" s="548"/>
      <c r="K107" s="548"/>
      <c r="L107" s="548"/>
      <c r="M107" s="548"/>
      <c r="N107" s="548"/>
      <c r="O107" s="548"/>
      <c r="P107" s="548"/>
      <c r="Q107" s="548"/>
      <c r="R107" s="548"/>
      <c r="S107" s="548"/>
      <c r="T107" s="548"/>
      <c r="U107" s="9"/>
      <c r="V107" s="9"/>
      <c r="W107" s="9"/>
      <c r="X107" s="9"/>
      <c r="Y107" s="9"/>
      <c r="Z107" s="9"/>
      <c r="AA107" s="9"/>
      <c r="AB107" s="9"/>
      <c r="AC107" s="9"/>
    </row>
    <row r="108" spans="1:29" ht="12.75" customHeight="1">
      <c r="A108" s="9"/>
      <c r="B108" s="9"/>
      <c r="C108" s="9"/>
      <c r="D108" s="9"/>
      <c r="E108" s="9"/>
      <c r="F108" s="9"/>
      <c r="G108" s="9"/>
      <c r="H108" s="548"/>
      <c r="I108" s="548"/>
      <c r="J108" s="548"/>
      <c r="K108" s="548"/>
      <c r="L108" s="548"/>
      <c r="M108" s="548"/>
      <c r="N108" s="548"/>
      <c r="O108" s="548"/>
      <c r="P108" s="548"/>
      <c r="Q108" s="548"/>
      <c r="R108" s="548"/>
      <c r="S108" s="548"/>
      <c r="T108" s="548"/>
      <c r="U108" s="9"/>
      <c r="V108" s="9"/>
      <c r="W108" s="9"/>
      <c r="X108" s="9"/>
      <c r="Y108" s="9"/>
      <c r="Z108" s="9"/>
      <c r="AA108" s="9"/>
      <c r="AB108" s="9"/>
      <c r="AC108" s="9"/>
    </row>
    <row r="109" spans="1:29" ht="12.75" customHeight="1">
      <c r="A109" s="9"/>
      <c r="B109" s="9"/>
      <c r="C109" s="9"/>
      <c r="D109" s="9"/>
      <c r="E109" s="9"/>
      <c r="F109" s="9"/>
      <c r="G109" s="9"/>
      <c r="H109" s="548"/>
      <c r="I109" s="548"/>
      <c r="J109" s="548"/>
      <c r="K109" s="548"/>
      <c r="L109" s="548"/>
      <c r="M109" s="548"/>
      <c r="N109" s="548"/>
      <c r="O109" s="548"/>
      <c r="P109" s="548"/>
      <c r="Q109" s="548"/>
      <c r="R109" s="548"/>
      <c r="S109" s="548"/>
      <c r="T109" s="548"/>
      <c r="U109" s="9"/>
      <c r="V109" s="9"/>
      <c r="W109" s="9"/>
      <c r="X109" s="9"/>
      <c r="Y109" s="9"/>
      <c r="Z109" s="9"/>
      <c r="AA109" s="9"/>
      <c r="AB109" s="9"/>
      <c r="AC109" s="9"/>
    </row>
    <row r="110" spans="1:29" ht="12.75" customHeight="1">
      <c r="A110" s="9"/>
      <c r="B110" s="9"/>
      <c r="C110" s="9"/>
      <c r="D110" s="9"/>
      <c r="E110" s="9"/>
      <c r="F110" s="9"/>
      <c r="G110" s="9"/>
      <c r="H110" s="548"/>
      <c r="I110" s="548"/>
      <c r="J110" s="548"/>
      <c r="K110" s="548"/>
      <c r="L110" s="548"/>
      <c r="M110" s="548"/>
      <c r="N110" s="548"/>
      <c r="O110" s="548"/>
      <c r="P110" s="548"/>
      <c r="Q110" s="548"/>
      <c r="R110" s="548"/>
      <c r="S110" s="548"/>
      <c r="T110" s="548"/>
      <c r="U110" s="9"/>
      <c r="V110" s="9"/>
      <c r="W110" s="9"/>
      <c r="X110" s="9"/>
      <c r="Y110" s="9"/>
      <c r="Z110" s="9"/>
      <c r="AA110" s="9"/>
      <c r="AB110" s="9"/>
      <c r="AC110" s="9"/>
    </row>
    <row r="111" spans="1:29" ht="12.75" customHeight="1">
      <c r="A111" s="9"/>
      <c r="B111" s="9"/>
      <c r="C111" s="9"/>
      <c r="D111" s="9"/>
      <c r="E111" s="9"/>
      <c r="F111" s="9"/>
      <c r="G111" s="9"/>
      <c r="H111" s="548"/>
      <c r="I111" s="548"/>
      <c r="J111" s="548"/>
      <c r="K111" s="548"/>
      <c r="L111" s="548"/>
      <c r="M111" s="548"/>
      <c r="N111" s="548"/>
      <c r="O111" s="548"/>
      <c r="P111" s="548"/>
      <c r="Q111" s="548"/>
      <c r="R111" s="548"/>
      <c r="S111" s="548"/>
      <c r="T111" s="548"/>
      <c r="U111" s="9"/>
      <c r="V111" s="9"/>
      <c r="W111" s="9"/>
      <c r="X111" s="9"/>
      <c r="Y111" s="9"/>
      <c r="Z111" s="9"/>
      <c r="AA111" s="9"/>
      <c r="AB111" s="9"/>
      <c r="AC111" s="9"/>
    </row>
    <row r="112" spans="1:29" ht="12.75" customHeight="1">
      <c r="A112" s="9"/>
      <c r="B112" s="9"/>
      <c r="C112" s="9"/>
      <c r="D112" s="9"/>
      <c r="E112" s="9"/>
      <c r="F112" s="9"/>
      <c r="G112" s="9"/>
      <c r="H112" s="548"/>
      <c r="I112" s="548"/>
      <c r="J112" s="548"/>
      <c r="K112" s="548"/>
      <c r="L112" s="548"/>
      <c r="M112" s="548"/>
      <c r="N112" s="548"/>
      <c r="O112" s="548"/>
      <c r="P112" s="548"/>
      <c r="Q112" s="548"/>
      <c r="R112" s="548"/>
      <c r="S112" s="548"/>
      <c r="T112" s="548"/>
      <c r="U112" s="9"/>
      <c r="V112" s="9"/>
      <c r="W112" s="9"/>
      <c r="X112" s="9"/>
      <c r="Y112" s="9"/>
      <c r="Z112" s="9"/>
      <c r="AA112" s="9"/>
      <c r="AB112" s="9"/>
      <c r="AC112" s="9"/>
    </row>
    <row r="113" spans="1:29" ht="12.75" customHeight="1">
      <c r="A113" s="9"/>
      <c r="B113" s="9"/>
      <c r="C113" s="9"/>
      <c r="D113" s="9"/>
      <c r="E113" s="9"/>
      <c r="F113" s="9"/>
      <c r="G113" s="9"/>
      <c r="H113" s="548"/>
      <c r="I113" s="548"/>
      <c r="J113" s="548"/>
      <c r="K113" s="548"/>
      <c r="L113" s="548"/>
      <c r="M113" s="548"/>
      <c r="N113" s="548"/>
      <c r="O113" s="548"/>
      <c r="P113" s="548"/>
      <c r="Q113" s="548"/>
      <c r="R113" s="548"/>
      <c r="S113" s="548"/>
      <c r="T113" s="548"/>
      <c r="U113" s="9"/>
      <c r="V113" s="9"/>
      <c r="W113" s="9"/>
      <c r="X113" s="9"/>
      <c r="Y113" s="9"/>
      <c r="Z113" s="9"/>
      <c r="AA113" s="9"/>
      <c r="AB113" s="9"/>
      <c r="AC113" s="9"/>
    </row>
    <row r="114" spans="1:29" ht="12.75" customHeight="1">
      <c r="A114" s="9"/>
      <c r="B114" s="9"/>
      <c r="C114" s="9"/>
      <c r="D114" s="9"/>
      <c r="E114" s="9"/>
      <c r="F114" s="9"/>
      <c r="G114" s="9"/>
      <c r="H114" s="548"/>
      <c r="I114" s="548"/>
      <c r="J114" s="548"/>
      <c r="K114" s="548"/>
      <c r="L114" s="548"/>
      <c r="M114" s="548"/>
      <c r="N114" s="548"/>
      <c r="O114" s="548"/>
      <c r="P114" s="548"/>
      <c r="Q114" s="548"/>
      <c r="R114" s="548"/>
      <c r="S114" s="548"/>
      <c r="T114" s="548"/>
      <c r="U114" s="9"/>
      <c r="V114" s="9"/>
      <c r="W114" s="9"/>
      <c r="X114" s="9"/>
      <c r="Y114" s="9"/>
      <c r="Z114" s="9"/>
      <c r="AA114" s="9"/>
      <c r="AB114" s="9"/>
      <c r="AC114" s="9"/>
    </row>
    <row r="115" spans="1:29" ht="12.75" customHeight="1">
      <c r="A115" s="9"/>
      <c r="B115" s="9"/>
      <c r="C115" s="9"/>
      <c r="D115" s="9"/>
      <c r="E115" s="9"/>
      <c r="F115" s="9"/>
      <c r="G115" s="9"/>
      <c r="H115" s="548"/>
      <c r="I115" s="548"/>
      <c r="J115" s="548"/>
      <c r="K115" s="548"/>
      <c r="L115" s="548"/>
      <c r="M115" s="548"/>
      <c r="N115" s="548"/>
      <c r="O115" s="548"/>
      <c r="P115" s="548"/>
      <c r="Q115" s="548"/>
      <c r="R115" s="548"/>
      <c r="S115" s="548"/>
      <c r="T115" s="548"/>
      <c r="U115" s="9"/>
      <c r="V115" s="9"/>
      <c r="W115" s="9"/>
      <c r="X115" s="9"/>
      <c r="Y115" s="9"/>
      <c r="Z115" s="9"/>
      <c r="AA115" s="9"/>
      <c r="AB115" s="9"/>
      <c r="AC115" s="9"/>
    </row>
    <row r="116" spans="1:29" ht="12.75" customHeight="1">
      <c r="A116" s="9"/>
      <c r="B116" s="9"/>
      <c r="C116" s="9"/>
      <c r="D116" s="9"/>
      <c r="E116" s="9"/>
      <c r="F116" s="9"/>
      <c r="G116" s="9"/>
      <c r="H116" s="548"/>
      <c r="I116" s="548"/>
      <c r="J116" s="548"/>
      <c r="K116" s="548"/>
      <c r="L116" s="548"/>
      <c r="M116" s="548"/>
      <c r="N116" s="548"/>
      <c r="O116" s="548"/>
      <c r="P116" s="548"/>
      <c r="Q116" s="548"/>
      <c r="R116" s="548"/>
      <c r="S116" s="548"/>
      <c r="T116" s="548"/>
      <c r="U116" s="9"/>
      <c r="V116" s="9"/>
      <c r="W116" s="9"/>
      <c r="X116" s="9"/>
      <c r="Y116" s="9"/>
      <c r="Z116" s="9"/>
      <c r="AA116" s="9"/>
      <c r="AB116" s="9"/>
      <c r="AC116" s="9"/>
    </row>
    <row r="117" spans="1:29" ht="12.75" customHeight="1">
      <c r="A117" s="9"/>
      <c r="B117" s="9"/>
      <c r="C117" s="9"/>
      <c r="D117" s="9"/>
      <c r="E117" s="9"/>
      <c r="F117" s="9"/>
      <c r="G117" s="9"/>
      <c r="H117" s="548"/>
      <c r="I117" s="548"/>
      <c r="J117" s="548"/>
      <c r="K117" s="548"/>
      <c r="L117" s="548"/>
      <c r="M117" s="548"/>
      <c r="N117" s="548"/>
      <c r="O117" s="548"/>
      <c r="P117" s="548"/>
      <c r="Q117" s="548"/>
      <c r="R117" s="548"/>
      <c r="S117" s="548"/>
      <c r="T117" s="548"/>
      <c r="U117" s="9"/>
      <c r="V117" s="9"/>
      <c r="W117" s="9"/>
      <c r="X117" s="9"/>
      <c r="Y117" s="9"/>
      <c r="Z117" s="9"/>
      <c r="AA117" s="9"/>
      <c r="AB117" s="9"/>
      <c r="AC117" s="9"/>
    </row>
    <row r="118" spans="1:29" ht="12.75" customHeight="1">
      <c r="A118" s="9"/>
      <c r="B118" s="9"/>
      <c r="C118" s="9"/>
      <c r="D118" s="9"/>
      <c r="E118" s="9"/>
      <c r="F118" s="9"/>
      <c r="G118" s="9"/>
      <c r="H118" s="548"/>
      <c r="I118" s="548"/>
      <c r="J118" s="548"/>
      <c r="K118" s="548"/>
      <c r="L118" s="548"/>
      <c r="M118" s="548"/>
      <c r="N118" s="548"/>
      <c r="O118" s="548"/>
      <c r="P118" s="548"/>
      <c r="Q118" s="548"/>
      <c r="R118" s="548"/>
      <c r="S118" s="548"/>
      <c r="T118" s="548"/>
      <c r="U118" s="9"/>
      <c r="V118" s="9"/>
      <c r="W118" s="9"/>
      <c r="X118" s="9"/>
      <c r="Y118" s="9"/>
      <c r="Z118" s="9"/>
      <c r="AA118" s="9"/>
      <c r="AB118" s="9"/>
      <c r="AC118" s="9"/>
    </row>
    <row r="119" spans="1:29" ht="12.75" customHeight="1">
      <c r="A119" s="9"/>
      <c r="B119" s="9"/>
      <c r="C119" s="9"/>
      <c r="D119" s="9"/>
      <c r="E119" s="9"/>
      <c r="F119" s="9"/>
      <c r="G119" s="9"/>
      <c r="H119" s="548"/>
      <c r="I119" s="548"/>
      <c r="J119" s="548"/>
      <c r="K119" s="548"/>
      <c r="L119" s="548"/>
      <c r="M119" s="548"/>
      <c r="N119" s="548"/>
      <c r="O119" s="548"/>
      <c r="P119" s="548"/>
      <c r="Q119" s="548"/>
      <c r="R119" s="548"/>
      <c r="S119" s="548"/>
      <c r="T119" s="548"/>
      <c r="U119" s="9"/>
      <c r="V119" s="9"/>
      <c r="W119" s="9"/>
      <c r="X119" s="9"/>
      <c r="Y119" s="9"/>
      <c r="Z119" s="9"/>
      <c r="AA119" s="9"/>
      <c r="AB119" s="9"/>
      <c r="AC119" s="9"/>
    </row>
    <row r="120" spans="1:29" ht="12.75" customHeight="1">
      <c r="A120" s="9"/>
      <c r="B120" s="9"/>
      <c r="C120" s="9"/>
      <c r="D120" s="9"/>
      <c r="E120" s="9"/>
      <c r="F120" s="9"/>
      <c r="G120" s="9"/>
      <c r="H120" s="548"/>
      <c r="I120" s="548"/>
      <c r="J120" s="548"/>
      <c r="K120" s="548"/>
      <c r="L120" s="548"/>
      <c r="M120" s="548"/>
      <c r="N120" s="548"/>
      <c r="O120" s="548"/>
      <c r="P120" s="548"/>
      <c r="Q120" s="548"/>
      <c r="R120" s="548"/>
      <c r="S120" s="548"/>
      <c r="T120" s="548"/>
      <c r="U120" s="9"/>
      <c r="V120" s="9"/>
      <c r="W120" s="9"/>
      <c r="X120" s="9"/>
      <c r="Y120" s="9"/>
      <c r="Z120" s="9"/>
      <c r="AA120" s="9"/>
      <c r="AB120" s="9"/>
      <c r="AC120" s="9"/>
    </row>
    <row r="121" spans="1:29" ht="12.75" customHeight="1">
      <c r="A121" s="9"/>
      <c r="B121" s="9"/>
      <c r="C121" s="9"/>
      <c r="D121" s="9"/>
      <c r="E121" s="9"/>
      <c r="F121" s="9"/>
      <c r="G121" s="9"/>
      <c r="H121" s="548"/>
      <c r="I121" s="548"/>
      <c r="J121" s="548"/>
      <c r="K121" s="548"/>
      <c r="L121" s="548"/>
      <c r="M121" s="548"/>
      <c r="N121" s="548"/>
      <c r="O121" s="548"/>
      <c r="P121" s="548"/>
      <c r="Q121" s="548"/>
      <c r="R121" s="548"/>
      <c r="S121" s="548"/>
      <c r="T121" s="548"/>
      <c r="U121" s="9"/>
      <c r="V121" s="9"/>
      <c r="W121" s="9"/>
      <c r="X121" s="9"/>
      <c r="Y121" s="9"/>
      <c r="Z121" s="9"/>
      <c r="AA121" s="9"/>
      <c r="AB121" s="9"/>
      <c r="AC121" s="9"/>
    </row>
    <row r="122" spans="1:29" ht="12.75" customHeight="1">
      <c r="A122" s="9"/>
      <c r="B122" s="9"/>
      <c r="C122" s="9"/>
      <c r="D122" s="9"/>
      <c r="E122" s="9"/>
      <c r="F122" s="9"/>
      <c r="G122" s="9"/>
      <c r="H122" s="548"/>
      <c r="I122" s="548"/>
      <c r="J122" s="548"/>
      <c r="K122" s="548"/>
      <c r="L122" s="548"/>
      <c r="M122" s="548"/>
      <c r="N122" s="548"/>
      <c r="O122" s="548"/>
      <c r="P122" s="548"/>
      <c r="Q122" s="548"/>
      <c r="R122" s="548"/>
      <c r="S122" s="548"/>
      <c r="T122" s="548"/>
      <c r="U122" s="9"/>
      <c r="V122" s="9"/>
      <c r="W122" s="9"/>
      <c r="X122" s="9"/>
      <c r="Y122" s="9"/>
      <c r="Z122" s="9"/>
      <c r="AA122" s="9"/>
      <c r="AB122" s="9"/>
      <c r="AC122" s="9"/>
    </row>
    <row r="123" spans="1:29" ht="12.75" customHeight="1">
      <c r="A123" s="9"/>
      <c r="B123" s="9"/>
      <c r="C123" s="9"/>
      <c r="D123" s="9"/>
      <c r="E123" s="9"/>
      <c r="F123" s="9"/>
      <c r="G123" s="9"/>
      <c r="H123" s="548"/>
      <c r="I123" s="548"/>
      <c r="J123" s="548"/>
      <c r="K123" s="548"/>
      <c r="L123" s="548"/>
      <c r="M123" s="548"/>
      <c r="N123" s="548"/>
      <c r="O123" s="548"/>
      <c r="P123" s="548"/>
      <c r="Q123" s="548"/>
      <c r="R123" s="548"/>
      <c r="S123" s="548"/>
      <c r="T123" s="548"/>
      <c r="U123" s="9"/>
      <c r="V123" s="9"/>
      <c r="W123" s="9"/>
      <c r="X123" s="9"/>
      <c r="Y123" s="9"/>
      <c r="Z123" s="9"/>
      <c r="AA123" s="9"/>
      <c r="AB123" s="9"/>
      <c r="AC123" s="9"/>
    </row>
    <row r="124" spans="1:29" ht="12.75" customHeight="1">
      <c r="A124" s="9"/>
      <c r="B124" s="9"/>
      <c r="C124" s="9"/>
      <c r="D124" s="9"/>
      <c r="E124" s="9"/>
      <c r="F124" s="9"/>
      <c r="G124" s="9"/>
      <c r="H124" s="548"/>
      <c r="I124" s="548"/>
      <c r="J124" s="548"/>
      <c r="K124" s="548"/>
      <c r="L124" s="548"/>
      <c r="M124" s="548"/>
      <c r="N124" s="548"/>
      <c r="O124" s="548"/>
      <c r="P124" s="548"/>
      <c r="Q124" s="548"/>
      <c r="R124" s="548"/>
      <c r="S124" s="548"/>
      <c r="T124" s="548"/>
      <c r="U124" s="9"/>
      <c r="V124" s="9"/>
      <c r="W124" s="9"/>
      <c r="X124" s="9"/>
      <c r="Y124" s="9"/>
      <c r="Z124" s="9"/>
      <c r="AA124" s="9"/>
      <c r="AB124" s="9"/>
      <c r="AC124" s="9"/>
    </row>
    <row r="125" spans="1:29" ht="12.75" customHeight="1">
      <c r="A125" s="9"/>
      <c r="B125" s="9"/>
      <c r="C125" s="9"/>
      <c r="D125" s="9"/>
      <c r="E125" s="9"/>
      <c r="F125" s="9"/>
      <c r="G125" s="9"/>
      <c r="H125" s="548"/>
      <c r="I125" s="548"/>
      <c r="J125" s="548"/>
      <c r="K125" s="548"/>
      <c r="L125" s="548"/>
      <c r="M125" s="548"/>
      <c r="N125" s="548"/>
      <c r="O125" s="548"/>
      <c r="P125" s="548"/>
      <c r="Q125" s="548"/>
      <c r="R125" s="548"/>
      <c r="S125" s="548"/>
      <c r="T125" s="548"/>
      <c r="U125" s="9"/>
      <c r="V125" s="9"/>
      <c r="W125" s="9"/>
      <c r="X125" s="9"/>
      <c r="Y125" s="9"/>
      <c r="Z125" s="9"/>
      <c r="AA125" s="9"/>
      <c r="AB125" s="9"/>
      <c r="AC125" s="9"/>
    </row>
    <row r="126" spans="1:29" ht="12.75" customHeight="1">
      <c r="A126" s="9"/>
      <c r="B126" s="9"/>
      <c r="C126" s="9"/>
      <c r="D126" s="9"/>
      <c r="E126" s="9"/>
      <c r="F126" s="9"/>
      <c r="G126" s="9"/>
      <c r="H126" s="548"/>
      <c r="I126" s="548"/>
      <c r="J126" s="548"/>
      <c r="K126" s="548"/>
      <c r="L126" s="548"/>
      <c r="M126" s="548"/>
      <c r="N126" s="548"/>
      <c r="O126" s="548"/>
      <c r="P126" s="548"/>
      <c r="Q126" s="548"/>
      <c r="R126" s="548"/>
      <c r="S126" s="548"/>
      <c r="T126" s="548"/>
      <c r="U126" s="9"/>
      <c r="V126" s="9"/>
      <c r="W126" s="9"/>
      <c r="X126" s="9"/>
      <c r="Y126" s="9"/>
      <c r="Z126" s="9"/>
      <c r="AA126" s="9"/>
      <c r="AB126" s="9"/>
      <c r="AC126" s="9"/>
    </row>
    <row r="127" spans="1:29" ht="12.75" customHeight="1">
      <c r="A127" s="9"/>
      <c r="B127" s="9"/>
      <c r="C127" s="9"/>
      <c r="D127" s="9"/>
      <c r="E127" s="9"/>
      <c r="F127" s="9"/>
      <c r="G127" s="9"/>
      <c r="H127" s="548"/>
      <c r="I127" s="548"/>
      <c r="J127" s="548"/>
      <c r="K127" s="548"/>
      <c r="L127" s="548"/>
      <c r="M127" s="548"/>
      <c r="N127" s="548"/>
      <c r="O127" s="548"/>
      <c r="P127" s="548"/>
      <c r="Q127" s="548"/>
      <c r="R127" s="548"/>
      <c r="S127" s="548"/>
      <c r="T127" s="548"/>
      <c r="U127" s="9"/>
      <c r="V127" s="9"/>
      <c r="W127" s="9"/>
      <c r="X127" s="9"/>
      <c r="Y127" s="9"/>
      <c r="Z127" s="9"/>
      <c r="AA127" s="9"/>
      <c r="AB127" s="9"/>
      <c r="AC127" s="9"/>
    </row>
    <row r="128" spans="1:29" ht="12.75" customHeight="1">
      <c r="A128" s="9"/>
      <c r="B128" s="9"/>
      <c r="C128" s="9"/>
      <c r="D128" s="9"/>
      <c r="E128" s="9"/>
      <c r="F128" s="9"/>
      <c r="G128" s="9"/>
      <c r="H128" s="548"/>
      <c r="I128" s="548"/>
      <c r="J128" s="548"/>
      <c r="K128" s="548"/>
      <c r="L128" s="548"/>
      <c r="M128" s="548"/>
      <c r="N128" s="548"/>
      <c r="O128" s="548"/>
      <c r="P128" s="548"/>
      <c r="Q128" s="548"/>
      <c r="R128" s="548"/>
      <c r="S128" s="548"/>
      <c r="T128" s="548"/>
      <c r="U128" s="9"/>
      <c r="V128" s="9"/>
      <c r="W128" s="9"/>
      <c r="X128" s="9"/>
      <c r="Y128" s="9"/>
      <c r="Z128" s="9"/>
      <c r="AA128" s="9"/>
      <c r="AB128" s="9"/>
      <c r="AC128" s="9"/>
    </row>
    <row r="129" spans="1:29" ht="12.75" customHeight="1">
      <c r="A129" s="9"/>
      <c r="B129" s="9"/>
      <c r="C129" s="9"/>
      <c r="D129" s="9"/>
      <c r="E129" s="9"/>
      <c r="F129" s="9"/>
      <c r="G129" s="9"/>
      <c r="H129" s="548"/>
      <c r="I129" s="548"/>
      <c r="J129" s="548"/>
      <c r="K129" s="548"/>
      <c r="L129" s="548"/>
      <c r="M129" s="548"/>
      <c r="N129" s="548"/>
      <c r="O129" s="548"/>
      <c r="P129" s="548"/>
      <c r="Q129" s="548"/>
      <c r="R129" s="548"/>
      <c r="S129" s="548"/>
      <c r="T129" s="548"/>
      <c r="U129" s="9"/>
      <c r="V129" s="9"/>
      <c r="W129" s="9"/>
      <c r="X129" s="9"/>
      <c r="Y129" s="9"/>
      <c r="Z129" s="9"/>
      <c r="AA129" s="9"/>
      <c r="AB129" s="9"/>
      <c r="AC129" s="9"/>
    </row>
    <row r="130" spans="1:29" ht="12.75" customHeight="1">
      <c r="A130" s="9"/>
      <c r="B130" s="9"/>
      <c r="C130" s="9"/>
      <c r="D130" s="9"/>
      <c r="E130" s="9"/>
      <c r="F130" s="9"/>
      <c r="G130" s="9"/>
      <c r="H130" s="548"/>
      <c r="I130" s="548"/>
      <c r="J130" s="548"/>
      <c r="K130" s="548"/>
      <c r="L130" s="548"/>
      <c r="M130" s="548"/>
      <c r="N130" s="548"/>
      <c r="O130" s="548"/>
      <c r="P130" s="548"/>
      <c r="Q130" s="548"/>
      <c r="R130" s="548"/>
      <c r="S130" s="548"/>
      <c r="T130" s="548"/>
      <c r="U130" s="9"/>
      <c r="V130" s="9"/>
      <c r="W130" s="9"/>
      <c r="X130" s="9"/>
      <c r="Y130" s="9"/>
      <c r="Z130" s="9"/>
      <c r="AA130" s="9"/>
      <c r="AB130" s="9"/>
      <c r="AC130" s="9"/>
    </row>
    <row r="131" spans="1:29" ht="12.75" customHeight="1">
      <c r="A131" s="9"/>
      <c r="B131" s="9"/>
      <c r="C131" s="9"/>
      <c r="D131" s="9"/>
      <c r="E131" s="9"/>
      <c r="F131" s="9"/>
      <c r="G131" s="9"/>
      <c r="H131" s="548"/>
      <c r="I131" s="548"/>
      <c r="J131" s="548"/>
      <c r="K131" s="548"/>
      <c r="L131" s="548"/>
      <c r="M131" s="548"/>
      <c r="N131" s="548"/>
      <c r="O131" s="548"/>
      <c r="P131" s="548"/>
      <c r="Q131" s="548"/>
      <c r="R131" s="548"/>
      <c r="S131" s="548"/>
      <c r="T131" s="548"/>
      <c r="U131" s="9"/>
      <c r="V131" s="9"/>
      <c r="W131" s="9"/>
      <c r="X131" s="9"/>
      <c r="Y131" s="9"/>
      <c r="Z131" s="9"/>
      <c r="AA131" s="9"/>
      <c r="AB131" s="9"/>
      <c r="AC131" s="9"/>
    </row>
    <row r="132" spans="1:29" ht="12.75" customHeight="1">
      <c r="A132" s="9"/>
      <c r="B132" s="9"/>
      <c r="C132" s="9"/>
      <c r="D132" s="9"/>
      <c r="E132" s="9"/>
      <c r="F132" s="9"/>
      <c r="G132" s="9"/>
      <c r="H132" s="548"/>
      <c r="I132" s="548"/>
      <c r="J132" s="548"/>
      <c r="K132" s="548"/>
      <c r="L132" s="548"/>
      <c r="M132" s="548"/>
      <c r="N132" s="548"/>
      <c r="O132" s="548"/>
      <c r="P132" s="548"/>
      <c r="Q132" s="548"/>
      <c r="R132" s="548"/>
      <c r="S132" s="548"/>
      <c r="T132" s="548"/>
      <c r="U132" s="9"/>
      <c r="V132" s="9"/>
      <c r="W132" s="9"/>
      <c r="X132" s="9"/>
      <c r="Y132" s="9"/>
      <c r="Z132" s="9"/>
      <c r="AA132" s="9"/>
      <c r="AB132" s="9"/>
      <c r="AC132" s="9"/>
    </row>
    <row r="133" spans="1:29" ht="12.75" customHeight="1">
      <c r="A133" s="9"/>
      <c r="B133" s="9"/>
      <c r="C133" s="9"/>
      <c r="D133" s="9"/>
      <c r="E133" s="9"/>
      <c r="F133" s="9"/>
      <c r="G133" s="9"/>
      <c r="H133" s="548"/>
      <c r="I133" s="548"/>
      <c r="J133" s="548"/>
      <c r="K133" s="548"/>
      <c r="L133" s="548"/>
      <c r="M133" s="548"/>
      <c r="N133" s="548"/>
      <c r="O133" s="548"/>
      <c r="P133" s="548"/>
      <c r="Q133" s="548"/>
      <c r="R133" s="548"/>
      <c r="S133" s="548"/>
      <c r="T133" s="548"/>
      <c r="U133" s="9"/>
      <c r="V133" s="9"/>
      <c r="W133" s="9"/>
      <c r="X133" s="9"/>
      <c r="Y133" s="9"/>
      <c r="Z133" s="9"/>
      <c r="AA133" s="9"/>
      <c r="AB133" s="9"/>
      <c r="AC133" s="9"/>
    </row>
    <row r="134" spans="1:29" ht="12.75" customHeight="1">
      <c r="A134" s="9"/>
      <c r="B134" s="9"/>
      <c r="C134" s="9"/>
      <c r="D134" s="9"/>
      <c r="E134" s="9"/>
      <c r="F134" s="9"/>
      <c r="G134" s="9"/>
      <c r="H134" s="548"/>
      <c r="I134" s="548"/>
      <c r="J134" s="548"/>
      <c r="K134" s="548"/>
      <c r="L134" s="548"/>
      <c r="M134" s="548"/>
      <c r="N134" s="548"/>
      <c r="O134" s="548"/>
      <c r="P134" s="548"/>
      <c r="Q134" s="548"/>
      <c r="R134" s="548"/>
      <c r="S134" s="548"/>
      <c r="T134" s="548"/>
      <c r="U134" s="9"/>
      <c r="V134" s="9"/>
      <c r="W134" s="9"/>
      <c r="X134" s="9"/>
      <c r="Y134" s="9"/>
      <c r="Z134" s="9"/>
      <c r="AA134" s="9"/>
      <c r="AB134" s="9"/>
      <c r="AC134" s="9"/>
    </row>
    <row r="135" spans="1:29" ht="12.75" customHeight="1">
      <c r="A135" s="9"/>
      <c r="B135" s="9"/>
      <c r="C135" s="9"/>
      <c r="D135" s="9"/>
      <c r="E135" s="9"/>
      <c r="F135" s="9"/>
      <c r="G135" s="9"/>
      <c r="H135" s="548"/>
      <c r="I135" s="548"/>
      <c r="J135" s="548"/>
      <c r="K135" s="548"/>
      <c r="L135" s="548"/>
      <c r="M135" s="548"/>
      <c r="N135" s="548"/>
      <c r="O135" s="548"/>
      <c r="P135" s="548"/>
      <c r="Q135" s="548"/>
      <c r="R135" s="548"/>
      <c r="S135" s="548"/>
      <c r="T135" s="548"/>
      <c r="U135" s="9"/>
      <c r="V135" s="9"/>
      <c r="W135" s="9"/>
      <c r="X135" s="9"/>
      <c r="Y135" s="9"/>
      <c r="Z135" s="9"/>
      <c r="AA135" s="9"/>
      <c r="AB135" s="9"/>
      <c r="AC135" s="9"/>
    </row>
    <row r="136" spans="1:29" ht="12.75" customHeight="1">
      <c r="A136" s="9"/>
      <c r="B136" s="9"/>
      <c r="C136" s="9"/>
      <c r="D136" s="9"/>
      <c r="E136" s="9"/>
      <c r="F136" s="9"/>
      <c r="G136" s="9"/>
      <c r="H136" s="548"/>
      <c r="I136" s="548"/>
      <c r="J136" s="548"/>
      <c r="K136" s="548"/>
      <c r="L136" s="548"/>
      <c r="M136" s="548"/>
      <c r="N136" s="548"/>
      <c r="O136" s="548"/>
      <c r="P136" s="548"/>
      <c r="Q136" s="548"/>
      <c r="R136" s="548"/>
      <c r="S136" s="548"/>
      <c r="T136" s="548"/>
      <c r="U136" s="9"/>
      <c r="V136" s="9"/>
      <c r="W136" s="9"/>
      <c r="X136" s="9"/>
      <c r="Y136" s="9"/>
      <c r="Z136" s="9"/>
      <c r="AA136" s="9"/>
      <c r="AB136" s="9"/>
      <c r="AC136" s="9"/>
    </row>
    <row r="137" spans="1:29" ht="12.75" customHeight="1">
      <c r="A137" s="9"/>
      <c r="B137" s="9"/>
      <c r="C137" s="9"/>
      <c r="D137" s="9"/>
      <c r="E137" s="9"/>
      <c r="F137" s="9"/>
      <c r="G137" s="9"/>
      <c r="H137" s="548"/>
      <c r="I137" s="548"/>
      <c r="J137" s="548"/>
      <c r="K137" s="548"/>
      <c r="L137" s="548"/>
      <c r="M137" s="548"/>
      <c r="N137" s="548"/>
      <c r="O137" s="548"/>
      <c r="P137" s="548"/>
      <c r="Q137" s="548"/>
      <c r="R137" s="548"/>
      <c r="S137" s="548"/>
      <c r="T137" s="548"/>
      <c r="U137" s="9"/>
      <c r="V137" s="9"/>
      <c r="W137" s="9"/>
      <c r="X137" s="9"/>
      <c r="Y137" s="9"/>
      <c r="Z137" s="9"/>
      <c r="AA137" s="9"/>
      <c r="AB137" s="9"/>
      <c r="AC137" s="9"/>
    </row>
    <row r="138" spans="1:29" ht="12.75" customHeight="1">
      <c r="A138" s="9"/>
      <c r="B138" s="9"/>
      <c r="C138" s="9"/>
      <c r="D138" s="9"/>
      <c r="E138" s="9"/>
      <c r="F138" s="9"/>
      <c r="G138" s="9"/>
      <c r="H138" s="548"/>
      <c r="I138" s="548"/>
      <c r="J138" s="548"/>
      <c r="K138" s="548"/>
      <c r="L138" s="548"/>
      <c r="M138" s="548"/>
      <c r="N138" s="548"/>
      <c r="O138" s="548"/>
      <c r="P138" s="548"/>
      <c r="Q138" s="548"/>
      <c r="R138" s="548"/>
      <c r="S138" s="548"/>
      <c r="T138" s="548"/>
      <c r="U138" s="9"/>
      <c r="V138" s="9"/>
      <c r="W138" s="9"/>
      <c r="X138" s="9"/>
      <c r="Y138" s="9"/>
      <c r="Z138" s="9"/>
      <c r="AA138" s="9"/>
      <c r="AB138" s="9"/>
      <c r="AC138" s="9"/>
    </row>
    <row r="139" spans="1:29" ht="12.75" customHeight="1">
      <c r="A139" s="9"/>
      <c r="B139" s="9"/>
      <c r="C139" s="9"/>
      <c r="D139" s="9"/>
      <c r="E139" s="9"/>
      <c r="F139" s="9"/>
      <c r="G139" s="9"/>
      <c r="H139" s="548"/>
      <c r="I139" s="548"/>
      <c r="J139" s="548"/>
      <c r="K139" s="548"/>
      <c r="L139" s="548"/>
      <c r="M139" s="548"/>
      <c r="N139" s="548"/>
      <c r="O139" s="548"/>
      <c r="P139" s="548"/>
      <c r="Q139" s="548"/>
      <c r="R139" s="548"/>
      <c r="S139" s="548"/>
      <c r="T139" s="548"/>
      <c r="U139" s="9"/>
      <c r="V139" s="9"/>
      <c r="W139" s="9"/>
      <c r="X139" s="9"/>
      <c r="Y139" s="9"/>
      <c r="Z139" s="9"/>
      <c r="AA139" s="9"/>
      <c r="AB139" s="9"/>
      <c r="AC139" s="9"/>
    </row>
    <row r="140" spans="1:29" ht="12.75" customHeight="1">
      <c r="A140" s="9"/>
      <c r="B140" s="9"/>
      <c r="C140" s="9"/>
      <c r="D140" s="9"/>
      <c r="E140" s="9"/>
      <c r="F140" s="9"/>
      <c r="G140" s="9"/>
      <c r="H140" s="548"/>
      <c r="I140" s="548"/>
      <c r="J140" s="548"/>
      <c r="K140" s="548"/>
      <c r="L140" s="548"/>
      <c r="M140" s="548"/>
      <c r="N140" s="548"/>
      <c r="O140" s="548"/>
      <c r="P140" s="548"/>
      <c r="Q140" s="548"/>
      <c r="R140" s="548"/>
      <c r="S140" s="548"/>
      <c r="T140" s="548"/>
      <c r="U140" s="9"/>
      <c r="V140" s="9"/>
      <c r="W140" s="9"/>
      <c r="X140" s="9"/>
      <c r="Y140" s="9"/>
      <c r="Z140" s="9"/>
      <c r="AA140" s="9"/>
      <c r="AB140" s="9"/>
      <c r="AC140" s="9"/>
    </row>
    <row r="141" spans="1:29" ht="12.75" customHeight="1">
      <c r="A141" s="9"/>
      <c r="B141" s="9"/>
      <c r="C141" s="9"/>
      <c r="D141" s="9"/>
      <c r="E141" s="9"/>
      <c r="F141" s="9"/>
      <c r="G141" s="9"/>
      <c r="H141" s="548"/>
      <c r="I141" s="548"/>
      <c r="J141" s="548"/>
      <c r="K141" s="548"/>
      <c r="L141" s="548"/>
      <c r="M141" s="548"/>
      <c r="N141" s="548"/>
      <c r="O141" s="548"/>
      <c r="P141" s="548"/>
      <c r="Q141" s="548"/>
      <c r="R141" s="548"/>
      <c r="S141" s="548"/>
      <c r="T141" s="548"/>
      <c r="U141" s="9"/>
      <c r="V141" s="9"/>
      <c r="W141" s="9"/>
      <c r="X141" s="9"/>
      <c r="Y141" s="9"/>
      <c r="Z141" s="9"/>
      <c r="AA141" s="9"/>
      <c r="AB141" s="9"/>
      <c r="AC141" s="9"/>
    </row>
    <row r="142" spans="1:29" ht="12.75" customHeight="1">
      <c r="A142" s="9"/>
      <c r="B142" s="9"/>
      <c r="C142" s="9"/>
      <c r="D142" s="9"/>
      <c r="E142" s="9"/>
      <c r="F142" s="9"/>
      <c r="G142" s="9"/>
      <c r="H142" s="548"/>
      <c r="I142" s="548"/>
      <c r="J142" s="548"/>
      <c r="K142" s="548"/>
      <c r="L142" s="548"/>
      <c r="M142" s="548"/>
      <c r="N142" s="548"/>
      <c r="O142" s="548"/>
      <c r="P142" s="548"/>
      <c r="Q142" s="548"/>
      <c r="R142" s="548"/>
      <c r="S142" s="548"/>
      <c r="T142" s="548"/>
      <c r="U142" s="9"/>
      <c r="V142" s="9"/>
      <c r="W142" s="9"/>
      <c r="X142" s="9"/>
      <c r="Y142" s="9"/>
      <c r="Z142" s="9"/>
      <c r="AA142" s="9"/>
      <c r="AB142" s="9"/>
      <c r="AC142" s="9"/>
    </row>
    <row r="143" spans="1:29" ht="12.75" customHeight="1">
      <c r="A143" s="9"/>
      <c r="B143" s="9"/>
      <c r="C143" s="9"/>
      <c r="D143" s="9"/>
      <c r="E143" s="9"/>
      <c r="F143" s="9"/>
      <c r="G143" s="9"/>
      <c r="H143" s="548"/>
      <c r="I143" s="548"/>
      <c r="J143" s="548"/>
      <c r="K143" s="548"/>
      <c r="L143" s="548"/>
      <c r="M143" s="548"/>
      <c r="N143" s="548"/>
      <c r="O143" s="548"/>
      <c r="P143" s="548"/>
      <c r="Q143" s="548"/>
      <c r="R143" s="548"/>
      <c r="S143" s="548"/>
      <c r="T143" s="548"/>
      <c r="U143" s="9"/>
      <c r="V143" s="9"/>
      <c r="W143" s="9"/>
      <c r="X143" s="9"/>
      <c r="Y143" s="9"/>
      <c r="Z143" s="9"/>
      <c r="AA143" s="9"/>
      <c r="AB143" s="9"/>
      <c r="AC143" s="9"/>
    </row>
    <row r="144" spans="1:29" ht="12.75" customHeight="1">
      <c r="A144" s="9"/>
      <c r="B144" s="9"/>
      <c r="C144" s="9"/>
      <c r="D144" s="9"/>
      <c r="E144" s="9"/>
      <c r="F144" s="9"/>
      <c r="G144" s="9"/>
      <c r="H144" s="548"/>
      <c r="I144" s="548"/>
      <c r="J144" s="548"/>
      <c r="K144" s="548"/>
      <c r="L144" s="548"/>
      <c r="M144" s="548"/>
      <c r="N144" s="548"/>
      <c r="O144" s="548"/>
      <c r="P144" s="548"/>
      <c r="Q144" s="548"/>
      <c r="R144" s="548"/>
      <c r="S144" s="548"/>
      <c r="T144" s="548"/>
      <c r="U144" s="9"/>
      <c r="V144" s="9"/>
      <c r="W144" s="9"/>
      <c r="X144" s="9"/>
      <c r="Y144" s="9"/>
      <c r="Z144" s="9"/>
      <c r="AA144" s="9"/>
      <c r="AB144" s="9"/>
      <c r="AC144" s="9"/>
    </row>
    <row r="145" spans="1:29" ht="12.75" customHeight="1">
      <c r="A145" s="9"/>
      <c r="B145" s="9"/>
      <c r="C145" s="9"/>
      <c r="D145" s="9"/>
      <c r="E145" s="9"/>
      <c r="F145" s="9"/>
      <c r="G145" s="9"/>
      <c r="H145" s="548"/>
      <c r="I145" s="548"/>
      <c r="J145" s="548"/>
      <c r="K145" s="548"/>
      <c r="L145" s="548"/>
      <c r="M145" s="548"/>
      <c r="N145" s="548"/>
      <c r="O145" s="548"/>
      <c r="P145" s="548"/>
      <c r="Q145" s="548"/>
      <c r="R145" s="548"/>
      <c r="S145" s="548"/>
      <c r="T145" s="548"/>
      <c r="U145" s="9"/>
      <c r="V145" s="9"/>
      <c r="W145" s="9"/>
      <c r="X145" s="9"/>
      <c r="Y145" s="9"/>
      <c r="Z145" s="9"/>
      <c r="AA145" s="9"/>
      <c r="AB145" s="9"/>
      <c r="AC145" s="9"/>
    </row>
    <row r="146" spans="1:29" ht="12.75" customHeight="1">
      <c r="A146" s="9"/>
      <c r="B146" s="9"/>
      <c r="C146" s="9"/>
      <c r="D146" s="9"/>
      <c r="E146" s="9"/>
      <c r="F146" s="9"/>
      <c r="G146" s="9"/>
      <c r="H146" s="548"/>
      <c r="I146" s="548"/>
      <c r="J146" s="548"/>
      <c r="K146" s="548"/>
      <c r="L146" s="548"/>
      <c r="M146" s="548"/>
      <c r="N146" s="548"/>
      <c r="O146" s="548"/>
      <c r="P146" s="548"/>
      <c r="Q146" s="548"/>
      <c r="R146" s="548"/>
      <c r="S146" s="548"/>
      <c r="T146" s="548"/>
      <c r="U146" s="9"/>
      <c r="V146" s="9"/>
      <c r="W146" s="9"/>
      <c r="X146" s="9"/>
      <c r="Y146" s="9"/>
      <c r="Z146" s="9"/>
      <c r="AA146" s="9"/>
      <c r="AB146" s="9"/>
      <c r="AC146" s="9"/>
    </row>
    <row r="147" spans="1:29" ht="12.75" customHeight="1">
      <c r="A147" s="9"/>
      <c r="B147" s="9"/>
      <c r="C147" s="9"/>
      <c r="D147" s="9"/>
      <c r="E147" s="9"/>
      <c r="F147" s="9"/>
      <c r="G147" s="9"/>
      <c r="H147" s="548"/>
      <c r="I147" s="548"/>
      <c r="J147" s="548"/>
      <c r="K147" s="548"/>
      <c r="L147" s="548"/>
      <c r="M147" s="548"/>
      <c r="N147" s="548"/>
      <c r="O147" s="548"/>
      <c r="P147" s="548"/>
      <c r="Q147" s="548"/>
      <c r="R147" s="548"/>
      <c r="S147" s="548"/>
      <c r="T147" s="548"/>
      <c r="U147" s="9"/>
      <c r="V147" s="9"/>
      <c r="W147" s="9"/>
      <c r="X147" s="9"/>
      <c r="Y147" s="9"/>
      <c r="Z147" s="9"/>
      <c r="AA147" s="9"/>
      <c r="AB147" s="9"/>
      <c r="AC147" s="9"/>
    </row>
    <row r="148" spans="1:29" ht="12.75" customHeight="1">
      <c r="A148" s="9"/>
      <c r="B148" s="9"/>
      <c r="C148" s="9"/>
      <c r="D148" s="9"/>
      <c r="E148" s="9"/>
      <c r="F148" s="9"/>
      <c r="G148" s="9"/>
      <c r="H148" s="548"/>
      <c r="I148" s="548"/>
      <c r="J148" s="548"/>
      <c r="K148" s="548"/>
      <c r="L148" s="548"/>
      <c r="M148" s="548"/>
      <c r="N148" s="548"/>
      <c r="O148" s="548"/>
      <c r="P148" s="548"/>
      <c r="Q148" s="548"/>
      <c r="R148" s="548"/>
      <c r="S148" s="548"/>
      <c r="T148" s="548"/>
      <c r="U148" s="9"/>
      <c r="V148" s="9"/>
      <c r="W148" s="9"/>
      <c r="X148" s="9"/>
      <c r="Y148" s="9"/>
      <c r="Z148" s="9"/>
      <c r="AA148" s="9"/>
      <c r="AB148" s="9"/>
      <c r="AC148" s="9"/>
    </row>
    <row r="149" spans="1:29" ht="12.75" customHeight="1">
      <c r="A149" s="9"/>
      <c r="B149" s="9"/>
      <c r="C149" s="9"/>
      <c r="D149" s="9"/>
      <c r="E149" s="9"/>
      <c r="F149" s="9"/>
      <c r="G149" s="9"/>
      <c r="H149" s="548"/>
      <c r="I149" s="548"/>
      <c r="J149" s="548"/>
      <c r="K149" s="548"/>
      <c r="L149" s="548"/>
      <c r="M149" s="548"/>
      <c r="N149" s="548"/>
      <c r="O149" s="548"/>
      <c r="P149" s="548"/>
      <c r="Q149" s="548"/>
      <c r="R149" s="548"/>
      <c r="S149" s="548"/>
      <c r="T149" s="548"/>
      <c r="U149" s="9"/>
      <c r="V149" s="9"/>
      <c r="W149" s="9"/>
      <c r="X149" s="9"/>
      <c r="Y149" s="9"/>
      <c r="Z149" s="9"/>
      <c r="AA149" s="9"/>
      <c r="AB149" s="9"/>
      <c r="AC149" s="9"/>
    </row>
    <row r="150" spans="1:29" ht="12.75" customHeight="1">
      <c r="A150" s="9"/>
      <c r="B150" s="9"/>
      <c r="C150" s="9"/>
      <c r="D150" s="9"/>
      <c r="E150" s="9"/>
      <c r="F150" s="9"/>
      <c r="G150" s="9"/>
      <c r="H150" s="548"/>
      <c r="I150" s="548"/>
      <c r="J150" s="548"/>
      <c r="K150" s="548"/>
      <c r="L150" s="548"/>
      <c r="M150" s="548"/>
      <c r="N150" s="548"/>
      <c r="O150" s="548"/>
      <c r="P150" s="548"/>
      <c r="Q150" s="548"/>
      <c r="R150" s="548"/>
      <c r="S150" s="548"/>
      <c r="T150" s="548"/>
      <c r="U150" s="9"/>
      <c r="V150" s="9"/>
      <c r="W150" s="9"/>
      <c r="X150" s="9"/>
      <c r="Y150" s="9"/>
      <c r="Z150" s="9"/>
      <c r="AA150" s="9"/>
      <c r="AB150" s="9"/>
      <c r="AC150" s="9"/>
    </row>
    <row r="151" spans="1:29" ht="12.75" customHeight="1">
      <c r="A151" s="9"/>
      <c r="B151" s="9"/>
      <c r="C151" s="9"/>
      <c r="D151" s="9"/>
      <c r="E151" s="9"/>
      <c r="F151" s="9"/>
      <c r="G151" s="9"/>
      <c r="H151" s="548"/>
      <c r="I151" s="548"/>
      <c r="J151" s="548"/>
      <c r="K151" s="548"/>
      <c r="L151" s="548"/>
      <c r="M151" s="548"/>
      <c r="N151" s="548"/>
      <c r="O151" s="548"/>
      <c r="P151" s="548"/>
      <c r="Q151" s="548"/>
      <c r="R151" s="548"/>
      <c r="S151" s="548"/>
      <c r="T151" s="548"/>
      <c r="U151" s="9"/>
      <c r="V151" s="9"/>
      <c r="W151" s="9"/>
      <c r="X151" s="9"/>
      <c r="Y151" s="9"/>
      <c r="Z151" s="9"/>
      <c r="AA151" s="9"/>
      <c r="AB151" s="9"/>
      <c r="AC151" s="9"/>
    </row>
    <row r="152" spans="1:29" ht="12.75" customHeight="1">
      <c r="A152" s="9"/>
      <c r="B152" s="9"/>
      <c r="C152" s="9"/>
      <c r="D152" s="9"/>
      <c r="E152" s="9"/>
      <c r="F152" s="9"/>
      <c r="G152" s="9"/>
      <c r="H152" s="548"/>
      <c r="I152" s="548"/>
      <c r="J152" s="548"/>
      <c r="K152" s="548"/>
      <c r="L152" s="548"/>
      <c r="M152" s="548"/>
      <c r="N152" s="548"/>
      <c r="O152" s="548"/>
      <c r="P152" s="548"/>
      <c r="Q152" s="548"/>
      <c r="R152" s="548"/>
      <c r="S152" s="548"/>
      <c r="T152" s="548"/>
      <c r="U152" s="9"/>
      <c r="V152" s="9"/>
      <c r="W152" s="9"/>
      <c r="X152" s="9"/>
      <c r="Y152" s="9"/>
      <c r="Z152" s="9"/>
      <c r="AA152" s="9"/>
      <c r="AB152" s="9"/>
      <c r="AC152" s="9"/>
    </row>
    <row r="153" spans="1:29" ht="12.75" customHeight="1">
      <c r="A153" s="9"/>
      <c r="B153" s="9"/>
      <c r="C153" s="9"/>
      <c r="D153" s="9"/>
      <c r="E153" s="9"/>
      <c r="F153" s="9"/>
      <c r="G153" s="9"/>
      <c r="H153" s="548"/>
      <c r="I153" s="548"/>
      <c r="J153" s="548"/>
      <c r="K153" s="548"/>
      <c r="L153" s="548"/>
      <c r="M153" s="548"/>
      <c r="N153" s="548"/>
      <c r="O153" s="548"/>
      <c r="P153" s="548"/>
      <c r="Q153" s="548"/>
      <c r="R153" s="548"/>
      <c r="S153" s="548"/>
      <c r="T153" s="548"/>
      <c r="U153" s="9"/>
      <c r="V153" s="9"/>
      <c r="W153" s="9"/>
      <c r="X153" s="9"/>
      <c r="Y153" s="9"/>
      <c r="Z153" s="9"/>
      <c r="AA153" s="9"/>
      <c r="AB153" s="9"/>
      <c r="AC153" s="9"/>
    </row>
    <row r="154" spans="1:29" ht="12.75" customHeight="1">
      <c r="A154" s="9"/>
      <c r="B154" s="9"/>
      <c r="C154" s="9"/>
      <c r="D154" s="9"/>
      <c r="E154" s="9"/>
      <c r="F154" s="9"/>
      <c r="G154" s="9"/>
      <c r="H154" s="548"/>
      <c r="I154" s="548"/>
      <c r="J154" s="548"/>
      <c r="K154" s="548"/>
      <c r="L154" s="548"/>
      <c r="M154" s="548"/>
      <c r="N154" s="548"/>
      <c r="O154" s="548"/>
      <c r="P154" s="548"/>
      <c r="Q154" s="548"/>
      <c r="R154" s="548"/>
      <c r="S154" s="548"/>
      <c r="T154" s="548"/>
      <c r="U154" s="9"/>
      <c r="V154" s="9"/>
      <c r="W154" s="9"/>
      <c r="X154" s="9"/>
      <c r="Y154" s="9"/>
      <c r="Z154" s="9"/>
      <c r="AA154" s="9"/>
      <c r="AB154" s="9"/>
      <c r="AC154" s="9"/>
    </row>
    <row r="155" spans="1:29" ht="12.75" customHeight="1">
      <c r="A155" s="9"/>
      <c r="B155" s="9"/>
      <c r="C155" s="9"/>
      <c r="D155" s="9"/>
      <c r="E155" s="9"/>
      <c r="F155" s="9"/>
      <c r="G155" s="9"/>
      <c r="H155" s="548"/>
      <c r="I155" s="548"/>
      <c r="J155" s="548"/>
      <c r="K155" s="548"/>
      <c r="L155" s="548"/>
      <c r="M155" s="548"/>
      <c r="N155" s="548"/>
      <c r="O155" s="548"/>
      <c r="P155" s="548"/>
      <c r="Q155" s="548"/>
      <c r="R155" s="548"/>
      <c r="S155" s="548"/>
      <c r="T155" s="548"/>
      <c r="U155" s="9"/>
      <c r="V155" s="9"/>
      <c r="W155" s="9"/>
      <c r="X155" s="9"/>
      <c r="Y155" s="9"/>
      <c r="Z155" s="9"/>
      <c r="AA155" s="9"/>
      <c r="AB155" s="9"/>
      <c r="AC155" s="9"/>
    </row>
    <row r="156" spans="1:29" ht="12.75" customHeight="1">
      <c r="A156" s="9"/>
      <c r="B156" s="9"/>
      <c r="C156" s="9"/>
      <c r="D156" s="9"/>
      <c r="E156" s="9"/>
      <c r="F156" s="9"/>
      <c r="G156" s="9"/>
      <c r="H156" s="548"/>
      <c r="I156" s="548"/>
      <c r="J156" s="548"/>
      <c r="K156" s="548"/>
      <c r="L156" s="548"/>
      <c r="M156" s="548"/>
      <c r="N156" s="548"/>
      <c r="O156" s="548"/>
      <c r="P156" s="548"/>
      <c r="Q156" s="548"/>
      <c r="R156" s="548"/>
      <c r="S156" s="548"/>
      <c r="T156" s="548"/>
      <c r="U156" s="9"/>
      <c r="V156" s="9"/>
      <c r="W156" s="9"/>
      <c r="X156" s="9"/>
      <c r="Y156" s="9"/>
      <c r="Z156" s="9"/>
      <c r="AA156" s="9"/>
      <c r="AB156" s="9"/>
      <c r="AC156" s="9"/>
    </row>
    <row r="157" spans="1:29" ht="12.75" customHeight="1">
      <c r="A157" s="9"/>
      <c r="B157" s="9"/>
      <c r="C157" s="9"/>
      <c r="D157" s="9"/>
      <c r="E157" s="9"/>
      <c r="F157" s="9"/>
      <c r="G157" s="9"/>
      <c r="H157" s="548"/>
      <c r="I157" s="548"/>
      <c r="J157" s="548"/>
      <c r="K157" s="548"/>
      <c r="L157" s="548"/>
      <c r="M157" s="548"/>
      <c r="N157" s="548"/>
      <c r="O157" s="548"/>
      <c r="P157" s="548"/>
      <c r="Q157" s="548"/>
      <c r="R157" s="548"/>
      <c r="S157" s="548"/>
      <c r="T157" s="548"/>
      <c r="U157" s="9"/>
      <c r="V157" s="9"/>
      <c r="W157" s="9"/>
      <c r="X157" s="9"/>
      <c r="Y157" s="9"/>
      <c r="Z157" s="9"/>
      <c r="AA157" s="9"/>
      <c r="AB157" s="9"/>
      <c r="AC157" s="9"/>
    </row>
    <row r="158" spans="1:29" ht="12.75" customHeight="1">
      <c r="A158" s="9"/>
      <c r="B158" s="9"/>
      <c r="C158" s="9"/>
      <c r="D158" s="9"/>
      <c r="E158" s="9"/>
      <c r="F158" s="9"/>
      <c r="G158" s="9"/>
      <c r="H158" s="548"/>
      <c r="I158" s="548"/>
      <c r="J158" s="548"/>
      <c r="K158" s="548"/>
      <c r="L158" s="548"/>
      <c r="M158" s="548"/>
      <c r="N158" s="548"/>
      <c r="O158" s="548"/>
      <c r="P158" s="548"/>
      <c r="Q158" s="548"/>
      <c r="R158" s="548"/>
      <c r="S158" s="548"/>
      <c r="T158" s="548"/>
      <c r="U158" s="9"/>
      <c r="V158" s="9"/>
      <c r="W158" s="9"/>
      <c r="X158" s="9"/>
      <c r="Y158" s="9"/>
      <c r="Z158" s="9"/>
      <c r="AA158" s="9"/>
      <c r="AB158" s="9"/>
      <c r="AC158" s="9"/>
    </row>
    <row r="159" spans="1:29" ht="12.75" customHeight="1">
      <c r="A159" s="9"/>
      <c r="B159" s="9"/>
      <c r="C159" s="9"/>
      <c r="D159" s="9"/>
      <c r="E159" s="9"/>
      <c r="F159" s="9"/>
      <c r="G159" s="9"/>
      <c r="H159" s="548"/>
      <c r="I159" s="548"/>
      <c r="J159" s="548"/>
      <c r="K159" s="548"/>
      <c r="L159" s="548"/>
      <c r="M159" s="548"/>
      <c r="N159" s="548"/>
      <c r="O159" s="548"/>
      <c r="P159" s="548"/>
      <c r="Q159" s="548"/>
      <c r="R159" s="548"/>
      <c r="S159" s="548"/>
      <c r="T159" s="548"/>
      <c r="U159" s="9"/>
      <c r="V159" s="9"/>
      <c r="W159" s="9"/>
      <c r="X159" s="9"/>
      <c r="Y159" s="9"/>
      <c r="Z159" s="9"/>
      <c r="AA159" s="9"/>
      <c r="AB159" s="9"/>
      <c r="AC159" s="9"/>
    </row>
    <row r="160" spans="1:29" ht="12.75" customHeight="1">
      <c r="A160" s="9"/>
      <c r="B160" s="9"/>
      <c r="C160" s="9"/>
      <c r="D160" s="9"/>
      <c r="E160" s="9"/>
      <c r="F160" s="9"/>
      <c r="G160" s="9"/>
      <c r="H160" s="548"/>
      <c r="I160" s="548"/>
      <c r="J160" s="548"/>
      <c r="K160" s="548"/>
      <c r="L160" s="548"/>
      <c r="M160" s="548"/>
      <c r="N160" s="548"/>
      <c r="O160" s="548"/>
      <c r="P160" s="548"/>
      <c r="Q160" s="548"/>
      <c r="R160" s="548"/>
      <c r="S160" s="548"/>
      <c r="T160" s="548"/>
      <c r="U160" s="9"/>
      <c r="V160" s="9"/>
      <c r="W160" s="9"/>
      <c r="X160" s="9"/>
      <c r="Y160" s="9"/>
      <c r="Z160" s="9"/>
      <c r="AA160" s="9"/>
      <c r="AB160" s="9"/>
      <c r="AC160" s="9"/>
    </row>
    <row r="161" spans="1:29" ht="12.75" customHeight="1">
      <c r="A161" s="9"/>
      <c r="B161" s="9"/>
      <c r="C161" s="9"/>
      <c r="D161" s="9"/>
      <c r="E161" s="9"/>
      <c r="F161" s="9"/>
      <c r="G161" s="9"/>
      <c r="H161" s="548"/>
      <c r="I161" s="548"/>
      <c r="J161" s="548"/>
      <c r="K161" s="548"/>
      <c r="L161" s="548"/>
      <c r="M161" s="548"/>
      <c r="N161" s="548"/>
      <c r="O161" s="548"/>
      <c r="P161" s="548"/>
      <c r="Q161" s="548"/>
      <c r="R161" s="548"/>
      <c r="S161" s="548"/>
      <c r="T161" s="548"/>
      <c r="U161" s="9"/>
      <c r="V161" s="9"/>
      <c r="W161" s="9"/>
      <c r="X161" s="9"/>
      <c r="Y161" s="9"/>
      <c r="Z161" s="9"/>
      <c r="AA161" s="9"/>
      <c r="AB161" s="9"/>
      <c r="AC161" s="9"/>
    </row>
    <row r="162" spans="1:29" ht="12.75" customHeight="1">
      <c r="A162" s="9"/>
      <c r="B162" s="9"/>
      <c r="C162" s="9"/>
      <c r="D162" s="9"/>
      <c r="E162" s="9"/>
      <c r="F162" s="9"/>
      <c r="G162" s="9"/>
      <c r="H162" s="548"/>
      <c r="I162" s="548"/>
      <c r="J162" s="548"/>
      <c r="K162" s="548"/>
      <c r="L162" s="548"/>
      <c r="M162" s="548"/>
      <c r="N162" s="548"/>
      <c r="O162" s="548"/>
      <c r="P162" s="548"/>
      <c r="Q162" s="548"/>
      <c r="R162" s="548"/>
      <c r="S162" s="548"/>
      <c r="T162" s="548"/>
      <c r="U162" s="9"/>
      <c r="V162" s="9"/>
      <c r="W162" s="9"/>
      <c r="X162" s="9"/>
      <c r="Y162" s="9"/>
      <c r="Z162" s="9"/>
      <c r="AA162" s="9"/>
      <c r="AB162" s="9"/>
      <c r="AC162" s="9"/>
    </row>
    <row r="163" spans="1:29" ht="12.75" customHeight="1">
      <c r="A163" s="9"/>
      <c r="B163" s="9"/>
      <c r="C163" s="9"/>
      <c r="D163" s="9"/>
      <c r="E163" s="9"/>
      <c r="F163" s="9"/>
      <c r="G163" s="9"/>
      <c r="H163" s="548"/>
      <c r="I163" s="548"/>
      <c r="J163" s="548"/>
      <c r="K163" s="548"/>
      <c r="L163" s="548"/>
      <c r="M163" s="548"/>
      <c r="N163" s="548"/>
      <c r="O163" s="548"/>
      <c r="P163" s="548"/>
      <c r="Q163" s="548"/>
      <c r="R163" s="548"/>
      <c r="S163" s="548"/>
      <c r="T163" s="548"/>
      <c r="U163" s="9"/>
      <c r="V163" s="9"/>
      <c r="W163" s="9"/>
      <c r="X163" s="9"/>
      <c r="Y163" s="9"/>
      <c r="Z163" s="9"/>
      <c r="AA163" s="9"/>
      <c r="AB163" s="9"/>
      <c r="AC163" s="9"/>
    </row>
    <row r="164" spans="1:29" ht="12.75" customHeight="1">
      <c r="A164" s="9"/>
      <c r="B164" s="9"/>
      <c r="C164" s="9"/>
      <c r="D164" s="9"/>
      <c r="E164" s="9"/>
      <c r="F164" s="9"/>
      <c r="G164" s="9"/>
      <c r="H164" s="548"/>
      <c r="I164" s="548"/>
      <c r="J164" s="548"/>
      <c r="K164" s="548"/>
      <c r="L164" s="548"/>
      <c r="M164" s="548"/>
      <c r="N164" s="548"/>
      <c r="O164" s="548"/>
      <c r="P164" s="548"/>
      <c r="Q164" s="548"/>
      <c r="R164" s="548"/>
      <c r="S164" s="548"/>
      <c r="T164" s="548"/>
      <c r="U164" s="9"/>
      <c r="V164" s="9"/>
      <c r="W164" s="9"/>
      <c r="X164" s="9"/>
      <c r="Y164" s="9"/>
      <c r="Z164" s="9"/>
      <c r="AA164" s="9"/>
      <c r="AB164" s="9"/>
      <c r="AC164" s="9"/>
    </row>
    <row r="165" spans="1:29" ht="12.75" customHeight="1">
      <c r="A165" s="9"/>
      <c r="B165" s="9"/>
      <c r="C165" s="9"/>
      <c r="D165" s="9"/>
      <c r="E165" s="9"/>
      <c r="F165" s="9"/>
      <c r="G165" s="9"/>
      <c r="H165" s="548"/>
      <c r="I165" s="548"/>
      <c r="J165" s="548"/>
      <c r="K165" s="548"/>
      <c r="L165" s="548"/>
      <c r="M165" s="548"/>
      <c r="N165" s="548"/>
      <c r="O165" s="548"/>
      <c r="P165" s="548"/>
      <c r="Q165" s="548"/>
      <c r="R165" s="548"/>
      <c r="S165" s="548"/>
      <c r="T165" s="548"/>
      <c r="U165" s="9"/>
      <c r="V165" s="9"/>
      <c r="W165" s="9"/>
      <c r="X165" s="9"/>
      <c r="Y165" s="9"/>
      <c r="Z165" s="9"/>
      <c r="AA165" s="9"/>
      <c r="AB165" s="9"/>
      <c r="AC165" s="9"/>
    </row>
    <row r="166" spans="1:29" ht="12.75" customHeight="1">
      <c r="A166" s="9"/>
      <c r="B166" s="9"/>
      <c r="C166" s="9"/>
      <c r="D166" s="9"/>
      <c r="E166" s="9"/>
      <c r="F166" s="9"/>
      <c r="G166" s="9"/>
      <c r="H166" s="548"/>
      <c r="I166" s="548"/>
      <c r="J166" s="548"/>
      <c r="K166" s="548"/>
      <c r="L166" s="548"/>
      <c r="M166" s="548"/>
      <c r="N166" s="548"/>
      <c r="O166" s="548"/>
      <c r="P166" s="548"/>
      <c r="Q166" s="548"/>
      <c r="R166" s="548"/>
      <c r="S166" s="548"/>
      <c r="T166" s="548"/>
      <c r="U166" s="9"/>
      <c r="V166" s="9"/>
      <c r="W166" s="9"/>
      <c r="X166" s="9"/>
      <c r="Y166" s="9"/>
      <c r="Z166" s="9"/>
      <c r="AA166" s="9"/>
      <c r="AB166" s="9"/>
      <c r="AC166" s="9"/>
    </row>
    <row r="167" spans="1:29" ht="12.75" customHeight="1">
      <c r="A167" s="9"/>
      <c r="B167" s="9"/>
      <c r="C167" s="9"/>
      <c r="D167" s="9"/>
      <c r="E167" s="9"/>
      <c r="F167" s="9"/>
      <c r="G167" s="9"/>
      <c r="H167" s="548"/>
      <c r="I167" s="548"/>
      <c r="J167" s="548"/>
      <c r="K167" s="548"/>
      <c r="L167" s="548"/>
      <c r="M167" s="548"/>
      <c r="N167" s="548"/>
      <c r="O167" s="548"/>
      <c r="P167" s="548"/>
      <c r="Q167" s="548"/>
      <c r="R167" s="548"/>
      <c r="S167" s="548"/>
      <c r="T167" s="548"/>
      <c r="U167" s="9"/>
      <c r="V167" s="9"/>
      <c r="W167" s="9"/>
      <c r="X167" s="9"/>
      <c r="Y167" s="9"/>
      <c r="Z167" s="9"/>
      <c r="AA167" s="9"/>
      <c r="AB167" s="9"/>
      <c r="AC167" s="9"/>
    </row>
    <row r="168" spans="1:29" ht="12.75" customHeight="1">
      <c r="A168" s="9"/>
      <c r="B168" s="9"/>
      <c r="C168" s="9"/>
      <c r="D168" s="9"/>
      <c r="E168" s="9"/>
      <c r="F168" s="9"/>
      <c r="G168" s="9"/>
      <c r="H168" s="548"/>
      <c r="I168" s="548"/>
      <c r="J168" s="548"/>
      <c r="K168" s="548"/>
      <c r="L168" s="548"/>
      <c r="M168" s="548"/>
      <c r="N168" s="548"/>
      <c r="O168" s="548"/>
      <c r="P168" s="548"/>
      <c r="Q168" s="548"/>
      <c r="R168" s="548"/>
      <c r="S168" s="548"/>
      <c r="T168" s="548"/>
      <c r="U168" s="9"/>
      <c r="V168" s="9"/>
      <c r="W168" s="9"/>
      <c r="X168" s="9"/>
      <c r="Y168" s="9"/>
      <c r="Z168" s="9"/>
      <c r="AA168" s="9"/>
      <c r="AB168" s="9"/>
      <c r="AC168" s="9"/>
    </row>
    <row r="169" spans="1:29" ht="12.75" customHeight="1">
      <c r="A169" s="9"/>
      <c r="B169" s="9"/>
      <c r="C169" s="9"/>
      <c r="D169" s="9"/>
      <c r="E169" s="9"/>
      <c r="F169" s="9"/>
      <c r="G169" s="9"/>
      <c r="H169" s="548"/>
      <c r="I169" s="548"/>
      <c r="J169" s="548"/>
      <c r="K169" s="548"/>
      <c r="L169" s="548"/>
      <c r="M169" s="548"/>
      <c r="N169" s="548"/>
      <c r="O169" s="548"/>
      <c r="P169" s="548"/>
      <c r="Q169" s="548"/>
      <c r="R169" s="548"/>
      <c r="S169" s="548"/>
      <c r="T169" s="548"/>
      <c r="U169" s="9"/>
      <c r="V169" s="9"/>
      <c r="W169" s="9"/>
      <c r="X169" s="9"/>
      <c r="Y169" s="9"/>
      <c r="Z169" s="9"/>
      <c r="AA169" s="9"/>
      <c r="AB169" s="9"/>
      <c r="AC169" s="9"/>
    </row>
    <row r="170" spans="1:29" ht="12.75" customHeight="1">
      <c r="A170" s="9"/>
      <c r="B170" s="9"/>
      <c r="C170" s="9"/>
      <c r="D170" s="9"/>
      <c r="E170" s="9"/>
      <c r="F170" s="9"/>
      <c r="G170" s="9"/>
      <c r="H170" s="548"/>
      <c r="I170" s="548"/>
      <c r="J170" s="548"/>
      <c r="K170" s="548"/>
      <c r="L170" s="548"/>
      <c r="M170" s="548"/>
      <c r="N170" s="548"/>
      <c r="O170" s="548"/>
      <c r="P170" s="548"/>
      <c r="Q170" s="548"/>
      <c r="R170" s="548"/>
      <c r="S170" s="548"/>
      <c r="T170" s="548"/>
      <c r="U170" s="9"/>
      <c r="V170" s="9"/>
      <c r="W170" s="9"/>
      <c r="X170" s="9"/>
      <c r="Y170" s="9"/>
      <c r="Z170" s="9"/>
      <c r="AA170" s="9"/>
      <c r="AB170" s="9"/>
      <c r="AC170" s="9"/>
    </row>
    <row r="171" spans="1:29" ht="12.75" customHeight="1">
      <c r="A171" s="9"/>
      <c r="B171" s="9"/>
      <c r="C171" s="9"/>
      <c r="D171" s="9"/>
      <c r="E171" s="9"/>
      <c r="F171" s="9"/>
      <c r="G171" s="9"/>
      <c r="H171" s="548"/>
      <c r="I171" s="548"/>
      <c r="J171" s="548"/>
      <c r="K171" s="548"/>
      <c r="L171" s="548"/>
      <c r="M171" s="548"/>
      <c r="N171" s="548"/>
      <c r="O171" s="548"/>
      <c r="P171" s="548"/>
      <c r="Q171" s="548"/>
      <c r="R171" s="548"/>
      <c r="S171" s="548"/>
      <c r="T171" s="548"/>
      <c r="U171" s="9"/>
      <c r="V171" s="9"/>
      <c r="W171" s="9"/>
      <c r="X171" s="9"/>
      <c r="Y171" s="9"/>
      <c r="Z171" s="9"/>
      <c r="AA171" s="9"/>
      <c r="AB171" s="9"/>
      <c r="AC171" s="9"/>
    </row>
    <row r="172" spans="1:29" ht="12.75" customHeight="1">
      <c r="A172" s="9"/>
      <c r="B172" s="9"/>
      <c r="C172" s="9"/>
      <c r="D172" s="9"/>
      <c r="E172" s="9"/>
      <c r="F172" s="9"/>
      <c r="G172" s="9"/>
      <c r="H172" s="548"/>
      <c r="I172" s="548"/>
      <c r="J172" s="548"/>
      <c r="K172" s="548"/>
      <c r="L172" s="548"/>
      <c r="M172" s="548"/>
      <c r="N172" s="548"/>
      <c r="O172" s="548"/>
      <c r="P172" s="548"/>
      <c r="Q172" s="548"/>
      <c r="R172" s="548"/>
      <c r="S172" s="548"/>
      <c r="T172" s="548"/>
      <c r="U172" s="9"/>
      <c r="V172" s="9"/>
      <c r="W172" s="9"/>
      <c r="X172" s="9"/>
      <c r="Y172" s="9"/>
      <c r="Z172" s="9"/>
      <c r="AA172" s="9"/>
      <c r="AB172" s="9"/>
      <c r="AC172" s="9"/>
    </row>
    <row r="173" spans="1:29" ht="12.75" customHeight="1">
      <c r="A173" s="9"/>
      <c r="B173" s="9"/>
      <c r="C173" s="9"/>
      <c r="D173" s="9"/>
      <c r="E173" s="9"/>
      <c r="F173" s="9"/>
      <c r="G173" s="9"/>
      <c r="H173" s="548"/>
      <c r="I173" s="548"/>
      <c r="J173" s="548"/>
      <c r="K173" s="548"/>
      <c r="L173" s="548"/>
      <c r="M173" s="548"/>
      <c r="N173" s="548"/>
      <c r="O173" s="548"/>
      <c r="P173" s="548"/>
      <c r="Q173" s="548"/>
      <c r="R173" s="548"/>
      <c r="S173" s="548"/>
      <c r="T173" s="548"/>
      <c r="U173" s="9"/>
      <c r="V173" s="9"/>
      <c r="W173" s="9"/>
      <c r="X173" s="9"/>
      <c r="Y173" s="9"/>
      <c r="Z173" s="9"/>
      <c r="AA173" s="9"/>
      <c r="AB173" s="9"/>
      <c r="AC173" s="9"/>
    </row>
    <row r="174" spans="1:29" ht="12.75" customHeight="1">
      <c r="A174" s="9"/>
      <c r="B174" s="9"/>
      <c r="C174" s="9"/>
      <c r="D174" s="9"/>
      <c r="E174" s="9"/>
      <c r="F174" s="9"/>
      <c r="G174" s="9"/>
      <c r="H174" s="548"/>
      <c r="I174" s="548"/>
      <c r="J174" s="548"/>
      <c r="K174" s="548"/>
      <c r="L174" s="548"/>
      <c r="M174" s="548"/>
      <c r="N174" s="548"/>
      <c r="O174" s="548"/>
      <c r="P174" s="548"/>
      <c r="Q174" s="548"/>
      <c r="R174" s="548"/>
      <c r="S174" s="548"/>
      <c r="T174" s="548"/>
      <c r="U174" s="9"/>
      <c r="V174" s="9"/>
      <c r="W174" s="9"/>
      <c r="X174" s="9"/>
      <c r="Y174" s="9"/>
      <c r="Z174" s="9"/>
      <c r="AA174" s="9"/>
      <c r="AB174" s="9"/>
      <c r="AC174" s="9"/>
    </row>
    <row r="175" spans="1:29" ht="12.75" customHeight="1">
      <c r="A175" s="9"/>
      <c r="B175" s="9"/>
      <c r="C175" s="9"/>
      <c r="D175" s="9"/>
      <c r="E175" s="9"/>
      <c r="F175" s="9"/>
      <c r="G175" s="9"/>
      <c r="H175" s="548"/>
      <c r="I175" s="548"/>
      <c r="J175" s="548"/>
      <c r="K175" s="548"/>
      <c r="L175" s="548"/>
      <c r="M175" s="548"/>
      <c r="N175" s="548"/>
      <c r="O175" s="548"/>
      <c r="P175" s="548"/>
      <c r="Q175" s="548"/>
      <c r="R175" s="548"/>
      <c r="S175" s="548"/>
      <c r="T175" s="548"/>
      <c r="U175" s="9"/>
      <c r="V175" s="9"/>
      <c r="W175" s="9"/>
      <c r="X175" s="9"/>
      <c r="Y175" s="9"/>
      <c r="Z175" s="9"/>
      <c r="AA175" s="9"/>
      <c r="AB175" s="9"/>
      <c r="AC175" s="9"/>
    </row>
    <row r="176" spans="1:29" ht="12.75" customHeight="1">
      <c r="A176" s="9"/>
      <c r="B176" s="9"/>
      <c r="C176" s="9"/>
      <c r="D176" s="9"/>
      <c r="E176" s="9"/>
      <c r="F176" s="9"/>
      <c r="G176" s="9"/>
      <c r="H176" s="548"/>
      <c r="I176" s="548"/>
      <c r="J176" s="548"/>
      <c r="K176" s="548"/>
      <c r="L176" s="548"/>
      <c r="M176" s="548"/>
      <c r="N176" s="548"/>
      <c r="O176" s="548"/>
      <c r="P176" s="548"/>
      <c r="Q176" s="548"/>
      <c r="R176" s="548"/>
      <c r="S176" s="548"/>
      <c r="T176" s="548"/>
      <c r="U176" s="9"/>
      <c r="V176" s="9"/>
      <c r="W176" s="9"/>
      <c r="X176" s="9"/>
      <c r="Y176" s="9"/>
      <c r="Z176" s="9"/>
      <c r="AA176" s="9"/>
      <c r="AB176" s="9"/>
      <c r="AC176" s="9"/>
    </row>
    <row r="177" spans="1:29" ht="12.75" customHeight="1">
      <c r="A177" s="9"/>
      <c r="B177" s="9"/>
      <c r="C177" s="9"/>
      <c r="D177" s="9"/>
      <c r="E177" s="9"/>
      <c r="F177" s="9"/>
      <c r="G177" s="9"/>
      <c r="H177" s="548"/>
      <c r="I177" s="548"/>
      <c r="J177" s="548"/>
      <c r="K177" s="548"/>
      <c r="L177" s="548"/>
      <c r="M177" s="548"/>
      <c r="N177" s="548"/>
      <c r="O177" s="548"/>
      <c r="P177" s="548"/>
      <c r="Q177" s="548"/>
      <c r="R177" s="548"/>
      <c r="S177" s="548"/>
      <c r="T177" s="548"/>
      <c r="U177" s="9"/>
      <c r="V177" s="9"/>
      <c r="W177" s="9"/>
      <c r="X177" s="9"/>
      <c r="Y177" s="9"/>
      <c r="Z177" s="9"/>
      <c r="AA177" s="9"/>
      <c r="AB177" s="9"/>
      <c r="AC177" s="9"/>
    </row>
    <row r="178" spans="1:29" ht="12.75" customHeight="1">
      <c r="A178" s="9"/>
      <c r="B178" s="9"/>
      <c r="C178" s="9"/>
      <c r="D178" s="9"/>
      <c r="E178" s="9"/>
      <c r="F178" s="9"/>
      <c r="G178" s="9"/>
      <c r="H178" s="548"/>
      <c r="I178" s="548"/>
      <c r="J178" s="548"/>
      <c r="K178" s="548"/>
      <c r="L178" s="548"/>
      <c r="M178" s="548"/>
      <c r="N178" s="548"/>
      <c r="O178" s="548"/>
      <c r="P178" s="548"/>
      <c r="Q178" s="548"/>
      <c r="R178" s="548"/>
      <c r="S178" s="548"/>
      <c r="T178" s="548"/>
      <c r="U178" s="9"/>
      <c r="V178" s="9"/>
      <c r="W178" s="9"/>
      <c r="X178" s="9"/>
      <c r="Y178" s="9"/>
      <c r="Z178" s="9"/>
      <c r="AA178" s="9"/>
      <c r="AB178" s="9"/>
      <c r="AC178" s="9"/>
    </row>
    <row r="179" spans="1:29" ht="12.75" customHeight="1">
      <c r="A179" s="9"/>
      <c r="B179" s="9"/>
      <c r="C179" s="9"/>
      <c r="D179" s="9"/>
      <c r="E179" s="9"/>
      <c r="F179" s="9"/>
      <c r="G179" s="9"/>
      <c r="H179" s="548"/>
      <c r="I179" s="548"/>
      <c r="J179" s="548"/>
      <c r="K179" s="548"/>
      <c r="L179" s="548"/>
      <c r="M179" s="548"/>
      <c r="N179" s="548"/>
      <c r="O179" s="548"/>
      <c r="P179" s="548"/>
      <c r="Q179" s="548"/>
      <c r="R179" s="548"/>
      <c r="S179" s="548"/>
      <c r="T179" s="548"/>
      <c r="U179" s="9"/>
      <c r="V179" s="9"/>
      <c r="W179" s="9"/>
      <c r="X179" s="9"/>
      <c r="Y179" s="9"/>
      <c r="Z179" s="9"/>
      <c r="AA179" s="9"/>
      <c r="AB179" s="9"/>
      <c r="AC179" s="9"/>
    </row>
    <row r="180" spans="1:29" ht="12.75" customHeight="1">
      <c r="A180" s="9"/>
      <c r="B180" s="9"/>
      <c r="C180" s="9"/>
      <c r="D180" s="9"/>
      <c r="E180" s="9"/>
      <c r="F180" s="9"/>
      <c r="G180" s="9"/>
      <c r="H180" s="548"/>
      <c r="I180" s="548"/>
      <c r="J180" s="548"/>
      <c r="K180" s="548"/>
      <c r="L180" s="548"/>
      <c r="M180" s="548"/>
      <c r="N180" s="548"/>
      <c r="O180" s="548"/>
      <c r="P180" s="548"/>
      <c r="Q180" s="548"/>
      <c r="R180" s="548"/>
      <c r="S180" s="548"/>
      <c r="T180" s="548"/>
      <c r="U180" s="9"/>
      <c r="V180" s="9"/>
      <c r="W180" s="9"/>
      <c r="X180" s="9"/>
      <c r="Y180" s="9"/>
      <c r="Z180" s="9"/>
      <c r="AA180" s="9"/>
      <c r="AB180" s="9"/>
      <c r="AC180" s="9"/>
    </row>
    <row r="181" spans="1:29" ht="12.75" customHeight="1">
      <c r="A181" s="9"/>
      <c r="B181" s="9"/>
      <c r="C181" s="9"/>
      <c r="D181" s="9"/>
      <c r="E181" s="9"/>
      <c r="F181" s="9"/>
      <c r="G181" s="9"/>
      <c r="H181" s="548"/>
      <c r="I181" s="548"/>
      <c r="J181" s="548"/>
      <c r="K181" s="548"/>
      <c r="L181" s="548"/>
      <c r="M181" s="548"/>
      <c r="N181" s="548"/>
      <c r="O181" s="548"/>
      <c r="P181" s="548"/>
      <c r="Q181" s="548"/>
      <c r="R181" s="548"/>
      <c r="S181" s="548"/>
      <c r="T181" s="548"/>
      <c r="U181" s="9"/>
      <c r="V181" s="9"/>
      <c r="W181" s="9"/>
      <c r="X181" s="9"/>
      <c r="Y181" s="9"/>
      <c r="Z181" s="9"/>
      <c r="AA181" s="9"/>
      <c r="AB181" s="9"/>
      <c r="AC181" s="9"/>
    </row>
    <row r="182" spans="1:29" ht="12.75" customHeight="1">
      <c r="A182" s="9"/>
      <c r="B182" s="9"/>
      <c r="C182" s="9"/>
      <c r="D182" s="9"/>
      <c r="E182" s="9"/>
      <c r="F182" s="9"/>
      <c r="G182" s="9"/>
      <c r="H182" s="548"/>
      <c r="I182" s="548"/>
      <c r="J182" s="548"/>
      <c r="K182" s="548"/>
      <c r="L182" s="548"/>
      <c r="M182" s="548"/>
      <c r="N182" s="548"/>
      <c r="O182" s="548"/>
      <c r="P182" s="548"/>
      <c r="Q182" s="548"/>
      <c r="R182" s="548"/>
      <c r="S182" s="548"/>
      <c r="T182" s="548"/>
      <c r="U182" s="9"/>
      <c r="V182" s="9"/>
      <c r="W182" s="9"/>
      <c r="X182" s="9"/>
      <c r="Y182" s="9"/>
      <c r="Z182" s="9"/>
      <c r="AA182" s="9"/>
      <c r="AB182" s="9"/>
      <c r="AC182" s="9"/>
    </row>
    <row r="183" spans="1:29" ht="12.75" customHeight="1">
      <c r="A183" s="9"/>
      <c r="B183" s="9"/>
      <c r="C183" s="9"/>
      <c r="D183" s="9"/>
      <c r="E183" s="9"/>
      <c r="F183" s="9"/>
      <c r="G183" s="9"/>
      <c r="H183" s="548"/>
      <c r="I183" s="548"/>
      <c r="J183" s="548"/>
      <c r="K183" s="548"/>
      <c r="L183" s="548"/>
      <c r="M183" s="548"/>
      <c r="N183" s="548"/>
      <c r="O183" s="548"/>
      <c r="P183" s="548"/>
      <c r="Q183" s="548"/>
      <c r="R183" s="548"/>
      <c r="S183" s="548"/>
      <c r="T183" s="548"/>
      <c r="U183" s="9"/>
      <c r="V183" s="9"/>
      <c r="W183" s="9"/>
      <c r="X183" s="9"/>
      <c r="Y183" s="9"/>
      <c r="Z183" s="9"/>
      <c r="AA183" s="9"/>
      <c r="AB183" s="9"/>
      <c r="AC183" s="9"/>
    </row>
    <row r="184" spans="1:29" ht="12.75" customHeight="1">
      <c r="A184" s="9"/>
      <c r="B184" s="9"/>
      <c r="C184" s="9"/>
      <c r="D184" s="9"/>
      <c r="E184" s="9"/>
      <c r="F184" s="9"/>
      <c r="G184" s="9"/>
      <c r="H184" s="548"/>
      <c r="I184" s="548"/>
      <c r="J184" s="548"/>
      <c r="K184" s="548"/>
      <c r="L184" s="548"/>
      <c r="M184" s="548"/>
      <c r="N184" s="548"/>
      <c r="O184" s="548"/>
      <c r="P184" s="548"/>
      <c r="Q184" s="548"/>
      <c r="R184" s="548"/>
      <c r="S184" s="548"/>
      <c r="T184" s="548"/>
      <c r="U184" s="9"/>
      <c r="V184" s="9"/>
      <c r="W184" s="9"/>
      <c r="X184" s="9"/>
      <c r="Y184" s="9"/>
      <c r="Z184" s="9"/>
      <c r="AA184" s="9"/>
      <c r="AB184" s="9"/>
      <c r="AC184" s="9"/>
    </row>
    <row r="185" spans="1:29" ht="12.75" customHeight="1">
      <c r="A185" s="9"/>
      <c r="B185" s="9"/>
      <c r="C185" s="9"/>
      <c r="D185" s="9"/>
      <c r="E185" s="9"/>
      <c r="F185" s="9"/>
      <c r="G185" s="9"/>
      <c r="H185" s="548"/>
      <c r="I185" s="548"/>
      <c r="J185" s="548"/>
      <c r="K185" s="548"/>
      <c r="L185" s="548"/>
      <c r="M185" s="548"/>
      <c r="N185" s="548"/>
      <c r="O185" s="548"/>
      <c r="P185" s="548"/>
      <c r="Q185" s="548"/>
      <c r="R185" s="548"/>
      <c r="S185" s="548"/>
      <c r="T185" s="548"/>
      <c r="U185" s="9"/>
      <c r="V185" s="9"/>
      <c r="W185" s="9"/>
      <c r="X185" s="9"/>
      <c r="Y185" s="9"/>
      <c r="Z185" s="9"/>
      <c r="AA185" s="9"/>
      <c r="AB185" s="9"/>
      <c r="AC185" s="9"/>
    </row>
    <row r="186" spans="1:29" ht="12.75" customHeight="1">
      <c r="A186" s="9"/>
      <c r="B186" s="9"/>
      <c r="C186" s="9"/>
      <c r="D186" s="9"/>
      <c r="E186" s="9"/>
      <c r="F186" s="9"/>
      <c r="G186" s="9"/>
      <c r="H186" s="548"/>
      <c r="I186" s="548"/>
      <c r="J186" s="548"/>
      <c r="K186" s="548"/>
      <c r="L186" s="548"/>
      <c r="M186" s="548"/>
      <c r="N186" s="548"/>
      <c r="O186" s="548"/>
      <c r="P186" s="548"/>
      <c r="Q186" s="548"/>
      <c r="R186" s="548"/>
      <c r="S186" s="548"/>
      <c r="T186" s="548"/>
      <c r="U186" s="9"/>
      <c r="V186" s="9"/>
      <c r="W186" s="9"/>
      <c r="X186" s="9"/>
      <c r="Y186" s="9"/>
      <c r="Z186" s="9"/>
      <c r="AA186" s="9"/>
      <c r="AB186" s="9"/>
      <c r="AC186" s="9"/>
    </row>
    <row r="187" spans="1:29" ht="12.75" customHeight="1">
      <c r="A187" s="9"/>
      <c r="B187" s="9"/>
      <c r="C187" s="9"/>
      <c r="D187" s="9"/>
      <c r="E187" s="9"/>
      <c r="F187" s="9"/>
      <c r="G187" s="9"/>
      <c r="H187" s="548"/>
      <c r="I187" s="548"/>
      <c r="J187" s="548"/>
      <c r="K187" s="548"/>
      <c r="L187" s="548"/>
      <c r="M187" s="548"/>
      <c r="N187" s="548"/>
      <c r="O187" s="548"/>
      <c r="P187" s="548"/>
      <c r="Q187" s="548"/>
      <c r="R187" s="548"/>
      <c r="S187" s="548"/>
      <c r="T187" s="548"/>
      <c r="U187" s="9"/>
      <c r="V187" s="9"/>
      <c r="W187" s="9"/>
      <c r="X187" s="9"/>
      <c r="Y187" s="9"/>
      <c r="Z187" s="9"/>
      <c r="AA187" s="9"/>
      <c r="AB187" s="9"/>
      <c r="AC187" s="9"/>
    </row>
    <row r="188" spans="1:29" ht="12.75" customHeight="1">
      <c r="A188" s="9"/>
      <c r="B188" s="9"/>
      <c r="C188" s="9"/>
      <c r="D188" s="9"/>
      <c r="E188" s="9"/>
      <c r="F188" s="9"/>
      <c r="G188" s="9"/>
      <c r="H188" s="548"/>
      <c r="I188" s="548"/>
      <c r="J188" s="548"/>
      <c r="K188" s="548"/>
      <c r="L188" s="548"/>
      <c r="M188" s="548"/>
      <c r="N188" s="548"/>
      <c r="O188" s="548"/>
      <c r="P188" s="548"/>
      <c r="Q188" s="548"/>
      <c r="R188" s="548"/>
      <c r="S188" s="548"/>
      <c r="T188" s="548"/>
      <c r="U188" s="9"/>
      <c r="V188" s="9"/>
      <c r="W188" s="9"/>
      <c r="X188" s="9"/>
      <c r="Y188" s="9"/>
      <c r="Z188" s="9"/>
      <c r="AA188" s="9"/>
      <c r="AB188" s="9"/>
      <c r="AC188" s="9"/>
    </row>
    <row r="189" spans="1:29" ht="12.75" customHeight="1">
      <c r="A189" s="9"/>
      <c r="B189" s="9"/>
      <c r="C189" s="9"/>
      <c r="D189" s="9"/>
      <c r="E189" s="9"/>
      <c r="F189" s="9"/>
      <c r="G189" s="9"/>
      <c r="H189" s="548"/>
      <c r="I189" s="548"/>
      <c r="J189" s="548"/>
      <c r="K189" s="548"/>
      <c r="L189" s="548"/>
      <c r="M189" s="548"/>
      <c r="N189" s="548"/>
      <c r="O189" s="548"/>
      <c r="P189" s="548"/>
      <c r="Q189" s="548"/>
      <c r="R189" s="548"/>
      <c r="S189" s="548"/>
      <c r="T189" s="548"/>
      <c r="U189" s="9"/>
      <c r="V189" s="9"/>
      <c r="W189" s="9"/>
      <c r="X189" s="9"/>
      <c r="Y189" s="9"/>
      <c r="Z189" s="9"/>
      <c r="AA189" s="9"/>
      <c r="AB189" s="9"/>
      <c r="AC189" s="9"/>
    </row>
    <row r="190" spans="1:29" ht="12.75" customHeight="1">
      <c r="A190" s="9"/>
      <c r="B190" s="9"/>
      <c r="C190" s="9"/>
      <c r="D190" s="9"/>
      <c r="E190" s="9"/>
      <c r="F190" s="9"/>
      <c r="G190" s="9"/>
      <c r="H190" s="548"/>
      <c r="I190" s="548"/>
      <c r="J190" s="548"/>
      <c r="K190" s="548"/>
      <c r="L190" s="548"/>
      <c r="M190" s="548"/>
      <c r="N190" s="548"/>
      <c r="O190" s="548"/>
      <c r="P190" s="548"/>
      <c r="Q190" s="548"/>
      <c r="R190" s="548"/>
      <c r="S190" s="548"/>
      <c r="T190" s="548"/>
      <c r="U190" s="9"/>
      <c r="V190" s="9"/>
      <c r="W190" s="9"/>
      <c r="X190" s="9"/>
      <c r="Y190" s="9"/>
      <c r="Z190" s="9"/>
      <c r="AA190" s="9"/>
      <c r="AB190" s="9"/>
      <c r="AC190" s="9"/>
    </row>
    <row r="191" spans="1:29" ht="12.75" customHeight="1">
      <c r="A191" s="9"/>
      <c r="B191" s="9"/>
      <c r="C191" s="9"/>
      <c r="D191" s="9"/>
      <c r="E191" s="9"/>
      <c r="F191" s="9"/>
      <c r="G191" s="9"/>
      <c r="H191" s="548"/>
      <c r="I191" s="548"/>
      <c r="J191" s="548"/>
      <c r="K191" s="548"/>
      <c r="L191" s="548"/>
      <c r="M191" s="548"/>
      <c r="N191" s="548"/>
      <c r="O191" s="548"/>
      <c r="P191" s="548"/>
      <c r="Q191" s="548"/>
      <c r="R191" s="548"/>
      <c r="S191" s="548"/>
      <c r="T191" s="548"/>
      <c r="U191" s="9"/>
      <c r="V191" s="9"/>
      <c r="W191" s="9"/>
      <c r="X191" s="9"/>
      <c r="Y191" s="9"/>
      <c r="Z191" s="9"/>
      <c r="AA191" s="9"/>
      <c r="AB191" s="9"/>
      <c r="AC191" s="9"/>
    </row>
    <row r="192" spans="1:29" ht="12.75" customHeight="1">
      <c r="A192" s="9"/>
      <c r="B192" s="9"/>
      <c r="C192" s="9"/>
      <c r="D192" s="9"/>
      <c r="E192" s="9"/>
      <c r="F192" s="9"/>
      <c r="G192" s="9"/>
      <c r="H192" s="548"/>
      <c r="I192" s="548"/>
      <c r="J192" s="548"/>
      <c r="K192" s="548"/>
      <c r="L192" s="548"/>
      <c r="M192" s="548"/>
      <c r="N192" s="548"/>
      <c r="O192" s="548"/>
      <c r="P192" s="548"/>
      <c r="Q192" s="548"/>
      <c r="R192" s="548"/>
      <c r="S192" s="548"/>
      <c r="T192" s="548"/>
      <c r="U192" s="9"/>
      <c r="V192" s="9"/>
      <c r="W192" s="9"/>
      <c r="X192" s="9"/>
      <c r="Y192" s="9"/>
      <c r="Z192" s="9"/>
      <c r="AA192" s="9"/>
      <c r="AB192" s="9"/>
      <c r="AC192" s="9"/>
    </row>
    <row r="193" spans="1:29" ht="12.75" customHeight="1">
      <c r="A193" s="9"/>
      <c r="B193" s="9"/>
      <c r="C193" s="9"/>
      <c r="D193" s="9"/>
      <c r="E193" s="9"/>
      <c r="F193" s="9"/>
      <c r="G193" s="9"/>
      <c r="H193" s="548"/>
      <c r="I193" s="548"/>
      <c r="J193" s="548"/>
      <c r="K193" s="548"/>
      <c r="L193" s="548"/>
      <c r="M193" s="548"/>
      <c r="N193" s="548"/>
      <c r="O193" s="548"/>
      <c r="P193" s="548"/>
      <c r="Q193" s="548"/>
      <c r="R193" s="548"/>
      <c r="S193" s="548"/>
      <c r="T193" s="548"/>
      <c r="U193" s="9"/>
      <c r="V193" s="9"/>
      <c r="W193" s="9"/>
      <c r="X193" s="9"/>
      <c r="Y193" s="9"/>
      <c r="Z193" s="9"/>
      <c r="AA193" s="9"/>
      <c r="AB193" s="9"/>
      <c r="AC193" s="9"/>
    </row>
    <row r="194" spans="1:29" ht="12.75" customHeight="1">
      <c r="A194" s="9"/>
      <c r="B194" s="9"/>
      <c r="C194" s="9"/>
      <c r="D194" s="9"/>
      <c r="E194" s="9"/>
      <c r="F194" s="9"/>
      <c r="G194" s="9"/>
      <c r="H194" s="548"/>
      <c r="I194" s="548"/>
      <c r="J194" s="548"/>
      <c r="K194" s="548"/>
      <c r="L194" s="548"/>
      <c r="M194" s="548"/>
      <c r="N194" s="548"/>
      <c r="O194" s="548"/>
      <c r="P194" s="548"/>
      <c r="Q194" s="548"/>
      <c r="R194" s="548"/>
      <c r="S194" s="548"/>
      <c r="T194" s="548"/>
      <c r="U194" s="9"/>
      <c r="V194" s="9"/>
      <c r="W194" s="9"/>
      <c r="X194" s="9"/>
      <c r="Y194" s="9"/>
      <c r="Z194" s="9"/>
      <c r="AA194" s="9"/>
      <c r="AB194" s="9"/>
      <c r="AC194" s="9"/>
    </row>
    <row r="195" spans="1:29" ht="12.75" customHeight="1">
      <c r="A195" s="9"/>
      <c r="B195" s="9"/>
      <c r="C195" s="9"/>
      <c r="D195" s="9"/>
      <c r="E195" s="9"/>
      <c r="F195" s="9"/>
      <c r="G195" s="9"/>
      <c r="H195" s="548"/>
      <c r="I195" s="548"/>
      <c r="J195" s="548"/>
      <c r="K195" s="548"/>
      <c r="L195" s="548"/>
      <c r="M195" s="548"/>
      <c r="N195" s="548"/>
      <c r="O195" s="548"/>
      <c r="P195" s="548"/>
      <c r="Q195" s="548"/>
      <c r="R195" s="548"/>
      <c r="S195" s="548"/>
      <c r="T195" s="548"/>
      <c r="U195" s="9"/>
      <c r="V195" s="9"/>
      <c r="W195" s="9"/>
      <c r="X195" s="9"/>
      <c r="Y195" s="9"/>
      <c r="Z195" s="9"/>
      <c r="AA195" s="9"/>
      <c r="AB195" s="9"/>
      <c r="AC195" s="9"/>
    </row>
    <row r="196" spans="1:29" ht="12.75" customHeight="1">
      <c r="A196" s="9"/>
      <c r="B196" s="9"/>
      <c r="C196" s="9"/>
      <c r="D196" s="9"/>
      <c r="E196" s="9"/>
      <c r="F196" s="9"/>
      <c r="G196" s="9"/>
      <c r="H196" s="548"/>
      <c r="I196" s="548"/>
      <c r="J196" s="548"/>
      <c r="K196" s="548"/>
      <c r="L196" s="548"/>
      <c r="M196" s="548"/>
      <c r="N196" s="548"/>
      <c r="O196" s="548"/>
      <c r="P196" s="548"/>
      <c r="Q196" s="548"/>
      <c r="R196" s="548"/>
      <c r="S196" s="548"/>
      <c r="T196" s="548"/>
      <c r="U196" s="9"/>
      <c r="V196" s="9"/>
      <c r="W196" s="9"/>
      <c r="X196" s="9"/>
      <c r="Y196" s="9"/>
      <c r="Z196" s="9"/>
      <c r="AA196" s="9"/>
      <c r="AB196" s="9"/>
      <c r="AC196" s="9"/>
    </row>
    <row r="197" spans="1:29" ht="12.75" customHeight="1">
      <c r="A197" s="9"/>
      <c r="B197" s="9"/>
      <c r="C197" s="9"/>
      <c r="D197" s="9"/>
      <c r="E197" s="9"/>
      <c r="F197" s="9"/>
      <c r="G197" s="9"/>
      <c r="H197" s="548"/>
      <c r="I197" s="548"/>
      <c r="J197" s="548"/>
      <c r="K197" s="548"/>
      <c r="L197" s="548"/>
      <c r="M197" s="548"/>
      <c r="N197" s="548"/>
      <c r="O197" s="548"/>
      <c r="P197" s="548"/>
      <c r="Q197" s="548"/>
      <c r="R197" s="548"/>
      <c r="S197" s="548"/>
      <c r="T197" s="548"/>
      <c r="U197" s="9"/>
      <c r="V197" s="9"/>
      <c r="W197" s="9"/>
      <c r="X197" s="9"/>
      <c r="Y197" s="9"/>
      <c r="Z197" s="9"/>
      <c r="AA197" s="9"/>
      <c r="AB197" s="9"/>
      <c r="AC197" s="9"/>
    </row>
    <row r="198" spans="1:29" ht="12.75" customHeight="1">
      <c r="A198" s="9"/>
      <c r="B198" s="9"/>
      <c r="C198" s="9"/>
      <c r="D198" s="9"/>
      <c r="E198" s="9"/>
      <c r="F198" s="9"/>
      <c r="G198" s="9"/>
      <c r="H198" s="548"/>
      <c r="I198" s="548"/>
      <c r="J198" s="548"/>
      <c r="K198" s="548"/>
      <c r="L198" s="548"/>
      <c r="M198" s="548"/>
      <c r="N198" s="548"/>
      <c r="O198" s="548"/>
      <c r="P198" s="548"/>
      <c r="Q198" s="548"/>
      <c r="R198" s="548"/>
      <c r="S198" s="548"/>
      <c r="T198" s="548"/>
      <c r="U198" s="9"/>
      <c r="V198" s="9"/>
      <c r="W198" s="9"/>
      <c r="X198" s="9"/>
      <c r="Y198" s="9"/>
      <c r="Z198" s="9"/>
      <c r="AA198" s="9"/>
      <c r="AB198" s="9"/>
      <c r="AC198" s="9"/>
    </row>
    <row r="199" spans="1:29" ht="12.75" customHeight="1">
      <c r="A199" s="9"/>
      <c r="B199" s="9"/>
      <c r="C199" s="9"/>
      <c r="D199" s="9"/>
      <c r="E199" s="9"/>
      <c r="F199" s="9"/>
      <c r="G199" s="9"/>
      <c r="H199" s="548"/>
      <c r="I199" s="548"/>
      <c r="J199" s="548"/>
      <c r="K199" s="548"/>
      <c r="L199" s="548"/>
      <c r="M199" s="548"/>
      <c r="N199" s="548"/>
      <c r="O199" s="548"/>
      <c r="P199" s="548"/>
      <c r="Q199" s="548"/>
      <c r="R199" s="548"/>
      <c r="S199" s="548"/>
      <c r="T199" s="548"/>
      <c r="U199" s="9"/>
      <c r="V199" s="9"/>
      <c r="W199" s="9"/>
      <c r="X199" s="9"/>
      <c r="Y199" s="9"/>
      <c r="Z199" s="9"/>
      <c r="AA199" s="9"/>
      <c r="AB199" s="9"/>
      <c r="AC199" s="9"/>
    </row>
    <row r="200" spans="1:29" ht="12.75" customHeight="1">
      <c r="A200" s="9"/>
      <c r="B200" s="9"/>
      <c r="C200" s="9"/>
      <c r="D200" s="9"/>
      <c r="E200" s="9"/>
      <c r="F200" s="9"/>
      <c r="G200" s="9"/>
      <c r="H200" s="548"/>
      <c r="I200" s="548"/>
      <c r="J200" s="548"/>
      <c r="K200" s="548"/>
      <c r="L200" s="548"/>
      <c r="M200" s="548"/>
      <c r="N200" s="548"/>
      <c r="O200" s="548"/>
      <c r="P200" s="548"/>
      <c r="Q200" s="548"/>
      <c r="R200" s="548"/>
      <c r="S200" s="548"/>
      <c r="T200" s="548"/>
      <c r="U200" s="9"/>
      <c r="V200" s="9"/>
      <c r="W200" s="9"/>
      <c r="X200" s="9"/>
      <c r="Y200" s="9"/>
      <c r="Z200" s="9"/>
      <c r="AA200" s="9"/>
      <c r="AB200" s="9"/>
      <c r="AC200" s="9"/>
    </row>
    <row r="201" spans="1:29" ht="12.75" customHeight="1">
      <c r="A201" s="9"/>
      <c r="B201" s="9"/>
      <c r="C201" s="9"/>
      <c r="D201" s="9"/>
      <c r="E201" s="9"/>
      <c r="F201" s="9"/>
      <c r="G201" s="9"/>
      <c r="H201" s="548"/>
      <c r="I201" s="548"/>
      <c r="J201" s="548"/>
      <c r="K201" s="548"/>
      <c r="L201" s="548"/>
      <c r="M201" s="548"/>
      <c r="N201" s="548"/>
      <c r="O201" s="548"/>
      <c r="P201" s="548"/>
      <c r="Q201" s="548"/>
      <c r="R201" s="548"/>
      <c r="S201" s="548"/>
      <c r="T201" s="548"/>
      <c r="U201" s="9"/>
      <c r="V201" s="9"/>
      <c r="W201" s="9"/>
      <c r="X201" s="9"/>
      <c r="Y201" s="9"/>
      <c r="Z201" s="9"/>
      <c r="AA201" s="9"/>
      <c r="AB201" s="9"/>
      <c r="AC201" s="9"/>
    </row>
    <row r="202" spans="1:29" ht="12.75" customHeight="1">
      <c r="A202" s="9"/>
      <c r="B202" s="9"/>
      <c r="C202" s="9"/>
      <c r="D202" s="9"/>
      <c r="E202" s="9"/>
      <c r="F202" s="9"/>
      <c r="G202" s="9"/>
      <c r="H202" s="548"/>
      <c r="I202" s="548"/>
      <c r="J202" s="548"/>
      <c r="K202" s="548"/>
      <c r="L202" s="548"/>
      <c r="M202" s="548"/>
      <c r="N202" s="548"/>
      <c r="O202" s="548"/>
      <c r="P202" s="548"/>
      <c r="Q202" s="548"/>
      <c r="R202" s="548"/>
      <c r="S202" s="548"/>
      <c r="T202" s="548"/>
      <c r="U202" s="9"/>
      <c r="V202" s="9"/>
      <c r="W202" s="9"/>
      <c r="X202" s="9"/>
      <c r="Y202" s="9"/>
      <c r="Z202" s="9"/>
      <c r="AA202" s="9"/>
      <c r="AB202" s="9"/>
      <c r="AC202" s="9"/>
    </row>
    <row r="203" spans="1:29" ht="12.75" customHeight="1">
      <c r="A203" s="9"/>
      <c r="B203" s="9"/>
      <c r="C203" s="9"/>
      <c r="D203" s="9"/>
      <c r="E203" s="9"/>
      <c r="F203" s="9"/>
      <c r="G203" s="9"/>
      <c r="H203" s="548"/>
      <c r="I203" s="548"/>
      <c r="J203" s="548"/>
      <c r="K203" s="548"/>
      <c r="L203" s="548"/>
      <c r="M203" s="548"/>
      <c r="N203" s="548"/>
      <c r="O203" s="548"/>
      <c r="P203" s="548"/>
      <c r="Q203" s="548"/>
      <c r="R203" s="548"/>
      <c r="S203" s="548"/>
      <c r="T203" s="548"/>
      <c r="U203" s="9"/>
      <c r="V203" s="9"/>
      <c r="W203" s="9"/>
      <c r="X203" s="9"/>
      <c r="Y203" s="9"/>
      <c r="Z203" s="9"/>
      <c r="AA203" s="9"/>
      <c r="AB203" s="9"/>
      <c r="AC203" s="9"/>
    </row>
    <row r="204" spans="1:29" ht="12.75" customHeight="1">
      <c r="A204" s="9"/>
      <c r="B204" s="9"/>
      <c r="C204" s="9"/>
      <c r="D204" s="9"/>
      <c r="E204" s="9"/>
      <c r="F204" s="9"/>
      <c r="G204" s="9"/>
      <c r="H204" s="548"/>
      <c r="I204" s="548"/>
      <c r="J204" s="548"/>
      <c r="K204" s="548"/>
      <c r="L204" s="548"/>
      <c r="M204" s="548"/>
      <c r="N204" s="548"/>
      <c r="O204" s="548"/>
      <c r="P204" s="548"/>
      <c r="Q204" s="548"/>
      <c r="R204" s="548"/>
      <c r="S204" s="548"/>
      <c r="T204" s="548"/>
      <c r="U204" s="9"/>
      <c r="V204" s="9"/>
      <c r="W204" s="9"/>
      <c r="X204" s="9"/>
      <c r="Y204" s="9"/>
      <c r="Z204" s="9"/>
      <c r="AA204" s="9"/>
      <c r="AB204" s="9"/>
      <c r="AC204" s="9"/>
    </row>
    <row r="205" spans="1:29" ht="12.75" customHeight="1">
      <c r="A205" s="9"/>
      <c r="B205" s="9"/>
      <c r="C205" s="9"/>
      <c r="D205" s="9"/>
      <c r="E205" s="9"/>
      <c r="F205" s="9"/>
      <c r="G205" s="9"/>
      <c r="H205" s="548"/>
      <c r="I205" s="548"/>
      <c r="J205" s="548"/>
      <c r="K205" s="548"/>
      <c r="L205" s="548"/>
      <c r="M205" s="548"/>
      <c r="N205" s="548"/>
      <c r="O205" s="548"/>
      <c r="P205" s="548"/>
      <c r="Q205" s="548"/>
      <c r="R205" s="548"/>
      <c r="S205" s="548"/>
      <c r="T205" s="548"/>
      <c r="U205" s="9"/>
      <c r="V205" s="9"/>
      <c r="W205" s="9"/>
      <c r="X205" s="9"/>
      <c r="Y205" s="9"/>
      <c r="Z205" s="9"/>
      <c r="AA205" s="9"/>
      <c r="AB205" s="9"/>
      <c r="AC205" s="9"/>
    </row>
    <row r="206" spans="1:29" ht="12.75" customHeight="1">
      <c r="A206" s="9"/>
      <c r="B206" s="9"/>
      <c r="C206" s="9"/>
      <c r="D206" s="9"/>
      <c r="E206" s="9"/>
      <c r="F206" s="9"/>
      <c r="G206" s="9"/>
      <c r="H206" s="548"/>
      <c r="I206" s="548"/>
      <c r="J206" s="548"/>
      <c r="K206" s="548"/>
      <c r="L206" s="548"/>
      <c r="M206" s="548"/>
      <c r="N206" s="548"/>
      <c r="O206" s="548"/>
      <c r="P206" s="548"/>
      <c r="Q206" s="548"/>
      <c r="R206" s="548"/>
      <c r="S206" s="548"/>
      <c r="T206" s="548"/>
      <c r="U206" s="9"/>
      <c r="V206" s="9"/>
      <c r="W206" s="9"/>
      <c r="X206" s="9"/>
      <c r="Y206" s="9"/>
      <c r="Z206" s="9"/>
      <c r="AA206" s="9"/>
      <c r="AB206" s="9"/>
      <c r="AC206" s="9"/>
    </row>
    <row r="207" spans="1:29" ht="12.75" customHeight="1">
      <c r="A207" s="9"/>
      <c r="B207" s="9"/>
      <c r="C207" s="9"/>
      <c r="D207" s="9"/>
      <c r="E207" s="9"/>
      <c r="F207" s="9"/>
      <c r="G207" s="9"/>
      <c r="H207" s="548"/>
      <c r="I207" s="548"/>
      <c r="J207" s="548"/>
      <c r="K207" s="548"/>
      <c r="L207" s="548"/>
      <c r="M207" s="548"/>
      <c r="N207" s="548"/>
      <c r="O207" s="548"/>
      <c r="P207" s="548"/>
      <c r="Q207" s="548"/>
      <c r="R207" s="548"/>
      <c r="S207" s="548"/>
      <c r="T207" s="548"/>
      <c r="U207" s="9"/>
      <c r="V207" s="9"/>
      <c r="W207" s="9"/>
      <c r="X207" s="9"/>
      <c r="Y207" s="9"/>
      <c r="Z207" s="9"/>
      <c r="AA207" s="9"/>
      <c r="AB207" s="9"/>
      <c r="AC207" s="9"/>
    </row>
    <row r="208" spans="1:29" ht="12.75" customHeight="1">
      <c r="A208" s="9"/>
      <c r="B208" s="9"/>
      <c r="C208" s="9"/>
      <c r="D208" s="9"/>
      <c r="E208" s="9"/>
      <c r="F208" s="9"/>
      <c r="G208" s="9"/>
      <c r="H208" s="548"/>
      <c r="I208" s="548"/>
      <c r="J208" s="548"/>
      <c r="K208" s="548"/>
      <c r="L208" s="548"/>
      <c r="M208" s="548"/>
      <c r="N208" s="548"/>
      <c r="O208" s="548"/>
      <c r="P208" s="548"/>
      <c r="Q208" s="548"/>
      <c r="R208" s="548"/>
      <c r="S208" s="548"/>
      <c r="T208" s="548"/>
      <c r="U208" s="9"/>
      <c r="V208" s="9"/>
      <c r="W208" s="9"/>
      <c r="X208" s="9"/>
      <c r="Y208" s="9"/>
      <c r="Z208" s="9"/>
      <c r="AA208" s="9"/>
      <c r="AB208" s="9"/>
      <c r="AC208" s="9"/>
    </row>
    <row r="209" spans="1:29" ht="12.75" customHeight="1">
      <c r="A209" s="9"/>
      <c r="B209" s="9"/>
      <c r="C209" s="9"/>
      <c r="D209" s="9"/>
      <c r="E209" s="9"/>
      <c r="F209" s="9"/>
      <c r="G209" s="9"/>
      <c r="H209" s="548"/>
      <c r="I209" s="548"/>
      <c r="J209" s="548"/>
      <c r="K209" s="548"/>
      <c r="L209" s="548"/>
      <c r="M209" s="548"/>
      <c r="N209" s="548"/>
      <c r="O209" s="548"/>
      <c r="P209" s="548"/>
      <c r="Q209" s="548"/>
      <c r="R209" s="548"/>
      <c r="S209" s="548"/>
      <c r="T209" s="548"/>
      <c r="U209" s="9"/>
      <c r="V209" s="9"/>
      <c r="W209" s="9"/>
      <c r="X209" s="9"/>
      <c r="Y209" s="9"/>
      <c r="Z209" s="9"/>
      <c r="AA209" s="9"/>
      <c r="AB209" s="9"/>
      <c r="AC209" s="9"/>
    </row>
    <row r="210" spans="1:29" ht="12.75" customHeight="1">
      <c r="A210" s="9"/>
      <c r="B210" s="9"/>
      <c r="C210" s="9"/>
      <c r="D210" s="9"/>
      <c r="E210" s="9"/>
      <c r="F210" s="9"/>
      <c r="G210" s="9"/>
      <c r="H210" s="548"/>
      <c r="I210" s="548"/>
      <c r="J210" s="548"/>
      <c r="K210" s="548"/>
      <c r="L210" s="548"/>
      <c r="M210" s="548"/>
      <c r="N210" s="548"/>
      <c r="O210" s="548"/>
      <c r="P210" s="548"/>
      <c r="Q210" s="548"/>
      <c r="R210" s="548"/>
      <c r="S210" s="548"/>
      <c r="T210" s="548"/>
      <c r="U210" s="9"/>
      <c r="V210" s="9"/>
      <c r="W210" s="9"/>
      <c r="X210" s="9"/>
      <c r="Y210" s="9"/>
      <c r="Z210" s="9"/>
      <c r="AA210" s="9"/>
      <c r="AB210" s="9"/>
      <c r="AC210" s="9"/>
    </row>
    <row r="211" spans="1:29" ht="12.75" customHeight="1">
      <c r="A211" s="9"/>
      <c r="B211" s="9"/>
      <c r="C211" s="9"/>
      <c r="D211" s="9"/>
      <c r="E211" s="9"/>
      <c r="F211" s="9"/>
      <c r="G211" s="9"/>
      <c r="H211" s="548"/>
      <c r="I211" s="548"/>
      <c r="J211" s="548"/>
      <c r="K211" s="548"/>
      <c r="L211" s="548"/>
      <c r="M211" s="548"/>
      <c r="N211" s="548"/>
      <c r="O211" s="548"/>
      <c r="P211" s="548"/>
      <c r="Q211" s="548"/>
      <c r="R211" s="548"/>
      <c r="S211" s="548"/>
      <c r="T211" s="548"/>
      <c r="U211" s="9"/>
      <c r="V211" s="9"/>
      <c r="W211" s="9"/>
      <c r="X211" s="9"/>
      <c r="Y211" s="9"/>
      <c r="Z211" s="9"/>
      <c r="AA211" s="9"/>
      <c r="AB211" s="9"/>
      <c r="AC211" s="9"/>
    </row>
    <row r="212" spans="1:29" ht="12.75" customHeight="1">
      <c r="A212" s="9"/>
      <c r="B212" s="9"/>
      <c r="C212" s="9"/>
      <c r="D212" s="9"/>
      <c r="E212" s="9"/>
      <c r="F212" s="9"/>
      <c r="G212" s="9"/>
      <c r="H212" s="548"/>
      <c r="I212" s="548"/>
      <c r="J212" s="548"/>
      <c r="K212" s="548"/>
      <c r="L212" s="548"/>
      <c r="M212" s="548"/>
      <c r="N212" s="548"/>
      <c r="O212" s="548"/>
      <c r="P212" s="548"/>
      <c r="Q212" s="548"/>
      <c r="R212" s="548"/>
      <c r="S212" s="548"/>
      <c r="T212" s="548"/>
      <c r="U212" s="9"/>
      <c r="V212" s="9"/>
      <c r="W212" s="9"/>
      <c r="X212" s="9"/>
      <c r="Y212" s="9"/>
      <c r="Z212" s="9"/>
      <c r="AA212" s="9"/>
      <c r="AB212" s="9"/>
      <c r="AC212" s="9"/>
    </row>
    <row r="213" spans="1:29" ht="12.75" customHeight="1">
      <c r="A213" s="9"/>
      <c r="B213" s="9"/>
      <c r="C213" s="9"/>
      <c r="D213" s="9"/>
      <c r="E213" s="9"/>
      <c r="F213" s="9"/>
      <c r="G213" s="9"/>
      <c r="H213" s="548"/>
      <c r="I213" s="548"/>
      <c r="J213" s="548"/>
      <c r="K213" s="548"/>
      <c r="L213" s="548"/>
      <c r="M213" s="548"/>
      <c r="N213" s="548"/>
      <c r="O213" s="548"/>
      <c r="P213" s="548"/>
      <c r="Q213" s="548"/>
      <c r="R213" s="548"/>
      <c r="S213" s="548"/>
      <c r="T213" s="548"/>
      <c r="U213" s="9"/>
      <c r="V213" s="9"/>
      <c r="W213" s="9"/>
      <c r="X213" s="9"/>
      <c r="Y213" s="9"/>
      <c r="Z213" s="9"/>
      <c r="AA213" s="9"/>
      <c r="AB213" s="9"/>
      <c r="AC213" s="9"/>
    </row>
    <row r="214" spans="1:29" ht="12.75" customHeight="1">
      <c r="A214" s="9"/>
      <c r="B214" s="9"/>
      <c r="C214" s="9"/>
      <c r="D214" s="9"/>
      <c r="E214" s="9"/>
      <c r="F214" s="9"/>
      <c r="G214" s="9"/>
      <c r="H214" s="548"/>
      <c r="I214" s="548"/>
      <c r="J214" s="548"/>
      <c r="K214" s="548"/>
      <c r="L214" s="548"/>
      <c r="M214" s="548"/>
      <c r="N214" s="548"/>
      <c r="O214" s="548"/>
      <c r="P214" s="548"/>
      <c r="Q214" s="548"/>
      <c r="R214" s="548"/>
      <c r="S214" s="548"/>
      <c r="T214" s="548"/>
      <c r="U214" s="9"/>
      <c r="V214" s="9"/>
      <c r="W214" s="9"/>
      <c r="X214" s="9"/>
      <c r="Y214" s="9"/>
      <c r="Z214" s="9"/>
      <c r="AA214" s="9"/>
      <c r="AB214" s="9"/>
      <c r="AC214" s="9"/>
    </row>
    <row r="215" spans="1:29" ht="12.75" customHeight="1">
      <c r="A215" s="9"/>
      <c r="B215" s="9"/>
      <c r="C215" s="9"/>
      <c r="D215" s="9"/>
      <c r="E215" s="9"/>
      <c r="F215" s="9"/>
      <c r="G215" s="9"/>
      <c r="H215" s="548"/>
      <c r="I215" s="548"/>
      <c r="J215" s="548"/>
      <c r="K215" s="548"/>
      <c r="L215" s="548"/>
      <c r="M215" s="548"/>
      <c r="N215" s="548"/>
      <c r="O215" s="548"/>
      <c r="P215" s="548"/>
      <c r="Q215" s="548"/>
      <c r="R215" s="548"/>
      <c r="S215" s="548"/>
      <c r="T215" s="548"/>
      <c r="U215" s="9"/>
      <c r="V215" s="9"/>
      <c r="W215" s="9"/>
      <c r="X215" s="9"/>
      <c r="Y215" s="9"/>
      <c r="Z215" s="9"/>
      <c r="AA215" s="9"/>
      <c r="AB215" s="9"/>
      <c r="AC215" s="9"/>
    </row>
    <row r="216" spans="1:29" ht="12.75" customHeight="1">
      <c r="A216" s="9"/>
      <c r="B216" s="9"/>
      <c r="C216" s="9"/>
      <c r="D216" s="9"/>
      <c r="E216" s="9"/>
      <c r="F216" s="9"/>
      <c r="G216" s="9"/>
      <c r="H216" s="548"/>
      <c r="I216" s="548"/>
      <c r="J216" s="548"/>
      <c r="K216" s="548"/>
      <c r="L216" s="548"/>
      <c r="M216" s="548"/>
      <c r="N216" s="548"/>
      <c r="O216" s="548"/>
      <c r="P216" s="548"/>
      <c r="Q216" s="548"/>
      <c r="R216" s="548"/>
      <c r="S216" s="548"/>
      <c r="T216" s="548"/>
      <c r="U216" s="9"/>
      <c r="V216" s="9"/>
      <c r="W216" s="9"/>
      <c r="X216" s="9"/>
      <c r="Y216" s="9"/>
      <c r="Z216" s="9"/>
      <c r="AA216" s="9"/>
      <c r="AB216" s="9"/>
      <c r="AC216" s="9"/>
    </row>
    <row r="217" spans="1:29" ht="12.75" customHeight="1">
      <c r="A217" s="9"/>
      <c r="B217" s="9"/>
      <c r="C217" s="9"/>
      <c r="D217" s="9"/>
      <c r="E217" s="9"/>
      <c r="F217" s="9"/>
      <c r="G217" s="9"/>
      <c r="H217" s="548"/>
      <c r="I217" s="548"/>
      <c r="J217" s="548"/>
      <c r="K217" s="548"/>
      <c r="L217" s="548"/>
      <c r="M217" s="548"/>
      <c r="N217" s="548"/>
      <c r="O217" s="548"/>
      <c r="P217" s="548"/>
      <c r="Q217" s="548"/>
      <c r="R217" s="548"/>
      <c r="S217" s="548"/>
      <c r="T217" s="548"/>
      <c r="U217" s="9"/>
      <c r="V217" s="9"/>
      <c r="W217" s="9"/>
      <c r="X217" s="9"/>
      <c r="Y217" s="9"/>
      <c r="Z217" s="9"/>
      <c r="AA217" s="9"/>
      <c r="AB217" s="9"/>
      <c r="AC217" s="9"/>
    </row>
    <row r="218" spans="1:29" ht="12.75" customHeight="1">
      <c r="A218" s="9"/>
      <c r="B218" s="9"/>
      <c r="C218" s="9"/>
      <c r="D218" s="9"/>
      <c r="E218" s="9"/>
      <c r="F218" s="9"/>
      <c r="G218" s="9"/>
      <c r="H218" s="548"/>
      <c r="I218" s="548"/>
      <c r="J218" s="548"/>
      <c r="K218" s="548"/>
      <c r="L218" s="548"/>
      <c r="M218" s="548"/>
      <c r="N218" s="548"/>
      <c r="O218" s="548"/>
      <c r="P218" s="548"/>
      <c r="Q218" s="548"/>
      <c r="R218" s="548"/>
      <c r="S218" s="548"/>
      <c r="T218" s="548"/>
      <c r="U218" s="9"/>
      <c r="V218" s="9"/>
      <c r="W218" s="9"/>
      <c r="X218" s="9"/>
      <c r="Y218" s="9"/>
      <c r="Z218" s="9"/>
      <c r="AA218" s="9"/>
      <c r="AB218" s="9"/>
      <c r="AC218" s="9"/>
    </row>
    <row r="219" spans="1:29" ht="12.75" customHeight="1">
      <c r="A219" s="9"/>
      <c r="B219" s="9"/>
      <c r="C219" s="9"/>
      <c r="D219" s="9"/>
      <c r="E219" s="9"/>
      <c r="F219" s="9"/>
      <c r="G219" s="9"/>
      <c r="H219" s="548"/>
      <c r="I219" s="548"/>
      <c r="J219" s="548"/>
      <c r="K219" s="548"/>
      <c r="L219" s="548"/>
      <c r="M219" s="548"/>
      <c r="N219" s="548"/>
      <c r="O219" s="548"/>
      <c r="P219" s="548"/>
      <c r="Q219" s="548"/>
      <c r="R219" s="548"/>
      <c r="S219" s="548"/>
      <c r="T219" s="548"/>
      <c r="U219" s="9"/>
      <c r="V219" s="9"/>
      <c r="W219" s="9"/>
      <c r="X219" s="9"/>
      <c r="Y219" s="9"/>
      <c r="Z219" s="9"/>
      <c r="AA219" s="9"/>
      <c r="AB219" s="9"/>
      <c r="AC219" s="9"/>
    </row>
    <row r="220" spans="1:29" ht="12.75" customHeight="1">
      <c r="A220" s="9"/>
      <c r="B220" s="9"/>
      <c r="C220" s="9"/>
      <c r="D220" s="9"/>
      <c r="E220" s="9"/>
      <c r="F220" s="9"/>
      <c r="G220" s="9"/>
      <c r="H220" s="548"/>
      <c r="I220" s="548"/>
      <c r="J220" s="548"/>
      <c r="K220" s="548"/>
      <c r="L220" s="548"/>
      <c r="M220" s="548"/>
      <c r="N220" s="548"/>
      <c r="O220" s="548"/>
      <c r="P220" s="548"/>
      <c r="Q220" s="548"/>
      <c r="R220" s="548"/>
      <c r="S220" s="548"/>
      <c r="T220" s="548"/>
      <c r="U220" s="9"/>
      <c r="V220" s="9"/>
      <c r="W220" s="9"/>
      <c r="X220" s="9"/>
      <c r="Y220" s="9"/>
      <c r="Z220" s="9"/>
      <c r="AA220" s="9"/>
      <c r="AB220" s="9"/>
      <c r="AC220" s="9"/>
    </row>
    <row r="221" spans="1:29" ht="12.75" customHeight="1">
      <c r="A221" s="9"/>
      <c r="B221" s="9"/>
      <c r="C221" s="9"/>
      <c r="D221" s="9"/>
      <c r="E221" s="9"/>
      <c r="F221" s="9"/>
      <c r="G221" s="9"/>
      <c r="H221" s="548"/>
      <c r="I221" s="548"/>
      <c r="J221" s="548"/>
      <c r="K221" s="548"/>
      <c r="L221" s="548"/>
      <c r="M221" s="548"/>
      <c r="N221" s="548"/>
      <c r="O221" s="548"/>
      <c r="P221" s="548"/>
      <c r="Q221" s="548"/>
      <c r="R221" s="548"/>
      <c r="S221" s="548"/>
      <c r="T221" s="548"/>
      <c r="U221" s="9"/>
      <c r="V221" s="9"/>
      <c r="W221" s="9"/>
      <c r="X221" s="9"/>
      <c r="Y221" s="9"/>
      <c r="Z221" s="9"/>
      <c r="AA221" s="9"/>
      <c r="AB221" s="9"/>
      <c r="AC221" s="9"/>
    </row>
    <row r="222" spans="1:29" ht="12.75" customHeight="1">
      <c r="A222" s="9"/>
      <c r="B222" s="9"/>
      <c r="C222" s="9"/>
      <c r="D222" s="9"/>
      <c r="E222" s="9"/>
      <c r="F222" s="9"/>
      <c r="G222" s="9"/>
      <c r="H222" s="548"/>
      <c r="I222" s="548"/>
      <c r="J222" s="548"/>
      <c r="K222" s="548"/>
      <c r="L222" s="548"/>
      <c r="M222" s="548"/>
      <c r="N222" s="548"/>
      <c r="O222" s="548"/>
      <c r="P222" s="548"/>
      <c r="Q222" s="548"/>
      <c r="R222" s="548"/>
      <c r="S222" s="548"/>
      <c r="T222" s="548"/>
      <c r="U222" s="9"/>
      <c r="V222" s="9"/>
      <c r="W222" s="9"/>
      <c r="X222" s="9"/>
      <c r="Y222" s="9"/>
      <c r="Z222" s="9"/>
      <c r="AA222" s="9"/>
      <c r="AB222" s="9"/>
      <c r="AC222" s="9"/>
    </row>
    <row r="223" spans="1:29" ht="12.75" customHeight="1">
      <c r="A223" s="9"/>
      <c r="B223" s="9"/>
      <c r="C223" s="9"/>
      <c r="D223" s="9"/>
      <c r="E223" s="9"/>
      <c r="F223" s="9"/>
      <c r="G223" s="9"/>
      <c r="H223" s="548"/>
      <c r="I223" s="548"/>
      <c r="J223" s="548"/>
      <c r="K223" s="548"/>
      <c r="L223" s="548"/>
      <c r="M223" s="548"/>
      <c r="N223" s="548"/>
      <c r="O223" s="548"/>
      <c r="P223" s="548"/>
      <c r="Q223" s="548"/>
      <c r="R223" s="548"/>
      <c r="S223" s="548"/>
      <c r="T223" s="548"/>
      <c r="U223" s="9"/>
      <c r="V223" s="9"/>
      <c r="W223" s="9"/>
      <c r="X223" s="9"/>
      <c r="Y223" s="9"/>
      <c r="Z223" s="9"/>
      <c r="AA223" s="9"/>
      <c r="AB223" s="9"/>
      <c r="AC223" s="9"/>
    </row>
    <row r="224" spans="1:29" ht="12.75" customHeight="1">
      <c r="A224" s="9"/>
      <c r="B224" s="9"/>
      <c r="C224" s="9"/>
      <c r="D224" s="9"/>
      <c r="E224" s="9"/>
      <c r="F224" s="9"/>
      <c r="G224" s="9"/>
      <c r="H224" s="548"/>
      <c r="I224" s="548"/>
      <c r="J224" s="548"/>
      <c r="K224" s="548"/>
      <c r="L224" s="548"/>
      <c r="M224" s="548"/>
      <c r="N224" s="548"/>
      <c r="O224" s="548"/>
      <c r="P224" s="548"/>
      <c r="Q224" s="548"/>
      <c r="R224" s="548"/>
      <c r="S224" s="548"/>
      <c r="T224" s="548"/>
      <c r="U224" s="9"/>
      <c r="V224" s="9"/>
      <c r="W224" s="9"/>
      <c r="X224" s="9"/>
      <c r="Y224" s="9"/>
      <c r="Z224" s="9"/>
      <c r="AA224" s="9"/>
      <c r="AB224" s="9"/>
      <c r="AC224" s="9"/>
    </row>
    <row r="225" spans="1:29" ht="12.75" customHeight="1">
      <c r="A225" s="9"/>
      <c r="B225" s="9"/>
      <c r="C225" s="9"/>
      <c r="D225" s="9"/>
      <c r="E225" s="9"/>
      <c r="F225" s="9"/>
      <c r="G225" s="9"/>
      <c r="H225" s="548"/>
      <c r="I225" s="548"/>
      <c r="J225" s="548"/>
      <c r="K225" s="548"/>
      <c r="L225" s="548"/>
      <c r="M225" s="548"/>
      <c r="N225" s="548"/>
      <c r="O225" s="548"/>
      <c r="P225" s="548"/>
      <c r="Q225" s="548"/>
      <c r="R225" s="548"/>
      <c r="S225" s="548"/>
      <c r="T225" s="548"/>
      <c r="U225" s="9"/>
      <c r="V225" s="9"/>
      <c r="W225" s="9"/>
      <c r="X225" s="9"/>
      <c r="Y225" s="9"/>
      <c r="Z225" s="9"/>
      <c r="AA225" s="9"/>
      <c r="AB225" s="9"/>
      <c r="AC225" s="9"/>
    </row>
    <row r="226" spans="1:29" ht="12.75" customHeight="1">
      <c r="A226" s="9"/>
      <c r="B226" s="9"/>
      <c r="C226" s="9"/>
      <c r="D226" s="9"/>
      <c r="E226" s="9"/>
      <c r="F226" s="9"/>
      <c r="G226" s="9"/>
      <c r="H226" s="548"/>
      <c r="I226" s="548"/>
      <c r="J226" s="548"/>
      <c r="K226" s="548"/>
      <c r="L226" s="548"/>
      <c r="M226" s="548"/>
      <c r="N226" s="548"/>
      <c r="O226" s="548"/>
      <c r="P226" s="548"/>
      <c r="Q226" s="548"/>
      <c r="R226" s="548"/>
      <c r="S226" s="548"/>
      <c r="T226" s="548"/>
      <c r="U226" s="9"/>
      <c r="V226" s="9"/>
      <c r="W226" s="9"/>
      <c r="X226" s="9"/>
      <c r="Y226" s="9"/>
      <c r="Z226" s="9"/>
      <c r="AA226" s="9"/>
      <c r="AB226" s="9"/>
      <c r="AC226" s="9"/>
    </row>
    <row r="227" spans="1:29" ht="12.75" customHeight="1">
      <c r="A227" s="9"/>
      <c r="B227" s="9"/>
      <c r="C227" s="9"/>
      <c r="D227" s="9"/>
      <c r="E227" s="9"/>
      <c r="F227" s="9"/>
      <c r="G227" s="9"/>
      <c r="H227" s="548"/>
      <c r="I227" s="548"/>
      <c r="J227" s="548"/>
      <c r="K227" s="548"/>
      <c r="L227" s="548"/>
      <c r="M227" s="548"/>
      <c r="N227" s="548"/>
      <c r="O227" s="548"/>
      <c r="P227" s="548"/>
      <c r="Q227" s="548"/>
      <c r="R227" s="548"/>
      <c r="S227" s="548"/>
      <c r="T227" s="548"/>
      <c r="U227" s="9"/>
      <c r="V227" s="9"/>
      <c r="W227" s="9"/>
      <c r="X227" s="9"/>
      <c r="Y227" s="9"/>
      <c r="Z227" s="9"/>
      <c r="AA227" s="9"/>
      <c r="AB227" s="9"/>
      <c r="AC227" s="9"/>
    </row>
    <row r="228" spans="1:29" ht="12.75" customHeight="1">
      <c r="A228" s="9"/>
      <c r="B228" s="9"/>
      <c r="C228" s="9"/>
      <c r="D228" s="9"/>
      <c r="E228" s="9"/>
      <c r="F228" s="9"/>
      <c r="G228" s="9"/>
      <c r="H228" s="548"/>
      <c r="I228" s="548"/>
      <c r="J228" s="548"/>
      <c r="K228" s="548"/>
      <c r="L228" s="548"/>
      <c r="M228" s="548"/>
      <c r="N228" s="548"/>
      <c r="O228" s="548"/>
      <c r="P228" s="548"/>
      <c r="Q228" s="548"/>
      <c r="R228" s="548"/>
      <c r="S228" s="548"/>
      <c r="T228" s="548"/>
      <c r="U228" s="9"/>
      <c r="V228" s="9"/>
      <c r="W228" s="9"/>
      <c r="X228" s="9"/>
      <c r="Y228" s="9"/>
      <c r="Z228" s="9"/>
      <c r="AA228" s="9"/>
      <c r="AB228" s="9"/>
      <c r="AC228" s="9"/>
    </row>
    <row r="229" spans="1:29" ht="12.75" customHeight="1">
      <c r="A229" s="9"/>
      <c r="B229" s="9"/>
      <c r="C229" s="9"/>
      <c r="D229" s="9"/>
      <c r="E229" s="9"/>
      <c r="F229" s="9"/>
      <c r="G229" s="9"/>
      <c r="H229" s="548"/>
      <c r="I229" s="548"/>
      <c r="J229" s="548"/>
      <c r="K229" s="548"/>
      <c r="L229" s="548"/>
      <c r="M229" s="548"/>
      <c r="N229" s="548"/>
      <c r="O229" s="548"/>
      <c r="P229" s="548"/>
      <c r="Q229" s="548"/>
      <c r="R229" s="548"/>
      <c r="S229" s="548"/>
      <c r="T229" s="548"/>
      <c r="U229" s="9"/>
      <c r="V229" s="9"/>
      <c r="W229" s="9"/>
      <c r="X229" s="9"/>
      <c r="Y229" s="9"/>
      <c r="Z229" s="9"/>
      <c r="AA229" s="9"/>
      <c r="AB229" s="9"/>
      <c r="AC229" s="9"/>
    </row>
    <row r="230" spans="1:29" ht="12.75" customHeight="1">
      <c r="A230" s="9"/>
      <c r="B230" s="9"/>
      <c r="C230" s="9"/>
      <c r="D230" s="9"/>
      <c r="E230" s="9"/>
      <c r="F230" s="9"/>
      <c r="G230" s="9"/>
      <c r="H230" s="548"/>
      <c r="I230" s="548"/>
      <c r="J230" s="548"/>
      <c r="K230" s="548"/>
      <c r="L230" s="548"/>
      <c r="M230" s="548"/>
      <c r="N230" s="548"/>
      <c r="O230" s="548"/>
      <c r="P230" s="548"/>
      <c r="Q230" s="548"/>
      <c r="R230" s="548"/>
      <c r="S230" s="548"/>
      <c r="T230" s="548"/>
      <c r="U230" s="9"/>
      <c r="V230" s="9"/>
      <c r="W230" s="9"/>
      <c r="X230" s="9"/>
      <c r="Y230" s="9"/>
      <c r="Z230" s="9"/>
      <c r="AA230" s="9"/>
      <c r="AB230" s="9"/>
      <c r="AC230" s="9"/>
    </row>
    <row r="231" spans="1:29" ht="12.75" customHeight="1">
      <c r="A231" s="9"/>
      <c r="B231" s="9"/>
      <c r="C231" s="9"/>
      <c r="D231" s="9"/>
      <c r="E231" s="9"/>
      <c r="F231" s="9"/>
      <c r="G231" s="9"/>
      <c r="H231" s="548"/>
      <c r="I231" s="548"/>
      <c r="J231" s="548"/>
      <c r="K231" s="548"/>
      <c r="L231" s="548"/>
      <c r="M231" s="548"/>
      <c r="N231" s="548"/>
      <c r="O231" s="548"/>
      <c r="P231" s="548"/>
      <c r="Q231" s="548"/>
      <c r="R231" s="548"/>
      <c r="S231" s="548"/>
      <c r="T231" s="548"/>
      <c r="U231" s="9"/>
      <c r="V231" s="9"/>
      <c r="W231" s="9"/>
      <c r="X231" s="9"/>
      <c r="Y231" s="9"/>
      <c r="Z231" s="9"/>
      <c r="AA231" s="9"/>
      <c r="AB231" s="9"/>
      <c r="AC231" s="9"/>
    </row>
    <row r="232" spans="1:29" ht="12.75" customHeight="1">
      <c r="A232" s="9"/>
      <c r="B232" s="9"/>
      <c r="C232" s="9"/>
      <c r="D232" s="9"/>
      <c r="E232" s="9"/>
      <c r="F232" s="9"/>
      <c r="G232" s="9"/>
      <c r="H232" s="548"/>
      <c r="I232" s="548"/>
      <c r="J232" s="548"/>
      <c r="K232" s="548"/>
      <c r="L232" s="548"/>
      <c r="M232" s="548"/>
      <c r="N232" s="548"/>
      <c r="O232" s="548"/>
      <c r="P232" s="548"/>
      <c r="Q232" s="548"/>
      <c r="R232" s="548"/>
      <c r="S232" s="548"/>
      <c r="T232" s="548"/>
      <c r="U232" s="9"/>
      <c r="V232" s="9"/>
      <c r="W232" s="9"/>
      <c r="X232" s="9"/>
      <c r="Y232" s="9"/>
      <c r="Z232" s="9"/>
      <c r="AA232" s="9"/>
      <c r="AB232" s="9"/>
      <c r="AC232" s="9"/>
    </row>
    <row r="233" spans="1:29" ht="12.75" customHeight="1">
      <c r="A233" s="9"/>
      <c r="B233" s="9"/>
      <c r="C233" s="9"/>
      <c r="D233" s="9"/>
      <c r="E233" s="9"/>
      <c r="F233" s="9"/>
      <c r="G233" s="9"/>
      <c r="H233" s="548"/>
      <c r="I233" s="548"/>
      <c r="J233" s="548"/>
      <c r="K233" s="548"/>
      <c r="L233" s="548"/>
      <c r="M233" s="548"/>
      <c r="N233" s="548"/>
      <c r="O233" s="548"/>
      <c r="P233" s="548"/>
      <c r="Q233" s="548"/>
      <c r="R233" s="548"/>
      <c r="S233" s="548"/>
      <c r="T233" s="548"/>
      <c r="U233" s="9"/>
      <c r="V233" s="9"/>
      <c r="W233" s="9"/>
      <c r="X233" s="9"/>
      <c r="Y233" s="9"/>
      <c r="Z233" s="9"/>
      <c r="AA233" s="9"/>
      <c r="AB233" s="9"/>
      <c r="AC233" s="9"/>
    </row>
    <row r="234" spans="1:29" ht="12.75" customHeight="1">
      <c r="A234" s="9"/>
      <c r="B234" s="9"/>
      <c r="C234" s="9"/>
      <c r="D234" s="9"/>
      <c r="E234" s="9"/>
      <c r="F234" s="9"/>
      <c r="G234" s="9"/>
      <c r="H234" s="548"/>
      <c r="I234" s="548"/>
      <c r="J234" s="548"/>
      <c r="K234" s="548"/>
      <c r="L234" s="548"/>
      <c r="M234" s="548"/>
      <c r="N234" s="548"/>
      <c r="O234" s="548"/>
      <c r="P234" s="548"/>
      <c r="Q234" s="548"/>
      <c r="R234" s="548"/>
      <c r="S234" s="548"/>
      <c r="T234" s="548"/>
      <c r="U234" s="9"/>
      <c r="V234" s="9"/>
      <c r="W234" s="9"/>
      <c r="X234" s="9"/>
      <c r="Y234" s="9"/>
      <c r="Z234" s="9"/>
      <c r="AA234" s="9"/>
      <c r="AB234" s="9"/>
      <c r="AC234" s="9"/>
    </row>
    <row r="235" spans="1:29" ht="12.75" customHeight="1">
      <c r="A235" s="9"/>
      <c r="B235" s="9"/>
      <c r="C235" s="9"/>
      <c r="D235" s="9"/>
      <c r="E235" s="9"/>
      <c r="F235" s="9"/>
      <c r="G235" s="9"/>
      <c r="H235" s="548"/>
      <c r="I235" s="548"/>
      <c r="J235" s="548"/>
      <c r="K235" s="548"/>
      <c r="L235" s="548"/>
      <c r="M235" s="548"/>
      <c r="N235" s="548"/>
      <c r="O235" s="548"/>
      <c r="P235" s="548"/>
      <c r="Q235" s="548"/>
      <c r="R235" s="548"/>
      <c r="S235" s="548"/>
      <c r="T235" s="548"/>
      <c r="U235" s="9"/>
      <c r="V235" s="9"/>
      <c r="W235" s="9"/>
      <c r="X235" s="9"/>
      <c r="Y235" s="9"/>
      <c r="Z235" s="9"/>
      <c r="AA235" s="9"/>
      <c r="AB235" s="9"/>
      <c r="AC235" s="9"/>
    </row>
    <row r="236" spans="1:29" ht="12.75" customHeight="1">
      <c r="A236" s="9"/>
      <c r="B236" s="9"/>
      <c r="C236" s="9"/>
      <c r="D236" s="9"/>
      <c r="E236" s="9"/>
      <c r="F236" s="9"/>
      <c r="G236" s="9"/>
      <c r="H236" s="548"/>
      <c r="I236" s="548"/>
      <c r="J236" s="548"/>
      <c r="K236" s="548"/>
      <c r="L236" s="548"/>
      <c r="M236" s="548"/>
      <c r="N236" s="548"/>
      <c r="O236" s="548"/>
      <c r="P236" s="548"/>
      <c r="Q236" s="548"/>
      <c r="R236" s="548"/>
      <c r="S236" s="548"/>
      <c r="T236" s="548"/>
      <c r="U236" s="9"/>
      <c r="V236" s="9"/>
      <c r="W236" s="9"/>
      <c r="X236" s="9"/>
      <c r="Y236" s="9"/>
      <c r="Z236" s="9"/>
      <c r="AA236" s="9"/>
      <c r="AB236" s="9"/>
      <c r="AC236" s="9"/>
    </row>
    <row r="237" spans="1:29" ht="12.75" customHeight="1">
      <c r="A237" s="9"/>
      <c r="B237" s="9"/>
      <c r="C237" s="9"/>
      <c r="D237" s="9"/>
      <c r="E237" s="9"/>
      <c r="F237" s="9"/>
      <c r="G237" s="9"/>
      <c r="H237" s="548"/>
      <c r="I237" s="548"/>
      <c r="J237" s="548"/>
      <c r="K237" s="548"/>
      <c r="L237" s="548"/>
      <c r="M237" s="548"/>
      <c r="N237" s="548"/>
      <c r="O237" s="548"/>
      <c r="P237" s="548"/>
      <c r="Q237" s="548"/>
      <c r="R237" s="548"/>
      <c r="S237" s="548"/>
      <c r="T237" s="548"/>
      <c r="U237" s="9"/>
      <c r="V237" s="9"/>
      <c r="W237" s="9"/>
      <c r="X237" s="9"/>
      <c r="Y237" s="9"/>
      <c r="Z237" s="9"/>
      <c r="AA237" s="9"/>
      <c r="AB237" s="9"/>
      <c r="AC237" s="9"/>
    </row>
    <row r="238" spans="1:29" ht="12.75" customHeight="1">
      <c r="A238" s="9"/>
      <c r="B238" s="9"/>
      <c r="C238" s="9"/>
      <c r="D238" s="9"/>
      <c r="E238" s="9"/>
      <c r="F238" s="9"/>
      <c r="G238" s="9"/>
      <c r="H238" s="548"/>
      <c r="I238" s="548"/>
      <c r="J238" s="548"/>
      <c r="K238" s="548"/>
      <c r="L238" s="548"/>
      <c r="M238" s="548"/>
      <c r="N238" s="548"/>
      <c r="O238" s="548"/>
      <c r="P238" s="548"/>
      <c r="Q238" s="548"/>
      <c r="R238" s="548"/>
      <c r="S238" s="548"/>
      <c r="T238" s="548"/>
      <c r="U238" s="9"/>
      <c r="V238" s="9"/>
      <c r="W238" s="9"/>
      <c r="X238" s="9"/>
      <c r="Y238" s="9"/>
      <c r="Z238" s="9"/>
      <c r="AA238" s="9"/>
      <c r="AB238" s="9"/>
      <c r="AC238" s="9"/>
    </row>
    <row r="239" spans="1:29" ht="12.75" customHeight="1">
      <c r="A239" s="9"/>
      <c r="B239" s="9"/>
      <c r="C239" s="9"/>
      <c r="D239" s="9"/>
      <c r="E239" s="9"/>
      <c r="F239" s="9"/>
      <c r="G239" s="9"/>
      <c r="H239" s="548"/>
      <c r="I239" s="548"/>
      <c r="J239" s="548"/>
      <c r="K239" s="548"/>
      <c r="L239" s="548"/>
      <c r="M239" s="548"/>
      <c r="N239" s="548"/>
      <c r="O239" s="548"/>
      <c r="P239" s="548"/>
      <c r="Q239" s="548"/>
      <c r="R239" s="548"/>
      <c r="S239" s="548"/>
      <c r="T239" s="548"/>
      <c r="U239" s="9"/>
      <c r="V239" s="9"/>
      <c r="W239" s="9"/>
      <c r="X239" s="9"/>
      <c r="Y239" s="9"/>
      <c r="Z239" s="9"/>
      <c r="AA239" s="9"/>
      <c r="AB239" s="9"/>
      <c r="AC239" s="9"/>
    </row>
    <row r="240" spans="1:29" ht="12.75" customHeight="1">
      <c r="A240" s="9"/>
      <c r="B240" s="9"/>
      <c r="C240" s="9"/>
      <c r="D240" s="9"/>
      <c r="E240" s="9"/>
      <c r="F240" s="9"/>
      <c r="G240" s="9"/>
      <c r="H240" s="548"/>
      <c r="I240" s="548"/>
      <c r="J240" s="548"/>
      <c r="K240" s="548"/>
      <c r="L240" s="548"/>
      <c r="M240" s="548"/>
      <c r="N240" s="548"/>
      <c r="O240" s="548"/>
      <c r="P240" s="548"/>
      <c r="Q240" s="548"/>
      <c r="R240" s="548"/>
      <c r="S240" s="548"/>
      <c r="T240" s="548"/>
      <c r="U240" s="9"/>
      <c r="V240" s="9"/>
      <c r="W240" s="9"/>
      <c r="X240" s="9"/>
      <c r="Y240" s="9"/>
      <c r="Z240" s="9"/>
      <c r="AA240" s="9"/>
      <c r="AB240" s="9"/>
      <c r="AC240" s="9"/>
    </row>
    <row r="241" spans="1:29" ht="12.75" customHeight="1">
      <c r="A241" s="9"/>
      <c r="B241" s="9"/>
      <c r="C241" s="9"/>
      <c r="D241" s="9"/>
      <c r="E241" s="9"/>
      <c r="F241" s="9"/>
      <c r="G241" s="9"/>
      <c r="H241" s="548"/>
      <c r="I241" s="548"/>
      <c r="J241" s="548"/>
      <c r="K241" s="548"/>
      <c r="L241" s="548"/>
      <c r="M241" s="548"/>
      <c r="N241" s="548"/>
      <c r="O241" s="548"/>
      <c r="P241" s="548"/>
      <c r="Q241" s="548"/>
      <c r="R241" s="548"/>
      <c r="S241" s="548"/>
      <c r="T241" s="548"/>
      <c r="U241" s="9"/>
      <c r="V241" s="9"/>
      <c r="W241" s="9"/>
      <c r="X241" s="9"/>
      <c r="Y241" s="9"/>
      <c r="Z241" s="9"/>
      <c r="AA241" s="9"/>
      <c r="AB241" s="9"/>
      <c r="AC241" s="9"/>
    </row>
    <row r="242" spans="1:29" ht="12.75" customHeight="1">
      <c r="A242" s="9"/>
      <c r="B242" s="9"/>
      <c r="C242" s="9"/>
      <c r="D242" s="9"/>
      <c r="E242" s="9"/>
      <c r="F242" s="9"/>
      <c r="G242" s="9"/>
      <c r="H242" s="548"/>
      <c r="I242" s="548"/>
      <c r="J242" s="548"/>
      <c r="K242" s="548"/>
      <c r="L242" s="548"/>
      <c r="M242" s="548"/>
      <c r="N242" s="548"/>
      <c r="O242" s="548"/>
      <c r="P242" s="548"/>
      <c r="Q242" s="548"/>
      <c r="R242" s="548"/>
      <c r="S242" s="548"/>
      <c r="T242" s="548"/>
      <c r="U242" s="9"/>
      <c r="V242" s="9"/>
      <c r="W242" s="9"/>
      <c r="X242" s="9"/>
      <c r="Y242" s="9"/>
      <c r="Z242" s="9"/>
      <c r="AA242" s="9"/>
      <c r="AB242" s="9"/>
      <c r="AC242" s="9"/>
    </row>
    <row r="243" spans="1:29" ht="12.75" customHeight="1">
      <c r="A243" s="9"/>
      <c r="B243" s="9"/>
      <c r="C243" s="9"/>
      <c r="D243" s="9"/>
      <c r="E243" s="9"/>
      <c r="F243" s="9"/>
      <c r="G243" s="9"/>
      <c r="H243" s="548"/>
      <c r="I243" s="548"/>
      <c r="J243" s="548"/>
      <c r="K243" s="548"/>
      <c r="L243" s="548"/>
      <c r="M243" s="548"/>
      <c r="N243" s="548"/>
      <c r="O243" s="548"/>
      <c r="P243" s="548"/>
      <c r="Q243" s="548"/>
      <c r="R243" s="548"/>
      <c r="S243" s="548"/>
      <c r="T243" s="548"/>
      <c r="U243" s="9"/>
      <c r="V243" s="9"/>
      <c r="W243" s="9"/>
      <c r="X243" s="9"/>
      <c r="Y243" s="9"/>
      <c r="Z243" s="9"/>
      <c r="AA243" s="9"/>
      <c r="AB243" s="9"/>
      <c r="AC243" s="9"/>
    </row>
    <row r="244" spans="1:29" ht="12.75" customHeight="1">
      <c r="A244" s="9"/>
      <c r="B244" s="9"/>
      <c r="C244" s="9"/>
      <c r="D244" s="9"/>
      <c r="E244" s="9"/>
      <c r="F244" s="9"/>
      <c r="G244" s="9"/>
      <c r="H244" s="548"/>
      <c r="I244" s="548"/>
      <c r="J244" s="548"/>
      <c r="K244" s="548"/>
      <c r="L244" s="548"/>
      <c r="M244" s="548"/>
      <c r="N244" s="548"/>
      <c r="O244" s="548"/>
      <c r="P244" s="548"/>
      <c r="Q244" s="548"/>
      <c r="R244" s="548"/>
      <c r="S244" s="548"/>
      <c r="T244" s="548"/>
      <c r="U244" s="9"/>
      <c r="V244" s="9"/>
      <c r="W244" s="9"/>
      <c r="X244" s="9"/>
      <c r="Y244" s="9"/>
      <c r="Z244" s="9"/>
      <c r="AA244" s="9"/>
      <c r="AB244" s="9"/>
      <c r="AC244" s="9"/>
    </row>
    <row r="245" spans="1:29" ht="12.75" customHeight="1">
      <c r="A245" s="9"/>
      <c r="B245" s="9"/>
      <c r="C245" s="9"/>
      <c r="D245" s="9"/>
      <c r="E245" s="9"/>
      <c r="F245" s="9"/>
      <c r="G245" s="9"/>
      <c r="H245" s="548"/>
      <c r="I245" s="548"/>
      <c r="J245" s="548"/>
      <c r="K245" s="548"/>
      <c r="L245" s="548"/>
      <c r="M245" s="548"/>
      <c r="N245" s="548"/>
      <c r="O245" s="548"/>
      <c r="P245" s="548"/>
      <c r="Q245" s="548"/>
      <c r="R245" s="548"/>
      <c r="S245" s="548"/>
      <c r="T245" s="548"/>
      <c r="U245" s="9"/>
      <c r="V245" s="9"/>
      <c r="W245" s="9"/>
      <c r="X245" s="9"/>
      <c r="Y245" s="9"/>
      <c r="Z245" s="9"/>
      <c r="AA245" s="9"/>
      <c r="AB245" s="9"/>
      <c r="AC245" s="9"/>
    </row>
    <row r="246" spans="1:29" ht="12.75" customHeight="1">
      <c r="A246" s="9"/>
      <c r="B246" s="9"/>
      <c r="C246" s="9"/>
      <c r="D246" s="9"/>
      <c r="E246" s="9"/>
      <c r="F246" s="9"/>
      <c r="G246" s="9"/>
      <c r="H246" s="548"/>
      <c r="I246" s="548"/>
      <c r="J246" s="548"/>
      <c r="K246" s="548"/>
      <c r="L246" s="548"/>
      <c r="M246" s="548"/>
      <c r="N246" s="548"/>
      <c r="O246" s="548"/>
      <c r="P246" s="548"/>
      <c r="Q246" s="548"/>
      <c r="R246" s="548"/>
      <c r="S246" s="548"/>
      <c r="T246" s="548"/>
      <c r="U246" s="9"/>
      <c r="V246" s="9"/>
      <c r="W246" s="9"/>
      <c r="X246" s="9"/>
      <c r="Y246" s="9"/>
      <c r="Z246" s="9"/>
      <c r="AA246" s="9"/>
      <c r="AB246" s="9"/>
      <c r="AC246" s="9"/>
    </row>
    <row r="247" spans="1:29" ht="12.75" customHeight="1">
      <c r="A247" s="9"/>
      <c r="B247" s="9"/>
      <c r="C247" s="9"/>
      <c r="D247" s="9"/>
      <c r="E247" s="9"/>
      <c r="F247" s="9"/>
      <c r="G247" s="9"/>
      <c r="H247" s="548"/>
      <c r="I247" s="548"/>
      <c r="J247" s="548"/>
      <c r="K247" s="548"/>
      <c r="L247" s="548"/>
      <c r="M247" s="548"/>
      <c r="N247" s="548"/>
      <c r="O247" s="548"/>
      <c r="P247" s="548"/>
      <c r="Q247" s="548"/>
      <c r="R247" s="548"/>
      <c r="S247" s="548"/>
      <c r="T247" s="548"/>
      <c r="U247" s="9"/>
      <c r="V247" s="9"/>
      <c r="W247" s="9"/>
      <c r="X247" s="9"/>
      <c r="Y247" s="9"/>
      <c r="Z247" s="9"/>
      <c r="AA247" s="9"/>
      <c r="AB247" s="9"/>
      <c r="AC247" s="9"/>
    </row>
    <row r="248" spans="1:29" ht="12.75" customHeight="1">
      <c r="A248" s="9"/>
      <c r="B248" s="9"/>
      <c r="C248" s="9"/>
      <c r="D248" s="9"/>
      <c r="E248" s="9"/>
      <c r="F248" s="9"/>
      <c r="G248" s="9"/>
      <c r="H248" s="548"/>
      <c r="I248" s="548"/>
      <c r="J248" s="548"/>
      <c r="K248" s="548"/>
      <c r="L248" s="548"/>
      <c r="M248" s="548"/>
      <c r="N248" s="548"/>
      <c r="O248" s="548"/>
      <c r="P248" s="548"/>
      <c r="Q248" s="548"/>
      <c r="R248" s="548"/>
      <c r="S248" s="548"/>
      <c r="T248" s="548"/>
      <c r="U248" s="9"/>
      <c r="V248" s="9"/>
      <c r="W248" s="9"/>
      <c r="X248" s="9"/>
      <c r="Y248" s="9"/>
      <c r="Z248" s="9"/>
      <c r="AA248" s="9"/>
      <c r="AB248" s="9"/>
      <c r="AC248" s="9"/>
    </row>
    <row r="249" spans="1:29" ht="12.75" customHeight="1">
      <c r="A249" s="9"/>
      <c r="B249" s="9"/>
      <c r="C249" s="9"/>
      <c r="D249" s="9"/>
      <c r="E249" s="9"/>
      <c r="F249" s="9"/>
      <c r="G249" s="9"/>
      <c r="H249" s="548"/>
      <c r="I249" s="548"/>
      <c r="J249" s="548"/>
      <c r="K249" s="548"/>
      <c r="L249" s="548"/>
      <c r="M249" s="548"/>
      <c r="N249" s="548"/>
      <c r="O249" s="548"/>
      <c r="P249" s="548"/>
      <c r="Q249" s="548"/>
      <c r="R249" s="548"/>
      <c r="S249" s="548"/>
      <c r="T249" s="548"/>
      <c r="U249" s="9"/>
      <c r="V249" s="9"/>
      <c r="W249" s="9"/>
      <c r="X249" s="9"/>
      <c r="Y249" s="9"/>
      <c r="Z249" s="9"/>
      <c r="AA249" s="9"/>
      <c r="AB249" s="9"/>
      <c r="AC249" s="9"/>
    </row>
    <row r="250" spans="1:29" ht="12.75" customHeight="1">
      <c r="A250" s="9"/>
      <c r="B250" s="9"/>
      <c r="C250" s="9"/>
      <c r="D250" s="9"/>
      <c r="E250" s="9"/>
      <c r="F250" s="9"/>
      <c r="G250" s="9"/>
      <c r="H250" s="548"/>
      <c r="I250" s="548"/>
      <c r="J250" s="548"/>
      <c r="K250" s="548"/>
      <c r="L250" s="548"/>
      <c r="M250" s="548"/>
      <c r="N250" s="548"/>
      <c r="O250" s="548"/>
      <c r="P250" s="548"/>
      <c r="Q250" s="548"/>
      <c r="R250" s="548"/>
      <c r="S250" s="548"/>
      <c r="T250" s="548"/>
      <c r="U250" s="9"/>
      <c r="V250" s="9"/>
      <c r="W250" s="9"/>
      <c r="X250" s="9"/>
      <c r="Y250" s="9"/>
      <c r="Z250" s="9"/>
      <c r="AA250" s="9"/>
      <c r="AB250" s="9"/>
      <c r="AC250" s="9"/>
    </row>
    <row r="251" spans="1:29" ht="12.75" customHeight="1">
      <c r="A251" s="9"/>
      <c r="B251" s="9"/>
      <c r="C251" s="9"/>
      <c r="D251" s="9"/>
      <c r="E251" s="9"/>
      <c r="F251" s="9"/>
      <c r="G251" s="9"/>
      <c r="H251" s="548"/>
      <c r="I251" s="548"/>
      <c r="J251" s="548"/>
      <c r="K251" s="548"/>
      <c r="L251" s="548"/>
      <c r="M251" s="548"/>
      <c r="N251" s="548"/>
      <c r="O251" s="548"/>
      <c r="P251" s="548"/>
      <c r="Q251" s="548"/>
      <c r="R251" s="548"/>
      <c r="S251" s="548"/>
      <c r="T251" s="548"/>
      <c r="U251" s="9"/>
      <c r="V251" s="9"/>
      <c r="W251" s="9"/>
      <c r="X251" s="9"/>
      <c r="Y251" s="9"/>
      <c r="Z251" s="9"/>
      <c r="AA251" s="9"/>
      <c r="AB251" s="9"/>
      <c r="AC251" s="9"/>
    </row>
    <row r="252" spans="1:29" ht="12.75" customHeight="1">
      <c r="A252" s="9"/>
      <c r="B252" s="9"/>
      <c r="C252" s="9"/>
      <c r="D252" s="9"/>
      <c r="E252" s="9"/>
      <c r="F252" s="9"/>
      <c r="G252" s="9"/>
      <c r="H252" s="548"/>
      <c r="I252" s="548"/>
      <c r="J252" s="548"/>
      <c r="K252" s="548"/>
      <c r="L252" s="548"/>
      <c r="M252" s="548"/>
      <c r="N252" s="548"/>
      <c r="O252" s="548"/>
      <c r="P252" s="548"/>
      <c r="Q252" s="548"/>
      <c r="R252" s="548"/>
      <c r="S252" s="548"/>
      <c r="T252" s="548"/>
      <c r="U252" s="9"/>
      <c r="V252" s="9"/>
      <c r="W252" s="9"/>
      <c r="X252" s="9"/>
      <c r="Y252" s="9"/>
      <c r="Z252" s="9"/>
      <c r="AA252" s="9"/>
      <c r="AB252" s="9"/>
      <c r="AC252" s="9"/>
    </row>
    <row r="253" spans="1:29" ht="12.75" customHeight="1">
      <c r="A253" s="9"/>
      <c r="B253" s="9"/>
      <c r="C253" s="9"/>
      <c r="D253" s="9"/>
      <c r="E253" s="9"/>
      <c r="F253" s="9"/>
      <c r="G253" s="9"/>
      <c r="H253" s="548"/>
      <c r="I253" s="548"/>
      <c r="J253" s="548"/>
      <c r="K253" s="548"/>
      <c r="L253" s="548"/>
      <c r="M253" s="548"/>
      <c r="N253" s="548"/>
      <c r="O253" s="548"/>
      <c r="P253" s="548"/>
      <c r="Q253" s="548"/>
      <c r="R253" s="548"/>
      <c r="S253" s="548"/>
      <c r="T253" s="548"/>
      <c r="U253" s="9"/>
      <c r="V253" s="9"/>
      <c r="W253" s="9"/>
      <c r="X253" s="9"/>
      <c r="Y253" s="9"/>
      <c r="Z253" s="9"/>
      <c r="AA253" s="9"/>
      <c r="AB253" s="9"/>
      <c r="AC253" s="9"/>
    </row>
    <row r="254" spans="1:29" ht="12.75" customHeight="1">
      <c r="A254" s="9"/>
      <c r="B254" s="9"/>
      <c r="C254" s="9"/>
      <c r="D254" s="9"/>
      <c r="E254" s="9"/>
      <c r="F254" s="9"/>
      <c r="G254" s="9"/>
      <c r="H254" s="548"/>
      <c r="I254" s="548"/>
      <c r="J254" s="548"/>
      <c r="K254" s="548"/>
      <c r="L254" s="548"/>
      <c r="M254" s="548"/>
      <c r="N254" s="548"/>
      <c r="O254" s="548"/>
      <c r="P254" s="548"/>
      <c r="Q254" s="548"/>
      <c r="R254" s="548"/>
      <c r="S254" s="548"/>
      <c r="T254" s="548"/>
      <c r="U254" s="9"/>
      <c r="V254" s="9"/>
      <c r="W254" s="9"/>
      <c r="X254" s="9"/>
      <c r="Y254" s="9"/>
      <c r="Z254" s="9"/>
      <c r="AA254" s="9"/>
      <c r="AB254" s="9"/>
      <c r="AC254" s="9"/>
    </row>
    <row r="255" spans="1:29" ht="12.75" customHeight="1">
      <c r="A255" s="9"/>
      <c r="B255" s="9"/>
      <c r="C255" s="9"/>
      <c r="D255" s="9"/>
      <c r="E255" s="9"/>
      <c r="F255" s="9"/>
      <c r="G255" s="9"/>
      <c r="H255" s="548"/>
      <c r="I255" s="548"/>
      <c r="J255" s="548"/>
      <c r="K255" s="548"/>
      <c r="L255" s="548"/>
      <c r="M255" s="548"/>
      <c r="N255" s="548"/>
      <c r="O255" s="548"/>
      <c r="P255" s="548"/>
      <c r="Q255" s="548"/>
      <c r="R255" s="548"/>
      <c r="S255" s="548"/>
      <c r="T255" s="548"/>
      <c r="U255" s="9"/>
      <c r="V255" s="9"/>
      <c r="W255" s="9"/>
      <c r="X255" s="9"/>
      <c r="Y255" s="9"/>
      <c r="Z255" s="9"/>
      <c r="AA255" s="9"/>
      <c r="AB255" s="9"/>
      <c r="AC255" s="9"/>
    </row>
    <row r="256" spans="1:29" ht="12.75" customHeight="1">
      <c r="A256" s="9"/>
      <c r="B256" s="9"/>
      <c r="C256" s="9"/>
      <c r="D256" s="9"/>
      <c r="E256" s="9"/>
      <c r="F256" s="9"/>
      <c r="G256" s="9"/>
      <c r="H256" s="548"/>
      <c r="I256" s="548"/>
      <c r="J256" s="548"/>
      <c r="K256" s="548"/>
      <c r="L256" s="548"/>
      <c r="M256" s="548"/>
      <c r="N256" s="548"/>
      <c r="O256" s="548"/>
      <c r="P256" s="548"/>
      <c r="Q256" s="548"/>
      <c r="R256" s="548"/>
      <c r="S256" s="548"/>
      <c r="T256" s="548"/>
      <c r="U256" s="9"/>
      <c r="V256" s="9"/>
      <c r="W256" s="9"/>
      <c r="X256" s="9"/>
      <c r="Y256" s="9"/>
      <c r="Z256" s="9"/>
      <c r="AA256" s="9"/>
      <c r="AB256" s="9"/>
      <c r="AC256" s="9"/>
    </row>
    <row r="257" spans="1:29" ht="12.75" customHeight="1">
      <c r="A257" s="9"/>
      <c r="B257" s="9"/>
      <c r="C257" s="9"/>
      <c r="D257" s="9"/>
      <c r="E257" s="9"/>
      <c r="F257" s="9"/>
      <c r="G257" s="9"/>
      <c r="H257" s="548"/>
      <c r="I257" s="548"/>
      <c r="J257" s="548"/>
      <c r="K257" s="548"/>
      <c r="L257" s="548"/>
      <c r="M257" s="548"/>
      <c r="N257" s="548"/>
      <c r="O257" s="548"/>
      <c r="P257" s="548"/>
      <c r="Q257" s="548"/>
      <c r="R257" s="548"/>
      <c r="S257" s="548"/>
      <c r="T257" s="548"/>
      <c r="U257" s="9"/>
      <c r="V257" s="9"/>
      <c r="W257" s="9"/>
      <c r="X257" s="9"/>
      <c r="Y257" s="9"/>
      <c r="Z257" s="9"/>
      <c r="AA257" s="9"/>
      <c r="AB257" s="9"/>
      <c r="AC257" s="9"/>
    </row>
    <row r="258" spans="1:29" ht="12.75" customHeight="1">
      <c r="A258" s="9"/>
      <c r="B258" s="9"/>
      <c r="C258" s="9"/>
      <c r="D258" s="9"/>
      <c r="E258" s="9"/>
      <c r="F258" s="9"/>
      <c r="G258" s="9"/>
      <c r="H258" s="548"/>
      <c r="I258" s="548"/>
      <c r="J258" s="548"/>
      <c r="K258" s="548"/>
      <c r="L258" s="548"/>
      <c r="M258" s="548"/>
      <c r="N258" s="548"/>
      <c r="O258" s="548"/>
      <c r="P258" s="548"/>
      <c r="Q258" s="548"/>
      <c r="R258" s="548"/>
      <c r="S258" s="548"/>
      <c r="T258" s="548"/>
      <c r="U258" s="9"/>
      <c r="V258" s="9"/>
      <c r="W258" s="9"/>
      <c r="X258" s="9"/>
      <c r="Y258" s="9"/>
      <c r="Z258" s="9"/>
      <c r="AA258" s="9"/>
      <c r="AB258" s="9"/>
      <c r="AC258" s="9"/>
    </row>
    <row r="259" spans="1:29" ht="12.75" customHeight="1">
      <c r="A259" s="9"/>
      <c r="B259" s="9"/>
      <c r="C259" s="9"/>
      <c r="D259" s="9"/>
      <c r="E259" s="9"/>
      <c r="F259" s="9"/>
      <c r="G259" s="9"/>
      <c r="H259" s="548"/>
      <c r="I259" s="548"/>
      <c r="J259" s="548"/>
      <c r="K259" s="548"/>
      <c r="L259" s="548"/>
      <c r="M259" s="548"/>
      <c r="N259" s="548"/>
      <c r="O259" s="548"/>
      <c r="P259" s="548"/>
      <c r="Q259" s="548"/>
      <c r="R259" s="548"/>
      <c r="S259" s="548"/>
      <c r="T259" s="548"/>
      <c r="U259" s="9"/>
      <c r="V259" s="9"/>
      <c r="W259" s="9"/>
      <c r="X259" s="9"/>
      <c r="Y259" s="9"/>
      <c r="Z259" s="9"/>
      <c r="AA259" s="9"/>
      <c r="AB259" s="9"/>
      <c r="AC259" s="9"/>
    </row>
    <row r="260" spans="1:29" ht="12.75" customHeight="1">
      <c r="A260" s="9"/>
      <c r="B260" s="9"/>
      <c r="C260" s="9"/>
      <c r="D260" s="9"/>
      <c r="E260" s="9"/>
      <c r="F260" s="9"/>
      <c r="G260" s="9"/>
      <c r="H260" s="548"/>
      <c r="I260" s="548"/>
      <c r="J260" s="548"/>
      <c r="K260" s="548"/>
      <c r="L260" s="548"/>
      <c r="M260" s="548"/>
      <c r="N260" s="548"/>
      <c r="O260" s="548"/>
      <c r="P260" s="548"/>
      <c r="Q260" s="548"/>
      <c r="R260" s="548"/>
      <c r="S260" s="548"/>
      <c r="T260" s="548"/>
      <c r="U260" s="9"/>
      <c r="V260" s="9"/>
      <c r="W260" s="9"/>
      <c r="X260" s="9"/>
      <c r="Y260" s="9"/>
      <c r="Z260" s="9"/>
      <c r="AA260" s="9"/>
      <c r="AB260" s="9"/>
      <c r="AC260" s="9"/>
    </row>
    <row r="261" spans="1:29" ht="12.75" customHeight="1">
      <c r="A261" s="9"/>
      <c r="B261" s="9"/>
      <c r="C261" s="9"/>
      <c r="D261" s="9"/>
      <c r="E261" s="9"/>
      <c r="F261" s="9"/>
      <c r="G261" s="9"/>
      <c r="H261" s="548"/>
      <c r="I261" s="548"/>
      <c r="J261" s="548"/>
      <c r="K261" s="548"/>
      <c r="L261" s="548"/>
      <c r="M261" s="548"/>
      <c r="N261" s="548"/>
      <c r="O261" s="548"/>
      <c r="P261" s="548"/>
      <c r="Q261" s="548"/>
      <c r="R261" s="548"/>
      <c r="S261" s="548"/>
      <c r="T261" s="548"/>
      <c r="U261" s="9"/>
      <c r="V261" s="9"/>
      <c r="W261" s="9"/>
      <c r="X261" s="9"/>
      <c r="Y261" s="9"/>
      <c r="Z261" s="9"/>
      <c r="AA261" s="9"/>
      <c r="AB261" s="9"/>
      <c r="AC261" s="9"/>
    </row>
    <row r="262" spans="1:29" ht="12.75" customHeight="1">
      <c r="A262" s="9"/>
      <c r="B262" s="9"/>
      <c r="C262" s="9"/>
      <c r="D262" s="9"/>
      <c r="E262" s="9"/>
      <c r="F262" s="9"/>
      <c r="G262" s="9"/>
      <c r="H262" s="548"/>
      <c r="I262" s="548"/>
      <c r="J262" s="548"/>
      <c r="K262" s="548"/>
      <c r="L262" s="548"/>
      <c r="M262" s="548"/>
      <c r="N262" s="548"/>
      <c r="O262" s="548"/>
      <c r="P262" s="548"/>
      <c r="Q262" s="548"/>
      <c r="R262" s="548"/>
      <c r="S262" s="548"/>
      <c r="T262" s="548"/>
      <c r="U262" s="9"/>
      <c r="V262" s="9"/>
      <c r="W262" s="9"/>
      <c r="X262" s="9"/>
      <c r="Y262" s="9"/>
      <c r="Z262" s="9"/>
      <c r="AA262" s="9"/>
      <c r="AB262" s="9"/>
      <c r="AC262" s="9"/>
    </row>
    <row r="263" spans="1:29" ht="12.75" customHeight="1">
      <c r="A263" s="9"/>
      <c r="B263" s="9"/>
      <c r="C263" s="9"/>
      <c r="D263" s="9"/>
      <c r="E263" s="9"/>
      <c r="F263" s="9"/>
      <c r="G263" s="9"/>
      <c r="H263" s="548"/>
      <c r="I263" s="548"/>
      <c r="J263" s="548"/>
      <c r="K263" s="548"/>
      <c r="L263" s="548"/>
      <c r="M263" s="548"/>
      <c r="N263" s="548"/>
      <c r="O263" s="548"/>
      <c r="P263" s="548"/>
      <c r="Q263" s="548"/>
      <c r="R263" s="548"/>
      <c r="S263" s="548"/>
      <c r="T263" s="548"/>
      <c r="U263" s="9"/>
      <c r="V263" s="9"/>
      <c r="W263" s="9"/>
      <c r="X263" s="9"/>
      <c r="Y263" s="9"/>
      <c r="Z263" s="9"/>
      <c r="AA263" s="9"/>
      <c r="AB263" s="9"/>
      <c r="AC263" s="9"/>
    </row>
    <row r="264" spans="1:29" ht="12.75" customHeight="1">
      <c r="A264" s="9"/>
      <c r="B264" s="9"/>
      <c r="C264" s="9"/>
      <c r="D264" s="9"/>
      <c r="E264" s="9"/>
      <c r="F264" s="9"/>
      <c r="G264" s="9"/>
      <c r="H264" s="548"/>
      <c r="I264" s="548"/>
      <c r="J264" s="548"/>
      <c r="K264" s="548"/>
      <c r="L264" s="548"/>
      <c r="M264" s="548"/>
      <c r="N264" s="548"/>
      <c r="O264" s="548"/>
      <c r="P264" s="548"/>
      <c r="Q264" s="548"/>
      <c r="R264" s="548"/>
      <c r="S264" s="548"/>
      <c r="T264" s="548"/>
      <c r="U264" s="9"/>
      <c r="V264" s="9"/>
      <c r="W264" s="9"/>
      <c r="X264" s="9"/>
      <c r="Y264" s="9"/>
      <c r="Z264" s="9"/>
      <c r="AA264" s="9"/>
      <c r="AB264" s="9"/>
      <c r="AC264" s="9"/>
    </row>
    <row r="265" spans="1:29" ht="12.75" customHeight="1">
      <c r="A265" s="9"/>
      <c r="B265" s="9"/>
      <c r="C265" s="9"/>
      <c r="D265" s="9"/>
      <c r="E265" s="9"/>
      <c r="F265" s="9"/>
      <c r="G265" s="9"/>
      <c r="H265" s="548"/>
      <c r="I265" s="548"/>
      <c r="J265" s="548"/>
      <c r="K265" s="548"/>
      <c r="L265" s="548"/>
      <c r="M265" s="548"/>
      <c r="N265" s="548"/>
      <c r="O265" s="548"/>
      <c r="P265" s="548"/>
      <c r="Q265" s="548"/>
      <c r="R265" s="548"/>
      <c r="S265" s="548"/>
      <c r="T265" s="548"/>
      <c r="U265" s="9"/>
      <c r="V265" s="9"/>
      <c r="W265" s="9"/>
      <c r="X265" s="9"/>
      <c r="Y265" s="9"/>
      <c r="Z265" s="9"/>
      <c r="AA265" s="9"/>
      <c r="AB265" s="9"/>
      <c r="AC265" s="9"/>
    </row>
    <row r="266" spans="1:29" ht="12.75" customHeight="1">
      <c r="A266" s="9"/>
      <c r="B266" s="9"/>
      <c r="C266" s="9"/>
      <c r="D266" s="9"/>
      <c r="E266" s="9"/>
      <c r="F266" s="9"/>
      <c r="G266" s="9"/>
      <c r="H266" s="548"/>
      <c r="I266" s="548"/>
      <c r="J266" s="548"/>
      <c r="K266" s="548"/>
      <c r="L266" s="548"/>
      <c r="M266" s="548"/>
      <c r="N266" s="548"/>
      <c r="O266" s="548"/>
      <c r="P266" s="548"/>
      <c r="Q266" s="548"/>
      <c r="R266" s="548"/>
      <c r="S266" s="548"/>
      <c r="T266" s="548"/>
      <c r="U266" s="9"/>
      <c r="V266" s="9"/>
      <c r="W266" s="9"/>
      <c r="X266" s="9"/>
      <c r="Y266" s="9"/>
      <c r="Z266" s="9"/>
      <c r="AA266" s="9"/>
      <c r="AB266" s="9"/>
      <c r="AC266" s="9"/>
    </row>
    <row r="267" spans="1:29" ht="12.75" customHeight="1">
      <c r="A267" s="9"/>
      <c r="B267" s="9"/>
      <c r="C267" s="9"/>
      <c r="D267" s="9"/>
      <c r="E267" s="9"/>
      <c r="F267" s="9"/>
      <c r="G267" s="9"/>
      <c r="H267" s="548"/>
      <c r="I267" s="548"/>
      <c r="J267" s="548"/>
      <c r="K267" s="548"/>
      <c r="L267" s="548"/>
      <c r="M267" s="548"/>
      <c r="N267" s="548"/>
      <c r="O267" s="548"/>
      <c r="P267" s="548"/>
      <c r="Q267" s="548"/>
      <c r="R267" s="548"/>
      <c r="S267" s="548"/>
      <c r="T267" s="548"/>
      <c r="U267" s="9"/>
      <c r="V267" s="9"/>
      <c r="W267" s="9"/>
      <c r="X267" s="9"/>
      <c r="Y267" s="9"/>
      <c r="Z267" s="9"/>
      <c r="AA267" s="9"/>
      <c r="AB267" s="9"/>
      <c r="AC267" s="9"/>
    </row>
    <row r="268" spans="1:29" ht="12.75" customHeight="1">
      <c r="A268" s="9"/>
      <c r="B268" s="9"/>
      <c r="C268" s="9"/>
      <c r="D268" s="9"/>
      <c r="E268" s="9"/>
      <c r="F268" s="9"/>
      <c r="G268" s="9"/>
      <c r="H268" s="548"/>
      <c r="I268" s="548"/>
      <c r="J268" s="548"/>
      <c r="K268" s="548"/>
      <c r="L268" s="548"/>
      <c r="M268" s="548"/>
      <c r="N268" s="548"/>
      <c r="O268" s="548"/>
      <c r="P268" s="548"/>
      <c r="Q268" s="548"/>
      <c r="R268" s="548"/>
      <c r="S268" s="548"/>
      <c r="T268" s="548"/>
      <c r="U268" s="9"/>
      <c r="V268" s="9"/>
      <c r="W268" s="9"/>
      <c r="X268" s="9"/>
      <c r="Y268" s="9"/>
      <c r="Z268" s="9"/>
      <c r="AA268" s="9"/>
      <c r="AB268" s="9"/>
      <c r="AC268" s="9"/>
    </row>
    <row r="269" spans="1:29" ht="12.75" customHeight="1">
      <c r="A269" s="9"/>
      <c r="B269" s="9"/>
      <c r="C269" s="9"/>
      <c r="D269" s="9"/>
      <c r="E269" s="9"/>
      <c r="F269" s="9"/>
      <c r="G269" s="9"/>
      <c r="H269" s="548"/>
      <c r="I269" s="548"/>
      <c r="J269" s="548"/>
      <c r="K269" s="548"/>
      <c r="L269" s="548"/>
      <c r="M269" s="548"/>
      <c r="N269" s="548"/>
      <c r="O269" s="548"/>
      <c r="P269" s="548"/>
      <c r="Q269" s="548"/>
      <c r="R269" s="548"/>
      <c r="S269" s="548"/>
      <c r="T269" s="548"/>
      <c r="U269" s="9"/>
      <c r="V269" s="9"/>
      <c r="W269" s="9"/>
      <c r="X269" s="9"/>
      <c r="Y269" s="9"/>
      <c r="Z269" s="9"/>
      <c r="AA269" s="9"/>
      <c r="AB269" s="9"/>
      <c r="AC269" s="9"/>
    </row>
    <row r="270" spans="1:29" ht="12.75" customHeight="1">
      <c r="A270" s="9"/>
      <c r="B270" s="9"/>
      <c r="C270" s="9"/>
      <c r="D270" s="9"/>
      <c r="E270" s="9"/>
      <c r="F270" s="9"/>
      <c r="G270" s="9"/>
      <c r="H270" s="548"/>
      <c r="I270" s="548"/>
      <c r="J270" s="548"/>
      <c r="K270" s="548"/>
      <c r="L270" s="548"/>
      <c r="M270" s="548"/>
      <c r="N270" s="548"/>
      <c r="O270" s="548"/>
      <c r="P270" s="548"/>
      <c r="Q270" s="548"/>
      <c r="R270" s="548"/>
      <c r="S270" s="548"/>
      <c r="T270" s="548"/>
      <c r="U270" s="9"/>
      <c r="V270" s="9"/>
      <c r="W270" s="9"/>
      <c r="X270" s="9"/>
      <c r="Y270" s="9"/>
      <c r="Z270" s="9"/>
      <c r="AA270" s="9"/>
      <c r="AB270" s="9"/>
      <c r="AC270" s="9"/>
    </row>
    <row r="271" spans="1:29" ht="12.75" customHeight="1">
      <c r="A271" s="9"/>
      <c r="B271" s="9"/>
      <c r="C271" s="9"/>
      <c r="D271" s="9"/>
      <c r="E271" s="9"/>
      <c r="F271" s="9"/>
      <c r="G271" s="9"/>
      <c r="H271" s="548"/>
      <c r="I271" s="548"/>
      <c r="J271" s="548"/>
      <c r="K271" s="548"/>
      <c r="L271" s="548"/>
      <c r="M271" s="548"/>
      <c r="N271" s="548"/>
      <c r="O271" s="548"/>
      <c r="P271" s="548"/>
      <c r="Q271" s="548"/>
      <c r="R271" s="548"/>
      <c r="S271" s="548"/>
      <c r="T271" s="548"/>
      <c r="U271" s="9"/>
      <c r="V271" s="9"/>
      <c r="W271" s="9"/>
      <c r="X271" s="9"/>
      <c r="Y271" s="9"/>
      <c r="Z271" s="9"/>
      <c r="AA271" s="9"/>
      <c r="AB271" s="9"/>
      <c r="AC271" s="9"/>
    </row>
    <row r="272" spans="1:29" ht="12.75" customHeight="1">
      <c r="A272" s="9"/>
      <c r="B272" s="9"/>
      <c r="C272" s="9"/>
      <c r="D272" s="9"/>
      <c r="E272" s="9"/>
      <c r="F272" s="9"/>
      <c r="G272" s="9"/>
      <c r="H272" s="548"/>
      <c r="I272" s="548"/>
      <c r="J272" s="548"/>
      <c r="K272" s="548"/>
      <c r="L272" s="548"/>
      <c r="M272" s="548"/>
      <c r="N272" s="548"/>
      <c r="O272" s="548"/>
      <c r="P272" s="548"/>
      <c r="Q272" s="548"/>
      <c r="R272" s="548"/>
      <c r="S272" s="548"/>
      <c r="T272" s="548"/>
      <c r="U272" s="9"/>
      <c r="V272" s="9"/>
      <c r="W272" s="9"/>
      <c r="X272" s="9"/>
      <c r="Y272" s="9"/>
      <c r="Z272" s="9"/>
      <c r="AA272" s="9"/>
      <c r="AB272" s="9"/>
      <c r="AC272" s="9"/>
    </row>
    <row r="273" spans="1:29" ht="12.75" customHeight="1">
      <c r="A273" s="9"/>
      <c r="B273" s="9"/>
      <c r="C273" s="9"/>
      <c r="D273" s="9"/>
      <c r="E273" s="9"/>
      <c r="F273" s="9"/>
      <c r="G273" s="9"/>
      <c r="H273" s="548"/>
      <c r="I273" s="548"/>
      <c r="J273" s="548"/>
      <c r="K273" s="548"/>
      <c r="L273" s="548"/>
      <c r="M273" s="548"/>
      <c r="N273" s="548"/>
      <c r="O273" s="548"/>
      <c r="P273" s="548"/>
      <c r="Q273" s="548"/>
      <c r="R273" s="548"/>
      <c r="S273" s="548"/>
      <c r="T273" s="548"/>
      <c r="U273" s="9"/>
      <c r="V273" s="9"/>
      <c r="W273" s="9"/>
      <c r="X273" s="9"/>
      <c r="Y273" s="9"/>
      <c r="Z273" s="9"/>
      <c r="AA273" s="9"/>
      <c r="AB273" s="9"/>
      <c r="AC273" s="9"/>
    </row>
    <row r="274" spans="1:29" ht="12.75" customHeight="1">
      <c r="A274" s="9"/>
      <c r="B274" s="9"/>
      <c r="C274" s="9"/>
      <c r="D274" s="9"/>
      <c r="E274" s="9"/>
      <c r="F274" s="9"/>
      <c r="G274" s="9"/>
      <c r="H274" s="548"/>
      <c r="I274" s="548"/>
      <c r="J274" s="548"/>
      <c r="K274" s="548"/>
      <c r="L274" s="548"/>
      <c r="M274" s="548"/>
      <c r="N274" s="548"/>
      <c r="O274" s="548"/>
      <c r="P274" s="548"/>
      <c r="Q274" s="548"/>
      <c r="R274" s="548"/>
      <c r="S274" s="548"/>
      <c r="T274" s="548"/>
      <c r="U274" s="9"/>
      <c r="V274" s="9"/>
      <c r="W274" s="9"/>
      <c r="X274" s="9"/>
      <c r="Y274" s="9"/>
      <c r="Z274" s="9"/>
      <c r="AA274" s="9"/>
      <c r="AB274" s="9"/>
      <c r="AC274" s="9"/>
    </row>
    <row r="275" spans="1:29" ht="12.75" customHeight="1">
      <c r="A275" s="9"/>
      <c r="B275" s="9"/>
      <c r="C275" s="9"/>
      <c r="D275" s="9"/>
      <c r="E275" s="9"/>
      <c r="F275" s="9"/>
      <c r="G275" s="9"/>
      <c r="H275" s="548"/>
      <c r="I275" s="548"/>
      <c r="J275" s="548"/>
      <c r="K275" s="548"/>
      <c r="L275" s="548"/>
      <c r="M275" s="548"/>
      <c r="N275" s="548"/>
      <c r="O275" s="548"/>
      <c r="P275" s="548"/>
      <c r="Q275" s="548"/>
      <c r="R275" s="548"/>
      <c r="S275" s="548"/>
      <c r="T275" s="548"/>
      <c r="U275" s="9"/>
      <c r="V275" s="9"/>
      <c r="W275" s="9"/>
      <c r="X275" s="9"/>
      <c r="Y275" s="9"/>
      <c r="Z275" s="9"/>
      <c r="AA275" s="9"/>
      <c r="AB275" s="9"/>
      <c r="AC275" s="9"/>
    </row>
    <row r="276" spans="1:29" ht="12.75" customHeight="1">
      <c r="A276" s="9"/>
      <c r="B276" s="9"/>
      <c r="C276" s="9"/>
      <c r="D276" s="9"/>
      <c r="E276" s="9"/>
      <c r="F276" s="9"/>
      <c r="G276" s="9"/>
      <c r="H276" s="548"/>
      <c r="I276" s="548"/>
      <c r="J276" s="548"/>
      <c r="K276" s="548"/>
      <c r="L276" s="548"/>
      <c r="M276" s="548"/>
      <c r="N276" s="548"/>
      <c r="O276" s="548"/>
      <c r="P276" s="548"/>
      <c r="Q276" s="548"/>
      <c r="R276" s="548"/>
      <c r="S276" s="548"/>
      <c r="T276" s="548"/>
      <c r="U276" s="9"/>
      <c r="V276" s="9"/>
      <c r="W276" s="9"/>
      <c r="X276" s="9"/>
      <c r="Y276" s="9"/>
      <c r="Z276" s="9"/>
      <c r="AA276" s="9"/>
      <c r="AB276" s="9"/>
      <c r="AC276" s="9"/>
    </row>
    <row r="277" spans="1:29" ht="12.75" customHeight="1">
      <c r="A277" s="9"/>
      <c r="B277" s="9"/>
      <c r="C277" s="9"/>
      <c r="D277" s="9"/>
      <c r="E277" s="9"/>
      <c r="F277" s="9"/>
      <c r="G277" s="9"/>
      <c r="H277" s="548"/>
      <c r="I277" s="548"/>
      <c r="J277" s="548"/>
      <c r="K277" s="548"/>
      <c r="L277" s="548"/>
      <c r="M277" s="548"/>
      <c r="N277" s="548"/>
      <c r="O277" s="548"/>
      <c r="P277" s="548"/>
      <c r="Q277" s="548"/>
      <c r="R277" s="548"/>
      <c r="S277" s="548"/>
      <c r="T277" s="548"/>
      <c r="U277" s="9"/>
      <c r="V277" s="9"/>
      <c r="W277" s="9"/>
      <c r="X277" s="9"/>
      <c r="Y277" s="9"/>
      <c r="Z277" s="9"/>
      <c r="AA277" s="9"/>
      <c r="AB277" s="9"/>
      <c r="AC277" s="9"/>
    </row>
    <row r="278" spans="1:29" ht="12.75" customHeight="1">
      <c r="A278" s="9"/>
      <c r="B278" s="9"/>
      <c r="C278" s="9"/>
      <c r="D278" s="9"/>
      <c r="E278" s="9"/>
      <c r="F278" s="9"/>
      <c r="G278" s="9"/>
      <c r="H278" s="548"/>
      <c r="I278" s="548"/>
      <c r="J278" s="548"/>
      <c r="K278" s="548"/>
      <c r="L278" s="548"/>
      <c r="M278" s="548"/>
      <c r="N278" s="548"/>
      <c r="O278" s="548"/>
      <c r="P278" s="548"/>
      <c r="Q278" s="548"/>
      <c r="R278" s="548"/>
      <c r="S278" s="548"/>
      <c r="T278" s="548"/>
      <c r="U278" s="9"/>
      <c r="V278" s="9"/>
      <c r="W278" s="9"/>
      <c r="X278" s="9"/>
      <c r="Y278" s="9"/>
      <c r="Z278" s="9"/>
      <c r="AA278" s="9"/>
      <c r="AB278" s="9"/>
      <c r="AC278" s="9"/>
    </row>
    <row r="279" spans="1:29" ht="12.75" customHeight="1">
      <c r="A279" s="9"/>
      <c r="B279" s="9"/>
      <c r="C279" s="9"/>
      <c r="D279" s="9"/>
      <c r="E279" s="9"/>
      <c r="F279" s="9"/>
      <c r="G279" s="9"/>
      <c r="H279" s="548"/>
      <c r="I279" s="548"/>
      <c r="J279" s="548"/>
      <c r="K279" s="548"/>
      <c r="L279" s="548"/>
      <c r="M279" s="548"/>
      <c r="N279" s="548"/>
      <c r="O279" s="548"/>
      <c r="P279" s="548"/>
      <c r="Q279" s="548"/>
      <c r="R279" s="548"/>
      <c r="S279" s="548"/>
      <c r="T279" s="548"/>
      <c r="U279" s="9"/>
      <c r="V279" s="9"/>
      <c r="W279" s="9"/>
      <c r="X279" s="9"/>
      <c r="Y279" s="9"/>
      <c r="Z279" s="9"/>
      <c r="AA279" s="9"/>
      <c r="AB279" s="9"/>
      <c r="AC279" s="9"/>
    </row>
    <row r="280" spans="1:29" ht="12.75" customHeight="1">
      <c r="A280" s="9"/>
      <c r="B280" s="9"/>
      <c r="C280" s="9"/>
      <c r="D280" s="9"/>
      <c r="E280" s="9"/>
      <c r="F280" s="9"/>
      <c r="G280" s="9"/>
      <c r="H280" s="548"/>
      <c r="I280" s="548"/>
      <c r="J280" s="548"/>
      <c r="K280" s="548"/>
      <c r="L280" s="548"/>
      <c r="M280" s="548"/>
      <c r="N280" s="548"/>
      <c r="O280" s="548"/>
      <c r="P280" s="548"/>
      <c r="Q280" s="548"/>
      <c r="R280" s="548"/>
      <c r="S280" s="548"/>
      <c r="T280" s="548"/>
      <c r="U280" s="9"/>
      <c r="V280" s="9"/>
      <c r="W280" s="9"/>
      <c r="X280" s="9"/>
      <c r="Y280" s="9"/>
      <c r="Z280" s="9"/>
      <c r="AA280" s="9"/>
      <c r="AB280" s="9"/>
      <c r="AC280" s="9"/>
    </row>
    <row r="281" spans="1:29" ht="12.75" customHeight="1">
      <c r="A281" s="9"/>
      <c r="B281" s="9"/>
      <c r="C281" s="9"/>
      <c r="D281" s="9"/>
      <c r="E281" s="9"/>
      <c r="F281" s="9"/>
      <c r="G281" s="9"/>
      <c r="H281" s="548"/>
      <c r="I281" s="548"/>
      <c r="J281" s="548"/>
      <c r="K281" s="548"/>
      <c r="L281" s="548"/>
      <c r="M281" s="548"/>
      <c r="N281" s="548"/>
      <c r="O281" s="548"/>
      <c r="P281" s="548"/>
      <c r="Q281" s="548"/>
      <c r="R281" s="548"/>
      <c r="S281" s="548"/>
      <c r="T281" s="548"/>
      <c r="U281" s="9"/>
      <c r="V281" s="9"/>
      <c r="W281" s="9"/>
      <c r="X281" s="9"/>
      <c r="Y281" s="9"/>
      <c r="Z281" s="9"/>
      <c r="AA281" s="9"/>
      <c r="AB281" s="9"/>
      <c r="AC281" s="9"/>
    </row>
    <row r="282" spans="1:29" ht="12.75" customHeight="1">
      <c r="A282" s="9"/>
      <c r="B282" s="9"/>
      <c r="C282" s="9"/>
      <c r="D282" s="9"/>
      <c r="E282" s="9"/>
      <c r="F282" s="9"/>
      <c r="G282" s="9"/>
      <c r="H282" s="548"/>
      <c r="I282" s="548"/>
      <c r="J282" s="548"/>
      <c r="K282" s="548"/>
      <c r="L282" s="548"/>
      <c r="M282" s="548"/>
      <c r="N282" s="548"/>
      <c r="O282" s="548"/>
      <c r="P282" s="548"/>
      <c r="Q282" s="548"/>
      <c r="R282" s="548"/>
      <c r="S282" s="548"/>
      <c r="T282" s="548"/>
      <c r="U282" s="9"/>
      <c r="V282" s="9"/>
      <c r="W282" s="9"/>
      <c r="X282" s="9"/>
      <c r="Y282" s="9"/>
      <c r="Z282" s="9"/>
      <c r="AA282" s="9"/>
      <c r="AB282" s="9"/>
      <c r="AC282" s="9"/>
    </row>
    <row r="283" spans="1:29" ht="12.75" customHeight="1">
      <c r="A283" s="9"/>
      <c r="B283" s="9"/>
      <c r="C283" s="9"/>
      <c r="D283" s="9"/>
      <c r="E283" s="9"/>
      <c r="F283" s="9"/>
      <c r="G283" s="9"/>
      <c r="H283" s="548"/>
      <c r="I283" s="548"/>
      <c r="J283" s="548"/>
      <c r="K283" s="548"/>
      <c r="L283" s="548"/>
      <c r="M283" s="548"/>
      <c r="N283" s="548"/>
      <c r="O283" s="548"/>
      <c r="P283" s="548"/>
      <c r="Q283" s="548"/>
      <c r="R283" s="548"/>
      <c r="S283" s="548"/>
      <c r="T283" s="548"/>
      <c r="U283" s="9"/>
      <c r="V283" s="9"/>
      <c r="W283" s="9"/>
      <c r="X283" s="9"/>
      <c r="Y283" s="9"/>
      <c r="Z283" s="9"/>
      <c r="AA283" s="9"/>
      <c r="AB283" s="9"/>
      <c r="AC283" s="9"/>
    </row>
    <row r="284" spans="1:29" ht="12.75" customHeight="1">
      <c r="A284" s="9"/>
      <c r="B284" s="9"/>
      <c r="C284" s="9"/>
      <c r="D284" s="9"/>
      <c r="E284" s="9"/>
      <c r="F284" s="9"/>
      <c r="G284" s="9"/>
      <c r="H284" s="548"/>
      <c r="I284" s="548"/>
      <c r="J284" s="548"/>
      <c r="K284" s="548"/>
      <c r="L284" s="548"/>
      <c r="M284" s="548"/>
      <c r="N284" s="548"/>
      <c r="O284" s="548"/>
      <c r="P284" s="548"/>
      <c r="Q284" s="548"/>
      <c r="R284" s="548"/>
      <c r="S284" s="548"/>
      <c r="T284" s="548"/>
      <c r="U284" s="9"/>
      <c r="V284" s="9"/>
      <c r="W284" s="9"/>
      <c r="X284" s="9"/>
      <c r="Y284" s="9"/>
      <c r="Z284" s="9"/>
      <c r="AA284" s="9"/>
      <c r="AB284" s="9"/>
      <c r="AC284" s="9"/>
    </row>
    <row r="285" spans="1:29" ht="12.75" customHeight="1">
      <c r="A285" s="9"/>
      <c r="B285" s="9"/>
      <c r="C285" s="9"/>
      <c r="D285" s="9"/>
      <c r="E285" s="9"/>
      <c r="F285" s="9"/>
      <c r="G285" s="9"/>
      <c r="H285" s="548"/>
      <c r="I285" s="548"/>
      <c r="J285" s="548"/>
      <c r="K285" s="548"/>
      <c r="L285" s="548"/>
      <c r="M285" s="548"/>
      <c r="N285" s="548"/>
      <c r="O285" s="548"/>
      <c r="P285" s="548"/>
      <c r="Q285" s="548"/>
      <c r="R285" s="548"/>
      <c r="S285" s="548"/>
      <c r="T285" s="548"/>
      <c r="U285" s="9"/>
      <c r="V285" s="9"/>
      <c r="W285" s="9"/>
      <c r="X285" s="9"/>
      <c r="Y285" s="9"/>
      <c r="Z285" s="9"/>
      <c r="AA285" s="9"/>
      <c r="AB285" s="9"/>
      <c r="AC285" s="9"/>
    </row>
    <row r="286" spans="1:29" ht="12.75" customHeight="1">
      <c r="A286" s="9"/>
      <c r="B286" s="9"/>
      <c r="C286" s="9"/>
      <c r="D286" s="9"/>
      <c r="E286" s="9"/>
      <c r="F286" s="9"/>
      <c r="G286" s="9"/>
      <c r="H286" s="548"/>
      <c r="I286" s="548"/>
      <c r="J286" s="548"/>
      <c r="K286" s="548"/>
      <c r="L286" s="548"/>
      <c r="M286" s="548"/>
      <c r="N286" s="548"/>
      <c r="O286" s="548"/>
      <c r="P286" s="548"/>
      <c r="Q286" s="548"/>
      <c r="R286" s="548"/>
      <c r="S286" s="548"/>
      <c r="T286" s="548"/>
      <c r="U286" s="9"/>
      <c r="V286" s="9"/>
      <c r="W286" s="9"/>
      <c r="X286" s="9"/>
      <c r="Y286" s="9"/>
      <c r="Z286" s="9"/>
      <c r="AA286" s="9"/>
      <c r="AB286" s="9"/>
      <c r="AC286" s="9"/>
    </row>
    <row r="287" spans="1:29" ht="12.75" customHeight="1">
      <c r="A287" s="9"/>
      <c r="B287" s="9"/>
      <c r="C287" s="9"/>
      <c r="D287" s="9"/>
      <c r="E287" s="9"/>
      <c r="F287" s="9"/>
      <c r="G287" s="9"/>
      <c r="H287" s="548"/>
      <c r="I287" s="548"/>
      <c r="J287" s="548"/>
      <c r="K287" s="548"/>
      <c r="L287" s="548"/>
      <c r="M287" s="548"/>
      <c r="N287" s="548"/>
      <c r="O287" s="548"/>
      <c r="P287" s="548"/>
      <c r="Q287" s="548"/>
      <c r="R287" s="548"/>
      <c r="S287" s="548"/>
      <c r="T287" s="548"/>
      <c r="U287" s="9"/>
      <c r="V287" s="9"/>
      <c r="W287" s="9"/>
      <c r="X287" s="9"/>
      <c r="Y287" s="9"/>
      <c r="Z287" s="9"/>
      <c r="AA287" s="9"/>
      <c r="AB287" s="9"/>
      <c r="AC287" s="9"/>
    </row>
    <row r="288" spans="1:29" ht="12.75" customHeight="1">
      <c r="A288" s="9"/>
      <c r="B288" s="9"/>
      <c r="C288" s="9"/>
      <c r="D288" s="9"/>
      <c r="E288" s="9"/>
      <c r="F288" s="9"/>
      <c r="G288" s="9"/>
      <c r="H288" s="548"/>
      <c r="I288" s="548"/>
      <c r="J288" s="548"/>
      <c r="K288" s="548"/>
      <c r="L288" s="548"/>
      <c r="M288" s="548"/>
      <c r="N288" s="548"/>
      <c r="O288" s="548"/>
      <c r="P288" s="548"/>
      <c r="Q288" s="548"/>
      <c r="R288" s="548"/>
      <c r="S288" s="548"/>
      <c r="T288" s="548"/>
      <c r="U288" s="9"/>
      <c r="V288" s="9"/>
      <c r="W288" s="9"/>
      <c r="X288" s="9"/>
      <c r="Y288" s="9"/>
      <c r="Z288" s="9"/>
      <c r="AA288" s="9"/>
      <c r="AB288" s="9"/>
      <c r="AC288" s="9"/>
    </row>
    <row r="289" spans="1:29" ht="12.75" customHeight="1">
      <c r="A289" s="9"/>
      <c r="B289" s="9"/>
      <c r="C289" s="9"/>
      <c r="D289" s="9"/>
      <c r="E289" s="9"/>
      <c r="F289" s="9"/>
      <c r="G289" s="9"/>
      <c r="H289" s="548"/>
      <c r="I289" s="548"/>
      <c r="J289" s="548"/>
      <c r="K289" s="548"/>
      <c r="L289" s="548"/>
      <c r="M289" s="548"/>
      <c r="N289" s="548"/>
      <c r="O289" s="548"/>
      <c r="P289" s="548"/>
      <c r="Q289" s="548"/>
      <c r="R289" s="548"/>
      <c r="S289" s="548"/>
      <c r="T289" s="548"/>
      <c r="U289" s="9"/>
      <c r="V289" s="9"/>
      <c r="W289" s="9"/>
      <c r="X289" s="9"/>
      <c r="Y289" s="9"/>
      <c r="Z289" s="9"/>
      <c r="AA289" s="9"/>
      <c r="AB289" s="9"/>
      <c r="AC289" s="9"/>
    </row>
    <row r="290" spans="1:29" ht="12.75" customHeight="1">
      <c r="A290" s="9"/>
      <c r="B290" s="9"/>
      <c r="C290" s="9"/>
      <c r="D290" s="9"/>
      <c r="E290" s="9"/>
      <c r="F290" s="9"/>
      <c r="G290" s="9"/>
      <c r="H290" s="548"/>
      <c r="I290" s="548"/>
      <c r="J290" s="548"/>
      <c r="K290" s="548"/>
      <c r="L290" s="548"/>
      <c r="M290" s="548"/>
      <c r="N290" s="548"/>
      <c r="O290" s="548"/>
      <c r="P290" s="548"/>
      <c r="Q290" s="548"/>
      <c r="R290" s="548"/>
      <c r="S290" s="548"/>
      <c r="T290" s="548"/>
      <c r="U290" s="9"/>
      <c r="V290" s="9"/>
      <c r="W290" s="9"/>
      <c r="X290" s="9"/>
      <c r="Y290" s="9"/>
      <c r="Z290" s="9"/>
      <c r="AA290" s="9"/>
      <c r="AB290" s="9"/>
      <c r="AC290" s="9"/>
    </row>
    <row r="291" spans="1:29" ht="12.75" customHeight="1">
      <c r="A291" s="9"/>
      <c r="B291" s="9"/>
      <c r="C291" s="9"/>
      <c r="D291" s="9"/>
      <c r="E291" s="9"/>
      <c r="F291" s="9"/>
      <c r="G291" s="9"/>
      <c r="H291" s="548"/>
      <c r="I291" s="548"/>
      <c r="J291" s="548"/>
      <c r="K291" s="548"/>
      <c r="L291" s="548"/>
      <c r="M291" s="548"/>
      <c r="N291" s="548"/>
      <c r="O291" s="548"/>
      <c r="P291" s="548"/>
      <c r="Q291" s="548"/>
      <c r="R291" s="548"/>
      <c r="S291" s="548"/>
      <c r="T291" s="548"/>
      <c r="U291" s="9"/>
      <c r="V291" s="9"/>
      <c r="W291" s="9"/>
      <c r="X291" s="9"/>
      <c r="Y291" s="9"/>
      <c r="Z291" s="9"/>
      <c r="AA291" s="9"/>
      <c r="AB291" s="9"/>
      <c r="AC291" s="9"/>
    </row>
    <row r="292" spans="1:29" ht="12.75" customHeight="1">
      <c r="A292" s="9"/>
      <c r="B292" s="9"/>
      <c r="C292" s="9"/>
      <c r="D292" s="9"/>
      <c r="E292" s="9"/>
      <c r="F292" s="9"/>
      <c r="G292" s="9"/>
      <c r="H292" s="548"/>
      <c r="I292" s="548"/>
      <c r="J292" s="548"/>
      <c r="K292" s="548"/>
      <c r="L292" s="548"/>
      <c r="M292" s="548"/>
      <c r="N292" s="548"/>
      <c r="O292" s="548"/>
      <c r="P292" s="548"/>
      <c r="Q292" s="548"/>
      <c r="R292" s="548"/>
      <c r="S292" s="548"/>
      <c r="T292" s="548"/>
      <c r="U292" s="9"/>
      <c r="V292" s="9"/>
      <c r="W292" s="9"/>
      <c r="X292" s="9"/>
      <c r="Y292" s="9"/>
      <c r="Z292" s="9"/>
      <c r="AA292" s="9"/>
      <c r="AB292" s="9"/>
      <c r="AC292" s="9"/>
    </row>
    <row r="293" spans="1:29" ht="12.75" customHeight="1">
      <c r="A293" s="9"/>
      <c r="B293" s="9"/>
      <c r="C293" s="9"/>
      <c r="D293" s="9"/>
      <c r="E293" s="9"/>
      <c r="F293" s="9"/>
      <c r="G293" s="9"/>
      <c r="H293" s="548"/>
      <c r="I293" s="548"/>
      <c r="J293" s="548"/>
      <c r="K293" s="548"/>
      <c r="L293" s="548"/>
      <c r="M293" s="548"/>
      <c r="N293" s="548"/>
      <c r="O293" s="548"/>
      <c r="P293" s="548"/>
      <c r="Q293" s="548"/>
      <c r="R293" s="548"/>
      <c r="S293" s="548"/>
      <c r="T293" s="548"/>
      <c r="U293" s="9"/>
      <c r="V293" s="9"/>
      <c r="W293" s="9"/>
      <c r="X293" s="9"/>
      <c r="Y293" s="9"/>
      <c r="Z293" s="9"/>
      <c r="AA293" s="9"/>
      <c r="AB293" s="9"/>
      <c r="AC293" s="9"/>
    </row>
    <row r="294" spans="1:29" ht="12.75" customHeight="1">
      <c r="A294" s="9"/>
      <c r="B294" s="9"/>
      <c r="C294" s="9"/>
      <c r="D294" s="9"/>
      <c r="E294" s="9"/>
      <c r="F294" s="9"/>
      <c r="G294" s="9"/>
      <c r="H294" s="548"/>
      <c r="I294" s="548"/>
      <c r="J294" s="548"/>
      <c r="K294" s="548"/>
      <c r="L294" s="548"/>
      <c r="M294" s="548"/>
      <c r="N294" s="548"/>
      <c r="O294" s="548"/>
      <c r="P294" s="548"/>
      <c r="Q294" s="548"/>
      <c r="R294" s="548"/>
      <c r="S294" s="548"/>
      <c r="T294" s="548"/>
      <c r="U294" s="9"/>
      <c r="V294" s="9"/>
      <c r="W294" s="9"/>
      <c r="X294" s="9"/>
      <c r="Y294" s="9"/>
      <c r="Z294" s="9"/>
      <c r="AA294" s="9"/>
      <c r="AB294" s="9"/>
      <c r="AC294" s="9"/>
    </row>
    <row r="295" spans="1:29" ht="12.75" customHeight="1">
      <c r="A295" s="9"/>
      <c r="B295" s="9"/>
      <c r="C295" s="9"/>
      <c r="D295" s="9"/>
      <c r="E295" s="9"/>
      <c r="F295" s="9"/>
      <c r="G295" s="9"/>
      <c r="H295" s="548"/>
      <c r="I295" s="548"/>
      <c r="J295" s="548"/>
      <c r="K295" s="548"/>
      <c r="L295" s="548"/>
      <c r="M295" s="548"/>
      <c r="N295" s="548"/>
      <c r="O295" s="548"/>
      <c r="P295" s="548"/>
      <c r="Q295" s="548"/>
      <c r="R295" s="548"/>
      <c r="S295" s="548"/>
      <c r="T295" s="548"/>
      <c r="U295" s="9"/>
      <c r="V295" s="9"/>
      <c r="W295" s="9"/>
      <c r="X295" s="9"/>
      <c r="Y295" s="9"/>
      <c r="Z295" s="9"/>
      <c r="AA295" s="9"/>
      <c r="AB295" s="9"/>
      <c r="AC295" s="9"/>
    </row>
    <row r="296" spans="1:29" ht="12.75" customHeight="1">
      <c r="A296" s="9"/>
      <c r="B296" s="9"/>
      <c r="C296" s="9"/>
      <c r="D296" s="9"/>
      <c r="E296" s="9"/>
      <c r="F296" s="9"/>
      <c r="G296" s="9"/>
      <c r="H296" s="548"/>
      <c r="I296" s="548"/>
      <c r="J296" s="548"/>
      <c r="K296" s="548"/>
      <c r="L296" s="548"/>
      <c r="M296" s="548"/>
      <c r="N296" s="548"/>
      <c r="O296" s="548"/>
      <c r="P296" s="548"/>
      <c r="Q296" s="548"/>
      <c r="R296" s="548"/>
      <c r="S296" s="548"/>
      <c r="T296" s="548"/>
      <c r="U296" s="9"/>
      <c r="V296" s="9"/>
      <c r="W296" s="9"/>
      <c r="X296" s="9"/>
      <c r="Y296" s="9"/>
      <c r="Z296" s="9"/>
      <c r="AA296" s="9"/>
      <c r="AB296" s="9"/>
      <c r="AC296" s="9"/>
    </row>
    <row r="297" spans="1:29" ht="12.75" customHeight="1">
      <c r="A297" s="9"/>
      <c r="B297" s="9"/>
      <c r="C297" s="9"/>
      <c r="D297" s="9"/>
      <c r="E297" s="9"/>
      <c r="F297" s="9"/>
      <c r="G297" s="9"/>
      <c r="H297" s="548"/>
      <c r="I297" s="548"/>
      <c r="J297" s="548"/>
      <c r="K297" s="548"/>
      <c r="L297" s="548"/>
      <c r="M297" s="548"/>
      <c r="N297" s="548"/>
      <c r="O297" s="548"/>
      <c r="P297" s="548"/>
      <c r="Q297" s="548"/>
      <c r="R297" s="548"/>
      <c r="S297" s="548"/>
      <c r="T297" s="548"/>
      <c r="U297" s="9"/>
      <c r="V297" s="9"/>
      <c r="W297" s="9"/>
      <c r="X297" s="9"/>
      <c r="Y297" s="9"/>
      <c r="Z297" s="9"/>
      <c r="AA297" s="9"/>
      <c r="AB297" s="9"/>
      <c r="AC297" s="9"/>
    </row>
    <row r="298" spans="1:29" ht="12.75" customHeight="1">
      <c r="A298" s="9"/>
      <c r="B298" s="9"/>
      <c r="C298" s="9"/>
      <c r="D298" s="9"/>
      <c r="E298" s="9"/>
      <c r="F298" s="9"/>
      <c r="G298" s="9"/>
      <c r="H298" s="548"/>
      <c r="I298" s="548"/>
      <c r="J298" s="548"/>
      <c r="K298" s="548"/>
      <c r="L298" s="548"/>
      <c r="M298" s="548"/>
      <c r="N298" s="548"/>
      <c r="O298" s="548"/>
      <c r="P298" s="548"/>
      <c r="Q298" s="548"/>
      <c r="R298" s="548"/>
      <c r="S298" s="548"/>
      <c r="T298" s="548"/>
      <c r="U298" s="9"/>
      <c r="V298" s="9"/>
      <c r="W298" s="9"/>
      <c r="X298" s="9"/>
      <c r="Y298" s="9"/>
      <c r="Z298" s="9"/>
      <c r="AA298" s="9"/>
      <c r="AB298" s="9"/>
      <c r="AC298" s="9"/>
    </row>
    <row r="299" spans="1:29" ht="12.75" customHeight="1">
      <c r="A299" s="9"/>
      <c r="B299" s="9"/>
      <c r="C299" s="9"/>
      <c r="D299" s="9"/>
      <c r="E299" s="9"/>
      <c r="F299" s="9"/>
      <c r="G299" s="9"/>
      <c r="H299" s="548"/>
      <c r="I299" s="548"/>
      <c r="J299" s="548"/>
      <c r="K299" s="548"/>
      <c r="L299" s="548"/>
      <c r="M299" s="548"/>
      <c r="N299" s="548"/>
      <c r="O299" s="548"/>
      <c r="P299" s="548"/>
      <c r="Q299" s="548"/>
      <c r="R299" s="548"/>
      <c r="S299" s="548"/>
      <c r="T299" s="548"/>
      <c r="U299" s="9"/>
      <c r="V299" s="9"/>
      <c r="W299" s="9"/>
      <c r="X299" s="9"/>
      <c r="Y299" s="9"/>
      <c r="Z299" s="9"/>
      <c r="AA299" s="9"/>
      <c r="AB299" s="9"/>
      <c r="AC299" s="9"/>
    </row>
    <row r="300" spans="1:29" ht="12.75" customHeight="1">
      <c r="A300" s="9"/>
      <c r="B300" s="9"/>
      <c r="C300" s="9"/>
      <c r="D300" s="9"/>
      <c r="E300" s="9"/>
      <c r="F300" s="9"/>
      <c r="G300" s="9"/>
      <c r="H300" s="548"/>
      <c r="I300" s="548"/>
      <c r="J300" s="548"/>
      <c r="K300" s="548"/>
      <c r="L300" s="548"/>
      <c r="M300" s="548"/>
      <c r="N300" s="548"/>
      <c r="O300" s="548"/>
      <c r="P300" s="548"/>
      <c r="Q300" s="548"/>
      <c r="R300" s="548"/>
      <c r="S300" s="548"/>
      <c r="T300" s="548"/>
      <c r="U300" s="9"/>
      <c r="V300" s="9"/>
      <c r="W300" s="9"/>
      <c r="X300" s="9"/>
      <c r="Y300" s="9"/>
      <c r="Z300" s="9"/>
      <c r="AA300" s="9"/>
      <c r="AB300" s="9"/>
      <c r="AC300" s="9"/>
    </row>
    <row r="301" spans="1:29" ht="12.75" customHeight="1">
      <c r="A301" s="9"/>
      <c r="B301" s="9"/>
      <c r="C301" s="9"/>
      <c r="D301" s="9"/>
      <c r="E301" s="9"/>
      <c r="F301" s="9"/>
      <c r="G301" s="9"/>
      <c r="H301" s="548"/>
      <c r="I301" s="548"/>
      <c r="J301" s="548"/>
      <c r="K301" s="548"/>
      <c r="L301" s="548"/>
      <c r="M301" s="548"/>
      <c r="N301" s="548"/>
      <c r="O301" s="548"/>
      <c r="P301" s="548"/>
      <c r="Q301" s="548"/>
      <c r="R301" s="548"/>
      <c r="S301" s="548"/>
      <c r="T301" s="548"/>
      <c r="U301" s="9"/>
      <c r="V301" s="9"/>
      <c r="W301" s="9"/>
      <c r="X301" s="9"/>
      <c r="Y301" s="9"/>
      <c r="Z301" s="9"/>
      <c r="AA301" s="9"/>
      <c r="AB301" s="9"/>
      <c r="AC301" s="9"/>
    </row>
    <row r="302" spans="1:29" ht="12.75" customHeight="1">
      <c r="A302" s="9"/>
      <c r="B302" s="9"/>
      <c r="C302" s="9"/>
      <c r="D302" s="9"/>
      <c r="E302" s="9"/>
      <c r="F302" s="9"/>
      <c r="G302" s="9"/>
      <c r="H302" s="548"/>
      <c r="I302" s="548"/>
      <c r="J302" s="548"/>
      <c r="K302" s="548"/>
      <c r="L302" s="548"/>
      <c r="M302" s="548"/>
      <c r="N302" s="548"/>
      <c r="O302" s="548"/>
      <c r="P302" s="548"/>
      <c r="Q302" s="548"/>
      <c r="R302" s="548"/>
      <c r="S302" s="548"/>
      <c r="T302" s="548"/>
      <c r="U302" s="9"/>
      <c r="V302" s="9"/>
      <c r="W302" s="9"/>
      <c r="X302" s="9"/>
      <c r="Y302" s="9"/>
      <c r="Z302" s="9"/>
      <c r="AA302" s="9"/>
      <c r="AB302" s="9"/>
      <c r="AC302" s="9"/>
    </row>
    <row r="303" spans="1:29" ht="12.75" customHeight="1">
      <c r="A303" s="9"/>
      <c r="B303" s="9"/>
      <c r="C303" s="9"/>
      <c r="D303" s="9"/>
      <c r="E303" s="9"/>
      <c r="F303" s="9"/>
      <c r="G303" s="9"/>
      <c r="H303" s="548"/>
      <c r="I303" s="548"/>
      <c r="J303" s="548"/>
      <c r="K303" s="548"/>
      <c r="L303" s="548"/>
      <c r="M303" s="548"/>
      <c r="N303" s="548"/>
      <c r="O303" s="548"/>
      <c r="P303" s="548"/>
      <c r="Q303" s="548"/>
      <c r="R303" s="548"/>
      <c r="S303" s="548"/>
      <c r="T303" s="548"/>
      <c r="U303" s="9"/>
      <c r="V303" s="9"/>
      <c r="W303" s="9"/>
      <c r="X303" s="9"/>
      <c r="Y303" s="9"/>
      <c r="Z303" s="9"/>
      <c r="AA303" s="9"/>
      <c r="AB303" s="9"/>
      <c r="AC303" s="9"/>
    </row>
    <row r="304" spans="1:29" ht="12.75" customHeight="1">
      <c r="A304" s="9"/>
      <c r="B304" s="9"/>
      <c r="C304" s="9"/>
      <c r="D304" s="9"/>
      <c r="E304" s="9"/>
      <c r="F304" s="9"/>
      <c r="G304" s="9"/>
      <c r="H304" s="548"/>
      <c r="I304" s="548"/>
      <c r="J304" s="548"/>
      <c r="K304" s="548"/>
      <c r="L304" s="548"/>
      <c r="M304" s="548"/>
      <c r="N304" s="548"/>
      <c r="O304" s="548"/>
      <c r="P304" s="548"/>
      <c r="Q304" s="548"/>
      <c r="R304" s="548"/>
      <c r="S304" s="548"/>
      <c r="T304" s="548"/>
      <c r="U304" s="9"/>
      <c r="V304" s="9"/>
      <c r="W304" s="9"/>
      <c r="X304" s="9"/>
      <c r="Y304" s="9"/>
      <c r="Z304" s="9"/>
      <c r="AA304" s="9"/>
      <c r="AB304" s="9"/>
      <c r="AC304" s="9"/>
    </row>
    <row r="305" spans="1:29" ht="12.75" customHeight="1">
      <c r="A305" s="9"/>
      <c r="B305" s="9"/>
      <c r="C305" s="9"/>
      <c r="D305" s="9"/>
      <c r="E305" s="9"/>
      <c r="F305" s="9"/>
      <c r="G305" s="9"/>
      <c r="H305" s="548"/>
      <c r="I305" s="548"/>
      <c r="J305" s="548"/>
      <c r="K305" s="548"/>
      <c r="L305" s="548"/>
      <c r="M305" s="548"/>
      <c r="N305" s="548"/>
      <c r="O305" s="548"/>
      <c r="P305" s="548"/>
      <c r="Q305" s="548"/>
      <c r="R305" s="548"/>
      <c r="S305" s="548"/>
      <c r="T305" s="548"/>
      <c r="U305" s="9"/>
      <c r="V305" s="9"/>
      <c r="W305" s="9"/>
      <c r="X305" s="9"/>
      <c r="Y305" s="9"/>
      <c r="Z305" s="9"/>
      <c r="AA305" s="9"/>
      <c r="AB305" s="9"/>
      <c r="AC305" s="9"/>
    </row>
    <row r="306" spans="1:29" ht="12.75" customHeight="1">
      <c r="A306" s="9"/>
      <c r="B306" s="9"/>
      <c r="C306" s="9"/>
      <c r="D306" s="9"/>
      <c r="E306" s="9"/>
      <c r="F306" s="9"/>
      <c r="G306" s="9"/>
      <c r="H306" s="548"/>
      <c r="I306" s="548"/>
      <c r="J306" s="548"/>
      <c r="K306" s="548"/>
      <c r="L306" s="548"/>
      <c r="M306" s="548"/>
      <c r="N306" s="548"/>
      <c r="O306" s="548"/>
      <c r="P306" s="548"/>
      <c r="Q306" s="548"/>
      <c r="R306" s="548"/>
      <c r="S306" s="548"/>
      <c r="T306" s="548"/>
      <c r="U306" s="9"/>
      <c r="V306" s="9"/>
      <c r="W306" s="9"/>
      <c r="X306" s="9"/>
      <c r="Y306" s="9"/>
      <c r="Z306" s="9"/>
      <c r="AA306" s="9"/>
      <c r="AB306" s="9"/>
      <c r="AC306" s="9"/>
    </row>
    <row r="307" spans="1:29" ht="12.75" customHeight="1">
      <c r="A307" s="9"/>
      <c r="B307" s="9"/>
      <c r="C307" s="9"/>
      <c r="D307" s="9"/>
      <c r="E307" s="9"/>
      <c r="F307" s="9"/>
      <c r="G307" s="9"/>
      <c r="H307" s="548"/>
      <c r="I307" s="548"/>
      <c r="J307" s="548"/>
      <c r="K307" s="548"/>
      <c r="L307" s="548"/>
      <c r="M307" s="548"/>
      <c r="N307" s="548"/>
      <c r="O307" s="548"/>
      <c r="P307" s="548"/>
      <c r="Q307" s="548"/>
      <c r="R307" s="548"/>
      <c r="S307" s="548"/>
      <c r="T307" s="548"/>
      <c r="U307" s="9"/>
      <c r="V307" s="9"/>
      <c r="W307" s="9"/>
      <c r="X307" s="9"/>
      <c r="Y307" s="9"/>
      <c r="Z307" s="9"/>
      <c r="AA307" s="9"/>
      <c r="AB307" s="9"/>
      <c r="AC307" s="9"/>
    </row>
    <row r="308" spans="1:29" ht="12.75" customHeight="1">
      <c r="A308" s="9"/>
      <c r="B308" s="9"/>
      <c r="C308" s="9"/>
      <c r="D308" s="9"/>
      <c r="E308" s="9"/>
      <c r="F308" s="9"/>
      <c r="G308" s="9"/>
      <c r="H308" s="548"/>
      <c r="I308" s="548"/>
      <c r="J308" s="548"/>
      <c r="K308" s="548"/>
      <c r="L308" s="548"/>
      <c r="M308" s="548"/>
      <c r="N308" s="548"/>
      <c r="O308" s="548"/>
      <c r="P308" s="548"/>
      <c r="Q308" s="548"/>
      <c r="R308" s="548"/>
      <c r="S308" s="548"/>
      <c r="T308" s="548"/>
      <c r="U308" s="9"/>
      <c r="V308" s="9"/>
      <c r="W308" s="9"/>
      <c r="X308" s="9"/>
      <c r="Y308" s="9"/>
      <c r="Z308" s="9"/>
      <c r="AA308" s="9"/>
      <c r="AB308" s="9"/>
      <c r="AC308" s="9"/>
    </row>
    <row r="309" spans="1:29" ht="12.75" customHeight="1">
      <c r="A309" s="9"/>
      <c r="B309" s="9"/>
      <c r="C309" s="9"/>
      <c r="D309" s="9"/>
      <c r="E309" s="9"/>
      <c r="F309" s="9"/>
      <c r="G309" s="9"/>
      <c r="H309" s="548"/>
      <c r="I309" s="548"/>
      <c r="J309" s="548"/>
      <c r="K309" s="548"/>
      <c r="L309" s="548"/>
      <c r="M309" s="548"/>
      <c r="N309" s="548"/>
      <c r="O309" s="548"/>
      <c r="P309" s="548"/>
      <c r="Q309" s="548"/>
      <c r="R309" s="548"/>
      <c r="S309" s="548"/>
      <c r="T309" s="548"/>
      <c r="U309" s="9"/>
      <c r="V309" s="9"/>
      <c r="W309" s="9"/>
      <c r="X309" s="9"/>
      <c r="Y309" s="9"/>
      <c r="Z309" s="9"/>
      <c r="AA309" s="9"/>
      <c r="AB309" s="9"/>
      <c r="AC309" s="9"/>
    </row>
    <row r="310" spans="1:29" ht="12.75" customHeight="1">
      <c r="A310" s="9"/>
      <c r="B310" s="9"/>
      <c r="C310" s="9"/>
      <c r="D310" s="9"/>
      <c r="E310" s="9"/>
      <c r="F310" s="9"/>
      <c r="G310" s="9"/>
      <c r="H310" s="548"/>
      <c r="I310" s="548"/>
      <c r="J310" s="548"/>
      <c r="K310" s="548"/>
      <c r="L310" s="548"/>
      <c r="M310" s="548"/>
      <c r="N310" s="548"/>
      <c r="O310" s="548"/>
      <c r="P310" s="548"/>
      <c r="Q310" s="548"/>
      <c r="R310" s="548"/>
      <c r="S310" s="548"/>
      <c r="T310" s="548"/>
      <c r="U310" s="9"/>
      <c r="V310" s="9"/>
      <c r="W310" s="9"/>
      <c r="X310" s="9"/>
      <c r="Y310" s="9"/>
      <c r="Z310" s="9"/>
      <c r="AA310" s="9"/>
      <c r="AB310" s="9"/>
      <c r="AC310" s="9"/>
    </row>
    <row r="311" spans="1:29" ht="12.75" customHeight="1">
      <c r="A311" s="9"/>
      <c r="B311" s="9"/>
      <c r="C311" s="9"/>
      <c r="D311" s="9"/>
      <c r="E311" s="9"/>
      <c r="F311" s="9"/>
      <c r="G311" s="9"/>
      <c r="H311" s="548"/>
      <c r="I311" s="548"/>
      <c r="J311" s="548"/>
      <c r="K311" s="548"/>
      <c r="L311" s="548"/>
      <c r="M311" s="548"/>
      <c r="N311" s="548"/>
      <c r="O311" s="548"/>
      <c r="P311" s="548"/>
      <c r="Q311" s="548"/>
      <c r="R311" s="548"/>
      <c r="S311" s="548"/>
      <c r="T311" s="548"/>
      <c r="U311" s="9"/>
      <c r="V311" s="9"/>
      <c r="W311" s="9"/>
      <c r="X311" s="9"/>
      <c r="Y311" s="9"/>
      <c r="Z311" s="9"/>
      <c r="AA311" s="9"/>
      <c r="AB311" s="9"/>
      <c r="AC311" s="9"/>
    </row>
    <row r="312" spans="1:29" ht="12.75" customHeight="1">
      <c r="A312" s="9"/>
      <c r="B312" s="9"/>
      <c r="C312" s="9"/>
      <c r="D312" s="9"/>
      <c r="E312" s="9"/>
      <c r="F312" s="9"/>
      <c r="G312" s="9"/>
      <c r="H312" s="548"/>
      <c r="I312" s="548"/>
      <c r="J312" s="548"/>
      <c r="K312" s="548"/>
      <c r="L312" s="548"/>
      <c r="M312" s="548"/>
      <c r="N312" s="548"/>
      <c r="O312" s="548"/>
      <c r="P312" s="548"/>
      <c r="Q312" s="548"/>
      <c r="R312" s="548"/>
      <c r="S312" s="548"/>
      <c r="T312" s="548"/>
      <c r="U312" s="9"/>
      <c r="V312" s="9"/>
      <c r="W312" s="9"/>
      <c r="X312" s="9"/>
      <c r="Y312" s="9"/>
      <c r="Z312" s="9"/>
      <c r="AA312" s="9"/>
      <c r="AB312" s="9"/>
      <c r="AC312" s="9"/>
    </row>
    <row r="313" spans="1:29" ht="12.75" customHeight="1">
      <c r="A313" s="9"/>
      <c r="B313" s="9"/>
      <c r="C313" s="9"/>
      <c r="D313" s="9"/>
      <c r="E313" s="9"/>
      <c r="F313" s="9"/>
      <c r="G313" s="9"/>
      <c r="H313" s="548"/>
      <c r="I313" s="548"/>
      <c r="J313" s="548"/>
      <c r="K313" s="548"/>
      <c r="L313" s="548"/>
      <c r="M313" s="548"/>
      <c r="N313" s="548"/>
      <c r="O313" s="548"/>
      <c r="P313" s="548"/>
      <c r="Q313" s="548"/>
      <c r="R313" s="548"/>
      <c r="S313" s="548"/>
      <c r="T313" s="548"/>
      <c r="U313" s="9"/>
      <c r="V313" s="9"/>
      <c r="W313" s="9"/>
      <c r="X313" s="9"/>
      <c r="Y313" s="9"/>
      <c r="Z313" s="9"/>
      <c r="AA313" s="9"/>
      <c r="AB313" s="9"/>
      <c r="AC313" s="9"/>
    </row>
    <row r="314" spans="1:29" ht="12.75" customHeight="1">
      <c r="A314" s="9"/>
      <c r="B314" s="9"/>
      <c r="C314" s="9"/>
      <c r="D314" s="9"/>
      <c r="E314" s="9"/>
      <c r="F314" s="9"/>
      <c r="G314" s="9"/>
      <c r="H314" s="548"/>
      <c r="I314" s="548"/>
      <c r="J314" s="548"/>
      <c r="K314" s="548"/>
      <c r="L314" s="548"/>
      <c r="M314" s="548"/>
      <c r="N314" s="548"/>
      <c r="O314" s="548"/>
      <c r="P314" s="548"/>
      <c r="Q314" s="548"/>
      <c r="R314" s="548"/>
      <c r="S314" s="548"/>
      <c r="T314" s="548"/>
      <c r="U314" s="9"/>
      <c r="V314" s="9"/>
      <c r="W314" s="9"/>
      <c r="X314" s="9"/>
      <c r="Y314" s="9"/>
      <c r="Z314" s="9"/>
      <c r="AA314" s="9"/>
      <c r="AB314" s="9"/>
      <c r="AC314" s="9"/>
    </row>
    <row r="315" spans="1:29" ht="12.75" customHeight="1">
      <c r="A315" s="9"/>
      <c r="B315" s="9"/>
      <c r="C315" s="9"/>
      <c r="D315" s="9"/>
      <c r="E315" s="9"/>
      <c r="F315" s="9"/>
      <c r="G315" s="9"/>
      <c r="H315" s="548"/>
      <c r="I315" s="548"/>
      <c r="J315" s="548"/>
      <c r="K315" s="548"/>
      <c r="L315" s="548"/>
      <c r="M315" s="548"/>
      <c r="N315" s="548"/>
      <c r="O315" s="548"/>
      <c r="P315" s="548"/>
      <c r="Q315" s="548"/>
      <c r="R315" s="548"/>
      <c r="S315" s="548"/>
      <c r="T315" s="548"/>
      <c r="U315" s="9"/>
      <c r="V315" s="9"/>
      <c r="W315" s="9"/>
      <c r="X315" s="9"/>
      <c r="Y315" s="9"/>
      <c r="Z315" s="9"/>
      <c r="AA315" s="9"/>
      <c r="AB315" s="9"/>
      <c r="AC315" s="9"/>
    </row>
    <row r="316" spans="1:29" ht="12.75" customHeight="1">
      <c r="A316" s="9"/>
      <c r="B316" s="9"/>
      <c r="C316" s="9"/>
      <c r="D316" s="9"/>
      <c r="E316" s="9"/>
      <c r="F316" s="9"/>
      <c r="G316" s="9"/>
      <c r="H316" s="548"/>
      <c r="I316" s="548"/>
      <c r="J316" s="548"/>
      <c r="K316" s="548"/>
      <c r="L316" s="548"/>
      <c r="M316" s="548"/>
      <c r="N316" s="548"/>
      <c r="O316" s="548"/>
      <c r="P316" s="548"/>
      <c r="Q316" s="548"/>
      <c r="R316" s="548"/>
      <c r="S316" s="548"/>
      <c r="T316" s="548"/>
      <c r="U316" s="9"/>
      <c r="V316" s="9"/>
      <c r="W316" s="9"/>
      <c r="X316" s="9"/>
      <c r="Y316" s="9"/>
      <c r="Z316" s="9"/>
      <c r="AA316" s="9"/>
      <c r="AB316" s="9"/>
      <c r="AC316" s="9"/>
    </row>
    <row r="317" spans="1:29" ht="12.75" customHeight="1">
      <c r="A317" s="9"/>
      <c r="B317" s="9"/>
      <c r="C317" s="9"/>
      <c r="D317" s="9"/>
      <c r="E317" s="9"/>
      <c r="F317" s="9"/>
      <c r="G317" s="9"/>
      <c r="H317" s="548"/>
      <c r="I317" s="548"/>
      <c r="J317" s="548"/>
      <c r="K317" s="548"/>
      <c r="L317" s="548"/>
      <c r="M317" s="548"/>
      <c r="N317" s="548"/>
      <c r="O317" s="548"/>
      <c r="P317" s="548"/>
      <c r="Q317" s="548"/>
      <c r="R317" s="548"/>
      <c r="S317" s="548"/>
      <c r="T317" s="548"/>
      <c r="U317" s="9"/>
      <c r="V317" s="9"/>
      <c r="W317" s="9"/>
      <c r="X317" s="9"/>
      <c r="Y317" s="9"/>
      <c r="Z317" s="9"/>
      <c r="AA317" s="9"/>
      <c r="AB317" s="9"/>
      <c r="AC317" s="9"/>
    </row>
    <row r="318" spans="1:29" ht="12.75" customHeight="1">
      <c r="A318" s="9"/>
      <c r="B318" s="9"/>
      <c r="C318" s="9"/>
      <c r="D318" s="9"/>
      <c r="E318" s="9"/>
      <c r="F318" s="9"/>
      <c r="G318" s="9"/>
      <c r="H318" s="548"/>
      <c r="I318" s="548"/>
      <c r="J318" s="548"/>
      <c r="K318" s="548"/>
      <c r="L318" s="548"/>
      <c r="M318" s="548"/>
      <c r="N318" s="548"/>
      <c r="O318" s="548"/>
      <c r="P318" s="548"/>
      <c r="Q318" s="548"/>
      <c r="R318" s="548"/>
      <c r="S318" s="548"/>
      <c r="T318" s="548"/>
      <c r="U318" s="9"/>
      <c r="V318" s="9"/>
      <c r="W318" s="9"/>
      <c r="X318" s="9"/>
      <c r="Y318" s="9"/>
      <c r="Z318" s="9"/>
      <c r="AA318" s="9"/>
      <c r="AB318" s="9"/>
      <c r="AC318" s="9"/>
    </row>
    <row r="319" spans="1:29" ht="12.75" customHeight="1">
      <c r="A319" s="9"/>
      <c r="B319" s="9"/>
      <c r="C319" s="9"/>
      <c r="D319" s="9"/>
      <c r="E319" s="9"/>
      <c r="F319" s="9"/>
      <c r="G319" s="9"/>
      <c r="H319" s="548"/>
      <c r="I319" s="548"/>
      <c r="J319" s="548"/>
      <c r="K319" s="548"/>
      <c r="L319" s="548"/>
      <c r="M319" s="548"/>
      <c r="N319" s="548"/>
      <c r="O319" s="548"/>
      <c r="P319" s="548"/>
      <c r="Q319" s="548"/>
      <c r="R319" s="548"/>
      <c r="S319" s="548"/>
      <c r="T319" s="548"/>
      <c r="U319" s="9"/>
      <c r="V319" s="9"/>
      <c r="W319" s="9"/>
      <c r="X319" s="9"/>
      <c r="Y319" s="9"/>
      <c r="Z319" s="9"/>
      <c r="AA319" s="9"/>
      <c r="AB319" s="9"/>
      <c r="AC319" s="9"/>
    </row>
    <row r="320" spans="1:29" ht="12.75" customHeight="1">
      <c r="A320" s="9"/>
      <c r="B320" s="9"/>
      <c r="C320" s="9"/>
      <c r="D320" s="9"/>
      <c r="E320" s="9"/>
      <c r="F320" s="9"/>
      <c r="G320" s="9"/>
      <c r="H320" s="548"/>
      <c r="I320" s="548"/>
      <c r="J320" s="548"/>
      <c r="K320" s="548"/>
      <c r="L320" s="548"/>
      <c r="M320" s="548"/>
      <c r="N320" s="548"/>
      <c r="O320" s="548"/>
      <c r="P320" s="548"/>
      <c r="Q320" s="548"/>
      <c r="R320" s="548"/>
      <c r="S320" s="548"/>
      <c r="T320" s="548"/>
      <c r="U320" s="9"/>
      <c r="V320" s="9"/>
      <c r="W320" s="9"/>
      <c r="X320" s="9"/>
      <c r="Y320" s="9"/>
      <c r="Z320" s="9"/>
      <c r="AA320" s="9"/>
      <c r="AB320" s="9"/>
      <c r="AC320" s="9"/>
    </row>
    <row r="321" spans="1:29" ht="12.75" customHeight="1">
      <c r="A321" s="9"/>
      <c r="B321" s="9"/>
      <c r="C321" s="9"/>
      <c r="D321" s="9"/>
      <c r="E321" s="9"/>
      <c r="F321" s="9"/>
      <c r="G321" s="9"/>
      <c r="H321" s="548"/>
      <c r="I321" s="548"/>
      <c r="J321" s="548"/>
      <c r="K321" s="548"/>
      <c r="L321" s="548"/>
      <c r="M321" s="548"/>
      <c r="N321" s="548"/>
      <c r="O321" s="548"/>
      <c r="P321" s="548"/>
      <c r="Q321" s="548"/>
      <c r="R321" s="548"/>
      <c r="S321" s="548"/>
      <c r="T321" s="548"/>
      <c r="U321" s="9"/>
      <c r="V321" s="9"/>
      <c r="W321" s="9"/>
      <c r="X321" s="9"/>
      <c r="Y321" s="9"/>
      <c r="Z321" s="9"/>
      <c r="AA321" s="9"/>
      <c r="AB321" s="9"/>
      <c r="AC321" s="9"/>
    </row>
    <row r="322" spans="1:29" ht="12.75" customHeight="1">
      <c r="A322" s="9"/>
      <c r="B322" s="9"/>
      <c r="C322" s="9"/>
      <c r="D322" s="9"/>
      <c r="E322" s="9"/>
      <c r="F322" s="9"/>
      <c r="G322" s="9"/>
      <c r="H322" s="548"/>
      <c r="I322" s="548"/>
      <c r="J322" s="548"/>
      <c r="K322" s="548"/>
      <c r="L322" s="548"/>
      <c r="M322" s="548"/>
      <c r="N322" s="548"/>
      <c r="O322" s="548"/>
      <c r="P322" s="548"/>
      <c r="Q322" s="548"/>
      <c r="R322" s="548"/>
      <c r="S322" s="548"/>
      <c r="T322" s="548"/>
      <c r="U322" s="9"/>
      <c r="V322" s="9"/>
      <c r="W322" s="9"/>
      <c r="X322" s="9"/>
      <c r="Y322" s="9"/>
      <c r="Z322" s="9"/>
      <c r="AA322" s="9"/>
      <c r="AB322" s="9"/>
      <c r="AC322" s="9"/>
    </row>
    <row r="323" spans="1:29" ht="12.75" customHeight="1">
      <c r="A323" s="9"/>
      <c r="B323" s="9"/>
      <c r="C323" s="9"/>
      <c r="D323" s="9"/>
      <c r="E323" s="9"/>
      <c r="F323" s="9"/>
      <c r="G323" s="9"/>
      <c r="H323" s="548"/>
      <c r="I323" s="548"/>
      <c r="J323" s="548"/>
      <c r="K323" s="548"/>
      <c r="L323" s="548"/>
      <c r="M323" s="548"/>
      <c r="N323" s="548"/>
      <c r="O323" s="548"/>
      <c r="P323" s="548"/>
      <c r="Q323" s="548"/>
      <c r="R323" s="548"/>
      <c r="S323" s="548"/>
      <c r="T323" s="548"/>
      <c r="U323" s="9"/>
      <c r="V323" s="9"/>
      <c r="W323" s="9"/>
      <c r="X323" s="9"/>
      <c r="Y323" s="9"/>
      <c r="Z323" s="9"/>
      <c r="AA323" s="9"/>
      <c r="AB323" s="9"/>
      <c r="AC323" s="9"/>
    </row>
    <row r="324" spans="1:29" ht="12.75" customHeight="1">
      <c r="A324" s="9"/>
      <c r="B324" s="9"/>
      <c r="C324" s="9"/>
      <c r="D324" s="9"/>
      <c r="E324" s="9"/>
      <c r="F324" s="9"/>
      <c r="G324" s="9"/>
      <c r="H324" s="548"/>
      <c r="I324" s="548"/>
      <c r="J324" s="548"/>
      <c r="K324" s="548"/>
      <c r="L324" s="548"/>
      <c r="M324" s="548"/>
      <c r="N324" s="548"/>
      <c r="O324" s="548"/>
      <c r="P324" s="548"/>
      <c r="Q324" s="548"/>
      <c r="R324" s="548"/>
      <c r="S324" s="548"/>
      <c r="T324" s="548"/>
      <c r="U324" s="9"/>
      <c r="V324" s="9"/>
      <c r="W324" s="9"/>
      <c r="X324" s="9"/>
      <c r="Y324" s="9"/>
      <c r="Z324" s="9"/>
      <c r="AA324" s="9"/>
      <c r="AB324" s="9"/>
      <c r="AC324" s="9"/>
    </row>
    <row r="325" spans="1:29" ht="12.75" customHeight="1">
      <c r="A325" s="9"/>
      <c r="B325" s="9"/>
      <c r="C325" s="9"/>
      <c r="D325" s="9"/>
      <c r="E325" s="9"/>
      <c r="F325" s="9"/>
      <c r="G325" s="9"/>
      <c r="H325" s="548"/>
      <c r="I325" s="548"/>
      <c r="J325" s="548"/>
      <c r="K325" s="548"/>
      <c r="L325" s="548"/>
      <c r="M325" s="548"/>
      <c r="N325" s="548"/>
      <c r="O325" s="548"/>
      <c r="P325" s="548"/>
      <c r="Q325" s="548"/>
      <c r="R325" s="548"/>
      <c r="S325" s="548"/>
      <c r="T325" s="548"/>
      <c r="U325" s="9"/>
      <c r="V325" s="9"/>
      <c r="W325" s="9"/>
      <c r="X325" s="9"/>
      <c r="Y325" s="9"/>
      <c r="Z325" s="9"/>
      <c r="AA325" s="9"/>
      <c r="AB325" s="9"/>
      <c r="AC325" s="9"/>
    </row>
    <row r="326" spans="1:29" ht="12.75" customHeight="1">
      <c r="A326" s="9"/>
      <c r="B326" s="9"/>
      <c r="C326" s="9"/>
      <c r="D326" s="9"/>
      <c r="E326" s="9"/>
      <c r="F326" s="9"/>
      <c r="G326" s="9"/>
      <c r="H326" s="548"/>
      <c r="I326" s="548"/>
      <c r="J326" s="548"/>
      <c r="K326" s="548"/>
      <c r="L326" s="548"/>
      <c r="M326" s="548"/>
      <c r="N326" s="548"/>
      <c r="O326" s="548"/>
      <c r="P326" s="548"/>
      <c r="Q326" s="548"/>
      <c r="R326" s="548"/>
      <c r="S326" s="548"/>
      <c r="T326" s="548"/>
      <c r="U326" s="9"/>
      <c r="V326" s="9"/>
      <c r="W326" s="9"/>
      <c r="X326" s="9"/>
      <c r="Y326" s="9"/>
      <c r="Z326" s="9"/>
      <c r="AA326" s="9"/>
      <c r="AB326" s="9"/>
      <c r="AC326" s="9"/>
    </row>
    <row r="327" spans="1:29" ht="12.75" customHeight="1">
      <c r="A327" s="9"/>
      <c r="B327" s="9"/>
      <c r="C327" s="9"/>
      <c r="D327" s="9"/>
      <c r="E327" s="9"/>
      <c r="F327" s="9"/>
      <c r="G327" s="9"/>
      <c r="H327" s="548"/>
      <c r="I327" s="548"/>
      <c r="J327" s="548"/>
      <c r="K327" s="548"/>
      <c r="L327" s="548"/>
      <c r="M327" s="548"/>
      <c r="N327" s="548"/>
      <c r="O327" s="548"/>
      <c r="P327" s="548"/>
      <c r="Q327" s="548"/>
      <c r="R327" s="548"/>
      <c r="S327" s="548"/>
      <c r="T327" s="548"/>
      <c r="U327" s="9"/>
      <c r="V327" s="9"/>
      <c r="W327" s="9"/>
      <c r="X327" s="9"/>
      <c r="Y327" s="9"/>
      <c r="Z327" s="9"/>
      <c r="AA327" s="9"/>
      <c r="AB327" s="9"/>
      <c r="AC327" s="9"/>
    </row>
    <row r="328" spans="1:29" ht="12.75" customHeight="1">
      <c r="A328" s="9"/>
      <c r="B328" s="9"/>
      <c r="C328" s="9"/>
      <c r="D328" s="9"/>
      <c r="E328" s="9"/>
      <c r="F328" s="9"/>
      <c r="G328" s="9"/>
      <c r="H328" s="548"/>
      <c r="I328" s="548"/>
      <c r="J328" s="548"/>
      <c r="K328" s="548"/>
      <c r="L328" s="548"/>
      <c r="M328" s="548"/>
      <c r="N328" s="548"/>
      <c r="O328" s="548"/>
      <c r="P328" s="548"/>
      <c r="Q328" s="548"/>
      <c r="R328" s="548"/>
      <c r="S328" s="548"/>
      <c r="T328" s="548"/>
      <c r="U328" s="9"/>
      <c r="V328" s="9"/>
      <c r="W328" s="9"/>
      <c r="X328" s="9"/>
      <c r="Y328" s="9"/>
      <c r="Z328" s="9"/>
      <c r="AA328" s="9"/>
      <c r="AB328" s="9"/>
      <c r="AC328" s="9"/>
    </row>
    <row r="329" spans="1:29" ht="12.75" customHeight="1">
      <c r="A329" s="9"/>
      <c r="B329" s="9"/>
      <c r="C329" s="9"/>
      <c r="D329" s="9"/>
      <c r="E329" s="9"/>
      <c r="F329" s="9"/>
      <c r="G329" s="9"/>
      <c r="H329" s="548"/>
      <c r="I329" s="548"/>
      <c r="J329" s="548"/>
      <c r="K329" s="548"/>
      <c r="L329" s="548"/>
      <c r="M329" s="548"/>
      <c r="N329" s="548"/>
      <c r="O329" s="548"/>
      <c r="P329" s="548"/>
      <c r="Q329" s="548"/>
      <c r="R329" s="548"/>
      <c r="S329" s="548"/>
      <c r="T329" s="548"/>
      <c r="U329" s="9"/>
      <c r="V329" s="9"/>
      <c r="W329" s="9"/>
      <c r="X329" s="9"/>
      <c r="Y329" s="9"/>
      <c r="Z329" s="9"/>
      <c r="AA329" s="9"/>
      <c r="AB329" s="9"/>
      <c r="AC329" s="9"/>
    </row>
    <row r="330" spans="1:29" ht="12.75" customHeight="1">
      <c r="A330" s="9"/>
      <c r="B330" s="9"/>
      <c r="C330" s="9"/>
      <c r="D330" s="9"/>
      <c r="E330" s="9"/>
      <c r="F330" s="9"/>
      <c r="G330" s="9"/>
      <c r="H330" s="548"/>
      <c r="I330" s="548"/>
      <c r="J330" s="548"/>
      <c r="K330" s="548"/>
      <c r="L330" s="548"/>
      <c r="M330" s="548"/>
      <c r="N330" s="548"/>
      <c r="O330" s="548"/>
      <c r="P330" s="548"/>
      <c r="Q330" s="548"/>
      <c r="R330" s="548"/>
      <c r="S330" s="548"/>
      <c r="T330" s="548"/>
      <c r="U330" s="9"/>
      <c r="V330" s="9"/>
      <c r="W330" s="9"/>
      <c r="X330" s="9"/>
      <c r="Y330" s="9"/>
      <c r="Z330" s="9"/>
      <c r="AA330" s="9"/>
      <c r="AB330" s="9"/>
      <c r="AC330" s="9"/>
    </row>
    <row r="331" spans="1:29" ht="12.75" customHeight="1">
      <c r="A331" s="9"/>
      <c r="B331" s="9"/>
      <c r="C331" s="9"/>
      <c r="D331" s="9"/>
      <c r="E331" s="9"/>
      <c r="F331" s="9"/>
      <c r="G331" s="9"/>
      <c r="H331" s="548"/>
      <c r="I331" s="548"/>
      <c r="J331" s="548"/>
      <c r="K331" s="548"/>
      <c r="L331" s="548"/>
      <c r="M331" s="548"/>
      <c r="N331" s="548"/>
      <c r="O331" s="548"/>
      <c r="P331" s="548"/>
      <c r="Q331" s="548"/>
      <c r="R331" s="548"/>
      <c r="S331" s="548"/>
      <c r="T331" s="548"/>
      <c r="U331" s="9"/>
      <c r="V331" s="9"/>
      <c r="W331" s="9"/>
      <c r="X331" s="9"/>
      <c r="Y331" s="9"/>
      <c r="Z331" s="9"/>
      <c r="AA331" s="9"/>
      <c r="AB331" s="9"/>
      <c r="AC331" s="9"/>
    </row>
    <row r="332" spans="1:29" ht="12.75" customHeight="1">
      <c r="A332" s="9"/>
      <c r="B332" s="9"/>
      <c r="C332" s="9"/>
      <c r="D332" s="9"/>
      <c r="E332" s="9"/>
      <c r="F332" s="9"/>
      <c r="G332" s="9"/>
      <c r="H332" s="548"/>
      <c r="I332" s="548"/>
      <c r="J332" s="548"/>
      <c r="K332" s="548"/>
      <c r="L332" s="548"/>
      <c r="M332" s="548"/>
      <c r="N332" s="548"/>
      <c r="O332" s="548"/>
      <c r="P332" s="548"/>
      <c r="Q332" s="548"/>
      <c r="R332" s="548"/>
      <c r="S332" s="548"/>
      <c r="T332" s="548"/>
      <c r="U332" s="9"/>
      <c r="V332" s="9"/>
      <c r="W332" s="9"/>
      <c r="X332" s="9"/>
      <c r="Y332" s="9"/>
      <c r="Z332" s="9"/>
      <c r="AA332" s="9"/>
      <c r="AB332" s="9"/>
      <c r="AC332" s="9"/>
    </row>
    <row r="333" spans="1:29" ht="12.75" customHeight="1">
      <c r="A333" s="9"/>
      <c r="B333" s="9"/>
      <c r="C333" s="9"/>
      <c r="D333" s="9"/>
      <c r="E333" s="9"/>
      <c r="F333" s="9"/>
      <c r="G333" s="9"/>
      <c r="H333" s="548"/>
      <c r="I333" s="548"/>
      <c r="J333" s="548"/>
      <c r="K333" s="548"/>
      <c r="L333" s="548"/>
      <c r="M333" s="548"/>
      <c r="N333" s="548"/>
      <c r="O333" s="548"/>
      <c r="P333" s="548"/>
      <c r="Q333" s="548"/>
      <c r="R333" s="548"/>
      <c r="S333" s="548"/>
      <c r="T333" s="548"/>
      <c r="U333" s="9"/>
      <c r="V333" s="9"/>
      <c r="W333" s="9"/>
      <c r="X333" s="9"/>
      <c r="Y333" s="9"/>
      <c r="Z333" s="9"/>
      <c r="AA333" s="9"/>
      <c r="AB333" s="9"/>
      <c r="AC333" s="9"/>
    </row>
    <row r="334" spans="1:29" ht="12.75" customHeight="1">
      <c r="A334" s="9"/>
      <c r="B334" s="9"/>
      <c r="C334" s="9"/>
      <c r="D334" s="9"/>
      <c r="E334" s="9"/>
      <c r="F334" s="9"/>
      <c r="G334" s="9"/>
      <c r="H334" s="548"/>
      <c r="I334" s="548"/>
      <c r="J334" s="548"/>
      <c r="K334" s="548"/>
      <c r="L334" s="548"/>
      <c r="M334" s="548"/>
      <c r="N334" s="548"/>
      <c r="O334" s="548"/>
      <c r="P334" s="548"/>
      <c r="Q334" s="548"/>
      <c r="R334" s="548"/>
      <c r="S334" s="548"/>
      <c r="T334" s="548"/>
      <c r="U334" s="9"/>
      <c r="V334" s="9"/>
      <c r="W334" s="9"/>
      <c r="X334" s="9"/>
      <c r="Y334" s="9"/>
      <c r="Z334" s="9"/>
      <c r="AA334" s="9"/>
      <c r="AB334" s="9"/>
      <c r="AC334" s="9"/>
    </row>
    <row r="335" spans="1:29" ht="12.75" customHeight="1">
      <c r="A335" s="9"/>
      <c r="B335" s="9"/>
      <c r="C335" s="9"/>
      <c r="D335" s="9"/>
      <c r="E335" s="9"/>
      <c r="F335" s="9"/>
      <c r="G335" s="9"/>
      <c r="H335" s="548"/>
      <c r="I335" s="548"/>
      <c r="J335" s="548"/>
      <c r="K335" s="548"/>
      <c r="L335" s="548"/>
      <c r="M335" s="548"/>
      <c r="N335" s="548"/>
      <c r="O335" s="548"/>
      <c r="P335" s="548"/>
      <c r="Q335" s="548"/>
      <c r="R335" s="548"/>
      <c r="S335" s="548"/>
      <c r="T335" s="548"/>
      <c r="U335" s="9"/>
      <c r="V335" s="9"/>
      <c r="W335" s="9"/>
      <c r="X335" s="9"/>
      <c r="Y335" s="9"/>
      <c r="Z335" s="9"/>
      <c r="AA335" s="9"/>
      <c r="AB335" s="9"/>
      <c r="AC335" s="9"/>
    </row>
    <row r="336" spans="1:29" ht="12.75" customHeight="1">
      <c r="A336" s="9"/>
      <c r="B336" s="9"/>
      <c r="C336" s="9"/>
      <c r="D336" s="9"/>
      <c r="E336" s="9"/>
      <c r="F336" s="9"/>
      <c r="G336" s="9"/>
      <c r="H336" s="548"/>
      <c r="I336" s="548"/>
      <c r="J336" s="548"/>
      <c r="K336" s="548"/>
      <c r="L336" s="548"/>
      <c r="M336" s="548"/>
      <c r="N336" s="548"/>
      <c r="O336" s="548"/>
      <c r="P336" s="548"/>
      <c r="Q336" s="548"/>
      <c r="R336" s="548"/>
      <c r="S336" s="548"/>
      <c r="T336" s="548"/>
      <c r="U336" s="9"/>
      <c r="V336" s="9"/>
      <c r="W336" s="9"/>
      <c r="X336" s="9"/>
      <c r="Y336" s="9"/>
      <c r="Z336" s="9"/>
      <c r="AA336" s="9"/>
      <c r="AB336" s="9"/>
      <c r="AC336" s="9"/>
    </row>
    <row r="337" spans="1:29" ht="12.75" customHeight="1">
      <c r="A337" s="9"/>
      <c r="B337" s="9"/>
      <c r="C337" s="9"/>
      <c r="D337" s="9"/>
      <c r="E337" s="9"/>
      <c r="F337" s="9"/>
      <c r="G337" s="9"/>
      <c r="H337" s="548"/>
      <c r="I337" s="548"/>
      <c r="J337" s="548"/>
      <c r="K337" s="548"/>
      <c r="L337" s="548"/>
      <c r="M337" s="548"/>
      <c r="N337" s="548"/>
      <c r="O337" s="548"/>
      <c r="P337" s="548"/>
      <c r="Q337" s="548"/>
      <c r="R337" s="548"/>
      <c r="S337" s="548"/>
      <c r="T337" s="548"/>
      <c r="U337" s="9"/>
      <c r="V337" s="9"/>
      <c r="W337" s="9"/>
      <c r="X337" s="9"/>
      <c r="Y337" s="9"/>
      <c r="Z337" s="9"/>
      <c r="AA337" s="9"/>
      <c r="AB337" s="9"/>
      <c r="AC337" s="9"/>
    </row>
    <row r="338" spans="1:29" ht="12.75" customHeight="1">
      <c r="A338" s="9"/>
      <c r="B338" s="9"/>
      <c r="C338" s="9"/>
      <c r="D338" s="9"/>
      <c r="E338" s="9"/>
      <c r="F338" s="9"/>
      <c r="G338" s="9"/>
      <c r="H338" s="548"/>
      <c r="I338" s="548"/>
      <c r="J338" s="548"/>
      <c r="K338" s="548"/>
      <c r="L338" s="548"/>
      <c r="M338" s="548"/>
      <c r="N338" s="548"/>
      <c r="O338" s="548"/>
      <c r="P338" s="548"/>
      <c r="Q338" s="548"/>
      <c r="R338" s="548"/>
      <c r="S338" s="548"/>
      <c r="T338" s="548"/>
      <c r="U338" s="9"/>
      <c r="V338" s="9"/>
      <c r="W338" s="9"/>
      <c r="X338" s="9"/>
      <c r="Y338" s="9"/>
      <c r="Z338" s="9"/>
      <c r="AA338" s="9"/>
      <c r="AB338" s="9"/>
      <c r="AC338" s="9"/>
    </row>
    <row r="339" spans="1:29" ht="12.75" customHeight="1">
      <c r="A339" s="9"/>
      <c r="B339" s="9"/>
      <c r="C339" s="9"/>
      <c r="D339" s="9"/>
      <c r="E339" s="9"/>
      <c r="F339" s="9"/>
      <c r="G339" s="9"/>
      <c r="H339" s="548"/>
      <c r="I339" s="548"/>
      <c r="J339" s="548"/>
      <c r="K339" s="548"/>
      <c r="L339" s="548"/>
      <c r="M339" s="548"/>
      <c r="N339" s="548"/>
      <c r="O339" s="548"/>
      <c r="P339" s="548"/>
      <c r="Q339" s="548"/>
      <c r="R339" s="548"/>
      <c r="S339" s="548"/>
      <c r="T339" s="548"/>
      <c r="U339" s="9"/>
      <c r="V339" s="9"/>
      <c r="W339" s="9"/>
      <c r="X339" s="9"/>
      <c r="Y339" s="9"/>
      <c r="Z339" s="9"/>
      <c r="AA339" s="9"/>
      <c r="AB339" s="9"/>
      <c r="AC339" s="9"/>
    </row>
    <row r="340" spans="1:29" ht="12.75" customHeight="1">
      <c r="A340" s="9"/>
      <c r="B340" s="9"/>
      <c r="C340" s="9"/>
      <c r="D340" s="9"/>
      <c r="E340" s="9"/>
      <c r="F340" s="9"/>
      <c r="G340" s="9"/>
      <c r="H340" s="548"/>
      <c r="I340" s="548"/>
      <c r="J340" s="548"/>
      <c r="K340" s="548"/>
      <c r="L340" s="548"/>
      <c r="M340" s="548"/>
      <c r="N340" s="548"/>
      <c r="O340" s="548"/>
      <c r="P340" s="548"/>
      <c r="Q340" s="548"/>
      <c r="R340" s="548"/>
      <c r="S340" s="548"/>
      <c r="T340" s="548"/>
      <c r="U340" s="9"/>
      <c r="V340" s="9"/>
      <c r="W340" s="9"/>
      <c r="X340" s="9"/>
      <c r="Y340" s="9"/>
      <c r="Z340" s="9"/>
      <c r="AA340" s="9"/>
      <c r="AB340" s="9"/>
      <c r="AC340" s="9"/>
    </row>
    <row r="341" spans="1:29" ht="12.75" customHeight="1">
      <c r="A341" s="9"/>
      <c r="B341" s="9"/>
      <c r="C341" s="9"/>
      <c r="D341" s="9"/>
      <c r="E341" s="9"/>
      <c r="F341" s="9"/>
      <c r="G341" s="9"/>
      <c r="H341" s="548"/>
      <c r="I341" s="548"/>
      <c r="J341" s="548"/>
      <c r="K341" s="548"/>
      <c r="L341" s="548"/>
      <c r="M341" s="548"/>
      <c r="N341" s="548"/>
      <c r="O341" s="548"/>
      <c r="P341" s="548"/>
      <c r="Q341" s="548"/>
      <c r="R341" s="548"/>
      <c r="S341" s="548"/>
      <c r="T341" s="548"/>
      <c r="U341" s="9"/>
      <c r="V341" s="9"/>
      <c r="W341" s="9"/>
      <c r="X341" s="9"/>
      <c r="Y341" s="9"/>
      <c r="Z341" s="9"/>
      <c r="AA341" s="9"/>
      <c r="AB341" s="9"/>
      <c r="AC341" s="9"/>
    </row>
    <row r="342" spans="1:29" ht="12.75" customHeight="1">
      <c r="A342" s="9"/>
      <c r="B342" s="9"/>
      <c r="C342" s="9"/>
      <c r="D342" s="9"/>
      <c r="E342" s="9"/>
      <c r="F342" s="9"/>
      <c r="G342" s="9"/>
      <c r="H342" s="548"/>
      <c r="I342" s="548"/>
      <c r="J342" s="548"/>
      <c r="K342" s="548"/>
      <c r="L342" s="548"/>
      <c r="M342" s="548"/>
      <c r="N342" s="548"/>
      <c r="O342" s="548"/>
      <c r="P342" s="548"/>
      <c r="Q342" s="548"/>
      <c r="R342" s="548"/>
      <c r="S342" s="548"/>
      <c r="T342" s="548"/>
      <c r="U342" s="9"/>
      <c r="V342" s="9"/>
      <c r="W342" s="9"/>
      <c r="X342" s="9"/>
      <c r="Y342" s="9"/>
      <c r="Z342" s="9"/>
      <c r="AA342" s="9"/>
      <c r="AB342" s="9"/>
      <c r="AC342" s="9"/>
    </row>
    <row r="343" spans="1:29" ht="12.75" customHeight="1">
      <c r="A343" s="9"/>
      <c r="B343" s="9"/>
      <c r="C343" s="9"/>
      <c r="D343" s="9"/>
      <c r="E343" s="9"/>
      <c r="F343" s="9"/>
      <c r="G343" s="9"/>
      <c r="H343" s="548"/>
      <c r="I343" s="548"/>
      <c r="J343" s="548"/>
      <c r="K343" s="548"/>
      <c r="L343" s="548"/>
      <c r="M343" s="548"/>
      <c r="N343" s="548"/>
      <c r="O343" s="548"/>
      <c r="P343" s="548"/>
      <c r="Q343" s="548"/>
      <c r="R343" s="548"/>
      <c r="S343" s="548"/>
      <c r="T343" s="548"/>
      <c r="U343" s="9"/>
      <c r="V343" s="9"/>
      <c r="W343" s="9"/>
      <c r="X343" s="9"/>
      <c r="Y343" s="9"/>
      <c r="Z343" s="9"/>
      <c r="AA343" s="9"/>
      <c r="AB343" s="9"/>
      <c r="AC343" s="9"/>
    </row>
    <row r="344" spans="1:29" ht="12.75" customHeight="1">
      <c r="A344" s="9"/>
      <c r="B344" s="9"/>
      <c r="C344" s="9"/>
      <c r="D344" s="9"/>
      <c r="E344" s="9"/>
      <c r="F344" s="9"/>
      <c r="G344" s="9"/>
      <c r="H344" s="548"/>
      <c r="I344" s="548"/>
      <c r="J344" s="548"/>
      <c r="K344" s="548"/>
      <c r="L344" s="548"/>
      <c r="M344" s="548"/>
      <c r="N344" s="548"/>
      <c r="O344" s="548"/>
      <c r="P344" s="548"/>
      <c r="Q344" s="548"/>
      <c r="R344" s="548"/>
      <c r="S344" s="548"/>
      <c r="T344" s="548"/>
      <c r="U344" s="9"/>
      <c r="V344" s="9"/>
      <c r="W344" s="9"/>
      <c r="X344" s="9"/>
      <c r="Y344" s="9"/>
      <c r="Z344" s="9"/>
      <c r="AA344" s="9"/>
      <c r="AB344" s="9"/>
      <c r="AC344" s="9"/>
    </row>
    <row r="345" spans="1:29" ht="12.75" customHeight="1">
      <c r="A345" s="9"/>
      <c r="B345" s="9"/>
      <c r="C345" s="9"/>
      <c r="D345" s="9"/>
      <c r="E345" s="9"/>
      <c r="F345" s="9"/>
      <c r="G345" s="9"/>
      <c r="H345" s="548"/>
      <c r="I345" s="548"/>
      <c r="J345" s="548"/>
      <c r="K345" s="548"/>
      <c r="L345" s="548"/>
      <c r="M345" s="548"/>
      <c r="N345" s="548"/>
      <c r="O345" s="548"/>
      <c r="P345" s="548"/>
      <c r="Q345" s="548"/>
      <c r="R345" s="548"/>
      <c r="S345" s="548"/>
      <c r="T345" s="548"/>
      <c r="U345" s="9"/>
      <c r="V345" s="9"/>
      <c r="W345" s="9"/>
      <c r="X345" s="9"/>
      <c r="Y345" s="9"/>
      <c r="Z345" s="9"/>
      <c r="AA345" s="9"/>
      <c r="AB345" s="9"/>
      <c r="AC345" s="9"/>
    </row>
    <row r="346" spans="1:29" ht="12.75" customHeight="1">
      <c r="A346" s="9"/>
      <c r="B346" s="9"/>
      <c r="C346" s="9"/>
      <c r="D346" s="9"/>
      <c r="E346" s="9"/>
      <c r="F346" s="9"/>
      <c r="G346" s="9"/>
      <c r="H346" s="548"/>
      <c r="I346" s="548"/>
      <c r="J346" s="548"/>
      <c r="K346" s="548"/>
      <c r="L346" s="548"/>
      <c r="M346" s="548"/>
      <c r="N346" s="548"/>
      <c r="O346" s="548"/>
      <c r="P346" s="548"/>
      <c r="Q346" s="548"/>
      <c r="R346" s="548"/>
      <c r="S346" s="548"/>
      <c r="T346" s="548"/>
      <c r="U346" s="9"/>
      <c r="V346" s="9"/>
      <c r="W346" s="9"/>
      <c r="X346" s="9"/>
      <c r="Y346" s="9"/>
      <c r="Z346" s="9"/>
      <c r="AA346" s="9"/>
      <c r="AB346" s="9"/>
      <c r="AC346" s="9"/>
    </row>
    <row r="347" spans="1:29" ht="12.75" customHeight="1">
      <c r="A347" s="9"/>
      <c r="B347" s="9"/>
      <c r="C347" s="9"/>
      <c r="D347" s="9"/>
      <c r="E347" s="9"/>
      <c r="F347" s="9"/>
      <c r="G347" s="9"/>
      <c r="H347" s="548"/>
      <c r="I347" s="548"/>
      <c r="J347" s="548"/>
      <c r="K347" s="548"/>
      <c r="L347" s="548"/>
      <c r="M347" s="548"/>
      <c r="N347" s="548"/>
      <c r="O347" s="548"/>
      <c r="P347" s="548"/>
      <c r="Q347" s="548"/>
      <c r="R347" s="548"/>
      <c r="S347" s="548"/>
      <c r="T347" s="548"/>
      <c r="U347" s="9"/>
      <c r="V347" s="9"/>
      <c r="W347" s="9"/>
      <c r="X347" s="9"/>
      <c r="Y347" s="9"/>
      <c r="Z347" s="9"/>
      <c r="AA347" s="9"/>
      <c r="AB347" s="9"/>
      <c r="AC347" s="9"/>
    </row>
    <row r="348" spans="1:29" ht="12.75" customHeight="1">
      <c r="A348" s="9"/>
      <c r="B348" s="9"/>
      <c r="C348" s="9"/>
      <c r="D348" s="9"/>
      <c r="E348" s="9"/>
      <c r="F348" s="9"/>
      <c r="G348" s="9"/>
      <c r="H348" s="548"/>
      <c r="I348" s="548"/>
      <c r="J348" s="548"/>
      <c r="K348" s="548"/>
      <c r="L348" s="548"/>
      <c r="M348" s="548"/>
      <c r="N348" s="548"/>
      <c r="O348" s="548"/>
      <c r="P348" s="548"/>
      <c r="Q348" s="548"/>
      <c r="R348" s="548"/>
      <c r="S348" s="548"/>
      <c r="T348" s="548"/>
      <c r="U348" s="9"/>
      <c r="V348" s="9"/>
      <c r="W348" s="9"/>
      <c r="X348" s="9"/>
      <c r="Y348" s="9"/>
      <c r="Z348" s="9"/>
      <c r="AA348" s="9"/>
      <c r="AB348" s="9"/>
      <c r="AC348" s="9"/>
    </row>
    <row r="349" spans="1:29" ht="12.75" customHeight="1">
      <c r="A349" s="9"/>
      <c r="B349" s="9"/>
      <c r="C349" s="9"/>
      <c r="D349" s="9"/>
      <c r="E349" s="9"/>
      <c r="F349" s="9"/>
      <c r="G349" s="9"/>
      <c r="H349" s="548"/>
      <c r="I349" s="548"/>
      <c r="J349" s="548"/>
      <c r="K349" s="548"/>
      <c r="L349" s="548"/>
      <c r="M349" s="548"/>
      <c r="N349" s="548"/>
      <c r="O349" s="548"/>
      <c r="P349" s="548"/>
      <c r="Q349" s="548"/>
      <c r="R349" s="548"/>
      <c r="S349" s="548"/>
      <c r="T349" s="548"/>
      <c r="U349" s="9"/>
      <c r="V349" s="9"/>
      <c r="W349" s="9"/>
      <c r="X349" s="9"/>
      <c r="Y349" s="9"/>
      <c r="Z349" s="9"/>
      <c r="AA349" s="9"/>
      <c r="AB349" s="9"/>
      <c r="AC349" s="9"/>
    </row>
    <row r="350" spans="1:29" ht="12.75" customHeight="1">
      <c r="A350" s="9"/>
      <c r="B350" s="9"/>
      <c r="C350" s="9"/>
      <c r="D350" s="9"/>
      <c r="E350" s="9"/>
      <c r="F350" s="9"/>
      <c r="G350" s="9"/>
      <c r="H350" s="548"/>
      <c r="I350" s="548"/>
      <c r="J350" s="548"/>
      <c r="K350" s="548"/>
      <c r="L350" s="548"/>
      <c r="M350" s="548"/>
      <c r="N350" s="548"/>
      <c r="O350" s="548"/>
      <c r="P350" s="548"/>
      <c r="Q350" s="548"/>
      <c r="R350" s="548"/>
      <c r="S350" s="548"/>
      <c r="T350" s="548"/>
      <c r="U350" s="9"/>
      <c r="V350" s="9"/>
      <c r="W350" s="9"/>
      <c r="X350" s="9"/>
      <c r="Y350" s="9"/>
      <c r="Z350" s="9"/>
      <c r="AA350" s="9"/>
      <c r="AB350" s="9"/>
      <c r="AC350" s="9"/>
    </row>
    <row r="351" spans="1:29" ht="12.75" customHeight="1">
      <c r="A351" s="9"/>
      <c r="B351" s="9"/>
      <c r="C351" s="9"/>
      <c r="D351" s="9"/>
      <c r="E351" s="9"/>
      <c r="F351" s="9"/>
      <c r="G351" s="9"/>
      <c r="H351" s="548"/>
      <c r="I351" s="548"/>
      <c r="J351" s="548"/>
      <c r="K351" s="548"/>
      <c r="L351" s="548"/>
      <c r="M351" s="548"/>
      <c r="N351" s="548"/>
      <c r="O351" s="548"/>
      <c r="P351" s="548"/>
      <c r="Q351" s="548"/>
      <c r="R351" s="548"/>
      <c r="S351" s="548"/>
      <c r="T351" s="548"/>
      <c r="U351" s="9"/>
      <c r="V351" s="9"/>
      <c r="W351" s="9"/>
      <c r="X351" s="9"/>
      <c r="Y351" s="9"/>
      <c r="Z351" s="9"/>
      <c r="AA351" s="9"/>
      <c r="AB351" s="9"/>
      <c r="AC351" s="9"/>
    </row>
    <row r="352" spans="1:29" ht="12.75" customHeight="1">
      <c r="A352" s="9"/>
      <c r="B352" s="9"/>
      <c r="C352" s="9"/>
      <c r="D352" s="9"/>
      <c r="E352" s="9"/>
      <c r="F352" s="9"/>
      <c r="G352" s="9"/>
      <c r="H352" s="548"/>
      <c r="I352" s="548"/>
      <c r="J352" s="548"/>
      <c r="K352" s="548"/>
      <c r="L352" s="548"/>
      <c r="M352" s="548"/>
      <c r="N352" s="548"/>
      <c r="O352" s="548"/>
      <c r="P352" s="548"/>
      <c r="Q352" s="548"/>
      <c r="R352" s="548"/>
      <c r="S352" s="548"/>
      <c r="T352" s="548"/>
      <c r="U352" s="9"/>
      <c r="V352" s="9"/>
      <c r="W352" s="9"/>
      <c r="X352" s="9"/>
      <c r="Y352" s="9"/>
      <c r="Z352" s="9"/>
      <c r="AA352" s="9"/>
      <c r="AB352" s="9"/>
      <c r="AC352" s="9"/>
    </row>
    <row r="353" spans="1:29" ht="12.75" customHeight="1">
      <c r="A353" s="9"/>
      <c r="B353" s="9"/>
      <c r="C353" s="9"/>
      <c r="D353" s="9"/>
      <c r="E353" s="9"/>
      <c r="F353" s="9"/>
      <c r="G353" s="9"/>
      <c r="H353" s="548"/>
      <c r="I353" s="548"/>
      <c r="J353" s="548"/>
      <c r="K353" s="548"/>
      <c r="L353" s="548"/>
      <c r="M353" s="548"/>
      <c r="N353" s="548"/>
      <c r="O353" s="548"/>
      <c r="P353" s="548"/>
      <c r="Q353" s="548"/>
      <c r="R353" s="548"/>
      <c r="S353" s="548"/>
      <c r="T353" s="548"/>
      <c r="U353" s="9"/>
      <c r="V353" s="9"/>
      <c r="W353" s="9"/>
      <c r="X353" s="9"/>
      <c r="Y353" s="9"/>
      <c r="Z353" s="9"/>
      <c r="AA353" s="9"/>
      <c r="AB353" s="9"/>
      <c r="AC353" s="9"/>
    </row>
    <row r="354" spans="1:29" ht="12.75" customHeight="1">
      <c r="A354" s="9"/>
      <c r="B354" s="9"/>
      <c r="C354" s="9"/>
      <c r="D354" s="9"/>
      <c r="E354" s="9"/>
      <c r="F354" s="9"/>
      <c r="G354" s="9"/>
      <c r="H354" s="548"/>
      <c r="I354" s="548"/>
      <c r="J354" s="548"/>
      <c r="K354" s="548"/>
      <c r="L354" s="548"/>
      <c r="M354" s="548"/>
      <c r="N354" s="548"/>
      <c r="O354" s="548"/>
      <c r="P354" s="548"/>
      <c r="Q354" s="548"/>
      <c r="R354" s="548"/>
      <c r="S354" s="548"/>
      <c r="T354" s="548"/>
      <c r="U354" s="9"/>
      <c r="V354" s="9"/>
      <c r="W354" s="9"/>
      <c r="X354" s="9"/>
      <c r="Y354" s="9"/>
      <c r="Z354" s="9"/>
      <c r="AA354" s="9"/>
      <c r="AB354" s="9"/>
      <c r="AC354" s="9"/>
    </row>
    <row r="355" spans="1:29" ht="12.75" customHeight="1">
      <c r="A355" s="9"/>
      <c r="B355" s="9"/>
      <c r="C355" s="9"/>
      <c r="D355" s="9"/>
      <c r="E355" s="9"/>
      <c r="F355" s="9"/>
      <c r="G355" s="9"/>
      <c r="H355" s="548"/>
      <c r="I355" s="548"/>
      <c r="J355" s="548"/>
      <c r="K355" s="548"/>
      <c r="L355" s="548"/>
      <c r="M355" s="548"/>
      <c r="N355" s="548"/>
      <c r="O355" s="548"/>
      <c r="P355" s="548"/>
      <c r="Q355" s="548"/>
      <c r="R355" s="548"/>
      <c r="S355" s="548"/>
      <c r="T355" s="548"/>
      <c r="U355" s="9"/>
      <c r="V355" s="9"/>
      <c r="W355" s="9"/>
      <c r="X355" s="9"/>
      <c r="Y355" s="9"/>
      <c r="Z355" s="9"/>
      <c r="AA355" s="9"/>
      <c r="AB355" s="9"/>
      <c r="AC355" s="9"/>
    </row>
    <row r="356" spans="1:29" ht="12.75" customHeight="1">
      <c r="A356" s="9"/>
      <c r="B356" s="9"/>
      <c r="C356" s="9"/>
      <c r="D356" s="9"/>
      <c r="E356" s="9"/>
      <c r="F356" s="9"/>
      <c r="G356" s="9"/>
      <c r="H356" s="548"/>
      <c r="I356" s="548"/>
      <c r="J356" s="548"/>
      <c r="K356" s="548"/>
      <c r="L356" s="548"/>
      <c r="M356" s="548"/>
      <c r="N356" s="548"/>
      <c r="O356" s="548"/>
      <c r="P356" s="548"/>
      <c r="Q356" s="548"/>
      <c r="R356" s="548"/>
      <c r="S356" s="548"/>
      <c r="T356" s="548"/>
      <c r="U356" s="9"/>
      <c r="V356" s="9"/>
      <c r="W356" s="9"/>
      <c r="X356" s="9"/>
      <c r="Y356" s="9"/>
      <c r="Z356" s="9"/>
      <c r="AA356" s="9"/>
      <c r="AB356" s="9"/>
      <c r="AC356" s="9"/>
    </row>
    <row r="357" spans="1:29" ht="12.75" customHeight="1">
      <c r="A357" s="9"/>
      <c r="B357" s="9"/>
      <c r="C357" s="9"/>
      <c r="D357" s="9"/>
      <c r="E357" s="9"/>
      <c r="F357" s="9"/>
      <c r="G357" s="9"/>
      <c r="H357" s="548"/>
      <c r="I357" s="548"/>
      <c r="J357" s="548"/>
      <c r="K357" s="548"/>
      <c r="L357" s="548"/>
      <c r="M357" s="548"/>
      <c r="N357" s="548"/>
      <c r="O357" s="548"/>
      <c r="P357" s="548"/>
      <c r="Q357" s="548"/>
      <c r="R357" s="548"/>
      <c r="S357" s="548"/>
      <c r="T357" s="548"/>
      <c r="U357" s="9"/>
      <c r="V357" s="9"/>
      <c r="W357" s="9"/>
      <c r="X357" s="9"/>
      <c r="Y357" s="9"/>
      <c r="Z357" s="9"/>
      <c r="AA357" s="9"/>
      <c r="AB357" s="9"/>
      <c r="AC357" s="9"/>
    </row>
    <row r="358" spans="1:29" ht="12.75" customHeight="1">
      <c r="A358" s="9"/>
      <c r="B358" s="9"/>
      <c r="C358" s="9"/>
      <c r="D358" s="9"/>
      <c r="E358" s="9"/>
      <c r="F358" s="9"/>
      <c r="G358" s="9"/>
      <c r="H358" s="548"/>
      <c r="I358" s="548"/>
      <c r="J358" s="548"/>
      <c r="K358" s="548"/>
      <c r="L358" s="548"/>
      <c r="M358" s="548"/>
      <c r="N358" s="548"/>
      <c r="O358" s="548"/>
      <c r="P358" s="548"/>
      <c r="Q358" s="548"/>
      <c r="R358" s="548"/>
      <c r="S358" s="548"/>
      <c r="T358" s="548"/>
      <c r="U358" s="9"/>
      <c r="V358" s="9"/>
      <c r="W358" s="9"/>
      <c r="X358" s="9"/>
      <c r="Y358" s="9"/>
      <c r="Z358" s="9"/>
      <c r="AA358" s="9"/>
      <c r="AB358" s="9"/>
      <c r="AC358" s="9"/>
    </row>
    <row r="359" spans="1:29" ht="12.75" customHeight="1">
      <c r="A359" s="9"/>
      <c r="B359" s="9"/>
      <c r="C359" s="9"/>
      <c r="D359" s="9"/>
      <c r="E359" s="9"/>
      <c r="F359" s="9"/>
      <c r="G359" s="9"/>
      <c r="H359" s="548"/>
      <c r="I359" s="548"/>
      <c r="J359" s="548"/>
      <c r="K359" s="548"/>
      <c r="L359" s="548"/>
      <c r="M359" s="548"/>
      <c r="N359" s="548"/>
      <c r="O359" s="548"/>
      <c r="P359" s="548"/>
      <c r="Q359" s="548"/>
      <c r="R359" s="548"/>
      <c r="S359" s="548"/>
      <c r="T359" s="548"/>
      <c r="U359" s="9"/>
      <c r="V359" s="9"/>
      <c r="W359" s="9"/>
      <c r="X359" s="9"/>
      <c r="Y359" s="9"/>
      <c r="Z359" s="9"/>
      <c r="AA359" s="9"/>
      <c r="AB359" s="9"/>
      <c r="AC359" s="9"/>
    </row>
    <row r="360" spans="1:29" ht="12.75" customHeight="1">
      <c r="A360" s="9"/>
      <c r="B360" s="9"/>
      <c r="C360" s="9"/>
      <c r="D360" s="9"/>
      <c r="E360" s="9"/>
      <c r="F360" s="9"/>
      <c r="G360" s="9"/>
      <c r="H360" s="548"/>
      <c r="I360" s="548"/>
      <c r="J360" s="548"/>
      <c r="K360" s="548"/>
      <c r="L360" s="548"/>
      <c r="M360" s="548"/>
      <c r="N360" s="548"/>
      <c r="O360" s="548"/>
      <c r="P360" s="548"/>
      <c r="Q360" s="548"/>
      <c r="R360" s="548"/>
      <c r="S360" s="548"/>
      <c r="T360" s="548"/>
      <c r="U360" s="9"/>
      <c r="V360" s="9"/>
      <c r="W360" s="9"/>
      <c r="X360" s="9"/>
      <c r="Y360" s="9"/>
      <c r="Z360" s="9"/>
      <c r="AA360" s="9"/>
      <c r="AB360" s="9"/>
      <c r="AC360" s="9"/>
    </row>
    <row r="361" spans="1:29" ht="12.75" customHeight="1">
      <c r="A361" s="9"/>
      <c r="B361" s="9"/>
      <c r="C361" s="9"/>
      <c r="D361" s="9"/>
      <c r="E361" s="9"/>
      <c r="F361" s="9"/>
      <c r="G361" s="9"/>
      <c r="H361" s="548"/>
      <c r="I361" s="548"/>
      <c r="J361" s="548"/>
      <c r="K361" s="548"/>
      <c r="L361" s="548"/>
      <c r="M361" s="548"/>
      <c r="N361" s="548"/>
      <c r="O361" s="548"/>
      <c r="P361" s="548"/>
      <c r="Q361" s="548"/>
      <c r="R361" s="548"/>
      <c r="S361" s="548"/>
      <c r="T361" s="548"/>
      <c r="U361" s="9"/>
      <c r="V361" s="9"/>
      <c r="W361" s="9"/>
      <c r="X361" s="9"/>
      <c r="Y361" s="9"/>
      <c r="Z361" s="9"/>
      <c r="AA361" s="9"/>
      <c r="AB361" s="9"/>
      <c r="AC361" s="9"/>
    </row>
    <row r="362" spans="1:29" ht="12.75" customHeight="1">
      <c r="A362" s="9"/>
      <c r="B362" s="9"/>
      <c r="C362" s="9"/>
      <c r="D362" s="9"/>
      <c r="E362" s="9"/>
      <c r="F362" s="9"/>
      <c r="G362" s="9"/>
      <c r="H362" s="548"/>
      <c r="I362" s="548"/>
      <c r="J362" s="548"/>
      <c r="K362" s="548"/>
      <c r="L362" s="548"/>
      <c r="M362" s="548"/>
      <c r="N362" s="548"/>
      <c r="O362" s="548"/>
      <c r="P362" s="548"/>
      <c r="Q362" s="548"/>
      <c r="R362" s="548"/>
      <c r="S362" s="548"/>
      <c r="T362" s="548"/>
      <c r="U362" s="9"/>
      <c r="V362" s="9"/>
      <c r="W362" s="9"/>
      <c r="X362" s="9"/>
      <c r="Y362" s="9"/>
      <c r="Z362" s="9"/>
      <c r="AA362" s="9"/>
      <c r="AB362" s="9"/>
      <c r="AC362" s="9"/>
    </row>
    <row r="363" spans="1:29" ht="12.75" customHeight="1">
      <c r="A363" s="9"/>
      <c r="B363" s="9"/>
      <c r="C363" s="9"/>
      <c r="D363" s="9"/>
      <c r="E363" s="9"/>
      <c r="F363" s="9"/>
      <c r="G363" s="9"/>
      <c r="H363" s="548"/>
      <c r="I363" s="548"/>
      <c r="J363" s="548"/>
      <c r="K363" s="548"/>
      <c r="L363" s="548"/>
      <c r="M363" s="548"/>
      <c r="N363" s="548"/>
      <c r="O363" s="548"/>
      <c r="P363" s="548"/>
      <c r="Q363" s="548"/>
      <c r="R363" s="548"/>
      <c r="S363" s="548"/>
      <c r="T363" s="548"/>
      <c r="U363" s="9"/>
      <c r="V363" s="9"/>
      <c r="W363" s="9"/>
      <c r="X363" s="9"/>
      <c r="Y363" s="9"/>
      <c r="Z363" s="9"/>
      <c r="AA363" s="9"/>
      <c r="AB363" s="9"/>
      <c r="AC363" s="9"/>
    </row>
    <row r="364" spans="1:29" ht="12.75" customHeight="1">
      <c r="A364" s="9"/>
      <c r="B364" s="9"/>
      <c r="C364" s="9"/>
      <c r="D364" s="9"/>
      <c r="E364" s="9"/>
      <c r="F364" s="9"/>
      <c r="G364" s="9"/>
      <c r="H364" s="548"/>
      <c r="I364" s="548"/>
      <c r="J364" s="548"/>
      <c r="K364" s="548"/>
      <c r="L364" s="548"/>
      <c r="M364" s="548"/>
      <c r="N364" s="548"/>
      <c r="O364" s="548"/>
      <c r="P364" s="548"/>
      <c r="Q364" s="548"/>
      <c r="R364" s="548"/>
      <c r="S364" s="548"/>
      <c r="T364" s="548"/>
      <c r="U364" s="9"/>
      <c r="V364" s="9"/>
      <c r="W364" s="9"/>
      <c r="X364" s="9"/>
      <c r="Y364" s="9"/>
      <c r="Z364" s="9"/>
      <c r="AA364" s="9"/>
      <c r="AB364" s="9"/>
      <c r="AC364" s="9"/>
    </row>
    <row r="365" spans="1:29" ht="12.75" customHeight="1">
      <c r="A365" s="9"/>
      <c r="B365" s="9"/>
      <c r="C365" s="9"/>
      <c r="D365" s="9"/>
      <c r="E365" s="9"/>
      <c r="F365" s="9"/>
      <c r="G365" s="9"/>
      <c r="H365" s="548"/>
      <c r="I365" s="548"/>
      <c r="J365" s="548"/>
      <c r="K365" s="548"/>
      <c r="L365" s="548"/>
      <c r="M365" s="548"/>
      <c r="N365" s="548"/>
      <c r="O365" s="548"/>
      <c r="P365" s="548"/>
      <c r="Q365" s="548"/>
      <c r="R365" s="548"/>
      <c r="S365" s="548"/>
      <c r="T365" s="548"/>
      <c r="U365" s="9"/>
      <c r="V365" s="9"/>
      <c r="W365" s="9"/>
      <c r="X365" s="9"/>
      <c r="Y365" s="9"/>
      <c r="Z365" s="9"/>
      <c r="AA365" s="9"/>
      <c r="AB365" s="9"/>
      <c r="AC365" s="9"/>
    </row>
    <row r="366" spans="1:29" ht="12.75" customHeight="1">
      <c r="A366" s="9"/>
      <c r="B366" s="9"/>
      <c r="C366" s="9"/>
      <c r="D366" s="9"/>
      <c r="E366" s="9"/>
      <c r="F366" s="9"/>
      <c r="G366" s="9"/>
      <c r="H366" s="548"/>
      <c r="I366" s="548"/>
      <c r="J366" s="548"/>
      <c r="K366" s="548"/>
      <c r="L366" s="548"/>
      <c r="M366" s="548"/>
      <c r="N366" s="548"/>
      <c r="O366" s="548"/>
      <c r="P366" s="548"/>
      <c r="Q366" s="548"/>
      <c r="R366" s="548"/>
      <c r="S366" s="548"/>
      <c r="T366" s="548"/>
      <c r="U366" s="9"/>
      <c r="V366" s="9"/>
      <c r="W366" s="9"/>
      <c r="X366" s="9"/>
      <c r="Y366" s="9"/>
      <c r="Z366" s="9"/>
      <c r="AA366" s="9"/>
      <c r="AB366" s="9"/>
      <c r="AC366" s="9"/>
    </row>
    <row r="367" spans="1:29" ht="12.75" customHeight="1">
      <c r="A367" s="9"/>
      <c r="B367" s="9"/>
      <c r="C367" s="9"/>
      <c r="D367" s="9"/>
      <c r="E367" s="9"/>
      <c r="F367" s="9"/>
      <c r="G367" s="9"/>
      <c r="H367" s="548"/>
      <c r="I367" s="548"/>
      <c r="J367" s="548"/>
      <c r="K367" s="548"/>
      <c r="L367" s="548"/>
      <c r="M367" s="548"/>
      <c r="N367" s="548"/>
      <c r="O367" s="548"/>
      <c r="P367" s="548"/>
      <c r="Q367" s="548"/>
      <c r="R367" s="548"/>
      <c r="S367" s="548"/>
      <c r="T367" s="548"/>
      <c r="U367" s="9"/>
      <c r="V367" s="9"/>
      <c r="W367" s="9"/>
      <c r="X367" s="9"/>
      <c r="Y367" s="9"/>
      <c r="Z367" s="9"/>
      <c r="AA367" s="9"/>
      <c r="AB367" s="9"/>
      <c r="AC367" s="9"/>
    </row>
    <row r="368" spans="1:29" ht="12.75" customHeight="1">
      <c r="A368" s="9"/>
      <c r="B368" s="9"/>
      <c r="C368" s="9"/>
      <c r="D368" s="9"/>
      <c r="E368" s="9"/>
      <c r="F368" s="9"/>
      <c r="G368" s="9"/>
      <c r="H368" s="548"/>
      <c r="I368" s="548"/>
      <c r="J368" s="548"/>
      <c r="K368" s="548"/>
      <c r="L368" s="548"/>
      <c r="M368" s="548"/>
      <c r="N368" s="548"/>
      <c r="O368" s="548"/>
      <c r="P368" s="548"/>
      <c r="Q368" s="548"/>
      <c r="R368" s="548"/>
      <c r="S368" s="548"/>
      <c r="T368" s="548"/>
      <c r="U368" s="9"/>
      <c r="V368" s="9"/>
      <c r="W368" s="9"/>
      <c r="X368" s="9"/>
      <c r="Y368" s="9"/>
      <c r="Z368" s="9"/>
      <c r="AA368" s="9"/>
      <c r="AB368" s="9"/>
      <c r="AC368" s="9"/>
    </row>
    <row r="369" spans="1:29" ht="12.75" customHeight="1">
      <c r="A369" s="9"/>
      <c r="B369" s="9"/>
      <c r="C369" s="9"/>
      <c r="D369" s="9"/>
      <c r="E369" s="9"/>
      <c r="F369" s="9"/>
      <c r="G369" s="9"/>
      <c r="H369" s="548"/>
      <c r="I369" s="548"/>
      <c r="J369" s="548"/>
      <c r="K369" s="548"/>
      <c r="L369" s="548"/>
      <c r="M369" s="548"/>
      <c r="N369" s="548"/>
      <c r="O369" s="548"/>
      <c r="P369" s="548"/>
      <c r="Q369" s="548"/>
      <c r="R369" s="548"/>
      <c r="S369" s="548"/>
      <c r="T369" s="548"/>
      <c r="U369" s="9"/>
      <c r="V369" s="9"/>
      <c r="W369" s="9"/>
      <c r="X369" s="9"/>
      <c r="Y369" s="9"/>
      <c r="Z369" s="9"/>
      <c r="AA369" s="9"/>
      <c r="AB369" s="9"/>
      <c r="AC369" s="9"/>
    </row>
    <row r="370" spans="1:29" ht="12.75" customHeight="1">
      <c r="A370" s="9"/>
      <c r="B370" s="9"/>
      <c r="C370" s="9"/>
      <c r="D370" s="9"/>
      <c r="E370" s="9"/>
      <c r="F370" s="9"/>
      <c r="G370" s="9"/>
      <c r="H370" s="548"/>
      <c r="I370" s="548"/>
      <c r="J370" s="548"/>
      <c r="K370" s="548"/>
      <c r="L370" s="548"/>
      <c r="M370" s="548"/>
      <c r="N370" s="548"/>
      <c r="O370" s="548"/>
      <c r="P370" s="548"/>
      <c r="Q370" s="548"/>
      <c r="R370" s="548"/>
      <c r="S370" s="548"/>
      <c r="T370" s="548"/>
      <c r="U370" s="9"/>
      <c r="V370" s="9"/>
      <c r="W370" s="9"/>
      <c r="X370" s="9"/>
      <c r="Y370" s="9"/>
      <c r="Z370" s="9"/>
      <c r="AA370" s="9"/>
      <c r="AB370" s="9"/>
      <c r="AC370" s="9"/>
    </row>
    <row r="371" spans="1:29" ht="12.75" customHeight="1">
      <c r="A371" s="9"/>
      <c r="B371" s="9"/>
      <c r="C371" s="9"/>
      <c r="D371" s="9"/>
      <c r="E371" s="9"/>
      <c r="F371" s="9"/>
      <c r="G371" s="9"/>
      <c r="H371" s="548"/>
      <c r="I371" s="548"/>
      <c r="J371" s="548"/>
      <c r="K371" s="548"/>
      <c r="L371" s="548"/>
      <c r="M371" s="548"/>
      <c r="N371" s="548"/>
      <c r="O371" s="548"/>
      <c r="P371" s="548"/>
      <c r="Q371" s="548"/>
      <c r="R371" s="548"/>
      <c r="S371" s="548"/>
      <c r="T371" s="548"/>
      <c r="U371" s="9"/>
      <c r="V371" s="9"/>
      <c r="W371" s="9"/>
      <c r="X371" s="9"/>
      <c r="Y371" s="9"/>
      <c r="Z371" s="9"/>
      <c r="AA371" s="9"/>
      <c r="AB371" s="9"/>
      <c r="AC371" s="9"/>
    </row>
    <row r="372" spans="1:29" ht="12.75" customHeight="1">
      <c r="A372" s="9"/>
      <c r="B372" s="9"/>
      <c r="C372" s="9"/>
      <c r="D372" s="9"/>
      <c r="E372" s="9"/>
      <c r="F372" s="9"/>
      <c r="G372" s="9"/>
      <c r="H372" s="548"/>
      <c r="I372" s="548"/>
      <c r="J372" s="548"/>
      <c r="K372" s="548"/>
      <c r="L372" s="548"/>
      <c r="M372" s="548"/>
      <c r="N372" s="548"/>
      <c r="O372" s="548"/>
      <c r="P372" s="548"/>
      <c r="Q372" s="548"/>
      <c r="R372" s="548"/>
      <c r="S372" s="548"/>
      <c r="T372" s="548"/>
      <c r="U372" s="9"/>
      <c r="V372" s="9"/>
      <c r="W372" s="9"/>
      <c r="X372" s="9"/>
      <c r="Y372" s="9"/>
      <c r="Z372" s="9"/>
      <c r="AA372" s="9"/>
      <c r="AB372" s="9"/>
      <c r="AC372" s="9"/>
    </row>
    <row r="373" spans="1:29" ht="12.75" customHeight="1">
      <c r="A373" s="9"/>
      <c r="B373" s="9"/>
      <c r="C373" s="9"/>
      <c r="D373" s="9"/>
      <c r="E373" s="9"/>
      <c r="F373" s="9"/>
      <c r="G373" s="9"/>
      <c r="H373" s="548"/>
      <c r="I373" s="548"/>
      <c r="J373" s="548"/>
      <c r="K373" s="548"/>
      <c r="L373" s="548"/>
      <c r="M373" s="548"/>
      <c r="N373" s="548"/>
      <c r="O373" s="548"/>
      <c r="P373" s="548"/>
      <c r="Q373" s="548"/>
      <c r="R373" s="548"/>
      <c r="S373" s="548"/>
      <c r="T373" s="548"/>
      <c r="U373" s="9"/>
      <c r="V373" s="9"/>
      <c r="W373" s="9"/>
      <c r="X373" s="9"/>
      <c r="Y373" s="9"/>
      <c r="Z373" s="9"/>
      <c r="AA373" s="9"/>
      <c r="AB373" s="9"/>
      <c r="AC373" s="9"/>
    </row>
    <row r="374" spans="1:29" ht="12.75" customHeight="1">
      <c r="A374" s="9"/>
      <c r="B374" s="9"/>
      <c r="C374" s="9"/>
      <c r="D374" s="9"/>
      <c r="E374" s="9"/>
      <c r="F374" s="9"/>
      <c r="G374" s="9"/>
      <c r="H374" s="548"/>
      <c r="I374" s="548"/>
      <c r="J374" s="548"/>
      <c r="K374" s="548"/>
      <c r="L374" s="548"/>
      <c r="M374" s="548"/>
      <c r="N374" s="548"/>
      <c r="O374" s="548"/>
      <c r="P374" s="548"/>
      <c r="Q374" s="548"/>
      <c r="R374" s="548"/>
      <c r="S374" s="548"/>
      <c r="T374" s="548"/>
      <c r="U374" s="9"/>
      <c r="V374" s="9"/>
      <c r="W374" s="9"/>
      <c r="X374" s="9"/>
      <c r="Y374" s="9"/>
      <c r="Z374" s="9"/>
      <c r="AA374" s="9"/>
      <c r="AB374" s="9"/>
      <c r="AC374" s="9"/>
    </row>
    <row r="375" spans="1:29" ht="12.75" customHeight="1">
      <c r="A375" s="9"/>
      <c r="B375" s="9"/>
      <c r="C375" s="9"/>
      <c r="D375" s="9"/>
      <c r="E375" s="9"/>
      <c r="F375" s="9"/>
      <c r="G375" s="9"/>
      <c r="H375" s="548"/>
      <c r="I375" s="548"/>
      <c r="J375" s="548"/>
      <c r="K375" s="548"/>
      <c r="L375" s="548"/>
      <c r="M375" s="548"/>
      <c r="N375" s="548"/>
      <c r="O375" s="548"/>
      <c r="P375" s="548"/>
      <c r="Q375" s="548"/>
      <c r="R375" s="548"/>
      <c r="S375" s="548"/>
      <c r="T375" s="548"/>
      <c r="U375" s="9"/>
      <c r="V375" s="9"/>
      <c r="W375" s="9"/>
      <c r="X375" s="9"/>
      <c r="Y375" s="9"/>
      <c r="Z375" s="9"/>
      <c r="AA375" s="9"/>
      <c r="AB375" s="9"/>
      <c r="AC375" s="9"/>
    </row>
    <row r="376" spans="1:29" ht="12.75" customHeight="1">
      <c r="A376" s="9"/>
      <c r="B376" s="9"/>
      <c r="C376" s="9"/>
      <c r="D376" s="9"/>
      <c r="E376" s="9"/>
      <c r="F376" s="9"/>
      <c r="G376" s="9"/>
      <c r="H376" s="548"/>
      <c r="I376" s="548"/>
      <c r="J376" s="548"/>
      <c r="K376" s="548"/>
      <c r="L376" s="548"/>
      <c r="M376" s="548"/>
      <c r="N376" s="548"/>
      <c r="O376" s="548"/>
      <c r="P376" s="548"/>
      <c r="Q376" s="548"/>
      <c r="R376" s="548"/>
      <c r="S376" s="548"/>
      <c r="T376" s="548"/>
      <c r="U376" s="9"/>
      <c r="V376" s="9"/>
      <c r="W376" s="9"/>
      <c r="X376" s="9"/>
      <c r="Y376" s="9"/>
      <c r="Z376" s="9"/>
      <c r="AA376" s="9"/>
      <c r="AB376" s="9"/>
      <c r="AC376" s="9"/>
    </row>
    <row r="377" spans="1:29" ht="12.75" customHeight="1">
      <c r="A377" s="9"/>
      <c r="B377" s="9"/>
      <c r="C377" s="9"/>
      <c r="D377" s="9"/>
      <c r="E377" s="9"/>
      <c r="F377" s="9"/>
      <c r="G377" s="9"/>
      <c r="H377" s="548"/>
      <c r="I377" s="548"/>
      <c r="J377" s="548"/>
      <c r="K377" s="548"/>
      <c r="L377" s="548"/>
      <c r="M377" s="548"/>
      <c r="N377" s="548"/>
      <c r="O377" s="548"/>
      <c r="P377" s="548"/>
      <c r="Q377" s="548"/>
      <c r="R377" s="548"/>
      <c r="S377" s="548"/>
      <c r="T377" s="548"/>
      <c r="U377" s="9"/>
      <c r="V377" s="9"/>
      <c r="W377" s="9"/>
      <c r="X377" s="9"/>
      <c r="Y377" s="9"/>
      <c r="Z377" s="9"/>
      <c r="AA377" s="9"/>
      <c r="AB377" s="9"/>
      <c r="AC377" s="9"/>
    </row>
    <row r="378" spans="1:29" ht="12.75" customHeight="1">
      <c r="A378" s="9"/>
      <c r="B378" s="9"/>
      <c r="C378" s="9"/>
      <c r="D378" s="9"/>
      <c r="E378" s="9"/>
      <c r="F378" s="9"/>
      <c r="G378" s="9"/>
      <c r="H378" s="548"/>
      <c r="I378" s="548"/>
      <c r="J378" s="548"/>
      <c r="K378" s="548"/>
      <c r="L378" s="548"/>
      <c r="M378" s="548"/>
      <c r="N378" s="548"/>
      <c r="O378" s="548"/>
      <c r="P378" s="548"/>
      <c r="Q378" s="548"/>
      <c r="R378" s="548"/>
      <c r="S378" s="548"/>
      <c r="T378" s="548"/>
      <c r="U378" s="9"/>
      <c r="V378" s="9"/>
      <c r="W378" s="9"/>
      <c r="X378" s="9"/>
      <c r="Y378" s="9"/>
      <c r="Z378" s="9"/>
      <c r="AA378" s="9"/>
      <c r="AB378" s="9"/>
      <c r="AC378" s="9"/>
    </row>
    <row r="379" spans="1:29" ht="12.75" customHeight="1">
      <c r="A379" s="9"/>
      <c r="B379" s="9"/>
      <c r="C379" s="9"/>
      <c r="D379" s="9"/>
      <c r="E379" s="9"/>
      <c r="F379" s="9"/>
      <c r="G379" s="9"/>
      <c r="H379" s="548"/>
      <c r="I379" s="548"/>
      <c r="J379" s="548"/>
      <c r="K379" s="548"/>
      <c r="L379" s="548"/>
      <c r="M379" s="548"/>
      <c r="N379" s="548"/>
      <c r="O379" s="548"/>
      <c r="P379" s="548"/>
      <c r="Q379" s="548"/>
      <c r="R379" s="548"/>
      <c r="S379" s="548"/>
      <c r="T379" s="548"/>
      <c r="U379" s="9"/>
      <c r="V379" s="9"/>
      <c r="W379" s="9"/>
      <c r="X379" s="9"/>
      <c r="Y379" s="9"/>
      <c r="Z379" s="9"/>
      <c r="AA379" s="9"/>
      <c r="AB379" s="9"/>
      <c r="AC379" s="9"/>
    </row>
    <row r="380" spans="1:29" ht="12.75" customHeight="1">
      <c r="A380" s="9"/>
      <c r="B380" s="9"/>
      <c r="C380" s="9"/>
      <c r="D380" s="9"/>
      <c r="E380" s="9"/>
      <c r="F380" s="9"/>
      <c r="G380" s="9"/>
      <c r="H380" s="548"/>
      <c r="I380" s="548"/>
      <c r="J380" s="548"/>
      <c r="K380" s="548"/>
      <c r="L380" s="548"/>
      <c r="M380" s="548"/>
      <c r="N380" s="548"/>
      <c r="O380" s="548"/>
      <c r="P380" s="548"/>
      <c r="Q380" s="548"/>
      <c r="R380" s="548"/>
      <c r="S380" s="548"/>
      <c r="T380" s="548"/>
      <c r="U380" s="9"/>
      <c r="V380" s="9"/>
      <c r="W380" s="9"/>
      <c r="X380" s="9"/>
      <c r="Y380" s="9"/>
      <c r="Z380" s="9"/>
      <c r="AA380" s="9"/>
      <c r="AB380" s="9"/>
      <c r="AC380" s="9"/>
    </row>
    <row r="381" spans="1:29" ht="12.75" customHeight="1">
      <c r="A381" s="9"/>
      <c r="B381" s="9"/>
      <c r="C381" s="9"/>
      <c r="D381" s="9"/>
      <c r="E381" s="9"/>
      <c r="F381" s="9"/>
      <c r="G381" s="9"/>
      <c r="H381" s="548"/>
      <c r="I381" s="548"/>
      <c r="J381" s="548"/>
      <c r="K381" s="548"/>
      <c r="L381" s="548"/>
      <c r="M381" s="548"/>
      <c r="N381" s="548"/>
      <c r="O381" s="548"/>
      <c r="P381" s="548"/>
      <c r="Q381" s="548"/>
      <c r="R381" s="548"/>
      <c r="S381" s="548"/>
      <c r="T381" s="548"/>
      <c r="U381" s="9"/>
      <c r="V381" s="9"/>
      <c r="W381" s="9"/>
      <c r="X381" s="9"/>
      <c r="Y381" s="9"/>
      <c r="Z381" s="9"/>
      <c r="AA381" s="9"/>
      <c r="AB381" s="9"/>
      <c r="AC381" s="9"/>
    </row>
    <row r="382" spans="1:29" ht="12.75" customHeight="1">
      <c r="A382" s="9"/>
      <c r="B382" s="9"/>
      <c r="C382" s="9"/>
      <c r="D382" s="9"/>
      <c r="E382" s="9"/>
      <c r="F382" s="9"/>
      <c r="G382" s="9"/>
      <c r="H382" s="548"/>
      <c r="I382" s="548"/>
      <c r="J382" s="548"/>
      <c r="K382" s="548"/>
      <c r="L382" s="548"/>
      <c r="M382" s="548"/>
      <c r="N382" s="548"/>
      <c r="O382" s="548"/>
      <c r="P382" s="548"/>
      <c r="Q382" s="548"/>
      <c r="R382" s="548"/>
      <c r="S382" s="548"/>
      <c r="T382" s="548"/>
      <c r="U382" s="9"/>
      <c r="V382" s="9"/>
      <c r="W382" s="9"/>
      <c r="X382" s="9"/>
      <c r="Y382" s="9"/>
      <c r="Z382" s="9"/>
      <c r="AA382" s="9"/>
      <c r="AB382" s="9"/>
      <c r="AC382" s="9"/>
    </row>
    <row r="383" spans="1:29" ht="12.75" customHeight="1">
      <c r="A383" s="9"/>
      <c r="B383" s="9"/>
      <c r="C383" s="9"/>
      <c r="D383" s="9"/>
      <c r="E383" s="9"/>
      <c r="F383" s="9"/>
      <c r="G383" s="9"/>
      <c r="H383" s="548"/>
      <c r="I383" s="548"/>
      <c r="J383" s="548"/>
      <c r="K383" s="548"/>
      <c r="L383" s="548"/>
      <c r="M383" s="548"/>
      <c r="N383" s="548"/>
      <c r="O383" s="548"/>
      <c r="P383" s="548"/>
      <c r="Q383" s="548"/>
      <c r="R383" s="548"/>
      <c r="S383" s="548"/>
      <c r="T383" s="548"/>
      <c r="U383" s="9"/>
      <c r="V383" s="9"/>
      <c r="W383" s="9"/>
      <c r="X383" s="9"/>
      <c r="Y383" s="9"/>
      <c r="Z383" s="9"/>
      <c r="AA383" s="9"/>
      <c r="AB383" s="9"/>
      <c r="AC383" s="9"/>
    </row>
    <row r="384" spans="1:29" ht="12.75" customHeight="1">
      <c r="A384" s="9"/>
      <c r="B384" s="9"/>
      <c r="C384" s="9"/>
      <c r="D384" s="9"/>
      <c r="E384" s="9"/>
      <c r="F384" s="9"/>
      <c r="G384" s="9"/>
      <c r="H384" s="548"/>
      <c r="I384" s="548"/>
      <c r="J384" s="548"/>
      <c r="K384" s="548"/>
      <c r="L384" s="548"/>
      <c r="M384" s="548"/>
      <c r="N384" s="548"/>
      <c r="O384" s="548"/>
      <c r="P384" s="548"/>
      <c r="Q384" s="548"/>
      <c r="R384" s="548"/>
      <c r="S384" s="548"/>
      <c r="T384" s="548"/>
      <c r="U384" s="9"/>
      <c r="V384" s="9"/>
      <c r="W384" s="9"/>
      <c r="X384" s="9"/>
      <c r="Y384" s="9"/>
      <c r="Z384" s="9"/>
      <c r="AA384" s="9"/>
      <c r="AB384" s="9"/>
      <c r="AC384" s="9"/>
    </row>
    <row r="385" spans="1:29" ht="12.75" customHeight="1">
      <c r="A385" s="9"/>
      <c r="B385" s="9"/>
      <c r="C385" s="9"/>
      <c r="D385" s="9"/>
      <c r="E385" s="9"/>
      <c r="F385" s="9"/>
      <c r="G385" s="9"/>
      <c r="H385" s="548"/>
      <c r="I385" s="548"/>
      <c r="J385" s="548"/>
      <c r="K385" s="548"/>
      <c r="L385" s="548"/>
      <c r="M385" s="548"/>
      <c r="N385" s="548"/>
      <c r="O385" s="548"/>
      <c r="P385" s="548"/>
      <c r="Q385" s="548"/>
      <c r="R385" s="548"/>
      <c r="S385" s="548"/>
      <c r="T385" s="548"/>
      <c r="U385" s="9"/>
      <c r="V385" s="9"/>
      <c r="W385" s="9"/>
      <c r="X385" s="9"/>
      <c r="Y385" s="9"/>
      <c r="Z385" s="9"/>
      <c r="AA385" s="9"/>
      <c r="AB385" s="9"/>
      <c r="AC385" s="9"/>
    </row>
    <row r="386" spans="1:29" ht="12.75" customHeight="1">
      <c r="A386" s="9"/>
      <c r="B386" s="9"/>
      <c r="C386" s="9"/>
      <c r="D386" s="9"/>
      <c r="E386" s="9"/>
      <c r="F386" s="9"/>
      <c r="G386" s="9"/>
      <c r="H386" s="548"/>
      <c r="I386" s="548"/>
      <c r="J386" s="548"/>
      <c r="K386" s="548"/>
      <c r="L386" s="548"/>
      <c r="M386" s="548"/>
      <c r="N386" s="548"/>
      <c r="O386" s="548"/>
      <c r="P386" s="548"/>
      <c r="Q386" s="548"/>
      <c r="R386" s="548"/>
      <c r="S386" s="548"/>
      <c r="T386" s="548"/>
      <c r="U386" s="9"/>
      <c r="V386" s="9"/>
      <c r="W386" s="9"/>
      <c r="X386" s="9"/>
      <c r="Y386" s="9"/>
      <c r="Z386" s="9"/>
      <c r="AA386" s="9"/>
      <c r="AB386" s="9"/>
      <c r="AC386" s="9"/>
    </row>
    <row r="387" spans="1:29" ht="12.75" customHeight="1">
      <c r="A387" s="9"/>
      <c r="B387" s="9"/>
      <c r="C387" s="9"/>
      <c r="D387" s="9"/>
      <c r="E387" s="9"/>
      <c r="F387" s="9"/>
      <c r="G387" s="9"/>
      <c r="H387" s="548"/>
      <c r="I387" s="548"/>
      <c r="J387" s="548"/>
      <c r="K387" s="548"/>
      <c r="L387" s="548"/>
      <c r="M387" s="548"/>
      <c r="N387" s="548"/>
      <c r="O387" s="548"/>
      <c r="P387" s="548"/>
      <c r="Q387" s="548"/>
      <c r="R387" s="548"/>
      <c r="S387" s="548"/>
      <c r="T387" s="548"/>
      <c r="U387" s="9"/>
      <c r="V387" s="9"/>
      <c r="W387" s="9"/>
      <c r="X387" s="9"/>
      <c r="Y387" s="9"/>
      <c r="Z387" s="9"/>
      <c r="AA387" s="9"/>
      <c r="AB387" s="9"/>
      <c r="AC387" s="9"/>
    </row>
    <row r="388" spans="1:29" ht="12.75" customHeight="1">
      <c r="A388" s="9"/>
      <c r="B388" s="9"/>
      <c r="C388" s="9"/>
      <c r="D388" s="9"/>
      <c r="E388" s="9"/>
      <c r="F388" s="9"/>
      <c r="G388" s="9"/>
      <c r="H388" s="548"/>
      <c r="I388" s="548"/>
      <c r="J388" s="548"/>
      <c r="K388" s="548"/>
      <c r="L388" s="548"/>
      <c r="M388" s="548"/>
      <c r="N388" s="548"/>
      <c r="O388" s="548"/>
      <c r="P388" s="548"/>
      <c r="Q388" s="548"/>
      <c r="R388" s="548"/>
      <c r="S388" s="548"/>
      <c r="T388" s="548"/>
      <c r="U388" s="9"/>
      <c r="V388" s="9"/>
      <c r="W388" s="9"/>
      <c r="X388" s="9"/>
      <c r="Y388" s="9"/>
      <c r="Z388" s="9"/>
      <c r="AA388" s="9"/>
      <c r="AB388" s="9"/>
      <c r="AC388" s="9"/>
    </row>
    <row r="389" spans="1:29" ht="12.75" customHeight="1">
      <c r="A389" s="9"/>
      <c r="B389" s="9"/>
      <c r="C389" s="9"/>
      <c r="D389" s="9"/>
      <c r="E389" s="9"/>
      <c r="F389" s="9"/>
      <c r="G389" s="9"/>
      <c r="H389" s="548"/>
      <c r="I389" s="548"/>
      <c r="J389" s="548"/>
      <c r="K389" s="548"/>
      <c r="L389" s="548"/>
      <c r="M389" s="548"/>
      <c r="N389" s="548"/>
      <c r="O389" s="548"/>
      <c r="P389" s="548"/>
      <c r="Q389" s="548"/>
      <c r="R389" s="548"/>
      <c r="S389" s="548"/>
      <c r="T389" s="548"/>
      <c r="U389" s="9"/>
      <c r="V389" s="9"/>
      <c r="W389" s="9"/>
      <c r="X389" s="9"/>
      <c r="Y389" s="9"/>
      <c r="Z389" s="9"/>
      <c r="AA389" s="9"/>
      <c r="AB389" s="9"/>
      <c r="AC389" s="9"/>
    </row>
    <row r="390" spans="1:29" ht="12.75" customHeight="1">
      <c r="A390" s="9"/>
      <c r="B390" s="9"/>
      <c r="C390" s="9"/>
      <c r="D390" s="9"/>
      <c r="E390" s="9"/>
      <c r="F390" s="9"/>
      <c r="G390" s="9"/>
      <c r="H390" s="548"/>
      <c r="I390" s="548"/>
      <c r="J390" s="548"/>
      <c r="K390" s="548"/>
      <c r="L390" s="548"/>
      <c r="M390" s="548"/>
      <c r="N390" s="548"/>
      <c r="O390" s="548"/>
      <c r="P390" s="548"/>
      <c r="Q390" s="548"/>
      <c r="R390" s="548"/>
      <c r="S390" s="548"/>
      <c r="T390" s="548"/>
      <c r="U390" s="9"/>
      <c r="V390" s="9"/>
      <c r="W390" s="9"/>
      <c r="X390" s="9"/>
      <c r="Y390" s="9"/>
      <c r="Z390" s="9"/>
      <c r="AA390" s="9"/>
      <c r="AB390" s="9"/>
      <c r="AC390" s="9"/>
    </row>
    <row r="391" spans="1:29" ht="12.75" customHeight="1">
      <c r="A391" s="9"/>
      <c r="B391" s="9"/>
      <c r="C391" s="9"/>
      <c r="D391" s="9"/>
      <c r="E391" s="9"/>
      <c r="F391" s="9"/>
      <c r="G391" s="9"/>
      <c r="H391" s="548"/>
      <c r="I391" s="548"/>
      <c r="J391" s="548"/>
      <c r="K391" s="548"/>
      <c r="L391" s="548"/>
      <c r="M391" s="548"/>
      <c r="N391" s="548"/>
      <c r="O391" s="548"/>
      <c r="P391" s="548"/>
      <c r="Q391" s="548"/>
      <c r="R391" s="548"/>
      <c r="S391" s="548"/>
      <c r="T391" s="548"/>
      <c r="U391" s="9"/>
      <c r="V391" s="9"/>
      <c r="W391" s="9"/>
      <c r="X391" s="9"/>
      <c r="Y391" s="9"/>
      <c r="Z391" s="9"/>
      <c r="AA391" s="9"/>
      <c r="AB391" s="9"/>
      <c r="AC391" s="9"/>
    </row>
    <row r="392" spans="1:29" ht="12.75" customHeight="1">
      <c r="A392" s="9"/>
      <c r="B392" s="9"/>
      <c r="C392" s="9"/>
      <c r="D392" s="9"/>
      <c r="E392" s="9"/>
      <c r="F392" s="9"/>
      <c r="G392" s="9"/>
      <c r="H392" s="548"/>
      <c r="I392" s="548"/>
      <c r="J392" s="548"/>
      <c r="K392" s="548"/>
      <c r="L392" s="548"/>
      <c r="M392" s="548"/>
      <c r="N392" s="548"/>
      <c r="O392" s="548"/>
      <c r="P392" s="548"/>
      <c r="Q392" s="548"/>
      <c r="R392" s="548"/>
      <c r="S392" s="548"/>
      <c r="T392" s="548"/>
      <c r="U392" s="9"/>
      <c r="V392" s="9"/>
      <c r="W392" s="9"/>
      <c r="X392" s="9"/>
      <c r="Y392" s="9"/>
      <c r="Z392" s="9"/>
      <c r="AA392" s="9"/>
      <c r="AB392" s="9"/>
      <c r="AC392" s="9"/>
    </row>
    <row r="393" spans="1:29" ht="12.75" customHeight="1">
      <c r="A393" s="9"/>
      <c r="B393" s="9"/>
      <c r="C393" s="9"/>
      <c r="D393" s="9"/>
      <c r="E393" s="9"/>
      <c r="F393" s="9"/>
      <c r="G393" s="9"/>
      <c r="H393" s="548"/>
      <c r="I393" s="548"/>
      <c r="J393" s="548"/>
      <c r="K393" s="548"/>
      <c r="L393" s="548"/>
      <c r="M393" s="548"/>
      <c r="N393" s="548"/>
      <c r="O393" s="548"/>
      <c r="P393" s="548"/>
      <c r="Q393" s="548"/>
      <c r="R393" s="548"/>
      <c r="S393" s="548"/>
      <c r="T393" s="548"/>
      <c r="U393" s="9"/>
      <c r="V393" s="9"/>
      <c r="W393" s="9"/>
      <c r="X393" s="9"/>
      <c r="Y393" s="9"/>
      <c r="Z393" s="9"/>
      <c r="AA393" s="9"/>
      <c r="AB393" s="9"/>
      <c r="AC393" s="9"/>
    </row>
    <row r="394" spans="1:29" ht="12.75" customHeight="1">
      <c r="A394" s="9"/>
      <c r="B394" s="9"/>
      <c r="C394" s="9"/>
      <c r="D394" s="9"/>
      <c r="E394" s="9"/>
      <c r="F394" s="9"/>
      <c r="G394" s="9"/>
      <c r="H394" s="548"/>
      <c r="I394" s="548"/>
      <c r="J394" s="548"/>
      <c r="K394" s="548"/>
      <c r="L394" s="548"/>
      <c r="M394" s="548"/>
      <c r="N394" s="548"/>
      <c r="O394" s="548"/>
      <c r="P394" s="548"/>
      <c r="Q394" s="548"/>
      <c r="R394" s="548"/>
      <c r="S394" s="548"/>
      <c r="T394" s="548"/>
      <c r="U394" s="9"/>
      <c r="V394" s="9"/>
      <c r="W394" s="9"/>
      <c r="X394" s="9"/>
      <c r="Y394" s="9"/>
      <c r="Z394" s="9"/>
      <c r="AA394" s="9"/>
      <c r="AB394" s="9"/>
      <c r="AC394" s="9"/>
    </row>
    <row r="395" spans="1:29" ht="12.75" customHeight="1">
      <c r="A395" s="9"/>
      <c r="B395" s="9"/>
      <c r="C395" s="9"/>
      <c r="D395" s="9"/>
      <c r="E395" s="9"/>
      <c r="F395" s="9"/>
      <c r="G395" s="9"/>
      <c r="H395" s="548"/>
      <c r="I395" s="548"/>
      <c r="J395" s="548"/>
      <c r="K395" s="548"/>
      <c r="L395" s="548"/>
      <c r="M395" s="548"/>
      <c r="N395" s="548"/>
      <c r="O395" s="548"/>
      <c r="P395" s="548"/>
      <c r="Q395" s="548"/>
      <c r="R395" s="548"/>
      <c r="S395" s="548"/>
      <c r="T395" s="548"/>
      <c r="U395" s="9"/>
      <c r="V395" s="9"/>
      <c r="W395" s="9"/>
      <c r="X395" s="9"/>
      <c r="Y395" s="9"/>
      <c r="Z395" s="9"/>
      <c r="AA395" s="9"/>
      <c r="AB395" s="9"/>
      <c r="AC395" s="9"/>
    </row>
    <row r="396" spans="1:29" ht="12.75" customHeight="1">
      <c r="A396" s="9"/>
      <c r="B396" s="9"/>
      <c r="C396" s="9"/>
      <c r="D396" s="9"/>
      <c r="E396" s="9"/>
      <c r="F396" s="9"/>
      <c r="G396" s="9"/>
      <c r="H396" s="548"/>
      <c r="I396" s="548"/>
      <c r="J396" s="548"/>
      <c r="K396" s="548"/>
      <c r="L396" s="548"/>
      <c r="M396" s="548"/>
      <c r="N396" s="548"/>
      <c r="O396" s="548"/>
      <c r="P396" s="548"/>
      <c r="Q396" s="548"/>
      <c r="R396" s="548"/>
      <c r="S396" s="548"/>
      <c r="T396" s="548"/>
      <c r="U396" s="9"/>
      <c r="V396" s="9"/>
      <c r="W396" s="9"/>
      <c r="X396" s="9"/>
      <c r="Y396" s="9"/>
      <c r="Z396" s="9"/>
      <c r="AA396" s="9"/>
      <c r="AB396" s="9"/>
      <c r="AC396" s="9"/>
    </row>
    <row r="397" spans="1:29" ht="12.75" customHeight="1">
      <c r="A397" s="9"/>
      <c r="B397" s="9"/>
      <c r="C397" s="9"/>
      <c r="D397" s="9"/>
      <c r="E397" s="9"/>
      <c r="F397" s="9"/>
      <c r="G397" s="9"/>
      <c r="H397" s="548"/>
      <c r="I397" s="548"/>
      <c r="J397" s="548"/>
      <c r="K397" s="548"/>
      <c r="L397" s="548"/>
      <c r="M397" s="548"/>
      <c r="N397" s="548"/>
      <c r="O397" s="548"/>
      <c r="P397" s="548"/>
      <c r="Q397" s="548"/>
      <c r="R397" s="548"/>
      <c r="S397" s="548"/>
      <c r="T397" s="548"/>
      <c r="U397" s="9"/>
      <c r="V397" s="9"/>
      <c r="W397" s="9"/>
      <c r="X397" s="9"/>
      <c r="Y397" s="9"/>
      <c r="Z397" s="9"/>
      <c r="AA397" s="9"/>
      <c r="AB397" s="9"/>
      <c r="AC397" s="9"/>
    </row>
    <row r="398" spans="1:29" ht="12.75" customHeight="1">
      <c r="A398" s="9"/>
      <c r="B398" s="9"/>
      <c r="C398" s="9"/>
      <c r="D398" s="9"/>
      <c r="E398" s="9"/>
      <c r="F398" s="9"/>
      <c r="G398" s="9"/>
      <c r="H398" s="548"/>
      <c r="I398" s="548"/>
      <c r="J398" s="548"/>
      <c r="K398" s="548"/>
      <c r="L398" s="548"/>
      <c r="M398" s="548"/>
      <c r="N398" s="548"/>
      <c r="O398" s="548"/>
      <c r="P398" s="548"/>
      <c r="Q398" s="548"/>
      <c r="R398" s="548"/>
      <c r="S398" s="548"/>
      <c r="T398" s="548"/>
      <c r="U398" s="9"/>
      <c r="V398" s="9"/>
      <c r="W398" s="9"/>
      <c r="X398" s="9"/>
      <c r="Y398" s="9"/>
      <c r="Z398" s="9"/>
      <c r="AA398" s="9"/>
      <c r="AB398" s="9"/>
      <c r="AC398" s="9"/>
    </row>
    <row r="399" spans="1:29" ht="12.75" customHeight="1">
      <c r="A399" s="9"/>
      <c r="B399" s="9"/>
      <c r="C399" s="9"/>
      <c r="D399" s="9"/>
      <c r="E399" s="9"/>
      <c r="F399" s="9"/>
      <c r="G399" s="9"/>
      <c r="H399" s="548"/>
      <c r="I399" s="548"/>
      <c r="J399" s="548"/>
      <c r="K399" s="548"/>
      <c r="L399" s="548"/>
      <c r="M399" s="548"/>
      <c r="N399" s="548"/>
      <c r="O399" s="548"/>
      <c r="P399" s="548"/>
      <c r="Q399" s="548"/>
      <c r="R399" s="548"/>
      <c r="S399" s="548"/>
      <c r="T399" s="548"/>
      <c r="U399" s="9"/>
      <c r="V399" s="9"/>
      <c r="W399" s="9"/>
      <c r="X399" s="9"/>
      <c r="Y399" s="9"/>
      <c r="Z399" s="9"/>
      <c r="AA399" s="9"/>
      <c r="AB399" s="9"/>
      <c r="AC399" s="9"/>
    </row>
    <row r="400" spans="1:29" ht="12.75" customHeight="1">
      <c r="A400" s="9"/>
      <c r="B400" s="9"/>
      <c r="C400" s="9"/>
      <c r="D400" s="9"/>
      <c r="E400" s="9"/>
      <c r="F400" s="9"/>
      <c r="G400" s="9"/>
      <c r="H400" s="548"/>
      <c r="I400" s="548"/>
      <c r="J400" s="548"/>
      <c r="K400" s="548"/>
      <c r="L400" s="548"/>
      <c r="M400" s="548"/>
      <c r="N400" s="548"/>
      <c r="O400" s="548"/>
      <c r="P400" s="548"/>
      <c r="Q400" s="548"/>
      <c r="R400" s="548"/>
      <c r="S400" s="548"/>
      <c r="T400" s="548"/>
      <c r="U400" s="9"/>
      <c r="V400" s="9"/>
      <c r="W400" s="9"/>
      <c r="X400" s="9"/>
      <c r="Y400" s="9"/>
      <c r="Z400" s="9"/>
      <c r="AA400" s="9"/>
      <c r="AB400" s="9"/>
      <c r="AC400" s="9"/>
    </row>
    <row r="401" spans="1:29" ht="12.75" customHeight="1">
      <c r="A401" s="9"/>
      <c r="B401" s="9"/>
      <c r="C401" s="9"/>
      <c r="D401" s="9"/>
      <c r="E401" s="9"/>
      <c r="F401" s="9"/>
      <c r="G401" s="9"/>
      <c r="H401" s="548"/>
      <c r="I401" s="548"/>
      <c r="J401" s="548"/>
      <c r="K401" s="548"/>
      <c r="L401" s="548"/>
      <c r="M401" s="548"/>
      <c r="N401" s="548"/>
      <c r="O401" s="548"/>
      <c r="P401" s="548"/>
      <c r="Q401" s="548"/>
      <c r="R401" s="548"/>
      <c r="S401" s="548"/>
      <c r="T401" s="548"/>
      <c r="U401" s="9"/>
      <c r="V401" s="9"/>
      <c r="W401" s="9"/>
      <c r="X401" s="9"/>
      <c r="Y401" s="9"/>
      <c r="Z401" s="9"/>
      <c r="AA401" s="9"/>
      <c r="AB401" s="9"/>
      <c r="AC401" s="9"/>
    </row>
    <row r="402" spans="1:29" ht="12.75" customHeight="1">
      <c r="A402" s="9"/>
      <c r="B402" s="9"/>
      <c r="C402" s="9"/>
      <c r="D402" s="9"/>
      <c r="E402" s="9"/>
      <c r="F402" s="9"/>
      <c r="G402" s="9"/>
      <c r="H402" s="548"/>
      <c r="I402" s="548"/>
      <c r="J402" s="548"/>
      <c r="K402" s="548"/>
      <c r="L402" s="548"/>
      <c r="M402" s="548"/>
      <c r="N402" s="548"/>
      <c r="O402" s="548"/>
      <c r="P402" s="548"/>
      <c r="Q402" s="548"/>
      <c r="R402" s="548"/>
      <c r="S402" s="548"/>
      <c r="T402" s="548"/>
      <c r="U402" s="9"/>
      <c r="V402" s="9"/>
      <c r="W402" s="9"/>
      <c r="X402" s="9"/>
      <c r="Y402" s="9"/>
      <c r="Z402" s="9"/>
      <c r="AA402" s="9"/>
      <c r="AB402" s="9"/>
      <c r="AC402" s="9"/>
    </row>
    <row r="403" spans="1:29" ht="12.75" customHeight="1">
      <c r="A403" s="9"/>
      <c r="B403" s="9"/>
      <c r="C403" s="9"/>
      <c r="D403" s="9"/>
      <c r="E403" s="9"/>
      <c r="F403" s="9"/>
      <c r="G403" s="9"/>
      <c r="H403" s="548"/>
      <c r="I403" s="548"/>
      <c r="J403" s="548"/>
      <c r="K403" s="548"/>
      <c r="L403" s="548"/>
      <c r="M403" s="548"/>
      <c r="N403" s="548"/>
      <c r="O403" s="548"/>
      <c r="P403" s="548"/>
      <c r="Q403" s="548"/>
      <c r="R403" s="548"/>
      <c r="S403" s="548"/>
      <c r="T403" s="548"/>
      <c r="U403" s="9"/>
      <c r="V403" s="9"/>
      <c r="W403" s="9"/>
      <c r="X403" s="9"/>
      <c r="Y403" s="9"/>
      <c r="Z403" s="9"/>
      <c r="AA403" s="9"/>
      <c r="AB403" s="9"/>
      <c r="AC403" s="9"/>
    </row>
    <row r="404" spans="1:29" ht="12.75" customHeight="1">
      <c r="A404" s="9"/>
      <c r="B404" s="9"/>
      <c r="C404" s="9"/>
      <c r="D404" s="9"/>
      <c r="E404" s="9"/>
      <c r="F404" s="9"/>
      <c r="G404" s="9"/>
      <c r="H404" s="548"/>
      <c r="I404" s="548"/>
      <c r="J404" s="548"/>
      <c r="K404" s="548"/>
      <c r="L404" s="548"/>
      <c r="M404" s="548"/>
      <c r="N404" s="548"/>
      <c r="O404" s="548"/>
      <c r="P404" s="548"/>
      <c r="Q404" s="548"/>
      <c r="R404" s="548"/>
      <c r="S404" s="548"/>
      <c r="T404" s="548"/>
      <c r="U404" s="9"/>
      <c r="V404" s="9"/>
      <c r="W404" s="9"/>
      <c r="X404" s="9"/>
      <c r="Y404" s="9"/>
      <c r="Z404" s="9"/>
      <c r="AA404" s="9"/>
      <c r="AB404" s="9"/>
      <c r="AC404" s="9"/>
    </row>
    <row r="405" spans="1:29" ht="12.75" customHeight="1">
      <c r="A405" s="9"/>
      <c r="B405" s="9"/>
      <c r="C405" s="9"/>
      <c r="D405" s="9"/>
      <c r="E405" s="9"/>
      <c r="F405" s="9"/>
      <c r="G405" s="9"/>
      <c r="H405" s="548"/>
      <c r="I405" s="548"/>
      <c r="J405" s="548"/>
      <c r="K405" s="548"/>
      <c r="L405" s="548"/>
      <c r="M405" s="548"/>
      <c r="N405" s="548"/>
      <c r="O405" s="548"/>
      <c r="P405" s="548"/>
      <c r="Q405" s="548"/>
      <c r="R405" s="548"/>
      <c r="S405" s="548"/>
      <c r="T405" s="548"/>
      <c r="U405" s="9"/>
      <c r="V405" s="9"/>
      <c r="W405" s="9"/>
      <c r="X405" s="9"/>
      <c r="Y405" s="9"/>
      <c r="Z405" s="9"/>
      <c r="AA405" s="9"/>
      <c r="AB405" s="9"/>
      <c r="AC405" s="9"/>
    </row>
    <row r="406" spans="1:29" ht="12.75" customHeight="1">
      <c r="A406" s="9"/>
      <c r="B406" s="9"/>
      <c r="C406" s="9"/>
      <c r="D406" s="9"/>
      <c r="E406" s="9"/>
      <c r="F406" s="9"/>
      <c r="G406" s="9"/>
      <c r="H406" s="548"/>
      <c r="I406" s="548"/>
      <c r="J406" s="548"/>
      <c r="K406" s="548"/>
      <c r="L406" s="548"/>
      <c r="M406" s="548"/>
      <c r="N406" s="548"/>
      <c r="O406" s="548"/>
      <c r="P406" s="548"/>
      <c r="Q406" s="548"/>
      <c r="R406" s="548"/>
      <c r="S406" s="548"/>
      <c r="T406" s="548"/>
      <c r="U406" s="9"/>
      <c r="V406" s="9"/>
      <c r="W406" s="9"/>
      <c r="X406" s="9"/>
      <c r="Y406" s="9"/>
      <c r="Z406" s="9"/>
      <c r="AA406" s="9"/>
      <c r="AB406" s="9"/>
      <c r="AC406" s="9"/>
    </row>
    <row r="407" spans="1:29" ht="12.75" customHeight="1">
      <c r="A407" s="9"/>
      <c r="B407" s="9"/>
      <c r="C407" s="9"/>
      <c r="D407" s="9"/>
      <c r="E407" s="9"/>
      <c r="F407" s="9"/>
      <c r="G407" s="9"/>
      <c r="H407" s="548"/>
      <c r="I407" s="548"/>
      <c r="J407" s="548"/>
      <c r="K407" s="548"/>
      <c r="L407" s="548"/>
      <c r="M407" s="548"/>
      <c r="N407" s="548"/>
      <c r="O407" s="548"/>
      <c r="P407" s="548"/>
      <c r="Q407" s="548"/>
      <c r="R407" s="548"/>
      <c r="S407" s="548"/>
      <c r="T407" s="548"/>
      <c r="U407" s="9"/>
      <c r="V407" s="9"/>
      <c r="W407" s="9"/>
      <c r="X407" s="9"/>
      <c r="Y407" s="9"/>
      <c r="Z407" s="9"/>
      <c r="AA407" s="9"/>
      <c r="AB407" s="9"/>
      <c r="AC407" s="9"/>
    </row>
    <row r="408" spans="1:29" ht="12.75" customHeight="1">
      <c r="A408" s="9"/>
      <c r="B408" s="9"/>
      <c r="C408" s="9"/>
      <c r="D408" s="9"/>
      <c r="E408" s="9"/>
      <c r="F408" s="9"/>
      <c r="G408" s="9"/>
      <c r="H408" s="548"/>
      <c r="I408" s="548"/>
      <c r="J408" s="548"/>
      <c r="K408" s="548"/>
      <c r="L408" s="548"/>
      <c r="M408" s="548"/>
      <c r="N408" s="548"/>
      <c r="O408" s="548"/>
      <c r="P408" s="548"/>
      <c r="Q408" s="548"/>
      <c r="R408" s="548"/>
      <c r="S408" s="548"/>
      <c r="T408" s="548"/>
      <c r="U408" s="9"/>
      <c r="V408" s="9"/>
      <c r="W408" s="9"/>
      <c r="X408" s="9"/>
      <c r="Y408" s="9"/>
      <c r="Z408" s="9"/>
      <c r="AA408" s="9"/>
      <c r="AB408" s="9"/>
      <c r="AC408" s="9"/>
    </row>
    <row r="409" spans="1:29" ht="12.75" customHeight="1">
      <c r="A409" s="9"/>
      <c r="B409" s="9"/>
      <c r="C409" s="9"/>
      <c r="D409" s="9"/>
      <c r="E409" s="9"/>
      <c r="F409" s="9"/>
      <c r="G409" s="9"/>
      <c r="H409" s="548"/>
      <c r="I409" s="548"/>
      <c r="J409" s="548"/>
      <c r="K409" s="548"/>
      <c r="L409" s="548"/>
      <c r="M409" s="548"/>
      <c r="N409" s="548"/>
      <c r="O409" s="548"/>
      <c r="P409" s="548"/>
      <c r="Q409" s="548"/>
      <c r="R409" s="548"/>
      <c r="S409" s="548"/>
      <c r="T409" s="548"/>
      <c r="U409" s="9"/>
      <c r="V409" s="9"/>
      <c r="W409" s="9"/>
      <c r="X409" s="9"/>
      <c r="Y409" s="9"/>
      <c r="Z409" s="9"/>
      <c r="AA409" s="9"/>
      <c r="AB409" s="9"/>
      <c r="AC409" s="9"/>
    </row>
    <row r="410" spans="1:29" ht="12.75" customHeight="1">
      <c r="A410" s="9"/>
      <c r="B410" s="9"/>
      <c r="C410" s="9"/>
      <c r="D410" s="9"/>
      <c r="E410" s="9"/>
      <c r="F410" s="9"/>
      <c r="G410" s="9"/>
      <c r="H410" s="548"/>
      <c r="I410" s="548"/>
      <c r="J410" s="548"/>
      <c r="K410" s="548"/>
      <c r="L410" s="548"/>
      <c r="M410" s="548"/>
      <c r="N410" s="548"/>
      <c r="O410" s="548"/>
      <c r="P410" s="548"/>
      <c r="Q410" s="548"/>
      <c r="R410" s="548"/>
      <c r="S410" s="548"/>
      <c r="T410" s="548"/>
      <c r="U410" s="9"/>
      <c r="V410" s="9"/>
      <c r="W410" s="9"/>
      <c r="X410" s="9"/>
      <c r="Y410" s="9"/>
      <c r="Z410" s="9"/>
      <c r="AA410" s="9"/>
      <c r="AB410" s="9"/>
      <c r="AC410" s="9"/>
    </row>
    <row r="411" spans="1:29" ht="12.75" customHeight="1">
      <c r="A411" s="9"/>
      <c r="B411" s="9"/>
      <c r="C411" s="9"/>
      <c r="D411" s="9"/>
      <c r="E411" s="9"/>
      <c r="F411" s="9"/>
      <c r="G411" s="9"/>
      <c r="H411" s="548"/>
      <c r="I411" s="548"/>
      <c r="J411" s="548"/>
      <c r="K411" s="548"/>
      <c r="L411" s="548"/>
      <c r="M411" s="548"/>
      <c r="N411" s="548"/>
      <c r="O411" s="548"/>
      <c r="P411" s="548"/>
      <c r="Q411" s="548"/>
      <c r="R411" s="548"/>
      <c r="S411" s="548"/>
      <c r="T411" s="548"/>
      <c r="U411" s="9"/>
      <c r="V411" s="9"/>
      <c r="W411" s="9"/>
      <c r="X411" s="9"/>
      <c r="Y411" s="9"/>
      <c r="Z411" s="9"/>
      <c r="AA411" s="9"/>
      <c r="AB411" s="9"/>
      <c r="AC411" s="9"/>
    </row>
    <row r="412" spans="1:29" ht="12.75" customHeight="1">
      <c r="A412" s="9"/>
      <c r="B412" s="9"/>
      <c r="C412" s="9"/>
      <c r="D412" s="9"/>
      <c r="E412" s="9"/>
      <c r="F412" s="9"/>
      <c r="G412" s="9"/>
      <c r="H412" s="548"/>
      <c r="I412" s="548"/>
      <c r="J412" s="548"/>
      <c r="K412" s="548"/>
      <c r="L412" s="548"/>
      <c r="M412" s="548"/>
      <c r="N412" s="548"/>
      <c r="O412" s="548"/>
      <c r="P412" s="548"/>
      <c r="Q412" s="548"/>
      <c r="R412" s="548"/>
      <c r="S412" s="548"/>
      <c r="T412" s="548"/>
      <c r="U412" s="9"/>
      <c r="V412" s="9"/>
      <c r="W412" s="9"/>
      <c r="X412" s="9"/>
      <c r="Y412" s="9"/>
      <c r="Z412" s="9"/>
      <c r="AA412" s="9"/>
      <c r="AB412" s="9"/>
      <c r="AC412" s="9"/>
    </row>
    <row r="413" spans="1:29" ht="12.75" customHeight="1">
      <c r="A413" s="9"/>
      <c r="B413" s="9"/>
      <c r="C413" s="9"/>
      <c r="D413" s="9"/>
      <c r="E413" s="9"/>
      <c r="F413" s="9"/>
      <c r="G413" s="9"/>
      <c r="H413" s="548"/>
      <c r="I413" s="548"/>
      <c r="J413" s="548"/>
      <c r="K413" s="548"/>
      <c r="L413" s="548"/>
      <c r="M413" s="548"/>
      <c r="N413" s="548"/>
      <c r="O413" s="548"/>
      <c r="P413" s="548"/>
      <c r="Q413" s="548"/>
      <c r="R413" s="548"/>
      <c r="S413" s="548"/>
      <c r="T413" s="548"/>
      <c r="U413" s="9"/>
      <c r="V413" s="9"/>
      <c r="W413" s="9"/>
      <c r="X413" s="9"/>
      <c r="Y413" s="9"/>
      <c r="Z413" s="9"/>
      <c r="AA413" s="9"/>
      <c r="AB413" s="9"/>
      <c r="AC413" s="9"/>
    </row>
    <row r="414" spans="1:29" ht="12.75" customHeight="1">
      <c r="A414" s="9"/>
      <c r="B414" s="9"/>
      <c r="C414" s="9"/>
      <c r="D414" s="9"/>
      <c r="E414" s="9"/>
      <c r="F414" s="9"/>
      <c r="G414" s="9"/>
      <c r="H414" s="548"/>
      <c r="I414" s="548"/>
      <c r="J414" s="548"/>
      <c r="K414" s="548"/>
      <c r="L414" s="548"/>
      <c r="M414" s="548"/>
      <c r="N414" s="548"/>
      <c r="O414" s="548"/>
      <c r="P414" s="548"/>
      <c r="Q414" s="548"/>
      <c r="R414" s="548"/>
      <c r="S414" s="548"/>
      <c r="T414" s="548"/>
      <c r="U414" s="9"/>
      <c r="V414" s="9"/>
      <c r="W414" s="9"/>
      <c r="X414" s="9"/>
      <c r="Y414" s="9"/>
      <c r="Z414" s="9"/>
      <c r="AA414" s="9"/>
      <c r="AB414" s="9"/>
      <c r="AC414" s="9"/>
    </row>
    <row r="415" spans="1:29" ht="12.75" customHeight="1">
      <c r="A415" s="9"/>
      <c r="B415" s="9"/>
      <c r="C415" s="9"/>
      <c r="D415" s="9"/>
      <c r="E415" s="9"/>
      <c r="F415" s="9"/>
      <c r="G415" s="9"/>
      <c r="H415" s="548"/>
      <c r="I415" s="548"/>
      <c r="J415" s="548"/>
      <c r="K415" s="548"/>
      <c r="L415" s="548"/>
      <c r="M415" s="548"/>
      <c r="N415" s="548"/>
      <c r="O415" s="548"/>
      <c r="P415" s="548"/>
      <c r="Q415" s="548"/>
      <c r="R415" s="548"/>
      <c r="S415" s="548"/>
      <c r="T415" s="548"/>
      <c r="U415" s="9"/>
      <c r="V415" s="9"/>
      <c r="W415" s="9"/>
      <c r="X415" s="9"/>
      <c r="Y415" s="9"/>
      <c r="Z415" s="9"/>
      <c r="AA415" s="9"/>
      <c r="AB415" s="9"/>
      <c r="AC415" s="9"/>
    </row>
    <row r="416" spans="1:29" ht="12.75" customHeight="1">
      <c r="A416" s="9"/>
      <c r="B416" s="9"/>
      <c r="C416" s="9"/>
      <c r="D416" s="9"/>
      <c r="E416" s="9"/>
      <c r="F416" s="9"/>
      <c r="G416" s="9"/>
      <c r="H416" s="548"/>
      <c r="I416" s="548"/>
      <c r="J416" s="548"/>
      <c r="K416" s="548"/>
      <c r="L416" s="548"/>
      <c r="M416" s="548"/>
      <c r="N416" s="548"/>
      <c r="O416" s="548"/>
      <c r="P416" s="548"/>
      <c r="Q416" s="548"/>
      <c r="R416" s="548"/>
      <c r="S416" s="548"/>
      <c r="T416" s="548"/>
      <c r="U416" s="9"/>
      <c r="V416" s="9"/>
      <c r="W416" s="9"/>
      <c r="X416" s="9"/>
      <c r="Y416" s="9"/>
      <c r="Z416" s="9"/>
      <c r="AA416" s="9"/>
      <c r="AB416" s="9"/>
      <c r="AC416" s="9"/>
    </row>
    <row r="417" spans="1:29" ht="12.75" customHeight="1">
      <c r="A417" s="9"/>
      <c r="B417" s="9"/>
      <c r="C417" s="9"/>
      <c r="D417" s="9"/>
      <c r="E417" s="9"/>
      <c r="F417" s="9"/>
      <c r="G417" s="9"/>
      <c r="H417" s="548"/>
      <c r="I417" s="548"/>
      <c r="J417" s="548"/>
      <c r="K417" s="548"/>
      <c r="L417" s="548"/>
      <c r="M417" s="548"/>
      <c r="N417" s="548"/>
      <c r="O417" s="548"/>
      <c r="P417" s="548"/>
      <c r="Q417" s="548"/>
      <c r="R417" s="548"/>
      <c r="S417" s="548"/>
      <c r="T417" s="548"/>
      <c r="U417" s="9"/>
      <c r="V417" s="9"/>
      <c r="W417" s="9"/>
      <c r="X417" s="9"/>
      <c r="Y417" s="9"/>
      <c r="Z417" s="9"/>
      <c r="AA417" s="9"/>
      <c r="AB417" s="9"/>
      <c r="AC417" s="9"/>
    </row>
    <row r="418" spans="1:29" ht="12.75" customHeight="1">
      <c r="A418" s="9"/>
      <c r="B418" s="9"/>
      <c r="C418" s="9"/>
      <c r="D418" s="9"/>
      <c r="E418" s="9"/>
      <c r="F418" s="9"/>
      <c r="G418" s="9"/>
      <c r="H418" s="548"/>
      <c r="I418" s="548"/>
      <c r="J418" s="548"/>
      <c r="K418" s="548"/>
      <c r="L418" s="548"/>
      <c r="M418" s="548"/>
      <c r="N418" s="548"/>
      <c r="O418" s="548"/>
      <c r="P418" s="548"/>
      <c r="Q418" s="548"/>
      <c r="R418" s="548"/>
      <c r="S418" s="548"/>
      <c r="T418" s="548"/>
      <c r="U418" s="9"/>
      <c r="V418" s="9"/>
      <c r="W418" s="9"/>
      <c r="X418" s="9"/>
      <c r="Y418" s="9"/>
      <c r="Z418" s="9"/>
      <c r="AA418" s="9"/>
      <c r="AB418" s="9"/>
      <c r="AC418" s="9"/>
    </row>
    <row r="419" spans="1:29" ht="12.75" customHeight="1">
      <c r="A419" s="9"/>
      <c r="B419" s="9"/>
      <c r="C419" s="9"/>
      <c r="D419" s="9"/>
      <c r="E419" s="9"/>
      <c r="F419" s="9"/>
      <c r="G419" s="9"/>
      <c r="H419" s="548"/>
      <c r="I419" s="548"/>
      <c r="J419" s="548"/>
      <c r="K419" s="548"/>
      <c r="L419" s="548"/>
      <c r="M419" s="548"/>
      <c r="N419" s="548"/>
      <c r="O419" s="548"/>
      <c r="P419" s="548"/>
      <c r="Q419" s="548"/>
      <c r="R419" s="548"/>
      <c r="S419" s="548"/>
      <c r="T419" s="548"/>
      <c r="U419" s="9"/>
      <c r="V419" s="9"/>
      <c r="W419" s="9"/>
      <c r="X419" s="9"/>
      <c r="Y419" s="9"/>
      <c r="Z419" s="9"/>
      <c r="AA419" s="9"/>
      <c r="AB419" s="9"/>
      <c r="AC419" s="9"/>
    </row>
    <row r="420" spans="1:29" ht="12.75" customHeight="1">
      <c r="A420" s="9"/>
      <c r="B420" s="9"/>
      <c r="C420" s="9"/>
      <c r="D420" s="9"/>
      <c r="E420" s="9"/>
      <c r="F420" s="9"/>
      <c r="G420" s="9"/>
      <c r="H420" s="548"/>
      <c r="I420" s="548"/>
      <c r="J420" s="548"/>
      <c r="K420" s="548"/>
      <c r="L420" s="548"/>
      <c r="M420" s="548"/>
      <c r="N420" s="548"/>
      <c r="O420" s="548"/>
      <c r="P420" s="548"/>
      <c r="Q420" s="548"/>
      <c r="R420" s="548"/>
      <c r="S420" s="548"/>
      <c r="T420" s="548"/>
      <c r="U420" s="9"/>
      <c r="V420" s="9"/>
      <c r="W420" s="9"/>
      <c r="X420" s="9"/>
      <c r="Y420" s="9"/>
      <c r="Z420" s="9"/>
      <c r="AA420" s="9"/>
      <c r="AB420" s="9"/>
      <c r="AC420" s="9"/>
    </row>
    <row r="421" spans="1:29" ht="12.75" customHeight="1">
      <c r="A421" s="9"/>
      <c r="B421" s="9"/>
      <c r="C421" s="9"/>
      <c r="D421" s="9"/>
      <c r="E421" s="9"/>
      <c r="F421" s="9"/>
      <c r="G421" s="9"/>
      <c r="H421" s="548"/>
      <c r="I421" s="548"/>
      <c r="J421" s="548"/>
      <c r="K421" s="548"/>
      <c r="L421" s="548"/>
      <c r="M421" s="548"/>
      <c r="N421" s="548"/>
      <c r="O421" s="548"/>
      <c r="P421" s="548"/>
      <c r="Q421" s="548"/>
      <c r="R421" s="548"/>
      <c r="S421" s="548"/>
      <c r="T421" s="548"/>
      <c r="U421" s="9"/>
      <c r="V421" s="9"/>
      <c r="W421" s="9"/>
      <c r="X421" s="9"/>
      <c r="Y421" s="9"/>
      <c r="Z421" s="9"/>
      <c r="AA421" s="9"/>
      <c r="AB421" s="9"/>
      <c r="AC421" s="9"/>
    </row>
    <row r="422" spans="1:29" ht="12.75" customHeight="1">
      <c r="A422" s="9"/>
      <c r="B422" s="9"/>
      <c r="C422" s="9"/>
      <c r="D422" s="9"/>
      <c r="E422" s="9"/>
      <c r="F422" s="9"/>
      <c r="G422" s="9"/>
      <c r="H422" s="548"/>
      <c r="I422" s="548"/>
      <c r="J422" s="548"/>
      <c r="K422" s="548"/>
      <c r="L422" s="548"/>
      <c r="M422" s="548"/>
      <c r="N422" s="548"/>
      <c r="O422" s="548"/>
      <c r="P422" s="548"/>
      <c r="Q422" s="548"/>
      <c r="R422" s="548"/>
      <c r="S422" s="548"/>
      <c r="T422" s="548"/>
      <c r="U422" s="9"/>
      <c r="V422" s="9"/>
      <c r="W422" s="9"/>
      <c r="X422" s="9"/>
      <c r="Y422" s="9"/>
      <c r="Z422" s="9"/>
      <c r="AA422" s="9"/>
      <c r="AB422" s="9"/>
      <c r="AC422" s="9"/>
    </row>
    <row r="423" spans="1:29" ht="12.75" customHeight="1">
      <c r="A423" s="9"/>
      <c r="B423" s="9"/>
      <c r="C423" s="9"/>
      <c r="D423" s="9"/>
      <c r="E423" s="9"/>
      <c r="F423" s="9"/>
      <c r="G423" s="9"/>
      <c r="H423" s="548"/>
      <c r="I423" s="548"/>
      <c r="J423" s="548"/>
      <c r="K423" s="548"/>
      <c r="L423" s="548"/>
      <c r="M423" s="548"/>
      <c r="N423" s="548"/>
      <c r="O423" s="548"/>
      <c r="P423" s="548"/>
      <c r="Q423" s="548"/>
      <c r="R423" s="548"/>
      <c r="S423" s="548"/>
      <c r="T423" s="548"/>
      <c r="U423" s="9"/>
      <c r="V423" s="9"/>
      <c r="W423" s="9"/>
      <c r="X423" s="9"/>
      <c r="Y423" s="9"/>
      <c r="Z423" s="9"/>
      <c r="AA423" s="9"/>
      <c r="AB423" s="9"/>
      <c r="AC423" s="9"/>
    </row>
    <row r="424" spans="1:29" ht="12.75" customHeight="1">
      <c r="A424" s="9"/>
      <c r="B424" s="9"/>
      <c r="C424" s="9"/>
      <c r="D424" s="9"/>
      <c r="E424" s="9"/>
      <c r="F424" s="9"/>
      <c r="G424" s="9"/>
      <c r="H424" s="548"/>
      <c r="I424" s="548"/>
      <c r="J424" s="548"/>
      <c r="K424" s="548"/>
      <c r="L424" s="548"/>
      <c r="M424" s="548"/>
      <c r="N424" s="548"/>
      <c r="O424" s="548"/>
      <c r="P424" s="548"/>
      <c r="Q424" s="548"/>
      <c r="R424" s="548"/>
      <c r="S424" s="548"/>
      <c r="T424" s="548"/>
      <c r="U424" s="9"/>
      <c r="V424" s="9"/>
      <c r="W424" s="9"/>
      <c r="X424" s="9"/>
      <c r="Y424" s="9"/>
      <c r="Z424" s="9"/>
      <c r="AA424" s="9"/>
      <c r="AB424" s="9"/>
      <c r="AC424" s="9"/>
    </row>
    <row r="425" spans="1:29" ht="12.75" customHeight="1">
      <c r="A425" s="9"/>
      <c r="B425" s="9"/>
      <c r="C425" s="9"/>
      <c r="D425" s="9"/>
      <c r="E425" s="9"/>
      <c r="F425" s="9"/>
      <c r="G425" s="9"/>
      <c r="H425" s="548"/>
      <c r="I425" s="548"/>
      <c r="J425" s="548"/>
      <c r="K425" s="548"/>
      <c r="L425" s="548"/>
      <c r="M425" s="548"/>
      <c r="N425" s="548"/>
      <c r="O425" s="548"/>
      <c r="P425" s="548"/>
      <c r="Q425" s="548"/>
      <c r="R425" s="548"/>
      <c r="S425" s="548"/>
      <c r="T425" s="548"/>
      <c r="U425" s="9"/>
      <c r="V425" s="9"/>
      <c r="W425" s="9"/>
      <c r="X425" s="9"/>
      <c r="Y425" s="9"/>
      <c r="Z425" s="9"/>
      <c r="AA425" s="9"/>
      <c r="AB425" s="9"/>
      <c r="AC425" s="9"/>
    </row>
    <row r="426" spans="1:29" ht="12.75" customHeight="1">
      <c r="A426" s="9"/>
      <c r="B426" s="9"/>
      <c r="C426" s="9"/>
      <c r="D426" s="9"/>
      <c r="E426" s="9"/>
      <c r="F426" s="9"/>
      <c r="G426" s="9"/>
      <c r="H426" s="548"/>
      <c r="I426" s="548"/>
      <c r="J426" s="548"/>
      <c r="K426" s="548"/>
      <c r="L426" s="548"/>
      <c r="M426" s="548"/>
      <c r="N426" s="548"/>
      <c r="O426" s="548"/>
      <c r="P426" s="548"/>
      <c r="Q426" s="548"/>
      <c r="R426" s="548"/>
      <c r="S426" s="548"/>
      <c r="T426" s="548"/>
      <c r="U426" s="9"/>
      <c r="V426" s="9"/>
      <c r="W426" s="9"/>
      <c r="X426" s="9"/>
      <c r="Y426" s="9"/>
      <c r="Z426" s="9"/>
      <c r="AA426" s="9"/>
      <c r="AB426" s="9"/>
      <c r="AC426" s="9"/>
    </row>
    <row r="427" spans="1:29" ht="12.75" customHeight="1">
      <c r="A427" s="9"/>
      <c r="B427" s="9"/>
      <c r="C427" s="9"/>
      <c r="D427" s="9"/>
      <c r="E427" s="9"/>
      <c r="F427" s="9"/>
      <c r="G427" s="9"/>
      <c r="H427" s="548"/>
      <c r="I427" s="548"/>
      <c r="J427" s="548"/>
      <c r="K427" s="548"/>
      <c r="L427" s="548"/>
      <c r="M427" s="548"/>
      <c r="N427" s="548"/>
      <c r="O427" s="548"/>
      <c r="P427" s="548"/>
      <c r="Q427" s="548"/>
      <c r="R427" s="548"/>
      <c r="S427" s="548"/>
      <c r="T427" s="548"/>
      <c r="U427" s="9"/>
      <c r="V427" s="9"/>
      <c r="W427" s="9"/>
      <c r="X427" s="9"/>
      <c r="Y427" s="9"/>
      <c r="Z427" s="9"/>
      <c r="AA427" s="9"/>
      <c r="AB427" s="9"/>
      <c r="AC427" s="9"/>
    </row>
    <row r="428" spans="1:29" ht="12.75" customHeight="1">
      <c r="A428" s="9"/>
      <c r="B428" s="9"/>
      <c r="C428" s="9"/>
      <c r="D428" s="9"/>
      <c r="E428" s="9"/>
      <c r="F428" s="9"/>
      <c r="G428" s="9"/>
      <c r="H428" s="548"/>
      <c r="I428" s="548"/>
      <c r="J428" s="548"/>
      <c r="K428" s="548"/>
      <c r="L428" s="548"/>
      <c r="M428" s="548"/>
      <c r="N428" s="548"/>
      <c r="O428" s="548"/>
      <c r="P428" s="548"/>
      <c r="Q428" s="548"/>
      <c r="R428" s="548"/>
      <c r="S428" s="548"/>
      <c r="T428" s="548"/>
      <c r="U428" s="9"/>
      <c r="V428" s="9"/>
      <c r="W428" s="9"/>
      <c r="X428" s="9"/>
      <c r="Y428" s="9"/>
      <c r="Z428" s="9"/>
      <c r="AA428" s="9"/>
      <c r="AB428" s="9"/>
      <c r="AC428" s="9"/>
    </row>
    <row r="429" spans="1:29" ht="12.75" customHeight="1">
      <c r="A429" s="9"/>
      <c r="B429" s="9"/>
      <c r="C429" s="9"/>
      <c r="D429" s="9"/>
      <c r="E429" s="9"/>
      <c r="F429" s="9"/>
      <c r="G429" s="9"/>
      <c r="H429" s="548"/>
      <c r="I429" s="548"/>
      <c r="J429" s="548"/>
      <c r="K429" s="548"/>
      <c r="L429" s="548"/>
      <c r="M429" s="548"/>
      <c r="N429" s="548"/>
      <c r="O429" s="548"/>
      <c r="P429" s="548"/>
      <c r="Q429" s="548"/>
      <c r="R429" s="548"/>
      <c r="S429" s="548"/>
      <c r="T429" s="548"/>
      <c r="U429" s="9"/>
      <c r="V429" s="9"/>
      <c r="W429" s="9"/>
      <c r="X429" s="9"/>
      <c r="Y429" s="9"/>
      <c r="Z429" s="9"/>
      <c r="AA429" s="9"/>
      <c r="AB429" s="9"/>
      <c r="AC429" s="9"/>
    </row>
    <row r="430" spans="1:29" ht="12.75" customHeight="1">
      <c r="A430" s="9"/>
      <c r="B430" s="9"/>
      <c r="C430" s="9"/>
      <c r="D430" s="9"/>
      <c r="E430" s="9"/>
      <c r="F430" s="9"/>
      <c r="G430" s="9"/>
      <c r="H430" s="548"/>
      <c r="I430" s="548"/>
      <c r="J430" s="548"/>
      <c r="K430" s="548"/>
      <c r="L430" s="548"/>
      <c r="M430" s="548"/>
      <c r="N430" s="548"/>
      <c r="O430" s="548"/>
      <c r="P430" s="548"/>
      <c r="Q430" s="548"/>
      <c r="R430" s="548"/>
      <c r="S430" s="548"/>
      <c r="T430" s="548"/>
      <c r="U430" s="9"/>
      <c r="V430" s="9"/>
      <c r="W430" s="9"/>
      <c r="X430" s="9"/>
      <c r="Y430" s="9"/>
      <c r="Z430" s="9"/>
      <c r="AA430" s="9"/>
      <c r="AB430" s="9"/>
      <c r="AC430" s="9"/>
    </row>
    <row r="431" spans="1:29" ht="12.75" customHeight="1">
      <c r="A431" s="9"/>
      <c r="B431" s="9"/>
      <c r="C431" s="9"/>
      <c r="D431" s="9"/>
      <c r="E431" s="9"/>
      <c r="F431" s="9"/>
      <c r="G431" s="9"/>
      <c r="H431" s="548"/>
      <c r="I431" s="548"/>
      <c r="J431" s="548"/>
      <c r="K431" s="548"/>
      <c r="L431" s="548"/>
      <c r="M431" s="548"/>
      <c r="N431" s="548"/>
      <c r="O431" s="548"/>
      <c r="P431" s="548"/>
      <c r="Q431" s="548"/>
      <c r="R431" s="548"/>
      <c r="S431" s="548"/>
      <c r="T431" s="548"/>
      <c r="U431" s="9"/>
      <c r="V431" s="9"/>
      <c r="W431" s="9"/>
      <c r="X431" s="9"/>
      <c r="Y431" s="9"/>
      <c r="Z431" s="9"/>
      <c r="AA431" s="9"/>
      <c r="AB431" s="9"/>
      <c r="AC431" s="9"/>
    </row>
    <row r="432" spans="1:29" ht="12.75" customHeight="1">
      <c r="A432" s="9"/>
      <c r="B432" s="9"/>
      <c r="C432" s="9"/>
      <c r="D432" s="9"/>
      <c r="E432" s="9"/>
      <c r="F432" s="9"/>
      <c r="G432" s="9"/>
      <c r="H432" s="548"/>
      <c r="I432" s="548"/>
      <c r="J432" s="548"/>
      <c r="K432" s="548"/>
      <c r="L432" s="548"/>
      <c r="M432" s="548"/>
      <c r="N432" s="548"/>
      <c r="O432" s="548"/>
      <c r="P432" s="548"/>
      <c r="Q432" s="548"/>
      <c r="R432" s="548"/>
      <c r="S432" s="548"/>
      <c r="T432" s="548"/>
      <c r="U432" s="9"/>
      <c r="V432" s="9"/>
      <c r="W432" s="9"/>
      <c r="X432" s="9"/>
      <c r="Y432" s="9"/>
      <c r="Z432" s="9"/>
      <c r="AA432" s="9"/>
      <c r="AB432" s="9"/>
      <c r="AC432" s="9"/>
    </row>
    <row r="433" spans="1:29" ht="12.75" customHeight="1">
      <c r="A433" s="9"/>
      <c r="B433" s="9"/>
      <c r="C433" s="9"/>
      <c r="D433" s="9"/>
      <c r="E433" s="9"/>
      <c r="F433" s="9"/>
      <c r="G433" s="9"/>
      <c r="H433" s="548"/>
      <c r="I433" s="548"/>
      <c r="J433" s="548"/>
      <c r="K433" s="548"/>
      <c r="L433" s="548"/>
      <c r="M433" s="548"/>
      <c r="N433" s="548"/>
      <c r="O433" s="548"/>
      <c r="P433" s="548"/>
      <c r="Q433" s="548"/>
      <c r="R433" s="548"/>
      <c r="S433" s="548"/>
      <c r="T433" s="548"/>
      <c r="U433" s="9"/>
      <c r="V433" s="9"/>
      <c r="W433" s="9"/>
      <c r="X433" s="9"/>
      <c r="Y433" s="9"/>
      <c r="Z433" s="9"/>
      <c r="AA433" s="9"/>
      <c r="AB433" s="9"/>
      <c r="AC433" s="9"/>
    </row>
    <row r="434" spans="1:29" ht="12.75" customHeight="1">
      <c r="A434" s="9"/>
      <c r="B434" s="9"/>
      <c r="C434" s="9"/>
      <c r="D434" s="9"/>
      <c r="E434" s="9"/>
      <c r="F434" s="9"/>
      <c r="G434" s="9"/>
      <c r="H434" s="548"/>
      <c r="I434" s="548"/>
      <c r="J434" s="548"/>
      <c r="K434" s="548"/>
      <c r="L434" s="548"/>
      <c r="M434" s="548"/>
      <c r="N434" s="548"/>
      <c r="O434" s="548"/>
      <c r="P434" s="548"/>
      <c r="Q434" s="548"/>
      <c r="R434" s="548"/>
      <c r="S434" s="548"/>
      <c r="T434" s="548"/>
      <c r="U434" s="9"/>
      <c r="V434" s="9"/>
      <c r="W434" s="9"/>
      <c r="X434" s="9"/>
      <c r="Y434" s="9"/>
      <c r="Z434" s="9"/>
      <c r="AA434" s="9"/>
      <c r="AB434" s="9"/>
      <c r="AC434" s="9"/>
    </row>
    <row r="435" spans="1:29" ht="12.75" customHeight="1">
      <c r="A435" s="9"/>
      <c r="B435" s="9"/>
      <c r="C435" s="9"/>
      <c r="D435" s="9"/>
      <c r="E435" s="9"/>
      <c r="F435" s="9"/>
      <c r="G435" s="9"/>
      <c r="H435" s="548"/>
      <c r="I435" s="548"/>
      <c r="J435" s="548"/>
      <c r="K435" s="548"/>
      <c r="L435" s="548"/>
      <c r="M435" s="548"/>
      <c r="N435" s="548"/>
      <c r="O435" s="548"/>
      <c r="P435" s="548"/>
      <c r="Q435" s="548"/>
      <c r="R435" s="548"/>
      <c r="S435" s="548"/>
      <c r="T435" s="548"/>
      <c r="U435" s="9"/>
      <c r="V435" s="9"/>
      <c r="W435" s="9"/>
      <c r="X435" s="9"/>
      <c r="Y435" s="9"/>
      <c r="Z435" s="9"/>
      <c r="AA435" s="9"/>
      <c r="AB435" s="9"/>
      <c r="AC435" s="9"/>
    </row>
    <row r="436" spans="1:29" ht="12.75" customHeight="1">
      <c r="A436" s="9"/>
      <c r="B436" s="9"/>
      <c r="C436" s="9"/>
      <c r="D436" s="9"/>
      <c r="E436" s="9"/>
      <c r="F436" s="9"/>
      <c r="G436" s="9"/>
      <c r="H436" s="548"/>
      <c r="I436" s="548"/>
      <c r="J436" s="548"/>
      <c r="K436" s="548"/>
      <c r="L436" s="548"/>
      <c r="M436" s="548"/>
      <c r="N436" s="548"/>
      <c r="O436" s="548"/>
      <c r="P436" s="548"/>
      <c r="Q436" s="548"/>
      <c r="R436" s="548"/>
      <c r="S436" s="548"/>
      <c r="T436" s="548"/>
      <c r="U436" s="9"/>
      <c r="V436" s="9"/>
      <c r="W436" s="9"/>
      <c r="X436" s="9"/>
      <c r="Y436" s="9"/>
      <c r="Z436" s="9"/>
      <c r="AA436" s="9"/>
      <c r="AB436" s="9"/>
      <c r="AC436" s="9"/>
    </row>
    <row r="437" spans="1:29" ht="12.75" customHeight="1">
      <c r="A437" s="9"/>
      <c r="B437" s="9"/>
      <c r="C437" s="9"/>
      <c r="D437" s="9"/>
      <c r="E437" s="9"/>
      <c r="F437" s="9"/>
      <c r="G437" s="9"/>
      <c r="H437" s="548"/>
      <c r="I437" s="548"/>
      <c r="J437" s="548"/>
      <c r="K437" s="548"/>
      <c r="L437" s="548"/>
      <c r="M437" s="548"/>
      <c r="N437" s="548"/>
      <c r="O437" s="548"/>
      <c r="P437" s="548"/>
      <c r="Q437" s="548"/>
      <c r="R437" s="548"/>
      <c r="S437" s="548"/>
      <c r="T437" s="548"/>
      <c r="U437" s="9"/>
      <c r="V437" s="9"/>
      <c r="W437" s="9"/>
      <c r="X437" s="9"/>
      <c r="Y437" s="9"/>
      <c r="Z437" s="9"/>
      <c r="AA437" s="9"/>
      <c r="AB437" s="9"/>
      <c r="AC437" s="9"/>
    </row>
    <row r="438" spans="1:29" ht="12.75" customHeight="1">
      <c r="A438" s="9"/>
      <c r="B438" s="9"/>
      <c r="C438" s="9"/>
      <c r="D438" s="9"/>
      <c r="E438" s="9"/>
      <c r="F438" s="9"/>
      <c r="G438" s="9"/>
      <c r="H438" s="548"/>
      <c r="I438" s="548"/>
      <c r="J438" s="548"/>
      <c r="K438" s="548"/>
      <c r="L438" s="548"/>
      <c r="M438" s="548"/>
      <c r="N438" s="548"/>
      <c r="O438" s="548"/>
      <c r="P438" s="548"/>
      <c r="Q438" s="548"/>
      <c r="R438" s="548"/>
      <c r="S438" s="548"/>
      <c r="T438" s="548"/>
      <c r="U438" s="9"/>
      <c r="V438" s="9"/>
      <c r="W438" s="9"/>
      <c r="X438" s="9"/>
      <c r="Y438" s="9"/>
      <c r="Z438" s="9"/>
      <c r="AA438" s="9"/>
      <c r="AB438" s="9"/>
      <c r="AC438" s="9"/>
    </row>
    <row r="439" spans="1:29" ht="12.75" customHeight="1">
      <c r="A439" s="9"/>
      <c r="B439" s="9"/>
      <c r="C439" s="9"/>
      <c r="D439" s="9"/>
      <c r="E439" s="9"/>
      <c r="F439" s="9"/>
      <c r="G439" s="9"/>
      <c r="H439" s="548"/>
      <c r="I439" s="548"/>
      <c r="J439" s="548"/>
      <c r="K439" s="548"/>
      <c r="L439" s="548"/>
      <c r="M439" s="548"/>
      <c r="N439" s="548"/>
      <c r="O439" s="548"/>
      <c r="P439" s="548"/>
      <c r="Q439" s="548"/>
      <c r="R439" s="548"/>
      <c r="S439" s="548"/>
      <c r="T439" s="548"/>
      <c r="U439" s="9"/>
      <c r="V439" s="9"/>
      <c r="W439" s="9"/>
      <c r="X439" s="9"/>
      <c r="Y439" s="9"/>
      <c r="Z439" s="9"/>
      <c r="AA439" s="9"/>
      <c r="AB439" s="9"/>
      <c r="AC439" s="9"/>
    </row>
    <row r="440" spans="1:29" ht="12.75" customHeight="1">
      <c r="A440" s="9"/>
      <c r="B440" s="9"/>
      <c r="C440" s="9"/>
      <c r="D440" s="9"/>
      <c r="E440" s="9"/>
      <c r="F440" s="9"/>
      <c r="G440" s="9"/>
      <c r="H440" s="548"/>
      <c r="I440" s="548"/>
      <c r="J440" s="548"/>
      <c r="K440" s="548"/>
      <c r="L440" s="548"/>
      <c r="M440" s="548"/>
      <c r="N440" s="548"/>
      <c r="O440" s="548"/>
      <c r="P440" s="548"/>
      <c r="Q440" s="548"/>
      <c r="R440" s="548"/>
      <c r="S440" s="548"/>
      <c r="T440" s="548"/>
      <c r="U440" s="9"/>
      <c r="V440" s="9"/>
      <c r="W440" s="9"/>
      <c r="X440" s="9"/>
      <c r="Y440" s="9"/>
      <c r="Z440" s="9"/>
      <c r="AA440" s="9"/>
      <c r="AB440" s="9"/>
      <c r="AC440" s="9"/>
    </row>
    <row r="441" spans="1:29" ht="12.75" customHeight="1">
      <c r="A441" s="9"/>
      <c r="B441" s="9"/>
      <c r="C441" s="9"/>
      <c r="D441" s="9"/>
      <c r="E441" s="9"/>
      <c r="F441" s="9"/>
      <c r="G441" s="9"/>
      <c r="H441" s="548"/>
      <c r="I441" s="548"/>
      <c r="J441" s="548"/>
      <c r="K441" s="548"/>
      <c r="L441" s="548"/>
      <c r="M441" s="548"/>
      <c r="N441" s="548"/>
      <c r="O441" s="548"/>
      <c r="P441" s="548"/>
      <c r="Q441" s="548"/>
      <c r="R441" s="548"/>
      <c r="S441" s="548"/>
      <c r="T441" s="548"/>
      <c r="U441" s="9"/>
      <c r="V441" s="9"/>
      <c r="W441" s="9"/>
      <c r="X441" s="9"/>
      <c r="Y441" s="9"/>
      <c r="Z441" s="9"/>
      <c r="AA441" s="9"/>
      <c r="AB441" s="9"/>
      <c r="AC441" s="9"/>
    </row>
    <row r="442" spans="1:29" ht="12.75" customHeight="1">
      <c r="A442" s="9"/>
      <c r="B442" s="9"/>
      <c r="C442" s="9"/>
      <c r="D442" s="9"/>
      <c r="E442" s="9"/>
      <c r="F442" s="9"/>
      <c r="G442" s="9"/>
      <c r="H442" s="548"/>
      <c r="I442" s="548"/>
      <c r="J442" s="548"/>
      <c r="K442" s="548"/>
      <c r="L442" s="548"/>
      <c r="M442" s="548"/>
      <c r="N442" s="548"/>
      <c r="O442" s="548"/>
      <c r="P442" s="548"/>
      <c r="Q442" s="548"/>
      <c r="R442" s="548"/>
      <c r="S442" s="548"/>
      <c r="T442" s="548"/>
      <c r="U442" s="9"/>
      <c r="V442" s="9"/>
      <c r="W442" s="9"/>
      <c r="X442" s="9"/>
      <c r="Y442" s="9"/>
      <c r="Z442" s="9"/>
      <c r="AA442" s="9"/>
      <c r="AB442" s="9"/>
      <c r="AC442" s="9"/>
    </row>
    <row r="443" spans="1:29" ht="12.75" customHeight="1">
      <c r="A443" s="9"/>
      <c r="B443" s="9"/>
      <c r="C443" s="9"/>
      <c r="D443" s="9"/>
      <c r="E443" s="9"/>
      <c r="F443" s="9"/>
      <c r="G443" s="9"/>
      <c r="H443" s="548"/>
      <c r="I443" s="548"/>
      <c r="J443" s="548"/>
      <c r="K443" s="548"/>
      <c r="L443" s="548"/>
      <c r="M443" s="548"/>
      <c r="N443" s="548"/>
      <c r="O443" s="548"/>
      <c r="P443" s="548"/>
      <c r="Q443" s="548"/>
      <c r="R443" s="548"/>
      <c r="S443" s="548"/>
      <c r="T443" s="548"/>
      <c r="U443" s="9"/>
      <c r="V443" s="9"/>
      <c r="W443" s="9"/>
      <c r="X443" s="9"/>
      <c r="Y443" s="9"/>
      <c r="Z443" s="9"/>
      <c r="AA443" s="9"/>
      <c r="AB443" s="9"/>
      <c r="AC443" s="9"/>
    </row>
    <row r="444" spans="1:29" ht="12.75" customHeight="1">
      <c r="A444" s="9"/>
      <c r="B444" s="9"/>
      <c r="C444" s="9"/>
      <c r="D444" s="9"/>
      <c r="E444" s="9"/>
      <c r="F444" s="9"/>
      <c r="G444" s="9"/>
      <c r="H444" s="548"/>
      <c r="I444" s="548"/>
      <c r="J444" s="548"/>
      <c r="K444" s="548"/>
      <c r="L444" s="548"/>
      <c r="M444" s="548"/>
      <c r="N444" s="548"/>
      <c r="O444" s="548"/>
      <c r="P444" s="548"/>
      <c r="Q444" s="548"/>
      <c r="R444" s="548"/>
      <c r="S444" s="548"/>
      <c r="T444" s="548"/>
      <c r="U444" s="9"/>
      <c r="V444" s="9"/>
      <c r="W444" s="9"/>
      <c r="X444" s="9"/>
      <c r="Y444" s="9"/>
      <c r="Z444" s="9"/>
      <c r="AA444" s="9"/>
      <c r="AB444" s="9"/>
      <c r="AC444" s="9"/>
    </row>
    <row r="445" spans="1:29" ht="12.75" customHeight="1">
      <c r="A445" s="9"/>
      <c r="B445" s="9"/>
      <c r="C445" s="9"/>
      <c r="D445" s="9"/>
      <c r="E445" s="9"/>
      <c r="F445" s="9"/>
      <c r="G445" s="9"/>
      <c r="H445" s="548"/>
      <c r="I445" s="548"/>
      <c r="J445" s="548"/>
      <c r="K445" s="548"/>
      <c r="L445" s="548"/>
      <c r="M445" s="548"/>
      <c r="N445" s="548"/>
      <c r="O445" s="548"/>
      <c r="P445" s="548"/>
      <c r="Q445" s="548"/>
      <c r="R445" s="548"/>
      <c r="S445" s="548"/>
      <c r="T445" s="548"/>
      <c r="U445" s="9"/>
      <c r="V445" s="9"/>
      <c r="W445" s="9"/>
      <c r="X445" s="9"/>
      <c r="Y445" s="9"/>
      <c r="Z445" s="9"/>
      <c r="AA445" s="9"/>
      <c r="AB445" s="9"/>
      <c r="AC445" s="9"/>
    </row>
    <row r="446" spans="1:29" ht="12.75" customHeight="1">
      <c r="A446" s="9"/>
      <c r="B446" s="9"/>
      <c r="C446" s="9"/>
      <c r="D446" s="9"/>
      <c r="E446" s="9"/>
      <c r="F446" s="9"/>
      <c r="G446" s="9"/>
      <c r="H446" s="548"/>
      <c r="I446" s="548"/>
      <c r="J446" s="548"/>
      <c r="K446" s="548"/>
      <c r="L446" s="548"/>
      <c r="M446" s="548"/>
      <c r="N446" s="548"/>
      <c r="O446" s="548"/>
      <c r="P446" s="548"/>
      <c r="Q446" s="548"/>
      <c r="R446" s="548"/>
      <c r="S446" s="548"/>
      <c r="T446" s="548"/>
      <c r="U446" s="9"/>
      <c r="V446" s="9"/>
      <c r="W446" s="9"/>
      <c r="X446" s="9"/>
      <c r="Y446" s="9"/>
      <c r="Z446" s="9"/>
      <c r="AA446" s="9"/>
      <c r="AB446" s="9"/>
      <c r="AC446" s="9"/>
    </row>
    <row r="447" spans="1:29" ht="12.75" customHeight="1">
      <c r="A447" s="9"/>
      <c r="B447" s="9"/>
      <c r="C447" s="9"/>
      <c r="D447" s="9"/>
      <c r="E447" s="9"/>
      <c r="F447" s="9"/>
      <c r="G447" s="9"/>
      <c r="H447" s="548"/>
      <c r="I447" s="548"/>
      <c r="J447" s="548"/>
      <c r="K447" s="548"/>
      <c r="L447" s="548"/>
      <c r="M447" s="548"/>
      <c r="N447" s="548"/>
      <c r="O447" s="548"/>
      <c r="P447" s="548"/>
      <c r="Q447" s="548"/>
      <c r="R447" s="548"/>
      <c r="S447" s="548"/>
      <c r="T447" s="548"/>
      <c r="U447" s="9"/>
      <c r="V447" s="9"/>
      <c r="W447" s="9"/>
      <c r="X447" s="9"/>
      <c r="Y447" s="9"/>
      <c r="Z447" s="9"/>
      <c r="AA447" s="9"/>
      <c r="AB447" s="9"/>
      <c r="AC447" s="9"/>
    </row>
    <row r="448" spans="1:29" ht="12.75" customHeight="1">
      <c r="A448" s="9"/>
      <c r="B448" s="9"/>
      <c r="C448" s="9"/>
      <c r="D448" s="9"/>
      <c r="E448" s="9"/>
      <c r="F448" s="9"/>
      <c r="G448" s="9"/>
      <c r="H448" s="548"/>
      <c r="I448" s="548"/>
      <c r="J448" s="548"/>
      <c r="K448" s="548"/>
      <c r="L448" s="548"/>
      <c r="M448" s="548"/>
      <c r="N448" s="548"/>
      <c r="O448" s="548"/>
      <c r="P448" s="548"/>
      <c r="Q448" s="548"/>
      <c r="R448" s="548"/>
      <c r="S448" s="548"/>
      <c r="T448" s="548"/>
      <c r="U448" s="9"/>
      <c r="V448" s="9"/>
      <c r="W448" s="9"/>
      <c r="X448" s="9"/>
      <c r="Y448" s="9"/>
      <c r="Z448" s="9"/>
      <c r="AA448" s="9"/>
      <c r="AB448" s="9"/>
      <c r="AC448" s="9"/>
    </row>
    <row r="449" spans="1:29" ht="12.75" customHeight="1">
      <c r="A449" s="9"/>
      <c r="B449" s="9"/>
      <c r="C449" s="9"/>
      <c r="D449" s="9"/>
      <c r="E449" s="9"/>
      <c r="F449" s="9"/>
      <c r="G449" s="9"/>
      <c r="H449" s="548"/>
      <c r="I449" s="548"/>
      <c r="J449" s="548"/>
      <c r="K449" s="548"/>
      <c r="L449" s="548"/>
      <c r="M449" s="548"/>
      <c r="N449" s="548"/>
      <c r="O449" s="548"/>
      <c r="P449" s="548"/>
      <c r="Q449" s="548"/>
      <c r="R449" s="548"/>
      <c r="S449" s="548"/>
      <c r="T449" s="548"/>
      <c r="U449" s="9"/>
      <c r="V449" s="9"/>
      <c r="W449" s="9"/>
      <c r="X449" s="9"/>
      <c r="Y449" s="9"/>
      <c r="Z449" s="9"/>
      <c r="AA449" s="9"/>
      <c r="AB449" s="9"/>
      <c r="AC449" s="9"/>
    </row>
    <row r="450" spans="1:29" ht="12.75" customHeight="1">
      <c r="A450" s="9"/>
      <c r="B450" s="9"/>
      <c r="C450" s="9"/>
      <c r="D450" s="9"/>
      <c r="E450" s="9"/>
      <c r="F450" s="9"/>
      <c r="G450" s="9"/>
      <c r="H450" s="548"/>
      <c r="I450" s="548"/>
      <c r="J450" s="548"/>
      <c r="K450" s="548"/>
      <c r="L450" s="548"/>
      <c r="M450" s="548"/>
      <c r="N450" s="548"/>
      <c r="O450" s="548"/>
      <c r="P450" s="548"/>
      <c r="Q450" s="548"/>
      <c r="R450" s="548"/>
      <c r="S450" s="548"/>
      <c r="T450" s="548"/>
      <c r="U450" s="9"/>
      <c r="V450" s="9"/>
      <c r="W450" s="9"/>
      <c r="X450" s="9"/>
      <c r="Y450" s="9"/>
      <c r="Z450" s="9"/>
      <c r="AA450" s="9"/>
      <c r="AB450" s="9"/>
      <c r="AC450" s="9"/>
    </row>
    <row r="451" spans="1:29" ht="12.75" customHeight="1">
      <c r="A451" s="9"/>
      <c r="B451" s="9"/>
      <c r="C451" s="9"/>
      <c r="D451" s="9"/>
      <c r="E451" s="9"/>
      <c r="F451" s="9"/>
      <c r="G451" s="9"/>
      <c r="H451" s="548"/>
      <c r="I451" s="548"/>
      <c r="J451" s="548"/>
      <c r="K451" s="548"/>
      <c r="L451" s="548"/>
      <c r="M451" s="548"/>
      <c r="N451" s="548"/>
      <c r="O451" s="548"/>
      <c r="P451" s="548"/>
      <c r="Q451" s="548"/>
      <c r="R451" s="548"/>
      <c r="S451" s="548"/>
      <c r="T451" s="548"/>
      <c r="U451" s="9"/>
      <c r="V451" s="9"/>
      <c r="W451" s="9"/>
      <c r="X451" s="9"/>
      <c r="Y451" s="9"/>
      <c r="Z451" s="9"/>
      <c r="AA451" s="9"/>
      <c r="AB451" s="9"/>
      <c r="AC451" s="9"/>
    </row>
    <row r="452" spans="1:29" ht="12.75" customHeight="1">
      <c r="A452" s="9"/>
      <c r="B452" s="9"/>
      <c r="C452" s="9"/>
      <c r="D452" s="9"/>
      <c r="E452" s="9"/>
      <c r="F452" s="9"/>
      <c r="G452" s="9"/>
      <c r="H452" s="548"/>
      <c r="I452" s="548"/>
      <c r="J452" s="548"/>
      <c r="K452" s="548"/>
      <c r="L452" s="548"/>
      <c r="M452" s="548"/>
      <c r="N452" s="548"/>
      <c r="O452" s="548"/>
      <c r="P452" s="548"/>
      <c r="Q452" s="548"/>
      <c r="R452" s="548"/>
      <c r="S452" s="548"/>
      <c r="T452" s="548"/>
      <c r="U452" s="9"/>
      <c r="V452" s="9"/>
      <c r="W452" s="9"/>
      <c r="X452" s="9"/>
      <c r="Y452" s="9"/>
      <c r="Z452" s="9"/>
      <c r="AA452" s="9"/>
      <c r="AB452" s="9"/>
      <c r="AC452" s="9"/>
    </row>
    <row r="453" spans="1:29" ht="12.75" customHeight="1">
      <c r="A453" s="9"/>
      <c r="B453" s="9"/>
      <c r="C453" s="9"/>
      <c r="D453" s="9"/>
      <c r="E453" s="9"/>
      <c r="F453" s="9"/>
      <c r="G453" s="9"/>
      <c r="H453" s="548"/>
      <c r="I453" s="548"/>
      <c r="J453" s="548"/>
      <c r="K453" s="548"/>
      <c r="L453" s="548"/>
      <c r="M453" s="548"/>
      <c r="N453" s="548"/>
      <c r="O453" s="548"/>
      <c r="P453" s="548"/>
      <c r="Q453" s="548"/>
      <c r="R453" s="548"/>
      <c r="S453" s="548"/>
      <c r="T453" s="548"/>
      <c r="U453" s="9"/>
      <c r="V453" s="9"/>
      <c r="W453" s="9"/>
      <c r="X453" s="9"/>
      <c r="Y453" s="9"/>
      <c r="Z453" s="9"/>
      <c r="AA453" s="9"/>
      <c r="AB453" s="9"/>
      <c r="AC453" s="9"/>
    </row>
    <row r="454" spans="1:29" ht="12.75" customHeight="1">
      <c r="A454" s="9"/>
      <c r="B454" s="9"/>
      <c r="C454" s="9"/>
      <c r="D454" s="9"/>
      <c r="E454" s="9"/>
      <c r="F454" s="9"/>
      <c r="G454" s="9"/>
      <c r="H454" s="548"/>
      <c r="I454" s="548"/>
      <c r="J454" s="548"/>
      <c r="K454" s="548"/>
      <c r="L454" s="548"/>
      <c r="M454" s="548"/>
      <c r="N454" s="548"/>
      <c r="O454" s="548"/>
      <c r="P454" s="548"/>
      <c r="Q454" s="548"/>
      <c r="R454" s="548"/>
      <c r="S454" s="548"/>
      <c r="T454" s="548"/>
      <c r="U454" s="9"/>
      <c r="V454" s="9"/>
      <c r="W454" s="9"/>
      <c r="X454" s="9"/>
      <c r="Y454" s="9"/>
      <c r="Z454" s="9"/>
      <c r="AA454" s="9"/>
      <c r="AB454" s="9"/>
      <c r="AC454" s="9"/>
    </row>
    <row r="455" spans="1:29" ht="12.75" customHeight="1">
      <c r="A455" s="9"/>
      <c r="B455" s="9"/>
      <c r="C455" s="9"/>
      <c r="D455" s="9"/>
      <c r="E455" s="9"/>
      <c r="F455" s="9"/>
      <c r="G455" s="9"/>
      <c r="H455" s="548"/>
      <c r="I455" s="548"/>
      <c r="J455" s="548"/>
      <c r="K455" s="548"/>
      <c r="L455" s="548"/>
      <c r="M455" s="548"/>
      <c r="N455" s="548"/>
      <c r="O455" s="548"/>
      <c r="P455" s="548"/>
      <c r="Q455" s="548"/>
      <c r="R455" s="548"/>
      <c r="S455" s="548"/>
      <c r="T455" s="548"/>
      <c r="U455" s="9"/>
      <c r="V455" s="9"/>
      <c r="W455" s="9"/>
      <c r="X455" s="9"/>
      <c r="Y455" s="9"/>
      <c r="Z455" s="9"/>
      <c r="AA455" s="9"/>
      <c r="AB455" s="9"/>
      <c r="AC455" s="9"/>
    </row>
    <row r="456" spans="1:29" ht="12.75" customHeight="1">
      <c r="A456" s="9"/>
      <c r="B456" s="9"/>
      <c r="C456" s="9"/>
      <c r="D456" s="9"/>
      <c r="E456" s="9"/>
      <c r="F456" s="9"/>
      <c r="G456" s="9"/>
      <c r="H456" s="548"/>
      <c r="I456" s="548"/>
      <c r="J456" s="548"/>
      <c r="K456" s="548"/>
      <c r="L456" s="548"/>
      <c r="M456" s="548"/>
      <c r="N456" s="548"/>
      <c r="O456" s="548"/>
      <c r="P456" s="548"/>
      <c r="Q456" s="548"/>
      <c r="R456" s="548"/>
      <c r="S456" s="548"/>
      <c r="T456" s="548"/>
      <c r="U456" s="9"/>
      <c r="V456" s="9"/>
      <c r="W456" s="9"/>
      <c r="X456" s="9"/>
      <c r="Y456" s="9"/>
      <c r="Z456" s="9"/>
      <c r="AA456" s="9"/>
      <c r="AB456" s="9"/>
      <c r="AC456" s="9"/>
    </row>
    <row r="457" spans="1:29" ht="12.75" customHeight="1">
      <c r="A457" s="9"/>
      <c r="B457" s="9"/>
      <c r="C457" s="9"/>
      <c r="D457" s="9"/>
      <c r="E457" s="9"/>
      <c r="F457" s="9"/>
      <c r="G457" s="9"/>
      <c r="H457" s="548"/>
      <c r="I457" s="548"/>
      <c r="J457" s="548"/>
      <c r="K457" s="548"/>
      <c r="L457" s="548"/>
      <c r="M457" s="548"/>
      <c r="N457" s="548"/>
      <c r="O457" s="548"/>
      <c r="P457" s="548"/>
      <c r="Q457" s="548"/>
      <c r="R457" s="548"/>
      <c r="S457" s="548"/>
      <c r="T457" s="548"/>
      <c r="U457" s="9"/>
      <c r="V457" s="9"/>
      <c r="W457" s="9"/>
      <c r="X457" s="9"/>
      <c r="Y457" s="9"/>
      <c r="Z457" s="9"/>
      <c r="AA457" s="9"/>
      <c r="AB457" s="9"/>
      <c r="AC457" s="9"/>
    </row>
    <row r="458" spans="1:29" ht="12.75" customHeight="1">
      <c r="A458" s="9"/>
      <c r="B458" s="9"/>
      <c r="C458" s="9"/>
      <c r="D458" s="9"/>
      <c r="E458" s="9"/>
      <c r="F458" s="9"/>
      <c r="G458" s="9"/>
      <c r="H458" s="548"/>
      <c r="I458" s="548"/>
      <c r="J458" s="548"/>
      <c r="K458" s="548"/>
      <c r="L458" s="548"/>
      <c r="M458" s="548"/>
      <c r="N458" s="548"/>
      <c r="O458" s="548"/>
      <c r="P458" s="548"/>
      <c r="Q458" s="548"/>
      <c r="R458" s="548"/>
      <c r="S458" s="548"/>
      <c r="T458" s="548"/>
      <c r="U458" s="9"/>
      <c r="V458" s="9"/>
      <c r="W458" s="9"/>
      <c r="X458" s="9"/>
      <c r="Y458" s="9"/>
      <c r="Z458" s="9"/>
      <c r="AA458" s="9"/>
      <c r="AB458" s="9"/>
      <c r="AC458" s="9"/>
    </row>
    <row r="459" spans="1:29" ht="12.75" customHeight="1">
      <c r="A459" s="9"/>
      <c r="B459" s="9"/>
      <c r="C459" s="9"/>
      <c r="D459" s="9"/>
      <c r="E459" s="9"/>
      <c r="F459" s="9"/>
      <c r="G459" s="9"/>
      <c r="H459" s="548"/>
      <c r="I459" s="548"/>
      <c r="J459" s="548"/>
      <c r="K459" s="548"/>
      <c r="L459" s="548"/>
      <c r="M459" s="548"/>
      <c r="N459" s="548"/>
      <c r="O459" s="548"/>
      <c r="P459" s="548"/>
      <c r="Q459" s="548"/>
      <c r="R459" s="548"/>
      <c r="S459" s="548"/>
      <c r="T459" s="548"/>
      <c r="U459" s="9"/>
      <c r="V459" s="9"/>
      <c r="W459" s="9"/>
      <c r="X459" s="9"/>
      <c r="Y459" s="9"/>
      <c r="Z459" s="9"/>
      <c r="AA459" s="9"/>
      <c r="AB459" s="9"/>
      <c r="AC459" s="9"/>
    </row>
    <row r="460" spans="1:29" ht="12.75" customHeight="1">
      <c r="A460" s="9"/>
      <c r="B460" s="9"/>
      <c r="C460" s="9"/>
      <c r="D460" s="9"/>
      <c r="E460" s="9"/>
      <c r="F460" s="9"/>
      <c r="G460" s="9"/>
      <c r="H460" s="548"/>
      <c r="I460" s="548"/>
      <c r="J460" s="548"/>
      <c r="K460" s="548"/>
      <c r="L460" s="548"/>
      <c r="M460" s="548"/>
      <c r="N460" s="548"/>
      <c r="O460" s="548"/>
      <c r="P460" s="548"/>
      <c r="Q460" s="548"/>
      <c r="R460" s="548"/>
      <c r="S460" s="548"/>
      <c r="T460" s="548"/>
      <c r="U460" s="9"/>
      <c r="V460" s="9"/>
      <c r="W460" s="9"/>
      <c r="X460" s="9"/>
      <c r="Y460" s="9"/>
      <c r="Z460" s="9"/>
      <c r="AA460" s="9"/>
      <c r="AB460" s="9"/>
      <c r="AC460" s="9"/>
    </row>
    <row r="461" spans="1:29" ht="12.75" customHeight="1">
      <c r="A461" s="9"/>
      <c r="B461" s="9"/>
      <c r="C461" s="9"/>
      <c r="D461" s="9"/>
      <c r="E461" s="9"/>
      <c r="F461" s="9"/>
      <c r="G461" s="9"/>
      <c r="H461" s="548"/>
      <c r="I461" s="548"/>
      <c r="J461" s="548"/>
      <c r="K461" s="548"/>
      <c r="L461" s="548"/>
      <c r="M461" s="548"/>
      <c r="N461" s="548"/>
      <c r="O461" s="548"/>
      <c r="P461" s="548"/>
      <c r="Q461" s="548"/>
      <c r="R461" s="548"/>
      <c r="S461" s="548"/>
      <c r="T461" s="548"/>
      <c r="U461" s="9"/>
      <c r="V461" s="9"/>
      <c r="W461" s="9"/>
      <c r="X461" s="9"/>
      <c r="Y461" s="9"/>
      <c r="Z461" s="9"/>
      <c r="AA461" s="9"/>
      <c r="AB461" s="9"/>
      <c r="AC461" s="9"/>
    </row>
    <row r="462" spans="1:29" ht="12.75" customHeight="1">
      <c r="A462" s="9"/>
      <c r="B462" s="9"/>
      <c r="C462" s="9"/>
      <c r="D462" s="9"/>
      <c r="E462" s="9"/>
      <c r="F462" s="9"/>
      <c r="G462" s="9"/>
      <c r="H462" s="548"/>
      <c r="I462" s="548"/>
      <c r="J462" s="548"/>
      <c r="K462" s="548"/>
      <c r="L462" s="548"/>
      <c r="M462" s="548"/>
      <c r="N462" s="548"/>
      <c r="O462" s="548"/>
      <c r="P462" s="548"/>
      <c r="Q462" s="548"/>
      <c r="R462" s="548"/>
      <c r="S462" s="548"/>
      <c r="T462" s="548"/>
      <c r="U462" s="9"/>
      <c r="V462" s="9"/>
      <c r="W462" s="9"/>
      <c r="X462" s="9"/>
      <c r="Y462" s="9"/>
      <c r="Z462" s="9"/>
      <c r="AA462" s="9"/>
      <c r="AB462" s="9"/>
      <c r="AC462" s="9"/>
    </row>
    <row r="463" spans="1:29" ht="12.75" customHeight="1">
      <c r="A463" s="9"/>
      <c r="B463" s="9"/>
      <c r="C463" s="9"/>
      <c r="D463" s="9"/>
      <c r="E463" s="9"/>
      <c r="F463" s="9"/>
      <c r="G463" s="9"/>
      <c r="H463" s="548"/>
      <c r="I463" s="548"/>
      <c r="J463" s="548"/>
      <c r="K463" s="548"/>
      <c r="L463" s="548"/>
      <c r="M463" s="548"/>
      <c r="N463" s="548"/>
      <c r="O463" s="548"/>
      <c r="P463" s="548"/>
      <c r="Q463" s="548"/>
      <c r="R463" s="548"/>
      <c r="S463" s="548"/>
      <c r="T463" s="548"/>
      <c r="U463" s="9"/>
      <c r="V463" s="9"/>
      <c r="W463" s="9"/>
      <c r="X463" s="9"/>
      <c r="Y463" s="9"/>
      <c r="Z463" s="9"/>
      <c r="AA463" s="9"/>
      <c r="AB463" s="9"/>
      <c r="AC463" s="9"/>
    </row>
    <row r="464" spans="1:29" ht="12.75" customHeight="1">
      <c r="A464" s="9"/>
      <c r="B464" s="9"/>
      <c r="C464" s="9"/>
      <c r="D464" s="9"/>
      <c r="E464" s="9"/>
      <c r="F464" s="9"/>
      <c r="G464" s="9"/>
      <c r="H464" s="548"/>
      <c r="I464" s="548"/>
      <c r="J464" s="548"/>
      <c r="K464" s="548"/>
      <c r="L464" s="548"/>
      <c r="M464" s="548"/>
      <c r="N464" s="548"/>
      <c r="O464" s="548"/>
      <c r="P464" s="548"/>
      <c r="Q464" s="548"/>
      <c r="R464" s="548"/>
      <c r="S464" s="548"/>
      <c r="T464" s="548"/>
      <c r="U464" s="9"/>
      <c r="V464" s="9"/>
      <c r="W464" s="9"/>
      <c r="X464" s="9"/>
      <c r="Y464" s="9"/>
      <c r="Z464" s="9"/>
      <c r="AA464" s="9"/>
      <c r="AB464" s="9"/>
      <c r="AC464" s="9"/>
    </row>
    <row r="465" spans="1:29" ht="12.75" customHeight="1">
      <c r="A465" s="9"/>
      <c r="B465" s="9"/>
      <c r="C465" s="9"/>
      <c r="D465" s="9"/>
      <c r="E465" s="9"/>
      <c r="F465" s="9"/>
      <c r="G465" s="9"/>
      <c r="H465" s="548"/>
      <c r="I465" s="548"/>
      <c r="J465" s="548"/>
      <c r="K465" s="548"/>
      <c r="L465" s="548"/>
      <c r="M465" s="548"/>
      <c r="N465" s="548"/>
      <c r="O465" s="548"/>
      <c r="P465" s="548"/>
      <c r="Q465" s="548"/>
      <c r="R465" s="548"/>
      <c r="S465" s="548"/>
      <c r="T465" s="548"/>
      <c r="U465" s="9"/>
      <c r="V465" s="9"/>
      <c r="W465" s="9"/>
      <c r="X465" s="9"/>
      <c r="Y465" s="9"/>
      <c r="Z465" s="9"/>
      <c r="AA465" s="9"/>
      <c r="AB465" s="9"/>
      <c r="AC465" s="9"/>
    </row>
    <row r="466" spans="1:29" ht="12.75" customHeight="1">
      <c r="A466" s="9"/>
      <c r="B466" s="9"/>
      <c r="C466" s="9"/>
      <c r="D466" s="9"/>
      <c r="E466" s="9"/>
      <c r="F466" s="9"/>
      <c r="G466" s="9"/>
      <c r="H466" s="548"/>
      <c r="I466" s="548"/>
      <c r="J466" s="548"/>
      <c r="K466" s="548"/>
      <c r="L466" s="548"/>
      <c r="M466" s="548"/>
      <c r="N466" s="548"/>
      <c r="O466" s="548"/>
      <c r="P466" s="548"/>
      <c r="Q466" s="548"/>
      <c r="R466" s="548"/>
      <c r="S466" s="548"/>
      <c r="T466" s="548"/>
      <c r="U466" s="9"/>
      <c r="V466" s="9"/>
      <c r="W466" s="9"/>
      <c r="X466" s="9"/>
      <c r="Y466" s="9"/>
      <c r="Z466" s="9"/>
      <c r="AA466" s="9"/>
      <c r="AB466" s="9"/>
      <c r="AC466" s="9"/>
    </row>
    <row r="467" spans="1:29" ht="12.75" customHeight="1">
      <c r="A467" s="9"/>
      <c r="B467" s="9"/>
      <c r="C467" s="9"/>
      <c r="D467" s="9"/>
      <c r="E467" s="9"/>
      <c r="F467" s="9"/>
      <c r="G467" s="9"/>
      <c r="H467" s="548"/>
      <c r="I467" s="548"/>
      <c r="J467" s="548"/>
      <c r="K467" s="548"/>
      <c r="L467" s="548"/>
      <c r="M467" s="548"/>
      <c r="N467" s="548"/>
      <c r="O467" s="548"/>
      <c r="P467" s="548"/>
      <c r="Q467" s="548"/>
      <c r="R467" s="548"/>
      <c r="S467" s="548"/>
      <c r="T467" s="548"/>
      <c r="U467" s="9"/>
      <c r="V467" s="9"/>
      <c r="W467" s="9"/>
      <c r="X467" s="9"/>
      <c r="Y467" s="9"/>
      <c r="Z467" s="9"/>
      <c r="AA467" s="9"/>
      <c r="AB467" s="9"/>
      <c r="AC467" s="9"/>
    </row>
    <row r="468" spans="1:29" ht="12.75" customHeight="1">
      <c r="A468" s="9"/>
      <c r="B468" s="9"/>
      <c r="C468" s="9"/>
      <c r="D468" s="9"/>
      <c r="E468" s="9"/>
      <c r="F468" s="9"/>
      <c r="G468" s="9"/>
      <c r="H468" s="548"/>
      <c r="I468" s="548"/>
      <c r="J468" s="548"/>
      <c r="K468" s="548"/>
      <c r="L468" s="548"/>
      <c r="M468" s="548"/>
      <c r="N468" s="548"/>
      <c r="O468" s="548"/>
      <c r="P468" s="548"/>
      <c r="Q468" s="548"/>
      <c r="R468" s="548"/>
      <c r="S468" s="548"/>
      <c r="T468" s="548"/>
      <c r="U468" s="9"/>
      <c r="V468" s="9"/>
      <c r="W468" s="9"/>
      <c r="X468" s="9"/>
      <c r="Y468" s="9"/>
      <c r="Z468" s="9"/>
      <c r="AA468" s="9"/>
      <c r="AB468" s="9"/>
      <c r="AC468" s="9"/>
    </row>
    <row r="469" spans="1:29" ht="12.75" customHeight="1">
      <c r="A469" s="9"/>
      <c r="B469" s="9"/>
      <c r="C469" s="9"/>
      <c r="D469" s="9"/>
      <c r="E469" s="9"/>
      <c r="F469" s="9"/>
      <c r="G469" s="9"/>
      <c r="H469" s="548"/>
      <c r="I469" s="548"/>
      <c r="J469" s="548"/>
      <c r="K469" s="548"/>
      <c r="L469" s="548"/>
      <c r="M469" s="548"/>
      <c r="N469" s="548"/>
      <c r="O469" s="548"/>
      <c r="P469" s="548"/>
      <c r="Q469" s="548"/>
      <c r="R469" s="548"/>
      <c r="S469" s="548"/>
      <c r="T469" s="548"/>
      <c r="U469" s="9"/>
      <c r="V469" s="9"/>
      <c r="W469" s="9"/>
      <c r="X469" s="9"/>
      <c r="Y469" s="9"/>
      <c r="Z469" s="9"/>
      <c r="AA469" s="9"/>
      <c r="AB469" s="9"/>
      <c r="AC469" s="9"/>
    </row>
    <row r="470" spans="1:29" ht="12.75" customHeight="1">
      <c r="A470" s="9"/>
      <c r="B470" s="9"/>
      <c r="C470" s="9"/>
      <c r="D470" s="9"/>
      <c r="E470" s="9"/>
      <c r="F470" s="9"/>
      <c r="G470" s="9"/>
      <c r="H470" s="548"/>
      <c r="I470" s="548"/>
      <c r="J470" s="548"/>
      <c r="K470" s="548"/>
      <c r="L470" s="548"/>
      <c r="M470" s="548"/>
      <c r="N470" s="548"/>
      <c r="O470" s="548"/>
      <c r="P470" s="548"/>
      <c r="Q470" s="548"/>
      <c r="R470" s="548"/>
      <c r="S470" s="548"/>
      <c r="T470" s="548"/>
      <c r="U470" s="9"/>
      <c r="V470" s="9"/>
      <c r="W470" s="9"/>
      <c r="X470" s="9"/>
      <c r="Y470" s="9"/>
      <c r="Z470" s="9"/>
      <c r="AA470" s="9"/>
      <c r="AB470" s="9"/>
      <c r="AC470" s="9"/>
    </row>
    <row r="471" spans="1:29" ht="12.75" customHeight="1">
      <c r="A471" s="9"/>
      <c r="B471" s="9"/>
      <c r="C471" s="9"/>
      <c r="D471" s="9"/>
      <c r="E471" s="9"/>
      <c r="F471" s="9"/>
      <c r="G471" s="9"/>
      <c r="H471" s="548"/>
      <c r="I471" s="548"/>
      <c r="J471" s="548"/>
      <c r="K471" s="548"/>
      <c r="L471" s="548"/>
      <c r="M471" s="548"/>
      <c r="N471" s="548"/>
      <c r="O471" s="548"/>
      <c r="P471" s="548"/>
      <c r="Q471" s="548"/>
      <c r="R471" s="548"/>
      <c r="S471" s="548"/>
      <c r="T471" s="548"/>
      <c r="U471" s="9"/>
      <c r="V471" s="9"/>
      <c r="W471" s="9"/>
      <c r="X471" s="9"/>
      <c r="Y471" s="9"/>
      <c r="Z471" s="9"/>
      <c r="AA471" s="9"/>
      <c r="AB471" s="9"/>
      <c r="AC471" s="9"/>
    </row>
    <row r="472" spans="1:29" ht="12.75" customHeight="1">
      <c r="A472" s="9"/>
      <c r="B472" s="9"/>
      <c r="C472" s="9"/>
      <c r="D472" s="9"/>
      <c r="E472" s="9"/>
      <c r="F472" s="9"/>
      <c r="G472" s="9"/>
      <c r="H472" s="548"/>
      <c r="I472" s="548"/>
      <c r="J472" s="548"/>
      <c r="K472" s="548"/>
      <c r="L472" s="548"/>
      <c r="M472" s="548"/>
      <c r="N472" s="548"/>
      <c r="O472" s="548"/>
      <c r="P472" s="548"/>
      <c r="Q472" s="548"/>
      <c r="R472" s="548"/>
      <c r="S472" s="548"/>
      <c r="T472" s="548"/>
      <c r="U472" s="9"/>
      <c r="V472" s="9"/>
      <c r="W472" s="9"/>
      <c r="X472" s="9"/>
      <c r="Y472" s="9"/>
      <c r="Z472" s="9"/>
      <c r="AA472" s="9"/>
      <c r="AB472" s="9"/>
      <c r="AC472" s="9"/>
    </row>
    <row r="473" spans="1:29" ht="12.75" customHeight="1">
      <c r="A473" s="9"/>
      <c r="B473" s="9"/>
      <c r="C473" s="9"/>
      <c r="D473" s="9"/>
      <c r="E473" s="9"/>
      <c r="F473" s="9"/>
      <c r="G473" s="9"/>
      <c r="H473" s="548"/>
      <c r="I473" s="548"/>
      <c r="J473" s="548"/>
      <c r="K473" s="548"/>
      <c r="L473" s="548"/>
      <c r="M473" s="548"/>
      <c r="N473" s="548"/>
      <c r="O473" s="548"/>
      <c r="P473" s="548"/>
      <c r="Q473" s="548"/>
      <c r="R473" s="548"/>
      <c r="S473" s="548"/>
      <c r="T473" s="548"/>
      <c r="U473" s="9"/>
      <c r="V473" s="9"/>
      <c r="W473" s="9"/>
      <c r="X473" s="9"/>
      <c r="Y473" s="9"/>
      <c r="Z473" s="9"/>
      <c r="AA473" s="9"/>
      <c r="AB473" s="9"/>
      <c r="AC473" s="9"/>
    </row>
    <row r="474" spans="1:29" ht="12.75" customHeight="1">
      <c r="A474" s="9"/>
      <c r="B474" s="9"/>
      <c r="C474" s="9"/>
      <c r="D474" s="9"/>
      <c r="E474" s="9"/>
      <c r="F474" s="9"/>
      <c r="G474" s="9"/>
      <c r="H474" s="548"/>
      <c r="I474" s="548"/>
      <c r="J474" s="548"/>
      <c r="K474" s="548"/>
      <c r="L474" s="548"/>
      <c r="M474" s="548"/>
      <c r="N474" s="548"/>
      <c r="O474" s="548"/>
      <c r="P474" s="548"/>
      <c r="Q474" s="548"/>
      <c r="R474" s="548"/>
      <c r="S474" s="548"/>
      <c r="T474" s="548"/>
      <c r="U474" s="9"/>
      <c r="V474" s="9"/>
      <c r="W474" s="9"/>
      <c r="X474" s="9"/>
      <c r="Y474" s="9"/>
      <c r="Z474" s="9"/>
      <c r="AA474" s="9"/>
      <c r="AB474" s="9"/>
      <c r="AC474" s="9"/>
    </row>
    <row r="475" spans="1:29" ht="12.75" customHeight="1">
      <c r="A475" s="9"/>
      <c r="B475" s="9"/>
      <c r="C475" s="9"/>
      <c r="D475" s="9"/>
      <c r="E475" s="9"/>
      <c r="F475" s="9"/>
      <c r="G475" s="9"/>
      <c r="H475" s="548"/>
      <c r="I475" s="548"/>
      <c r="J475" s="548"/>
      <c r="K475" s="548"/>
      <c r="L475" s="548"/>
      <c r="M475" s="548"/>
      <c r="N475" s="548"/>
      <c r="O475" s="548"/>
      <c r="P475" s="548"/>
      <c r="Q475" s="548"/>
      <c r="R475" s="548"/>
      <c r="S475" s="548"/>
      <c r="T475" s="548"/>
      <c r="U475" s="9"/>
      <c r="V475" s="9"/>
      <c r="W475" s="9"/>
      <c r="X475" s="9"/>
      <c r="Y475" s="9"/>
      <c r="Z475" s="9"/>
      <c r="AA475" s="9"/>
      <c r="AB475" s="9"/>
      <c r="AC475" s="9"/>
    </row>
    <row r="476" spans="1:29" ht="12.75" customHeight="1">
      <c r="A476" s="9"/>
      <c r="B476" s="9"/>
      <c r="C476" s="9"/>
      <c r="D476" s="9"/>
      <c r="E476" s="9"/>
      <c r="F476" s="9"/>
      <c r="G476" s="9"/>
      <c r="H476" s="548"/>
      <c r="I476" s="548"/>
      <c r="J476" s="548"/>
      <c r="K476" s="548"/>
      <c r="L476" s="548"/>
      <c r="M476" s="548"/>
      <c r="N476" s="548"/>
      <c r="O476" s="548"/>
      <c r="P476" s="548"/>
      <c r="Q476" s="548"/>
      <c r="R476" s="548"/>
      <c r="S476" s="548"/>
      <c r="T476" s="548"/>
      <c r="U476" s="9"/>
      <c r="V476" s="9"/>
      <c r="W476" s="9"/>
      <c r="X476" s="9"/>
      <c r="Y476" s="9"/>
      <c r="Z476" s="9"/>
      <c r="AA476" s="9"/>
      <c r="AB476" s="9"/>
      <c r="AC476" s="9"/>
    </row>
    <row r="477" spans="1:29" ht="12.75" customHeight="1">
      <c r="A477" s="9"/>
      <c r="B477" s="9"/>
      <c r="C477" s="9"/>
      <c r="D477" s="9"/>
      <c r="E477" s="9"/>
      <c r="F477" s="9"/>
      <c r="G477" s="9"/>
      <c r="H477" s="548"/>
      <c r="I477" s="548"/>
      <c r="J477" s="548"/>
      <c r="K477" s="548"/>
      <c r="L477" s="548"/>
      <c r="M477" s="548"/>
      <c r="N477" s="548"/>
      <c r="O477" s="548"/>
      <c r="P477" s="548"/>
      <c r="Q477" s="548"/>
      <c r="R477" s="548"/>
      <c r="S477" s="548"/>
      <c r="T477" s="548"/>
      <c r="U477" s="9"/>
      <c r="V477" s="9"/>
      <c r="W477" s="9"/>
      <c r="X477" s="9"/>
      <c r="Y477" s="9"/>
      <c r="Z477" s="9"/>
      <c r="AA477" s="9"/>
      <c r="AB477" s="9"/>
      <c r="AC477" s="9"/>
    </row>
    <row r="478" spans="1:29" ht="12.75" customHeight="1">
      <c r="A478" s="9"/>
      <c r="B478" s="9"/>
      <c r="C478" s="9"/>
      <c r="D478" s="9"/>
      <c r="E478" s="9"/>
      <c r="F478" s="9"/>
      <c r="G478" s="9"/>
      <c r="H478" s="548"/>
      <c r="I478" s="548"/>
      <c r="J478" s="548"/>
      <c r="K478" s="548"/>
      <c r="L478" s="548"/>
      <c r="M478" s="548"/>
      <c r="N478" s="548"/>
      <c r="O478" s="548"/>
      <c r="P478" s="548"/>
      <c r="Q478" s="548"/>
      <c r="R478" s="548"/>
      <c r="S478" s="548"/>
      <c r="T478" s="548"/>
      <c r="U478" s="9"/>
      <c r="V478" s="9"/>
      <c r="W478" s="9"/>
      <c r="X478" s="9"/>
      <c r="Y478" s="9"/>
      <c r="Z478" s="9"/>
      <c r="AA478" s="9"/>
      <c r="AB478" s="9"/>
      <c r="AC478" s="9"/>
    </row>
    <row r="479" spans="1:29" ht="12.75" customHeight="1">
      <c r="A479" s="9"/>
      <c r="B479" s="9"/>
      <c r="C479" s="9"/>
      <c r="D479" s="9"/>
      <c r="E479" s="9"/>
      <c r="F479" s="9"/>
      <c r="G479" s="9"/>
      <c r="H479" s="548"/>
      <c r="I479" s="548"/>
      <c r="J479" s="548"/>
      <c r="K479" s="548"/>
      <c r="L479" s="548"/>
      <c r="M479" s="548"/>
      <c r="N479" s="548"/>
      <c r="O479" s="548"/>
      <c r="P479" s="548"/>
      <c r="Q479" s="548"/>
      <c r="R479" s="548"/>
      <c r="S479" s="548"/>
      <c r="T479" s="548"/>
      <c r="U479" s="9"/>
      <c r="V479" s="9"/>
      <c r="W479" s="9"/>
      <c r="X479" s="9"/>
      <c r="Y479" s="9"/>
      <c r="Z479" s="9"/>
      <c r="AA479" s="9"/>
      <c r="AB479" s="9"/>
      <c r="AC479" s="9"/>
    </row>
    <row r="480" spans="1:29" ht="12.75" customHeight="1">
      <c r="A480" s="9"/>
      <c r="B480" s="9"/>
      <c r="C480" s="9"/>
      <c r="D480" s="9"/>
      <c r="E480" s="9"/>
      <c r="F480" s="9"/>
      <c r="G480" s="9"/>
      <c r="H480" s="548"/>
      <c r="I480" s="548"/>
      <c r="J480" s="548"/>
      <c r="K480" s="548"/>
      <c r="L480" s="548"/>
      <c r="M480" s="548"/>
      <c r="N480" s="548"/>
      <c r="O480" s="548"/>
      <c r="P480" s="548"/>
      <c r="Q480" s="548"/>
      <c r="R480" s="548"/>
      <c r="S480" s="548"/>
      <c r="T480" s="548"/>
      <c r="U480" s="9"/>
      <c r="V480" s="9"/>
      <c r="W480" s="9"/>
      <c r="X480" s="9"/>
      <c r="Y480" s="9"/>
      <c r="Z480" s="9"/>
      <c r="AA480" s="9"/>
      <c r="AB480" s="9"/>
      <c r="AC480" s="9"/>
    </row>
    <row r="481" spans="1:29" ht="12.75" customHeight="1">
      <c r="A481" s="9"/>
      <c r="B481" s="9"/>
      <c r="C481" s="9"/>
      <c r="D481" s="9"/>
      <c r="E481" s="9"/>
      <c r="F481" s="9"/>
      <c r="G481" s="9"/>
      <c r="H481" s="548"/>
      <c r="I481" s="548"/>
      <c r="J481" s="548"/>
      <c r="K481" s="548"/>
      <c r="L481" s="548"/>
      <c r="M481" s="548"/>
      <c r="N481" s="548"/>
      <c r="O481" s="548"/>
      <c r="P481" s="548"/>
      <c r="Q481" s="548"/>
      <c r="R481" s="548"/>
      <c r="S481" s="548"/>
      <c r="T481" s="548"/>
      <c r="U481" s="9"/>
      <c r="V481" s="9"/>
      <c r="W481" s="9"/>
      <c r="X481" s="9"/>
      <c r="Y481" s="9"/>
      <c r="Z481" s="9"/>
      <c r="AA481" s="9"/>
      <c r="AB481" s="9"/>
      <c r="AC481" s="9"/>
    </row>
    <row r="482" spans="1:29" ht="12.75" customHeight="1">
      <c r="A482" s="9"/>
      <c r="B482" s="9"/>
      <c r="C482" s="9"/>
      <c r="D482" s="9"/>
      <c r="E482" s="9"/>
      <c r="F482" s="9"/>
      <c r="G482" s="9"/>
      <c r="H482" s="548"/>
      <c r="I482" s="548"/>
      <c r="J482" s="548"/>
      <c r="K482" s="548"/>
      <c r="L482" s="548"/>
      <c r="M482" s="548"/>
      <c r="N482" s="548"/>
      <c r="O482" s="548"/>
      <c r="P482" s="548"/>
      <c r="Q482" s="548"/>
      <c r="R482" s="548"/>
      <c r="S482" s="548"/>
      <c r="T482" s="548"/>
      <c r="U482" s="9"/>
      <c r="V482" s="9"/>
      <c r="W482" s="9"/>
      <c r="X482" s="9"/>
      <c r="Y482" s="9"/>
      <c r="Z482" s="9"/>
      <c r="AA482" s="9"/>
      <c r="AB482" s="9"/>
      <c r="AC482" s="9"/>
    </row>
    <row r="483" spans="1:29" ht="12.75" customHeight="1">
      <c r="A483" s="9"/>
      <c r="B483" s="9"/>
      <c r="C483" s="9"/>
      <c r="D483" s="9"/>
      <c r="E483" s="9"/>
      <c r="F483" s="9"/>
      <c r="G483" s="9"/>
      <c r="H483" s="548"/>
      <c r="I483" s="548"/>
      <c r="J483" s="548"/>
      <c r="K483" s="548"/>
      <c r="L483" s="548"/>
      <c r="M483" s="548"/>
      <c r="N483" s="548"/>
      <c r="O483" s="548"/>
      <c r="P483" s="548"/>
      <c r="Q483" s="548"/>
      <c r="R483" s="548"/>
      <c r="S483" s="548"/>
      <c r="T483" s="548"/>
      <c r="U483" s="9"/>
      <c r="V483" s="9"/>
      <c r="W483" s="9"/>
      <c r="X483" s="9"/>
      <c r="Y483" s="9"/>
      <c r="Z483" s="9"/>
      <c r="AA483" s="9"/>
      <c r="AB483" s="9"/>
      <c r="AC483" s="9"/>
    </row>
    <row r="484" spans="1:29" ht="12.75" customHeight="1">
      <c r="A484" s="9"/>
      <c r="B484" s="9"/>
      <c r="C484" s="9"/>
      <c r="D484" s="9"/>
      <c r="E484" s="9"/>
      <c r="F484" s="9"/>
      <c r="G484" s="9"/>
      <c r="H484" s="548"/>
      <c r="I484" s="548"/>
      <c r="J484" s="548"/>
      <c r="K484" s="548"/>
      <c r="L484" s="548"/>
      <c r="M484" s="548"/>
      <c r="N484" s="548"/>
      <c r="O484" s="548"/>
      <c r="P484" s="548"/>
      <c r="Q484" s="548"/>
      <c r="R484" s="548"/>
      <c r="S484" s="548"/>
      <c r="T484" s="548"/>
      <c r="U484" s="9"/>
      <c r="V484" s="9"/>
      <c r="W484" s="9"/>
      <c r="X484" s="9"/>
      <c r="Y484" s="9"/>
      <c r="Z484" s="9"/>
      <c r="AA484" s="9"/>
      <c r="AB484" s="9"/>
      <c r="AC484" s="9"/>
    </row>
    <row r="485" spans="1:29" ht="12.75" customHeight="1">
      <c r="A485" s="9"/>
      <c r="B485" s="9"/>
      <c r="C485" s="9"/>
      <c r="D485" s="9"/>
      <c r="E485" s="9"/>
      <c r="F485" s="9"/>
      <c r="G485" s="9"/>
      <c r="H485" s="548"/>
      <c r="I485" s="548"/>
      <c r="J485" s="548"/>
      <c r="K485" s="548"/>
      <c r="L485" s="548"/>
      <c r="M485" s="548"/>
      <c r="N485" s="548"/>
      <c r="O485" s="548"/>
      <c r="P485" s="548"/>
      <c r="Q485" s="548"/>
      <c r="R485" s="548"/>
      <c r="S485" s="548"/>
      <c r="T485" s="548"/>
      <c r="U485" s="9"/>
      <c r="V485" s="9"/>
      <c r="W485" s="9"/>
      <c r="X485" s="9"/>
      <c r="Y485" s="9"/>
      <c r="Z485" s="9"/>
      <c r="AA485" s="9"/>
      <c r="AB485" s="9"/>
      <c r="AC485" s="9"/>
    </row>
    <row r="486" spans="1:29" ht="12.75" customHeight="1">
      <c r="A486" s="9"/>
      <c r="B486" s="9"/>
      <c r="C486" s="9"/>
      <c r="D486" s="9"/>
      <c r="E486" s="9"/>
      <c r="F486" s="9"/>
      <c r="G486" s="9"/>
      <c r="H486" s="548"/>
      <c r="I486" s="548"/>
      <c r="J486" s="548"/>
      <c r="K486" s="548"/>
      <c r="L486" s="548"/>
      <c r="M486" s="548"/>
      <c r="N486" s="548"/>
      <c r="O486" s="548"/>
      <c r="P486" s="548"/>
      <c r="Q486" s="548"/>
      <c r="R486" s="548"/>
      <c r="S486" s="548"/>
      <c r="T486" s="548"/>
      <c r="U486" s="9"/>
      <c r="V486" s="9"/>
      <c r="W486" s="9"/>
      <c r="X486" s="9"/>
      <c r="Y486" s="9"/>
      <c r="Z486" s="9"/>
      <c r="AA486" s="9"/>
      <c r="AB486" s="9"/>
      <c r="AC486" s="9"/>
    </row>
    <row r="487" spans="1:29" ht="12.75" customHeight="1">
      <c r="A487" s="9"/>
      <c r="B487" s="9"/>
      <c r="C487" s="9"/>
      <c r="D487" s="9"/>
      <c r="E487" s="9"/>
      <c r="F487" s="9"/>
      <c r="G487" s="9"/>
      <c r="H487" s="548"/>
      <c r="I487" s="548"/>
      <c r="J487" s="548"/>
      <c r="K487" s="548"/>
      <c r="L487" s="548"/>
      <c r="M487" s="548"/>
      <c r="N487" s="548"/>
      <c r="O487" s="548"/>
      <c r="P487" s="548"/>
      <c r="Q487" s="548"/>
      <c r="R487" s="548"/>
      <c r="S487" s="548"/>
      <c r="T487" s="548"/>
      <c r="U487" s="9"/>
      <c r="V487" s="9"/>
      <c r="W487" s="9"/>
      <c r="X487" s="9"/>
      <c r="Y487" s="9"/>
      <c r="Z487" s="9"/>
      <c r="AA487" s="9"/>
      <c r="AB487" s="9"/>
      <c r="AC487" s="9"/>
    </row>
    <row r="488" spans="1:29" ht="12.75" customHeight="1">
      <c r="A488" s="9"/>
      <c r="B488" s="9"/>
      <c r="C488" s="9"/>
      <c r="D488" s="9"/>
      <c r="E488" s="9"/>
      <c r="F488" s="9"/>
      <c r="G488" s="9"/>
      <c r="H488" s="548"/>
      <c r="I488" s="548"/>
      <c r="J488" s="548"/>
      <c r="K488" s="548"/>
      <c r="L488" s="548"/>
      <c r="M488" s="548"/>
      <c r="N488" s="548"/>
      <c r="O488" s="548"/>
      <c r="P488" s="548"/>
      <c r="Q488" s="548"/>
      <c r="R488" s="548"/>
      <c r="S488" s="548"/>
      <c r="T488" s="548"/>
      <c r="U488" s="9"/>
      <c r="V488" s="9"/>
      <c r="W488" s="9"/>
      <c r="X488" s="9"/>
      <c r="Y488" s="9"/>
      <c r="Z488" s="9"/>
      <c r="AA488" s="9"/>
      <c r="AB488" s="9"/>
      <c r="AC488" s="9"/>
    </row>
    <row r="489" spans="1:29" ht="12.75" customHeight="1">
      <c r="A489" s="9"/>
      <c r="B489" s="9"/>
      <c r="C489" s="9"/>
      <c r="D489" s="9"/>
      <c r="E489" s="9"/>
      <c r="F489" s="9"/>
      <c r="G489" s="9"/>
      <c r="H489" s="548"/>
      <c r="I489" s="548"/>
      <c r="J489" s="548"/>
      <c r="K489" s="548"/>
      <c r="L489" s="548"/>
      <c r="M489" s="548"/>
      <c r="N489" s="548"/>
      <c r="O489" s="548"/>
      <c r="P489" s="548"/>
      <c r="Q489" s="548"/>
      <c r="R489" s="548"/>
      <c r="S489" s="548"/>
      <c r="T489" s="548"/>
      <c r="U489" s="9"/>
      <c r="V489" s="9"/>
      <c r="W489" s="9"/>
      <c r="X489" s="9"/>
      <c r="Y489" s="9"/>
      <c r="Z489" s="9"/>
      <c r="AA489" s="9"/>
      <c r="AB489" s="9"/>
      <c r="AC489" s="9"/>
    </row>
    <row r="490" spans="1:29" ht="12.75" customHeight="1">
      <c r="A490" s="9"/>
      <c r="B490" s="9"/>
      <c r="C490" s="9"/>
      <c r="D490" s="9"/>
      <c r="E490" s="9"/>
      <c r="F490" s="9"/>
      <c r="G490" s="9"/>
      <c r="H490" s="548"/>
      <c r="I490" s="548"/>
      <c r="J490" s="548"/>
      <c r="K490" s="548"/>
      <c r="L490" s="548"/>
      <c r="M490" s="548"/>
      <c r="N490" s="548"/>
      <c r="O490" s="548"/>
      <c r="P490" s="548"/>
      <c r="Q490" s="548"/>
      <c r="R490" s="548"/>
      <c r="S490" s="548"/>
      <c r="T490" s="548"/>
      <c r="U490" s="9"/>
      <c r="V490" s="9"/>
      <c r="W490" s="9"/>
      <c r="X490" s="9"/>
      <c r="Y490" s="9"/>
      <c r="Z490" s="9"/>
      <c r="AA490" s="9"/>
      <c r="AB490" s="9"/>
      <c r="AC490" s="9"/>
    </row>
    <row r="491" spans="1:29" ht="12.75" customHeight="1">
      <c r="A491" s="9"/>
      <c r="B491" s="9"/>
      <c r="C491" s="9"/>
      <c r="D491" s="9"/>
      <c r="E491" s="9"/>
      <c r="F491" s="9"/>
      <c r="G491" s="9"/>
      <c r="H491" s="548"/>
      <c r="I491" s="548"/>
      <c r="J491" s="548"/>
      <c r="K491" s="548"/>
      <c r="L491" s="548"/>
      <c r="M491" s="548"/>
      <c r="N491" s="548"/>
      <c r="O491" s="548"/>
      <c r="P491" s="548"/>
      <c r="Q491" s="548"/>
      <c r="R491" s="548"/>
      <c r="S491" s="548"/>
      <c r="T491" s="548"/>
      <c r="U491" s="9"/>
      <c r="V491" s="9"/>
      <c r="W491" s="9"/>
      <c r="X491" s="9"/>
      <c r="Y491" s="9"/>
      <c r="Z491" s="9"/>
      <c r="AA491" s="9"/>
      <c r="AB491" s="9"/>
      <c r="AC491" s="9"/>
    </row>
    <row r="492" spans="1:29" ht="12.75" customHeight="1">
      <c r="A492" s="9"/>
      <c r="B492" s="9"/>
      <c r="C492" s="9"/>
      <c r="D492" s="9"/>
      <c r="E492" s="9"/>
      <c r="F492" s="9"/>
      <c r="G492" s="9"/>
      <c r="H492" s="548"/>
      <c r="I492" s="548"/>
      <c r="J492" s="548"/>
      <c r="K492" s="548"/>
      <c r="L492" s="548"/>
      <c r="M492" s="548"/>
      <c r="N492" s="548"/>
      <c r="O492" s="548"/>
      <c r="P492" s="548"/>
      <c r="Q492" s="548"/>
      <c r="R492" s="548"/>
      <c r="S492" s="548"/>
      <c r="T492" s="548"/>
      <c r="U492" s="9"/>
      <c r="V492" s="9"/>
      <c r="W492" s="9"/>
      <c r="X492" s="9"/>
      <c r="Y492" s="9"/>
      <c r="Z492" s="9"/>
      <c r="AA492" s="9"/>
      <c r="AB492" s="9"/>
      <c r="AC492" s="9"/>
    </row>
    <row r="493" spans="1:29" ht="12.75" customHeight="1">
      <c r="A493" s="9"/>
      <c r="B493" s="9"/>
      <c r="C493" s="9"/>
      <c r="D493" s="9"/>
      <c r="E493" s="9"/>
      <c r="F493" s="9"/>
      <c r="G493" s="9"/>
      <c r="H493" s="548"/>
      <c r="I493" s="548"/>
      <c r="J493" s="548"/>
      <c r="K493" s="548"/>
      <c r="L493" s="548"/>
      <c r="M493" s="548"/>
      <c r="N493" s="548"/>
      <c r="O493" s="548"/>
      <c r="P493" s="548"/>
      <c r="Q493" s="548"/>
      <c r="R493" s="548"/>
      <c r="S493" s="548"/>
      <c r="T493" s="548"/>
      <c r="U493" s="9"/>
      <c r="V493" s="9"/>
      <c r="W493" s="9"/>
      <c r="X493" s="9"/>
      <c r="Y493" s="9"/>
      <c r="Z493" s="9"/>
      <c r="AA493" s="9"/>
      <c r="AB493" s="9"/>
      <c r="AC493" s="9"/>
    </row>
    <row r="494" spans="1:29" ht="12.75" customHeight="1">
      <c r="A494" s="9"/>
      <c r="B494" s="9"/>
      <c r="C494" s="9"/>
      <c r="D494" s="9"/>
      <c r="E494" s="9"/>
      <c r="F494" s="9"/>
      <c r="G494" s="9"/>
      <c r="H494" s="548"/>
      <c r="I494" s="548"/>
      <c r="J494" s="548"/>
      <c r="K494" s="548"/>
      <c r="L494" s="548"/>
      <c r="M494" s="548"/>
      <c r="N494" s="548"/>
      <c r="O494" s="548"/>
      <c r="P494" s="548"/>
      <c r="Q494" s="548"/>
      <c r="R494" s="548"/>
      <c r="S494" s="548"/>
      <c r="T494" s="548"/>
      <c r="U494" s="9"/>
      <c r="V494" s="9"/>
      <c r="W494" s="9"/>
      <c r="X494" s="9"/>
      <c r="Y494" s="9"/>
      <c r="Z494" s="9"/>
      <c r="AA494" s="9"/>
      <c r="AB494" s="9"/>
      <c r="AC494" s="9"/>
    </row>
    <row r="495" spans="1:29" ht="12.75" customHeight="1">
      <c r="A495" s="9"/>
      <c r="B495" s="9"/>
      <c r="C495" s="9"/>
      <c r="D495" s="9"/>
      <c r="E495" s="9"/>
      <c r="F495" s="9"/>
      <c r="G495" s="9"/>
      <c r="H495" s="548"/>
      <c r="I495" s="548"/>
      <c r="J495" s="548"/>
      <c r="K495" s="548"/>
      <c r="L495" s="548"/>
      <c r="M495" s="548"/>
      <c r="N495" s="548"/>
      <c r="O495" s="548"/>
      <c r="P495" s="548"/>
      <c r="Q495" s="548"/>
      <c r="R495" s="548"/>
      <c r="S495" s="548"/>
      <c r="T495" s="548"/>
      <c r="U495" s="9"/>
      <c r="V495" s="9"/>
      <c r="W495" s="9"/>
      <c r="X495" s="9"/>
      <c r="Y495" s="9"/>
      <c r="Z495" s="9"/>
      <c r="AA495" s="9"/>
      <c r="AB495" s="9"/>
      <c r="AC495" s="9"/>
    </row>
    <row r="496" spans="1:29" ht="12.75" customHeight="1">
      <c r="A496" s="9"/>
      <c r="B496" s="9"/>
      <c r="C496" s="9"/>
      <c r="D496" s="9"/>
      <c r="E496" s="9"/>
      <c r="F496" s="9"/>
      <c r="G496" s="9"/>
      <c r="H496" s="548"/>
      <c r="I496" s="548"/>
      <c r="J496" s="548"/>
      <c r="K496" s="548"/>
      <c r="L496" s="548"/>
      <c r="M496" s="548"/>
      <c r="N496" s="548"/>
      <c r="O496" s="548"/>
      <c r="P496" s="548"/>
      <c r="Q496" s="548"/>
      <c r="R496" s="548"/>
      <c r="S496" s="548"/>
      <c r="T496" s="548"/>
      <c r="U496" s="9"/>
      <c r="V496" s="9"/>
      <c r="W496" s="9"/>
      <c r="X496" s="9"/>
      <c r="Y496" s="9"/>
      <c r="Z496" s="9"/>
      <c r="AA496" s="9"/>
      <c r="AB496" s="9"/>
      <c r="AC496" s="9"/>
    </row>
    <row r="497" spans="1:29" ht="12.75" customHeight="1">
      <c r="A497" s="9"/>
      <c r="B497" s="9"/>
      <c r="C497" s="9"/>
      <c r="D497" s="9"/>
      <c r="E497" s="9"/>
      <c r="F497" s="9"/>
      <c r="G497" s="9"/>
      <c r="H497" s="548"/>
      <c r="I497" s="548"/>
      <c r="J497" s="548"/>
      <c r="K497" s="548"/>
      <c r="L497" s="548"/>
      <c r="M497" s="548"/>
      <c r="N497" s="548"/>
      <c r="O497" s="548"/>
      <c r="P497" s="548"/>
      <c r="Q497" s="548"/>
      <c r="R497" s="548"/>
      <c r="S497" s="548"/>
      <c r="T497" s="548"/>
      <c r="U497" s="9"/>
      <c r="V497" s="9"/>
      <c r="W497" s="9"/>
      <c r="X497" s="9"/>
      <c r="Y497" s="9"/>
      <c r="Z497" s="9"/>
      <c r="AA497" s="9"/>
      <c r="AB497" s="9"/>
      <c r="AC497" s="9"/>
    </row>
    <row r="498" spans="1:29" ht="12.75" customHeight="1">
      <c r="A498" s="9"/>
      <c r="B498" s="9"/>
      <c r="C498" s="9"/>
      <c r="D498" s="9"/>
      <c r="E498" s="9"/>
      <c r="F498" s="9"/>
      <c r="G498" s="9"/>
      <c r="H498" s="548"/>
      <c r="I498" s="548"/>
      <c r="J498" s="548"/>
      <c r="K498" s="548"/>
      <c r="L498" s="548"/>
      <c r="M498" s="548"/>
      <c r="N498" s="548"/>
      <c r="O498" s="548"/>
      <c r="P498" s="548"/>
      <c r="Q498" s="548"/>
      <c r="R498" s="548"/>
      <c r="S498" s="548"/>
      <c r="T498" s="548"/>
      <c r="U498" s="9"/>
      <c r="V498" s="9"/>
      <c r="W498" s="9"/>
      <c r="X498" s="9"/>
      <c r="Y498" s="9"/>
      <c r="Z498" s="9"/>
      <c r="AA498" s="9"/>
      <c r="AB498" s="9"/>
      <c r="AC498" s="9"/>
    </row>
    <row r="499" spans="1:29" ht="12.75" customHeight="1">
      <c r="A499" s="9"/>
      <c r="B499" s="9"/>
      <c r="C499" s="9"/>
      <c r="D499" s="9"/>
      <c r="E499" s="9"/>
      <c r="F499" s="9"/>
      <c r="G499" s="9"/>
      <c r="H499" s="548"/>
      <c r="I499" s="548"/>
      <c r="J499" s="548"/>
      <c r="K499" s="548"/>
      <c r="L499" s="548"/>
      <c r="M499" s="548"/>
      <c r="N499" s="548"/>
      <c r="O499" s="548"/>
      <c r="P499" s="548"/>
      <c r="Q499" s="548"/>
      <c r="R499" s="548"/>
      <c r="S499" s="548"/>
      <c r="T499" s="548"/>
      <c r="U499" s="9"/>
      <c r="V499" s="9"/>
      <c r="W499" s="9"/>
      <c r="X499" s="9"/>
      <c r="Y499" s="9"/>
      <c r="Z499" s="9"/>
      <c r="AA499" s="9"/>
      <c r="AB499" s="9"/>
      <c r="AC499" s="9"/>
    </row>
    <row r="500" spans="1:29" ht="12.75" customHeight="1">
      <c r="A500" s="9"/>
      <c r="B500" s="9"/>
      <c r="C500" s="9"/>
      <c r="D500" s="9"/>
      <c r="E500" s="9"/>
      <c r="F500" s="9"/>
      <c r="G500" s="9"/>
      <c r="H500" s="548"/>
      <c r="I500" s="548"/>
      <c r="J500" s="548"/>
      <c r="K500" s="548"/>
      <c r="L500" s="548"/>
      <c r="M500" s="548"/>
      <c r="N500" s="548"/>
      <c r="O500" s="548"/>
      <c r="P500" s="548"/>
      <c r="Q500" s="548"/>
      <c r="R500" s="548"/>
      <c r="S500" s="548"/>
      <c r="T500" s="548"/>
      <c r="U500" s="9"/>
      <c r="V500" s="9"/>
      <c r="W500" s="9"/>
      <c r="X500" s="9"/>
      <c r="Y500" s="9"/>
      <c r="Z500" s="9"/>
      <c r="AA500" s="9"/>
      <c r="AB500" s="9"/>
      <c r="AC500" s="9"/>
    </row>
    <row r="501" spans="1:29" ht="12.75" customHeight="1">
      <c r="A501" s="9"/>
      <c r="B501" s="9"/>
      <c r="C501" s="9"/>
      <c r="D501" s="9"/>
      <c r="E501" s="9"/>
      <c r="F501" s="9"/>
      <c r="G501" s="9"/>
      <c r="H501" s="548"/>
      <c r="I501" s="548"/>
      <c r="J501" s="548"/>
      <c r="K501" s="548"/>
      <c r="L501" s="548"/>
      <c r="M501" s="548"/>
      <c r="N501" s="548"/>
      <c r="O501" s="548"/>
      <c r="P501" s="548"/>
      <c r="Q501" s="548"/>
      <c r="R501" s="548"/>
      <c r="S501" s="548"/>
      <c r="T501" s="548"/>
      <c r="U501" s="9"/>
      <c r="V501" s="9"/>
      <c r="W501" s="9"/>
      <c r="X501" s="9"/>
      <c r="Y501" s="9"/>
      <c r="Z501" s="9"/>
      <c r="AA501" s="9"/>
      <c r="AB501" s="9"/>
      <c r="AC501" s="9"/>
    </row>
    <row r="502" spans="1:29" ht="12.75" customHeight="1">
      <c r="A502" s="9"/>
      <c r="B502" s="9"/>
      <c r="C502" s="9"/>
      <c r="D502" s="9"/>
      <c r="E502" s="9"/>
      <c r="F502" s="9"/>
      <c r="G502" s="9"/>
      <c r="H502" s="548"/>
      <c r="I502" s="548"/>
      <c r="J502" s="548"/>
      <c r="K502" s="548"/>
      <c r="L502" s="548"/>
      <c r="M502" s="548"/>
      <c r="N502" s="548"/>
      <c r="O502" s="548"/>
      <c r="P502" s="548"/>
      <c r="Q502" s="548"/>
      <c r="R502" s="548"/>
      <c r="S502" s="548"/>
      <c r="T502" s="548"/>
      <c r="U502" s="9"/>
      <c r="V502" s="9"/>
      <c r="W502" s="9"/>
      <c r="X502" s="9"/>
      <c r="Y502" s="9"/>
      <c r="Z502" s="9"/>
      <c r="AA502" s="9"/>
      <c r="AB502" s="9"/>
      <c r="AC502" s="9"/>
    </row>
    <row r="503" spans="1:29" ht="12.75" customHeight="1">
      <c r="A503" s="9"/>
      <c r="B503" s="9"/>
      <c r="C503" s="9"/>
      <c r="D503" s="9"/>
      <c r="E503" s="9"/>
      <c r="F503" s="9"/>
      <c r="G503" s="9"/>
      <c r="H503" s="548"/>
      <c r="I503" s="548"/>
      <c r="J503" s="548"/>
      <c r="K503" s="548"/>
      <c r="L503" s="548"/>
      <c r="M503" s="548"/>
      <c r="N503" s="548"/>
      <c r="O503" s="548"/>
      <c r="P503" s="548"/>
      <c r="Q503" s="548"/>
      <c r="R503" s="548"/>
      <c r="S503" s="548"/>
      <c r="T503" s="548"/>
      <c r="U503" s="9"/>
      <c r="V503" s="9"/>
      <c r="W503" s="9"/>
      <c r="X503" s="9"/>
      <c r="Y503" s="9"/>
      <c r="Z503" s="9"/>
      <c r="AA503" s="9"/>
      <c r="AB503" s="9"/>
      <c r="AC503" s="9"/>
    </row>
    <row r="504" spans="1:29" ht="12.75" customHeight="1">
      <c r="A504" s="9"/>
      <c r="B504" s="9"/>
      <c r="C504" s="9"/>
      <c r="D504" s="9"/>
      <c r="E504" s="9"/>
      <c r="F504" s="9"/>
      <c r="G504" s="9"/>
      <c r="H504" s="548"/>
      <c r="I504" s="548"/>
      <c r="J504" s="548"/>
      <c r="K504" s="548"/>
      <c r="L504" s="548"/>
      <c r="M504" s="548"/>
      <c r="N504" s="548"/>
      <c r="O504" s="548"/>
      <c r="P504" s="548"/>
      <c r="Q504" s="548"/>
      <c r="R504" s="548"/>
      <c r="S504" s="548"/>
      <c r="T504" s="548"/>
      <c r="U504" s="9"/>
      <c r="V504" s="9"/>
      <c r="W504" s="9"/>
      <c r="X504" s="9"/>
      <c r="Y504" s="9"/>
      <c r="Z504" s="9"/>
      <c r="AA504" s="9"/>
      <c r="AB504" s="9"/>
      <c r="AC504" s="9"/>
    </row>
    <row r="505" spans="1:29" ht="12.75" customHeight="1">
      <c r="A505" s="9"/>
      <c r="B505" s="9"/>
      <c r="C505" s="9"/>
      <c r="D505" s="9"/>
      <c r="E505" s="9"/>
      <c r="F505" s="9"/>
      <c r="G505" s="9"/>
      <c r="H505" s="548"/>
      <c r="I505" s="548"/>
      <c r="J505" s="548"/>
      <c r="K505" s="548"/>
      <c r="L505" s="548"/>
      <c r="M505" s="548"/>
      <c r="N505" s="548"/>
      <c r="O505" s="548"/>
      <c r="P505" s="548"/>
      <c r="Q505" s="548"/>
      <c r="R505" s="548"/>
      <c r="S505" s="548"/>
      <c r="T505" s="548"/>
      <c r="U505" s="9"/>
      <c r="V505" s="9"/>
      <c r="W505" s="9"/>
      <c r="X505" s="9"/>
      <c r="Y505" s="9"/>
      <c r="Z505" s="9"/>
      <c r="AA505" s="9"/>
      <c r="AB505" s="9"/>
      <c r="AC505" s="9"/>
    </row>
    <row r="506" spans="1:29" ht="12.75" customHeight="1">
      <c r="A506" s="9"/>
      <c r="B506" s="9"/>
      <c r="C506" s="9"/>
      <c r="D506" s="9"/>
      <c r="E506" s="9"/>
      <c r="F506" s="9"/>
      <c r="G506" s="9"/>
      <c r="H506" s="548"/>
      <c r="I506" s="548"/>
      <c r="J506" s="548"/>
      <c r="K506" s="548"/>
      <c r="L506" s="548"/>
      <c r="M506" s="548"/>
      <c r="N506" s="548"/>
      <c r="O506" s="548"/>
      <c r="P506" s="548"/>
      <c r="Q506" s="548"/>
      <c r="R506" s="548"/>
      <c r="S506" s="548"/>
      <c r="T506" s="548"/>
      <c r="U506" s="9"/>
      <c r="V506" s="9"/>
      <c r="W506" s="9"/>
      <c r="X506" s="9"/>
      <c r="Y506" s="9"/>
      <c r="Z506" s="9"/>
      <c r="AA506" s="9"/>
      <c r="AB506" s="9"/>
      <c r="AC506" s="9"/>
    </row>
    <row r="507" spans="1:29" ht="12.75" customHeight="1">
      <c r="A507" s="9"/>
      <c r="B507" s="9"/>
      <c r="C507" s="9"/>
      <c r="D507" s="9"/>
      <c r="E507" s="9"/>
      <c r="F507" s="9"/>
      <c r="G507" s="9"/>
      <c r="H507" s="548"/>
      <c r="I507" s="548"/>
      <c r="J507" s="548"/>
      <c r="K507" s="548"/>
      <c r="L507" s="548"/>
      <c r="M507" s="548"/>
      <c r="N507" s="548"/>
      <c r="O507" s="548"/>
      <c r="P507" s="548"/>
      <c r="Q507" s="548"/>
      <c r="R507" s="548"/>
      <c r="S507" s="548"/>
      <c r="T507" s="548"/>
      <c r="U507" s="9"/>
      <c r="V507" s="9"/>
      <c r="W507" s="9"/>
      <c r="X507" s="9"/>
      <c r="Y507" s="9"/>
      <c r="Z507" s="9"/>
      <c r="AA507" s="9"/>
      <c r="AB507" s="9"/>
      <c r="AC507" s="9"/>
    </row>
    <row r="508" spans="1:29" ht="12.75" customHeight="1">
      <c r="A508" s="9"/>
      <c r="B508" s="9"/>
      <c r="C508" s="9"/>
      <c r="D508" s="9"/>
      <c r="E508" s="9"/>
      <c r="F508" s="9"/>
      <c r="G508" s="9"/>
      <c r="H508" s="548"/>
      <c r="I508" s="548"/>
      <c r="J508" s="548"/>
      <c r="K508" s="548"/>
      <c r="L508" s="548"/>
      <c r="M508" s="548"/>
      <c r="N508" s="548"/>
      <c r="O508" s="548"/>
      <c r="P508" s="548"/>
      <c r="Q508" s="548"/>
      <c r="R508" s="548"/>
      <c r="S508" s="548"/>
      <c r="T508" s="548"/>
      <c r="U508" s="9"/>
      <c r="V508" s="9"/>
      <c r="W508" s="9"/>
      <c r="X508" s="9"/>
      <c r="Y508" s="9"/>
      <c r="Z508" s="9"/>
      <c r="AA508" s="9"/>
      <c r="AB508" s="9"/>
      <c r="AC508" s="9"/>
    </row>
    <row r="509" spans="1:29" ht="12.75" customHeight="1">
      <c r="A509" s="9"/>
      <c r="B509" s="9"/>
      <c r="C509" s="9"/>
      <c r="D509" s="9"/>
      <c r="E509" s="9"/>
      <c r="F509" s="9"/>
      <c r="G509" s="9"/>
      <c r="H509" s="548"/>
      <c r="I509" s="548"/>
      <c r="J509" s="548"/>
      <c r="K509" s="548"/>
      <c r="L509" s="548"/>
      <c r="M509" s="548"/>
      <c r="N509" s="548"/>
      <c r="O509" s="548"/>
      <c r="P509" s="548"/>
      <c r="Q509" s="548"/>
      <c r="R509" s="548"/>
      <c r="S509" s="548"/>
      <c r="T509" s="548"/>
      <c r="U509" s="9"/>
      <c r="V509" s="9"/>
      <c r="W509" s="9"/>
      <c r="X509" s="9"/>
      <c r="Y509" s="9"/>
      <c r="Z509" s="9"/>
      <c r="AA509" s="9"/>
      <c r="AB509" s="9"/>
      <c r="AC509" s="9"/>
    </row>
    <row r="510" spans="1:29" ht="12.75" customHeight="1">
      <c r="A510" s="9"/>
      <c r="B510" s="9"/>
      <c r="C510" s="9"/>
      <c r="D510" s="9"/>
      <c r="E510" s="9"/>
      <c r="F510" s="9"/>
      <c r="G510" s="9"/>
      <c r="H510" s="548"/>
      <c r="I510" s="548"/>
      <c r="J510" s="548"/>
      <c r="K510" s="548"/>
      <c r="L510" s="548"/>
      <c r="M510" s="548"/>
      <c r="N510" s="548"/>
      <c r="O510" s="548"/>
      <c r="P510" s="548"/>
      <c r="Q510" s="548"/>
      <c r="R510" s="548"/>
      <c r="S510" s="548"/>
      <c r="T510" s="548"/>
      <c r="U510" s="9"/>
      <c r="V510" s="9"/>
      <c r="W510" s="9"/>
      <c r="X510" s="9"/>
      <c r="Y510" s="9"/>
      <c r="Z510" s="9"/>
      <c r="AA510" s="9"/>
      <c r="AB510" s="9"/>
      <c r="AC510" s="9"/>
    </row>
    <row r="511" spans="1:29" ht="12.75" customHeight="1">
      <c r="A511" s="9"/>
      <c r="B511" s="9"/>
      <c r="C511" s="9"/>
      <c r="D511" s="9"/>
      <c r="E511" s="9"/>
      <c r="F511" s="9"/>
      <c r="G511" s="9"/>
      <c r="H511" s="548"/>
      <c r="I511" s="548"/>
      <c r="J511" s="548"/>
      <c r="K511" s="548"/>
      <c r="L511" s="548"/>
      <c r="M511" s="548"/>
      <c r="N511" s="548"/>
      <c r="O511" s="548"/>
      <c r="P511" s="548"/>
      <c r="Q511" s="548"/>
      <c r="R511" s="548"/>
      <c r="S511" s="548"/>
      <c r="T511" s="548"/>
      <c r="U511" s="9"/>
      <c r="V511" s="9"/>
      <c r="W511" s="9"/>
      <c r="X511" s="9"/>
      <c r="Y511" s="9"/>
      <c r="Z511" s="9"/>
      <c r="AA511" s="9"/>
      <c r="AB511" s="9"/>
      <c r="AC511" s="9"/>
    </row>
    <row r="512" spans="1:29" ht="12.75" customHeight="1">
      <c r="A512" s="9"/>
      <c r="B512" s="9"/>
      <c r="C512" s="9"/>
      <c r="D512" s="9"/>
      <c r="E512" s="9"/>
      <c r="F512" s="9"/>
      <c r="G512" s="9"/>
      <c r="H512" s="548"/>
      <c r="I512" s="548"/>
      <c r="J512" s="548"/>
      <c r="K512" s="548"/>
      <c r="L512" s="548"/>
      <c r="M512" s="548"/>
      <c r="N512" s="548"/>
      <c r="O512" s="548"/>
      <c r="P512" s="548"/>
      <c r="Q512" s="548"/>
      <c r="R512" s="548"/>
      <c r="S512" s="548"/>
      <c r="T512" s="548"/>
      <c r="U512" s="9"/>
      <c r="V512" s="9"/>
      <c r="W512" s="9"/>
      <c r="X512" s="9"/>
      <c r="Y512" s="9"/>
      <c r="Z512" s="9"/>
      <c r="AA512" s="9"/>
      <c r="AB512" s="9"/>
      <c r="AC512" s="9"/>
    </row>
    <row r="513" spans="1:29" ht="12.75" customHeight="1">
      <c r="A513" s="9"/>
      <c r="B513" s="9"/>
      <c r="C513" s="9"/>
      <c r="D513" s="9"/>
      <c r="E513" s="9"/>
      <c r="F513" s="9"/>
      <c r="G513" s="9"/>
      <c r="H513" s="548"/>
      <c r="I513" s="548"/>
      <c r="J513" s="548"/>
      <c r="K513" s="548"/>
      <c r="L513" s="548"/>
      <c r="M513" s="548"/>
      <c r="N513" s="548"/>
      <c r="O513" s="548"/>
      <c r="P513" s="548"/>
      <c r="Q513" s="548"/>
      <c r="R513" s="548"/>
      <c r="S513" s="548"/>
      <c r="T513" s="548"/>
      <c r="U513" s="9"/>
      <c r="V513" s="9"/>
      <c r="W513" s="9"/>
      <c r="X513" s="9"/>
      <c r="Y513" s="9"/>
      <c r="Z513" s="9"/>
      <c r="AA513" s="9"/>
      <c r="AB513" s="9"/>
      <c r="AC513" s="9"/>
    </row>
    <row r="514" spans="1:29" ht="12.75" customHeight="1">
      <c r="A514" s="9"/>
      <c r="B514" s="9"/>
      <c r="C514" s="9"/>
      <c r="D514" s="9"/>
      <c r="E514" s="9"/>
      <c r="F514" s="9"/>
      <c r="G514" s="9"/>
      <c r="H514" s="548"/>
      <c r="I514" s="548"/>
      <c r="J514" s="548"/>
      <c r="K514" s="548"/>
      <c r="L514" s="548"/>
      <c r="M514" s="548"/>
      <c r="N514" s="548"/>
      <c r="O514" s="548"/>
      <c r="P514" s="548"/>
      <c r="Q514" s="548"/>
      <c r="R514" s="548"/>
      <c r="S514" s="548"/>
      <c r="T514" s="548"/>
      <c r="U514" s="9"/>
      <c r="V514" s="9"/>
      <c r="W514" s="9"/>
      <c r="X514" s="9"/>
      <c r="Y514" s="9"/>
      <c r="Z514" s="9"/>
      <c r="AA514" s="9"/>
      <c r="AB514" s="9"/>
      <c r="AC514" s="9"/>
    </row>
    <row r="515" spans="1:29" ht="12.75" customHeight="1">
      <c r="A515" s="9"/>
      <c r="B515" s="9"/>
      <c r="C515" s="9"/>
      <c r="D515" s="9"/>
      <c r="E515" s="9"/>
      <c r="F515" s="9"/>
      <c r="G515" s="9"/>
      <c r="H515" s="548"/>
      <c r="I515" s="548"/>
      <c r="J515" s="548"/>
      <c r="K515" s="548"/>
      <c r="L515" s="548"/>
      <c r="M515" s="548"/>
      <c r="N515" s="548"/>
      <c r="O515" s="548"/>
      <c r="P515" s="548"/>
      <c r="Q515" s="548"/>
      <c r="R515" s="548"/>
      <c r="S515" s="548"/>
      <c r="T515" s="548"/>
      <c r="U515" s="9"/>
      <c r="V515" s="9"/>
      <c r="W515" s="9"/>
      <c r="X515" s="9"/>
      <c r="Y515" s="9"/>
      <c r="Z515" s="9"/>
      <c r="AA515" s="9"/>
      <c r="AB515" s="9"/>
      <c r="AC515" s="9"/>
    </row>
    <row r="516" spans="1:29" ht="12.75" customHeight="1">
      <c r="A516" s="9"/>
      <c r="B516" s="9"/>
      <c r="C516" s="9"/>
      <c r="D516" s="9"/>
      <c r="E516" s="9"/>
      <c r="F516" s="9"/>
      <c r="G516" s="9"/>
      <c r="H516" s="548"/>
      <c r="I516" s="548"/>
      <c r="J516" s="548"/>
      <c r="K516" s="548"/>
      <c r="L516" s="548"/>
      <c r="M516" s="548"/>
      <c r="N516" s="548"/>
      <c r="O516" s="548"/>
      <c r="P516" s="548"/>
      <c r="Q516" s="548"/>
      <c r="R516" s="548"/>
      <c r="S516" s="548"/>
      <c r="T516" s="548"/>
      <c r="U516" s="9"/>
      <c r="V516" s="9"/>
      <c r="W516" s="9"/>
      <c r="X516" s="9"/>
      <c r="Y516" s="9"/>
      <c r="Z516" s="9"/>
      <c r="AA516" s="9"/>
      <c r="AB516" s="9"/>
      <c r="AC516" s="9"/>
    </row>
    <row r="517" spans="1:29" ht="12.75" customHeight="1">
      <c r="A517" s="9"/>
      <c r="B517" s="9"/>
      <c r="C517" s="9"/>
      <c r="D517" s="9"/>
      <c r="E517" s="9"/>
      <c r="F517" s="9"/>
      <c r="G517" s="9"/>
      <c r="H517" s="548"/>
      <c r="I517" s="548"/>
      <c r="J517" s="548"/>
      <c r="K517" s="548"/>
      <c r="L517" s="548"/>
      <c r="M517" s="548"/>
      <c r="N517" s="548"/>
      <c r="O517" s="548"/>
      <c r="P517" s="548"/>
      <c r="Q517" s="548"/>
      <c r="R517" s="548"/>
      <c r="S517" s="548"/>
      <c r="T517" s="548"/>
      <c r="U517" s="9"/>
      <c r="V517" s="9"/>
      <c r="W517" s="9"/>
      <c r="X517" s="9"/>
      <c r="Y517" s="9"/>
      <c r="Z517" s="9"/>
      <c r="AA517" s="9"/>
      <c r="AB517" s="9"/>
      <c r="AC517" s="9"/>
    </row>
    <row r="518" spans="1:29" ht="12.75" customHeight="1">
      <c r="A518" s="9"/>
      <c r="B518" s="9"/>
      <c r="C518" s="9"/>
      <c r="D518" s="9"/>
      <c r="E518" s="9"/>
      <c r="F518" s="9"/>
      <c r="G518" s="9"/>
      <c r="H518" s="548"/>
      <c r="I518" s="548"/>
      <c r="J518" s="548"/>
      <c r="K518" s="548"/>
      <c r="L518" s="548"/>
      <c r="M518" s="548"/>
      <c r="N518" s="548"/>
      <c r="O518" s="548"/>
      <c r="P518" s="548"/>
      <c r="Q518" s="548"/>
      <c r="R518" s="548"/>
      <c r="S518" s="548"/>
      <c r="T518" s="548"/>
      <c r="U518" s="9"/>
      <c r="V518" s="9"/>
      <c r="W518" s="9"/>
      <c r="X518" s="9"/>
      <c r="Y518" s="9"/>
      <c r="Z518" s="9"/>
      <c r="AA518" s="9"/>
      <c r="AB518" s="9"/>
      <c r="AC518" s="9"/>
    </row>
    <row r="519" spans="1:29" ht="12.75" customHeight="1">
      <c r="A519" s="9"/>
      <c r="B519" s="9"/>
      <c r="C519" s="9"/>
      <c r="D519" s="9"/>
      <c r="E519" s="9"/>
      <c r="F519" s="9"/>
      <c r="G519" s="9"/>
      <c r="H519" s="548"/>
      <c r="I519" s="548"/>
      <c r="J519" s="548"/>
      <c r="K519" s="548"/>
      <c r="L519" s="548"/>
      <c r="M519" s="548"/>
      <c r="N519" s="548"/>
      <c r="O519" s="548"/>
      <c r="P519" s="548"/>
      <c r="Q519" s="548"/>
      <c r="R519" s="548"/>
      <c r="S519" s="548"/>
      <c r="T519" s="548"/>
      <c r="U519" s="9"/>
      <c r="V519" s="9"/>
      <c r="W519" s="9"/>
      <c r="X519" s="9"/>
      <c r="Y519" s="9"/>
      <c r="Z519" s="9"/>
      <c r="AA519" s="9"/>
      <c r="AB519" s="9"/>
      <c r="AC519" s="9"/>
    </row>
    <row r="520" spans="1:29" ht="12.75" customHeight="1">
      <c r="A520" s="9"/>
      <c r="B520" s="9"/>
      <c r="C520" s="9"/>
      <c r="D520" s="9"/>
      <c r="E520" s="9"/>
      <c r="F520" s="9"/>
      <c r="G520" s="9"/>
      <c r="H520" s="548"/>
      <c r="I520" s="548"/>
      <c r="J520" s="548"/>
      <c r="K520" s="548"/>
      <c r="L520" s="548"/>
      <c r="M520" s="548"/>
      <c r="N520" s="548"/>
      <c r="O520" s="548"/>
      <c r="P520" s="548"/>
      <c r="Q520" s="548"/>
      <c r="R520" s="548"/>
      <c r="S520" s="548"/>
      <c r="T520" s="548"/>
      <c r="U520" s="9"/>
      <c r="V520" s="9"/>
      <c r="W520" s="9"/>
      <c r="X520" s="9"/>
      <c r="Y520" s="9"/>
      <c r="Z520" s="9"/>
      <c r="AA520" s="9"/>
      <c r="AB520" s="9"/>
      <c r="AC520" s="9"/>
    </row>
    <row r="521" spans="1:29" ht="12.75" customHeight="1">
      <c r="A521" s="9"/>
      <c r="B521" s="9"/>
      <c r="C521" s="9"/>
      <c r="D521" s="9"/>
      <c r="E521" s="9"/>
      <c r="F521" s="9"/>
      <c r="G521" s="9"/>
      <c r="H521" s="548"/>
      <c r="I521" s="548"/>
      <c r="J521" s="548"/>
      <c r="K521" s="548"/>
      <c r="L521" s="548"/>
      <c r="M521" s="548"/>
      <c r="N521" s="548"/>
      <c r="O521" s="548"/>
      <c r="P521" s="548"/>
      <c r="Q521" s="548"/>
      <c r="R521" s="548"/>
      <c r="S521" s="548"/>
      <c r="T521" s="548"/>
      <c r="U521" s="9"/>
      <c r="V521" s="9"/>
      <c r="W521" s="9"/>
      <c r="X521" s="9"/>
      <c r="Y521" s="9"/>
      <c r="Z521" s="9"/>
      <c r="AA521" s="9"/>
      <c r="AB521" s="9"/>
      <c r="AC521" s="9"/>
    </row>
    <row r="522" spans="1:29" ht="12.75" customHeight="1">
      <c r="A522" s="9"/>
      <c r="B522" s="9"/>
      <c r="C522" s="9"/>
      <c r="D522" s="9"/>
      <c r="E522" s="9"/>
      <c r="F522" s="9"/>
      <c r="G522" s="9"/>
      <c r="H522" s="548"/>
      <c r="I522" s="548"/>
      <c r="J522" s="548"/>
      <c r="K522" s="548"/>
      <c r="L522" s="548"/>
      <c r="M522" s="548"/>
      <c r="N522" s="548"/>
      <c r="O522" s="548"/>
      <c r="P522" s="548"/>
      <c r="Q522" s="548"/>
      <c r="R522" s="548"/>
      <c r="S522" s="548"/>
      <c r="T522" s="548"/>
      <c r="U522" s="9"/>
      <c r="V522" s="9"/>
      <c r="W522" s="9"/>
      <c r="X522" s="9"/>
      <c r="Y522" s="9"/>
      <c r="Z522" s="9"/>
      <c r="AA522" s="9"/>
      <c r="AB522" s="9"/>
      <c r="AC522" s="9"/>
    </row>
    <row r="523" spans="1:29" ht="12.75" customHeight="1">
      <c r="A523" s="9"/>
      <c r="B523" s="9"/>
      <c r="C523" s="9"/>
      <c r="D523" s="9"/>
      <c r="E523" s="9"/>
      <c r="F523" s="9"/>
      <c r="G523" s="9"/>
      <c r="H523" s="548"/>
      <c r="I523" s="548"/>
      <c r="J523" s="548"/>
      <c r="K523" s="548"/>
      <c r="L523" s="548"/>
      <c r="M523" s="548"/>
      <c r="N523" s="548"/>
      <c r="O523" s="548"/>
      <c r="P523" s="548"/>
      <c r="Q523" s="548"/>
      <c r="R523" s="548"/>
      <c r="S523" s="548"/>
      <c r="T523" s="548"/>
      <c r="U523" s="9"/>
      <c r="V523" s="9"/>
      <c r="W523" s="9"/>
      <c r="X523" s="9"/>
      <c r="Y523" s="9"/>
      <c r="Z523" s="9"/>
      <c r="AA523" s="9"/>
      <c r="AB523" s="9"/>
      <c r="AC523" s="9"/>
    </row>
    <row r="524" spans="1:29" ht="12.75" customHeight="1">
      <c r="A524" s="9"/>
      <c r="B524" s="9"/>
      <c r="C524" s="9"/>
      <c r="D524" s="9"/>
      <c r="E524" s="9"/>
      <c r="F524" s="9"/>
      <c r="G524" s="9"/>
      <c r="H524" s="548"/>
      <c r="I524" s="548"/>
      <c r="J524" s="548"/>
      <c r="K524" s="548"/>
      <c r="L524" s="548"/>
      <c r="M524" s="548"/>
      <c r="N524" s="548"/>
      <c r="O524" s="548"/>
      <c r="P524" s="548"/>
      <c r="Q524" s="548"/>
      <c r="R524" s="548"/>
      <c r="S524" s="548"/>
      <c r="T524" s="548"/>
      <c r="U524" s="9"/>
      <c r="V524" s="9"/>
      <c r="W524" s="9"/>
      <c r="X524" s="9"/>
      <c r="Y524" s="9"/>
      <c r="Z524" s="9"/>
      <c r="AA524" s="9"/>
      <c r="AB524" s="9"/>
      <c r="AC524" s="9"/>
    </row>
    <row r="525" spans="1:29" ht="12.75" customHeight="1">
      <c r="A525" s="9"/>
      <c r="B525" s="9"/>
      <c r="C525" s="9"/>
      <c r="D525" s="9"/>
      <c r="E525" s="9"/>
      <c r="F525" s="9"/>
      <c r="G525" s="9"/>
      <c r="H525" s="548"/>
      <c r="I525" s="548"/>
      <c r="J525" s="548"/>
      <c r="K525" s="548"/>
      <c r="L525" s="548"/>
      <c r="M525" s="548"/>
      <c r="N525" s="548"/>
      <c r="O525" s="548"/>
      <c r="P525" s="548"/>
      <c r="Q525" s="548"/>
      <c r="R525" s="548"/>
      <c r="S525" s="548"/>
      <c r="T525" s="548"/>
      <c r="U525" s="9"/>
      <c r="V525" s="9"/>
      <c r="W525" s="9"/>
      <c r="X525" s="9"/>
      <c r="Y525" s="9"/>
      <c r="Z525" s="9"/>
      <c r="AA525" s="9"/>
      <c r="AB525" s="9"/>
      <c r="AC525" s="9"/>
    </row>
    <row r="526" spans="1:29" ht="12.75" customHeight="1">
      <c r="A526" s="9"/>
      <c r="B526" s="9"/>
      <c r="C526" s="9"/>
      <c r="D526" s="9"/>
      <c r="E526" s="9"/>
      <c r="F526" s="9"/>
      <c r="G526" s="9"/>
      <c r="H526" s="548"/>
      <c r="I526" s="548"/>
      <c r="J526" s="548"/>
      <c r="K526" s="548"/>
      <c r="L526" s="548"/>
      <c r="M526" s="548"/>
      <c r="N526" s="548"/>
      <c r="O526" s="548"/>
      <c r="P526" s="548"/>
      <c r="Q526" s="548"/>
      <c r="R526" s="548"/>
      <c r="S526" s="548"/>
      <c r="T526" s="548"/>
      <c r="U526" s="9"/>
      <c r="V526" s="9"/>
      <c r="W526" s="9"/>
      <c r="X526" s="9"/>
      <c r="Y526" s="9"/>
      <c r="Z526" s="9"/>
      <c r="AA526" s="9"/>
      <c r="AB526" s="9"/>
      <c r="AC526" s="9"/>
    </row>
    <row r="527" spans="1:29" ht="12.75" customHeight="1">
      <c r="A527" s="9"/>
      <c r="B527" s="9"/>
      <c r="C527" s="9"/>
      <c r="D527" s="9"/>
      <c r="E527" s="9"/>
      <c r="F527" s="9"/>
      <c r="G527" s="9"/>
      <c r="H527" s="548"/>
      <c r="I527" s="548"/>
      <c r="J527" s="548"/>
      <c r="K527" s="548"/>
      <c r="L527" s="548"/>
      <c r="M527" s="548"/>
      <c r="N527" s="548"/>
      <c r="O527" s="548"/>
      <c r="P527" s="548"/>
      <c r="Q527" s="548"/>
      <c r="R527" s="548"/>
      <c r="S527" s="548"/>
      <c r="T527" s="548"/>
      <c r="U527" s="9"/>
      <c r="V527" s="9"/>
      <c r="W527" s="9"/>
      <c r="X527" s="9"/>
      <c r="Y527" s="9"/>
      <c r="Z527" s="9"/>
      <c r="AA527" s="9"/>
      <c r="AB527" s="9"/>
      <c r="AC527" s="9"/>
    </row>
    <row r="528" spans="1:29" ht="12.75" customHeight="1">
      <c r="A528" s="9"/>
      <c r="B528" s="9"/>
      <c r="C528" s="9"/>
      <c r="D528" s="9"/>
      <c r="E528" s="9"/>
      <c r="F528" s="9"/>
      <c r="G528" s="9"/>
      <c r="H528" s="548"/>
      <c r="I528" s="548"/>
      <c r="J528" s="548"/>
      <c r="K528" s="548"/>
      <c r="L528" s="548"/>
      <c r="M528" s="548"/>
      <c r="N528" s="548"/>
      <c r="O528" s="548"/>
      <c r="P528" s="548"/>
      <c r="Q528" s="548"/>
      <c r="R528" s="548"/>
      <c r="S528" s="548"/>
      <c r="T528" s="548"/>
      <c r="U528" s="9"/>
      <c r="V528" s="9"/>
      <c r="W528" s="9"/>
      <c r="X528" s="9"/>
      <c r="Y528" s="9"/>
      <c r="Z528" s="9"/>
      <c r="AA528" s="9"/>
      <c r="AB528" s="9"/>
      <c r="AC528" s="9"/>
    </row>
    <row r="529" spans="1:29" ht="12.75" customHeight="1">
      <c r="A529" s="9"/>
      <c r="B529" s="9"/>
      <c r="C529" s="9"/>
      <c r="D529" s="9"/>
      <c r="E529" s="9"/>
      <c r="F529" s="9"/>
      <c r="G529" s="9"/>
      <c r="H529" s="548"/>
      <c r="I529" s="548"/>
      <c r="J529" s="548"/>
      <c r="K529" s="548"/>
      <c r="L529" s="548"/>
      <c r="M529" s="548"/>
      <c r="N529" s="548"/>
      <c r="O529" s="548"/>
      <c r="P529" s="548"/>
      <c r="Q529" s="548"/>
      <c r="R529" s="548"/>
      <c r="S529" s="548"/>
      <c r="T529" s="548"/>
      <c r="U529" s="9"/>
      <c r="V529" s="9"/>
      <c r="W529" s="9"/>
      <c r="X529" s="9"/>
      <c r="Y529" s="9"/>
      <c r="Z529" s="9"/>
      <c r="AA529" s="9"/>
      <c r="AB529" s="9"/>
      <c r="AC529" s="9"/>
    </row>
    <row r="530" spans="1:29" ht="12.75" customHeight="1">
      <c r="A530" s="9"/>
      <c r="B530" s="9"/>
      <c r="C530" s="9"/>
      <c r="D530" s="9"/>
      <c r="E530" s="9"/>
      <c r="F530" s="9"/>
      <c r="G530" s="9"/>
      <c r="H530" s="548"/>
      <c r="I530" s="548"/>
      <c r="J530" s="548"/>
      <c r="K530" s="548"/>
      <c r="L530" s="548"/>
      <c r="M530" s="548"/>
      <c r="N530" s="548"/>
      <c r="O530" s="548"/>
      <c r="P530" s="548"/>
      <c r="Q530" s="548"/>
      <c r="R530" s="548"/>
      <c r="S530" s="548"/>
      <c r="T530" s="548"/>
      <c r="U530" s="9"/>
      <c r="V530" s="9"/>
      <c r="W530" s="9"/>
      <c r="X530" s="9"/>
      <c r="Y530" s="9"/>
      <c r="Z530" s="9"/>
      <c r="AA530" s="9"/>
      <c r="AB530" s="9"/>
      <c r="AC530" s="9"/>
    </row>
    <row r="531" spans="1:29" ht="12.75" customHeight="1">
      <c r="A531" s="9"/>
      <c r="B531" s="9"/>
      <c r="C531" s="9"/>
      <c r="D531" s="9"/>
      <c r="E531" s="9"/>
      <c r="F531" s="9"/>
      <c r="G531" s="9"/>
      <c r="H531" s="548"/>
      <c r="I531" s="548"/>
      <c r="J531" s="548"/>
      <c r="K531" s="548"/>
      <c r="L531" s="548"/>
      <c r="M531" s="548"/>
      <c r="N531" s="548"/>
      <c r="O531" s="548"/>
      <c r="P531" s="548"/>
      <c r="Q531" s="548"/>
      <c r="R531" s="548"/>
      <c r="S531" s="548"/>
      <c r="T531" s="548"/>
      <c r="U531" s="9"/>
      <c r="V531" s="9"/>
      <c r="W531" s="9"/>
      <c r="X531" s="9"/>
      <c r="Y531" s="9"/>
      <c r="Z531" s="9"/>
      <c r="AA531" s="9"/>
      <c r="AB531" s="9"/>
      <c r="AC531" s="9"/>
    </row>
    <row r="532" spans="1:29" ht="12.75" customHeight="1">
      <c r="A532" s="9"/>
      <c r="B532" s="9"/>
      <c r="C532" s="9"/>
      <c r="D532" s="9"/>
      <c r="E532" s="9"/>
      <c r="F532" s="9"/>
      <c r="G532" s="9"/>
      <c r="H532" s="548"/>
      <c r="I532" s="548"/>
      <c r="J532" s="548"/>
      <c r="K532" s="548"/>
      <c r="L532" s="548"/>
      <c r="M532" s="548"/>
      <c r="N532" s="548"/>
      <c r="O532" s="548"/>
      <c r="P532" s="548"/>
      <c r="Q532" s="548"/>
      <c r="R532" s="548"/>
      <c r="S532" s="548"/>
      <c r="T532" s="548"/>
      <c r="U532" s="9"/>
      <c r="V532" s="9"/>
      <c r="W532" s="9"/>
      <c r="X532" s="9"/>
      <c r="Y532" s="9"/>
      <c r="Z532" s="9"/>
      <c r="AA532" s="9"/>
      <c r="AB532" s="9"/>
      <c r="AC532" s="9"/>
    </row>
    <row r="533" spans="1:29" ht="12.75" customHeight="1">
      <c r="A533" s="9"/>
      <c r="B533" s="9"/>
      <c r="C533" s="9"/>
      <c r="D533" s="9"/>
      <c r="E533" s="9"/>
      <c r="F533" s="9"/>
      <c r="G533" s="9"/>
      <c r="H533" s="548"/>
      <c r="I533" s="548"/>
      <c r="J533" s="548"/>
      <c r="K533" s="548"/>
      <c r="L533" s="548"/>
      <c r="M533" s="548"/>
      <c r="N533" s="548"/>
      <c r="O533" s="548"/>
      <c r="P533" s="548"/>
      <c r="Q533" s="548"/>
      <c r="R533" s="548"/>
      <c r="S533" s="548"/>
      <c r="T533" s="548"/>
      <c r="U533" s="9"/>
      <c r="V533" s="9"/>
      <c r="W533" s="9"/>
      <c r="X533" s="9"/>
      <c r="Y533" s="9"/>
      <c r="Z533" s="9"/>
      <c r="AA533" s="9"/>
      <c r="AB533" s="9"/>
      <c r="AC533" s="9"/>
    </row>
    <row r="534" spans="1:29" ht="12.75" customHeight="1">
      <c r="A534" s="9"/>
      <c r="B534" s="9"/>
      <c r="C534" s="9"/>
      <c r="D534" s="9"/>
      <c r="E534" s="9"/>
      <c r="F534" s="9"/>
      <c r="G534" s="9"/>
      <c r="H534" s="548"/>
      <c r="I534" s="548"/>
      <c r="J534" s="548"/>
      <c r="K534" s="548"/>
      <c r="L534" s="548"/>
      <c r="M534" s="548"/>
      <c r="N534" s="548"/>
      <c r="O534" s="548"/>
      <c r="P534" s="548"/>
      <c r="Q534" s="548"/>
      <c r="R534" s="548"/>
      <c r="S534" s="548"/>
      <c r="T534" s="548"/>
      <c r="U534" s="9"/>
      <c r="V534" s="9"/>
      <c r="W534" s="9"/>
      <c r="X534" s="9"/>
      <c r="Y534" s="9"/>
      <c r="Z534" s="9"/>
      <c r="AA534" s="9"/>
      <c r="AB534" s="9"/>
      <c r="AC534" s="9"/>
    </row>
    <row r="535" spans="1:29" ht="12.75" customHeight="1">
      <c r="A535" s="9"/>
      <c r="B535" s="9"/>
      <c r="C535" s="9"/>
      <c r="D535" s="9"/>
      <c r="E535" s="9"/>
      <c r="F535" s="9"/>
      <c r="G535" s="9"/>
      <c r="H535" s="548"/>
      <c r="I535" s="548"/>
      <c r="J535" s="548"/>
      <c r="K535" s="548"/>
      <c r="L535" s="548"/>
      <c r="M535" s="548"/>
      <c r="N535" s="548"/>
      <c r="O535" s="548"/>
      <c r="P535" s="548"/>
      <c r="Q535" s="548"/>
      <c r="R535" s="548"/>
      <c r="S535" s="548"/>
      <c r="T535" s="548"/>
      <c r="U535" s="9"/>
      <c r="V535" s="9"/>
      <c r="W535" s="9"/>
      <c r="X535" s="9"/>
      <c r="Y535" s="9"/>
      <c r="Z535" s="9"/>
      <c r="AA535" s="9"/>
      <c r="AB535" s="9"/>
      <c r="AC535" s="9"/>
    </row>
    <row r="536" spans="1:29" ht="12.75" customHeight="1">
      <c r="A536" s="9"/>
      <c r="B536" s="9"/>
      <c r="C536" s="9"/>
      <c r="D536" s="9"/>
      <c r="E536" s="9"/>
      <c r="F536" s="9"/>
      <c r="G536" s="9"/>
      <c r="H536" s="548"/>
      <c r="I536" s="548"/>
      <c r="J536" s="548"/>
      <c r="K536" s="548"/>
      <c r="L536" s="548"/>
      <c r="M536" s="548"/>
      <c r="N536" s="548"/>
      <c r="O536" s="548"/>
      <c r="P536" s="548"/>
      <c r="Q536" s="548"/>
      <c r="R536" s="548"/>
      <c r="S536" s="548"/>
      <c r="T536" s="548"/>
      <c r="U536" s="9"/>
      <c r="V536" s="9"/>
      <c r="W536" s="9"/>
      <c r="X536" s="9"/>
      <c r="Y536" s="9"/>
      <c r="Z536" s="9"/>
      <c r="AA536" s="9"/>
      <c r="AB536" s="9"/>
      <c r="AC536" s="9"/>
    </row>
    <row r="537" spans="1:29" ht="12.75" customHeight="1">
      <c r="A537" s="9"/>
      <c r="B537" s="9"/>
      <c r="C537" s="9"/>
      <c r="D537" s="9"/>
      <c r="E537" s="9"/>
      <c r="F537" s="9"/>
      <c r="G537" s="9"/>
      <c r="H537" s="548"/>
      <c r="I537" s="548"/>
      <c r="J537" s="548"/>
      <c r="K537" s="548"/>
      <c r="L537" s="548"/>
      <c r="M537" s="548"/>
      <c r="N537" s="548"/>
      <c r="O537" s="548"/>
      <c r="P537" s="548"/>
      <c r="Q537" s="548"/>
      <c r="R537" s="548"/>
      <c r="S537" s="548"/>
      <c r="T537" s="548"/>
      <c r="U537" s="9"/>
      <c r="V537" s="9"/>
      <c r="W537" s="9"/>
      <c r="X537" s="9"/>
      <c r="Y537" s="9"/>
      <c r="Z537" s="9"/>
      <c r="AA537" s="9"/>
      <c r="AB537" s="9"/>
      <c r="AC537" s="9"/>
    </row>
    <row r="538" spans="1:29" ht="12.75" customHeight="1">
      <c r="A538" s="9"/>
      <c r="B538" s="9"/>
      <c r="C538" s="9"/>
      <c r="D538" s="9"/>
      <c r="E538" s="9"/>
      <c r="F538" s="9"/>
      <c r="G538" s="9"/>
      <c r="H538" s="548"/>
      <c r="I538" s="548"/>
      <c r="J538" s="548"/>
      <c r="K538" s="548"/>
      <c r="L538" s="548"/>
      <c r="M538" s="548"/>
      <c r="N538" s="548"/>
      <c r="O538" s="548"/>
      <c r="P538" s="548"/>
      <c r="Q538" s="548"/>
      <c r="R538" s="548"/>
      <c r="S538" s="548"/>
      <c r="T538" s="548"/>
      <c r="U538" s="9"/>
      <c r="V538" s="9"/>
      <c r="W538" s="9"/>
      <c r="X538" s="9"/>
      <c r="Y538" s="9"/>
      <c r="Z538" s="9"/>
      <c r="AA538" s="9"/>
      <c r="AB538" s="9"/>
      <c r="AC538" s="9"/>
    </row>
    <row r="539" spans="1:29" ht="12.75" customHeight="1">
      <c r="A539" s="9"/>
      <c r="B539" s="9"/>
      <c r="C539" s="9"/>
      <c r="D539" s="9"/>
      <c r="E539" s="9"/>
      <c r="F539" s="9"/>
      <c r="G539" s="9"/>
      <c r="H539" s="548"/>
      <c r="I539" s="548"/>
      <c r="J539" s="548"/>
      <c r="K539" s="548"/>
      <c r="L539" s="548"/>
      <c r="M539" s="548"/>
      <c r="N539" s="548"/>
      <c r="O539" s="548"/>
      <c r="P539" s="548"/>
      <c r="Q539" s="548"/>
      <c r="R539" s="548"/>
      <c r="S539" s="548"/>
      <c r="T539" s="548"/>
      <c r="U539" s="9"/>
      <c r="V539" s="9"/>
      <c r="W539" s="9"/>
      <c r="X539" s="9"/>
      <c r="Y539" s="9"/>
      <c r="Z539" s="9"/>
      <c r="AA539" s="9"/>
      <c r="AB539" s="9"/>
      <c r="AC539" s="9"/>
    </row>
    <row r="540" spans="1:29" ht="12.75" customHeight="1">
      <c r="A540" s="9"/>
      <c r="B540" s="9"/>
      <c r="C540" s="9"/>
      <c r="D540" s="9"/>
      <c r="E540" s="9"/>
      <c r="F540" s="9"/>
      <c r="G540" s="9"/>
      <c r="H540" s="548"/>
      <c r="I540" s="548"/>
      <c r="J540" s="548"/>
      <c r="K540" s="548"/>
      <c r="L540" s="548"/>
      <c r="M540" s="548"/>
      <c r="N540" s="548"/>
      <c r="O540" s="548"/>
      <c r="P540" s="548"/>
      <c r="Q540" s="548"/>
      <c r="R540" s="548"/>
      <c r="S540" s="548"/>
      <c r="T540" s="548"/>
      <c r="U540" s="9"/>
      <c r="V540" s="9"/>
      <c r="W540" s="9"/>
      <c r="X540" s="9"/>
      <c r="Y540" s="9"/>
      <c r="Z540" s="9"/>
      <c r="AA540" s="9"/>
      <c r="AB540" s="9"/>
      <c r="AC540" s="9"/>
    </row>
    <row r="541" spans="1:29" ht="12.75" customHeight="1">
      <c r="A541" s="9"/>
      <c r="B541" s="9"/>
      <c r="C541" s="9"/>
      <c r="D541" s="9"/>
      <c r="E541" s="9"/>
      <c r="F541" s="9"/>
      <c r="G541" s="9"/>
      <c r="H541" s="548"/>
      <c r="I541" s="548"/>
      <c r="J541" s="548"/>
      <c r="K541" s="548"/>
      <c r="L541" s="548"/>
      <c r="M541" s="548"/>
      <c r="N541" s="548"/>
      <c r="O541" s="548"/>
      <c r="P541" s="548"/>
      <c r="Q541" s="548"/>
      <c r="R541" s="548"/>
      <c r="S541" s="548"/>
      <c r="T541" s="548"/>
      <c r="U541" s="9"/>
      <c r="V541" s="9"/>
      <c r="W541" s="9"/>
      <c r="X541" s="9"/>
      <c r="Y541" s="9"/>
      <c r="Z541" s="9"/>
      <c r="AA541" s="9"/>
      <c r="AB541" s="9"/>
      <c r="AC541" s="9"/>
    </row>
    <row r="542" spans="1:29" ht="12.75" customHeight="1">
      <c r="A542" s="9"/>
      <c r="B542" s="9"/>
      <c r="C542" s="9"/>
      <c r="D542" s="9"/>
      <c r="E542" s="9"/>
      <c r="F542" s="9"/>
      <c r="G542" s="9"/>
      <c r="H542" s="548"/>
      <c r="I542" s="548"/>
      <c r="J542" s="548"/>
      <c r="K542" s="548"/>
      <c r="L542" s="548"/>
      <c r="M542" s="548"/>
      <c r="N542" s="548"/>
      <c r="O542" s="548"/>
      <c r="P542" s="548"/>
      <c r="Q542" s="548"/>
      <c r="R542" s="548"/>
      <c r="S542" s="548"/>
      <c r="T542" s="548"/>
      <c r="U542" s="9"/>
      <c r="V542" s="9"/>
      <c r="W542" s="9"/>
      <c r="X542" s="9"/>
      <c r="Y542" s="9"/>
      <c r="Z542" s="9"/>
      <c r="AA542" s="9"/>
      <c r="AB542" s="9"/>
      <c r="AC542" s="9"/>
    </row>
    <row r="543" spans="1:29" ht="12.75" customHeight="1">
      <c r="A543" s="9"/>
      <c r="B543" s="9"/>
      <c r="C543" s="9"/>
      <c r="D543" s="9"/>
      <c r="E543" s="9"/>
      <c r="F543" s="9"/>
      <c r="G543" s="9"/>
      <c r="H543" s="548"/>
      <c r="I543" s="548"/>
      <c r="J543" s="548"/>
      <c r="K543" s="548"/>
      <c r="L543" s="548"/>
      <c r="M543" s="548"/>
      <c r="N543" s="548"/>
      <c r="O543" s="548"/>
      <c r="P543" s="548"/>
      <c r="Q543" s="548"/>
      <c r="R543" s="548"/>
      <c r="S543" s="548"/>
      <c r="T543" s="548"/>
      <c r="U543" s="9"/>
      <c r="V543" s="9"/>
      <c r="W543" s="9"/>
      <c r="X543" s="9"/>
      <c r="Y543" s="9"/>
      <c r="Z543" s="9"/>
      <c r="AA543" s="9"/>
      <c r="AB543" s="9"/>
      <c r="AC543" s="9"/>
    </row>
    <row r="544" spans="1:29" ht="12.75" customHeight="1">
      <c r="A544" s="9"/>
      <c r="B544" s="9"/>
      <c r="C544" s="9"/>
      <c r="D544" s="9"/>
      <c r="E544" s="9"/>
      <c r="F544" s="9"/>
      <c r="G544" s="9"/>
      <c r="H544" s="548"/>
      <c r="I544" s="548"/>
      <c r="J544" s="548"/>
      <c r="K544" s="548"/>
      <c r="L544" s="548"/>
      <c r="M544" s="548"/>
      <c r="N544" s="548"/>
      <c r="O544" s="548"/>
      <c r="P544" s="548"/>
      <c r="Q544" s="548"/>
      <c r="R544" s="548"/>
      <c r="S544" s="548"/>
      <c r="T544" s="548"/>
      <c r="U544" s="9"/>
      <c r="V544" s="9"/>
      <c r="W544" s="9"/>
      <c r="X544" s="9"/>
      <c r="Y544" s="9"/>
      <c r="Z544" s="9"/>
      <c r="AA544" s="9"/>
      <c r="AB544" s="9"/>
      <c r="AC544" s="9"/>
    </row>
    <row r="545" spans="1:29" ht="12.75" customHeight="1">
      <c r="A545" s="9"/>
      <c r="B545" s="9"/>
      <c r="C545" s="9"/>
      <c r="D545" s="9"/>
      <c r="E545" s="9"/>
      <c r="F545" s="9"/>
      <c r="G545" s="9"/>
      <c r="H545" s="548"/>
      <c r="I545" s="548"/>
      <c r="J545" s="548"/>
      <c r="K545" s="548"/>
      <c r="L545" s="548"/>
      <c r="M545" s="548"/>
      <c r="N545" s="548"/>
      <c r="O545" s="548"/>
      <c r="P545" s="548"/>
      <c r="Q545" s="548"/>
      <c r="R545" s="548"/>
      <c r="S545" s="548"/>
      <c r="T545" s="548"/>
      <c r="U545" s="9"/>
      <c r="V545" s="9"/>
      <c r="W545" s="9"/>
      <c r="X545" s="9"/>
      <c r="Y545" s="9"/>
      <c r="Z545" s="9"/>
      <c r="AA545" s="9"/>
      <c r="AB545" s="9"/>
      <c r="AC545" s="9"/>
    </row>
    <row r="546" spans="1:29" ht="12.75" customHeight="1">
      <c r="A546" s="9"/>
      <c r="B546" s="9"/>
      <c r="C546" s="9"/>
      <c r="D546" s="9"/>
      <c r="E546" s="9"/>
      <c r="F546" s="9"/>
      <c r="G546" s="9"/>
      <c r="H546" s="548"/>
      <c r="I546" s="548"/>
      <c r="J546" s="548"/>
      <c r="K546" s="548"/>
      <c r="L546" s="548"/>
      <c r="M546" s="548"/>
      <c r="N546" s="548"/>
      <c r="O546" s="548"/>
      <c r="P546" s="548"/>
      <c r="Q546" s="548"/>
      <c r="R546" s="548"/>
      <c r="S546" s="548"/>
      <c r="T546" s="548"/>
      <c r="U546" s="9"/>
      <c r="V546" s="9"/>
      <c r="W546" s="9"/>
      <c r="X546" s="9"/>
      <c r="Y546" s="9"/>
      <c r="Z546" s="9"/>
      <c r="AA546" s="9"/>
      <c r="AB546" s="9"/>
      <c r="AC546" s="9"/>
    </row>
    <row r="547" spans="1:29" ht="12.75" customHeight="1">
      <c r="A547" s="9"/>
      <c r="B547" s="9"/>
      <c r="C547" s="9"/>
      <c r="D547" s="9"/>
      <c r="E547" s="9"/>
      <c r="F547" s="9"/>
      <c r="G547" s="9"/>
      <c r="H547" s="548"/>
      <c r="I547" s="548"/>
      <c r="J547" s="548"/>
      <c r="K547" s="548"/>
      <c r="L547" s="548"/>
      <c r="M547" s="548"/>
      <c r="N547" s="548"/>
      <c r="O547" s="548"/>
      <c r="P547" s="548"/>
      <c r="Q547" s="548"/>
      <c r="R547" s="548"/>
      <c r="S547" s="548"/>
      <c r="T547" s="548"/>
      <c r="U547" s="9"/>
      <c r="V547" s="9"/>
      <c r="W547" s="9"/>
      <c r="X547" s="9"/>
      <c r="Y547" s="9"/>
      <c r="Z547" s="9"/>
      <c r="AA547" s="9"/>
      <c r="AB547" s="9"/>
      <c r="AC547" s="9"/>
    </row>
    <row r="548" spans="1:29" ht="12.75" customHeight="1">
      <c r="A548" s="9"/>
      <c r="B548" s="9"/>
      <c r="C548" s="9"/>
      <c r="D548" s="9"/>
      <c r="E548" s="9"/>
      <c r="F548" s="9"/>
      <c r="G548" s="9"/>
      <c r="H548" s="548"/>
      <c r="I548" s="548"/>
      <c r="J548" s="548"/>
      <c r="K548" s="548"/>
      <c r="L548" s="548"/>
      <c r="M548" s="548"/>
      <c r="N548" s="548"/>
      <c r="O548" s="548"/>
      <c r="P548" s="548"/>
      <c r="Q548" s="548"/>
      <c r="R548" s="548"/>
      <c r="S548" s="548"/>
      <c r="T548" s="548"/>
      <c r="U548" s="9"/>
      <c r="V548" s="9"/>
      <c r="W548" s="9"/>
      <c r="X548" s="9"/>
      <c r="Y548" s="9"/>
      <c r="Z548" s="9"/>
      <c r="AA548" s="9"/>
      <c r="AB548" s="9"/>
      <c r="AC548" s="9"/>
    </row>
    <row r="549" spans="1:29" ht="12.75" customHeight="1">
      <c r="A549" s="9"/>
      <c r="B549" s="9"/>
      <c r="C549" s="9"/>
      <c r="D549" s="9"/>
      <c r="E549" s="9"/>
      <c r="F549" s="9"/>
      <c r="G549" s="9"/>
      <c r="H549" s="548"/>
      <c r="I549" s="548"/>
      <c r="J549" s="548"/>
      <c r="K549" s="548"/>
      <c r="L549" s="548"/>
      <c r="M549" s="548"/>
      <c r="N549" s="548"/>
      <c r="O549" s="548"/>
      <c r="P549" s="548"/>
      <c r="Q549" s="548"/>
      <c r="R549" s="548"/>
      <c r="S549" s="548"/>
      <c r="T549" s="548"/>
      <c r="U549" s="9"/>
      <c r="V549" s="9"/>
      <c r="W549" s="9"/>
      <c r="X549" s="9"/>
      <c r="Y549" s="9"/>
      <c r="Z549" s="9"/>
      <c r="AA549" s="9"/>
      <c r="AB549" s="9"/>
      <c r="AC549" s="9"/>
    </row>
    <row r="550" spans="1:29" ht="12.75" customHeight="1">
      <c r="A550" s="9"/>
      <c r="B550" s="9"/>
      <c r="C550" s="9"/>
      <c r="D550" s="9"/>
      <c r="E550" s="9"/>
      <c r="F550" s="9"/>
      <c r="G550" s="9"/>
      <c r="H550" s="548"/>
      <c r="I550" s="548"/>
      <c r="J550" s="548"/>
      <c r="K550" s="548"/>
      <c r="L550" s="548"/>
      <c r="M550" s="548"/>
      <c r="N550" s="548"/>
      <c r="O550" s="548"/>
      <c r="P550" s="548"/>
      <c r="Q550" s="548"/>
      <c r="R550" s="548"/>
      <c r="S550" s="548"/>
      <c r="T550" s="548"/>
      <c r="U550" s="9"/>
      <c r="V550" s="9"/>
      <c r="W550" s="9"/>
      <c r="X550" s="9"/>
      <c r="Y550" s="9"/>
      <c r="Z550" s="9"/>
      <c r="AA550" s="9"/>
      <c r="AB550" s="9"/>
      <c r="AC550" s="9"/>
    </row>
    <row r="551" spans="1:29" ht="12.75" customHeight="1">
      <c r="A551" s="9"/>
      <c r="B551" s="9"/>
      <c r="C551" s="9"/>
      <c r="D551" s="9"/>
      <c r="E551" s="9"/>
      <c r="F551" s="9"/>
      <c r="G551" s="9"/>
      <c r="H551" s="548"/>
      <c r="I551" s="548"/>
      <c r="J551" s="548"/>
      <c r="K551" s="548"/>
      <c r="L551" s="548"/>
      <c r="M551" s="548"/>
      <c r="N551" s="548"/>
      <c r="O551" s="548"/>
      <c r="P551" s="548"/>
      <c r="Q551" s="548"/>
      <c r="R551" s="548"/>
      <c r="S551" s="548"/>
      <c r="T551" s="548"/>
      <c r="U551" s="9"/>
      <c r="V551" s="9"/>
      <c r="W551" s="9"/>
      <c r="X551" s="9"/>
      <c r="Y551" s="9"/>
      <c r="Z551" s="9"/>
      <c r="AA551" s="9"/>
      <c r="AB551" s="9"/>
      <c r="AC551" s="9"/>
    </row>
    <row r="552" spans="1:29" ht="12.75" customHeight="1">
      <c r="A552" s="9"/>
      <c r="B552" s="9"/>
      <c r="C552" s="9"/>
      <c r="D552" s="9"/>
      <c r="E552" s="9"/>
      <c r="F552" s="9"/>
      <c r="G552" s="9"/>
      <c r="H552" s="548"/>
      <c r="I552" s="548"/>
      <c r="J552" s="548"/>
      <c r="K552" s="548"/>
      <c r="L552" s="548"/>
      <c r="M552" s="548"/>
      <c r="N552" s="548"/>
      <c r="O552" s="548"/>
      <c r="P552" s="548"/>
      <c r="Q552" s="548"/>
      <c r="R552" s="548"/>
      <c r="S552" s="548"/>
      <c r="T552" s="548"/>
      <c r="U552" s="9"/>
      <c r="V552" s="9"/>
      <c r="W552" s="9"/>
      <c r="X552" s="9"/>
      <c r="Y552" s="9"/>
      <c r="Z552" s="9"/>
      <c r="AA552" s="9"/>
      <c r="AB552" s="9"/>
      <c r="AC552" s="9"/>
    </row>
    <row r="553" spans="1:29" ht="12.75" customHeight="1">
      <c r="A553" s="9"/>
      <c r="B553" s="9"/>
      <c r="C553" s="9"/>
      <c r="D553" s="9"/>
      <c r="E553" s="9"/>
      <c r="F553" s="9"/>
      <c r="G553" s="9"/>
      <c r="H553" s="548"/>
      <c r="I553" s="548"/>
      <c r="J553" s="548"/>
      <c r="K553" s="548"/>
      <c r="L553" s="548"/>
      <c r="M553" s="548"/>
      <c r="N553" s="548"/>
      <c r="O553" s="548"/>
      <c r="P553" s="548"/>
      <c r="Q553" s="548"/>
      <c r="R553" s="548"/>
      <c r="S553" s="548"/>
      <c r="T553" s="548"/>
      <c r="U553" s="9"/>
      <c r="V553" s="9"/>
      <c r="W553" s="9"/>
      <c r="X553" s="9"/>
      <c r="Y553" s="9"/>
      <c r="Z553" s="9"/>
      <c r="AA553" s="9"/>
      <c r="AB553" s="9"/>
      <c r="AC553" s="9"/>
    </row>
    <row r="554" spans="1:29" ht="12.75" customHeight="1">
      <c r="A554" s="9"/>
      <c r="B554" s="9"/>
      <c r="C554" s="9"/>
      <c r="D554" s="9"/>
      <c r="E554" s="9"/>
      <c r="F554" s="9"/>
      <c r="G554" s="9"/>
      <c r="H554" s="548"/>
      <c r="I554" s="548"/>
      <c r="J554" s="548"/>
      <c r="K554" s="548"/>
      <c r="L554" s="548"/>
      <c r="M554" s="548"/>
      <c r="N554" s="548"/>
      <c r="O554" s="548"/>
      <c r="P554" s="548"/>
      <c r="Q554" s="548"/>
      <c r="R554" s="548"/>
      <c r="S554" s="548"/>
      <c r="T554" s="548"/>
      <c r="U554" s="9"/>
      <c r="V554" s="9"/>
      <c r="W554" s="9"/>
      <c r="X554" s="9"/>
      <c r="Y554" s="9"/>
      <c r="Z554" s="9"/>
      <c r="AA554" s="9"/>
      <c r="AB554" s="9"/>
      <c r="AC554" s="9"/>
    </row>
    <row r="555" spans="1:29" ht="12.75" customHeight="1">
      <c r="A555" s="9"/>
      <c r="B555" s="9"/>
      <c r="C555" s="9"/>
      <c r="D555" s="9"/>
      <c r="E555" s="9"/>
      <c r="F555" s="9"/>
      <c r="G555" s="9"/>
      <c r="H555" s="548"/>
      <c r="I555" s="548"/>
      <c r="J555" s="548"/>
      <c r="K555" s="548"/>
      <c r="L555" s="548"/>
      <c r="M555" s="548"/>
      <c r="N555" s="548"/>
      <c r="O555" s="548"/>
      <c r="P555" s="548"/>
      <c r="Q555" s="548"/>
      <c r="R555" s="548"/>
      <c r="S555" s="548"/>
      <c r="T555" s="548"/>
      <c r="U555" s="9"/>
      <c r="V555" s="9"/>
      <c r="W555" s="9"/>
      <c r="X555" s="9"/>
      <c r="Y555" s="9"/>
      <c r="Z555" s="9"/>
      <c r="AA555" s="9"/>
      <c r="AB555" s="9"/>
      <c r="AC555" s="9"/>
    </row>
    <row r="556" spans="1:29" ht="12.75" customHeight="1">
      <c r="A556" s="9"/>
      <c r="B556" s="9"/>
      <c r="C556" s="9"/>
      <c r="D556" s="9"/>
      <c r="E556" s="9"/>
      <c r="F556" s="9"/>
      <c r="G556" s="9"/>
      <c r="H556" s="548"/>
      <c r="I556" s="548"/>
      <c r="J556" s="548"/>
      <c r="K556" s="548"/>
      <c r="L556" s="548"/>
      <c r="M556" s="548"/>
      <c r="N556" s="548"/>
      <c r="O556" s="548"/>
      <c r="P556" s="548"/>
      <c r="Q556" s="548"/>
      <c r="R556" s="548"/>
      <c r="S556" s="548"/>
      <c r="T556" s="548"/>
      <c r="U556" s="9"/>
      <c r="V556" s="9"/>
      <c r="W556" s="9"/>
      <c r="X556" s="9"/>
      <c r="Y556" s="9"/>
      <c r="Z556" s="9"/>
      <c r="AA556" s="9"/>
      <c r="AB556" s="9"/>
      <c r="AC556" s="9"/>
    </row>
    <row r="557" spans="1:29" ht="12.75" customHeight="1">
      <c r="A557" s="9"/>
      <c r="B557" s="9"/>
      <c r="C557" s="9"/>
      <c r="D557" s="9"/>
      <c r="E557" s="9"/>
      <c r="F557" s="9"/>
      <c r="G557" s="9"/>
      <c r="H557" s="548"/>
      <c r="I557" s="548"/>
      <c r="J557" s="548"/>
      <c r="K557" s="548"/>
      <c r="L557" s="548"/>
      <c r="M557" s="548"/>
      <c r="N557" s="548"/>
      <c r="O557" s="548"/>
      <c r="P557" s="548"/>
      <c r="Q557" s="548"/>
      <c r="R557" s="548"/>
      <c r="S557" s="548"/>
      <c r="T557" s="548"/>
      <c r="U557" s="9"/>
      <c r="V557" s="9"/>
      <c r="W557" s="9"/>
      <c r="X557" s="9"/>
      <c r="Y557" s="9"/>
      <c r="Z557" s="9"/>
      <c r="AA557" s="9"/>
      <c r="AB557" s="9"/>
      <c r="AC557" s="9"/>
    </row>
    <row r="558" spans="1:29" ht="12.75" customHeight="1">
      <c r="A558" s="9"/>
      <c r="B558" s="9"/>
      <c r="C558" s="9"/>
      <c r="D558" s="9"/>
      <c r="E558" s="9"/>
      <c r="F558" s="9"/>
      <c r="G558" s="9"/>
      <c r="H558" s="548"/>
      <c r="I558" s="548"/>
      <c r="J558" s="548"/>
      <c r="K558" s="548"/>
      <c r="L558" s="548"/>
      <c r="M558" s="548"/>
      <c r="N558" s="548"/>
      <c r="O558" s="548"/>
      <c r="P558" s="548"/>
      <c r="Q558" s="548"/>
      <c r="R558" s="548"/>
      <c r="S558" s="548"/>
      <c r="T558" s="548"/>
      <c r="U558" s="9"/>
      <c r="V558" s="9"/>
      <c r="W558" s="9"/>
      <c r="X558" s="9"/>
      <c r="Y558" s="9"/>
      <c r="Z558" s="9"/>
      <c r="AA558" s="9"/>
      <c r="AB558" s="9"/>
      <c r="AC558" s="9"/>
    </row>
    <row r="559" spans="1:29" ht="12.75" customHeight="1">
      <c r="A559" s="9"/>
      <c r="B559" s="9"/>
      <c r="C559" s="9"/>
      <c r="D559" s="9"/>
      <c r="E559" s="9"/>
      <c r="F559" s="9"/>
      <c r="G559" s="9"/>
      <c r="H559" s="548"/>
      <c r="I559" s="548"/>
      <c r="J559" s="548"/>
      <c r="K559" s="548"/>
      <c r="L559" s="548"/>
      <c r="M559" s="548"/>
      <c r="N559" s="548"/>
      <c r="O559" s="548"/>
      <c r="P559" s="548"/>
      <c r="Q559" s="548"/>
      <c r="R559" s="548"/>
      <c r="S559" s="548"/>
      <c r="T559" s="548"/>
      <c r="U559" s="9"/>
      <c r="V559" s="9"/>
      <c r="W559" s="9"/>
      <c r="X559" s="9"/>
      <c r="Y559" s="9"/>
      <c r="Z559" s="9"/>
      <c r="AA559" s="9"/>
      <c r="AB559" s="9"/>
      <c r="AC559" s="9"/>
    </row>
    <row r="560" spans="1:29" ht="12.75" customHeight="1">
      <c r="A560" s="9"/>
      <c r="B560" s="9"/>
      <c r="C560" s="9"/>
      <c r="D560" s="9"/>
      <c r="E560" s="9"/>
      <c r="F560" s="9"/>
      <c r="G560" s="9"/>
      <c r="H560" s="548"/>
      <c r="I560" s="548"/>
      <c r="J560" s="548"/>
      <c r="K560" s="548"/>
      <c r="L560" s="548"/>
      <c r="M560" s="548"/>
      <c r="N560" s="548"/>
      <c r="O560" s="548"/>
      <c r="P560" s="548"/>
      <c r="Q560" s="548"/>
      <c r="R560" s="548"/>
      <c r="S560" s="548"/>
      <c r="T560" s="548"/>
      <c r="U560" s="9"/>
      <c r="V560" s="9"/>
      <c r="W560" s="9"/>
      <c r="X560" s="9"/>
      <c r="Y560" s="9"/>
      <c r="Z560" s="9"/>
      <c r="AA560" s="9"/>
      <c r="AB560" s="9"/>
      <c r="AC560" s="9"/>
    </row>
    <row r="561" spans="1:29" ht="12.75" customHeight="1">
      <c r="A561" s="9"/>
      <c r="B561" s="9"/>
      <c r="C561" s="9"/>
      <c r="D561" s="9"/>
      <c r="E561" s="9"/>
      <c r="F561" s="9"/>
      <c r="G561" s="9"/>
      <c r="H561" s="548"/>
      <c r="I561" s="548"/>
      <c r="J561" s="548"/>
      <c r="K561" s="548"/>
      <c r="L561" s="548"/>
      <c r="M561" s="548"/>
      <c r="N561" s="548"/>
      <c r="O561" s="548"/>
      <c r="P561" s="548"/>
      <c r="Q561" s="548"/>
      <c r="R561" s="548"/>
      <c r="S561" s="548"/>
      <c r="T561" s="548"/>
      <c r="U561" s="9"/>
      <c r="V561" s="9"/>
      <c r="W561" s="9"/>
      <c r="X561" s="9"/>
      <c r="Y561" s="9"/>
      <c r="Z561" s="9"/>
      <c r="AA561" s="9"/>
      <c r="AB561" s="9"/>
      <c r="AC561" s="9"/>
    </row>
    <row r="562" spans="1:29" ht="12.75" customHeight="1">
      <c r="A562" s="9"/>
      <c r="B562" s="9"/>
      <c r="C562" s="9"/>
      <c r="D562" s="9"/>
      <c r="E562" s="9"/>
      <c r="F562" s="9"/>
      <c r="G562" s="9"/>
      <c r="H562" s="548"/>
      <c r="I562" s="548"/>
      <c r="J562" s="548"/>
      <c r="K562" s="548"/>
      <c r="L562" s="548"/>
      <c r="M562" s="548"/>
      <c r="N562" s="548"/>
      <c r="O562" s="548"/>
      <c r="P562" s="548"/>
      <c r="Q562" s="548"/>
      <c r="R562" s="548"/>
      <c r="S562" s="548"/>
      <c r="T562" s="548"/>
      <c r="U562" s="9"/>
      <c r="V562" s="9"/>
      <c r="W562" s="9"/>
      <c r="X562" s="9"/>
      <c r="Y562" s="9"/>
      <c r="Z562" s="9"/>
      <c r="AA562" s="9"/>
      <c r="AB562" s="9"/>
      <c r="AC562" s="9"/>
    </row>
    <row r="563" spans="1:29" ht="12.75" customHeight="1">
      <c r="A563" s="9"/>
      <c r="B563" s="9"/>
      <c r="C563" s="9"/>
      <c r="D563" s="9"/>
      <c r="E563" s="9"/>
      <c r="F563" s="9"/>
      <c r="G563" s="9"/>
      <c r="H563" s="548"/>
      <c r="I563" s="548"/>
      <c r="J563" s="548"/>
      <c r="K563" s="548"/>
      <c r="L563" s="548"/>
      <c r="M563" s="548"/>
      <c r="N563" s="548"/>
      <c r="O563" s="548"/>
      <c r="P563" s="548"/>
      <c r="Q563" s="548"/>
      <c r="R563" s="548"/>
      <c r="S563" s="548"/>
      <c r="T563" s="548"/>
      <c r="U563" s="9"/>
      <c r="V563" s="9"/>
      <c r="W563" s="9"/>
      <c r="X563" s="9"/>
      <c r="Y563" s="9"/>
      <c r="Z563" s="9"/>
      <c r="AA563" s="9"/>
      <c r="AB563" s="9"/>
      <c r="AC563" s="9"/>
    </row>
    <row r="564" spans="1:29" ht="12.75" customHeight="1">
      <c r="A564" s="9"/>
      <c r="B564" s="9"/>
      <c r="C564" s="9"/>
      <c r="D564" s="9"/>
      <c r="E564" s="9"/>
      <c r="F564" s="9"/>
      <c r="G564" s="9"/>
      <c r="H564" s="548"/>
      <c r="I564" s="548"/>
      <c r="J564" s="548"/>
      <c r="K564" s="548"/>
      <c r="L564" s="548"/>
      <c r="M564" s="548"/>
      <c r="N564" s="548"/>
      <c r="O564" s="548"/>
      <c r="P564" s="548"/>
      <c r="Q564" s="548"/>
      <c r="R564" s="548"/>
      <c r="S564" s="548"/>
      <c r="T564" s="548"/>
      <c r="U564" s="9"/>
      <c r="V564" s="9"/>
      <c r="W564" s="9"/>
      <c r="X564" s="9"/>
      <c r="Y564" s="9"/>
      <c r="Z564" s="9"/>
      <c r="AA564" s="9"/>
      <c r="AB564" s="9"/>
      <c r="AC564" s="9"/>
    </row>
    <row r="565" spans="1:29" ht="12.75" customHeight="1">
      <c r="A565" s="9"/>
      <c r="B565" s="9"/>
      <c r="C565" s="9"/>
      <c r="D565" s="9"/>
      <c r="E565" s="9"/>
      <c r="F565" s="9"/>
      <c r="G565" s="9"/>
      <c r="H565" s="548"/>
      <c r="I565" s="548"/>
      <c r="J565" s="548"/>
      <c r="K565" s="548"/>
      <c r="L565" s="548"/>
      <c r="M565" s="548"/>
      <c r="N565" s="548"/>
      <c r="O565" s="548"/>
      <c r="P565" s="548"/>
      <c r="Q565" s="548"/>
      <c r="R565" s="548"/>
      <c r="S565" s="548"/>
      <c r="T565" s="548"/>
      <c r="U565" s="9"/>
      <c r="V565" s="9"/>
      <c r="W565" s="9"/>
      <c r="X565" s="9"/>
      <c r="Y565" s="9"/>
      <c r="Z565" s="9"/>
      <c r="AA565" s="9"/>
      <c r="AB565" s="9"/>
      <c r="AC565" s="9"/>
    </row>
    <row r="566" spans="1:29" ht="12.75" customHeight="1">
      <c r="A566" s="9"/>
      <c r="B566" s="9"/>
      <c r="C566" s="9"/>
      <c r="D566" s="9"/>
      <c r="E566" s="9"/>
      <c r="F566" s="9"/>
      <c r="G566" s="9"/>
      <c r="H566" s="548"/>
      <c r="I566" s="548"/>
      <c r="J566" s="548"/>
      <c r="K566" s="548"/>
      <c r="L566" s="548"/>
      <c r="M566" s="548"/>
      <c r="N566" s="548"/>
      <c r="O566" s="548"/>
      <c r="P566" s="548"/>
      <c r="Q566" s="548"/>
      <c r="R566" s="548"/>
      <c r="S566" s="548"/>
      <c r="T566" s="548"/>
      <c r="U566" s="9"/>
      <c r="V566" s="9"/>
      <c r="W566" s="9"/>
      <c r="X566" s="9"/>
      <c r="Y566" s="9"/>
      <c r="Z566" s="9"/>
      <c r="AA566" s="9"/>
      <c r="AB566" s="9"/>
      <c r="AC566" s="9"/>
    </row>
    <row r="567" spans="1:29" ht="12.75" customHeight="1">
      <c r="A567" s="9"/>
      <c r="B567" s="9"/>
      <c r="C567" s="9"/>
      <c r="D567" s="9"/>
      <c r="E567" s="9"/>
      <c r="F567" s="9"/>
      <c r="G567" s="9"/>
      <c r="H567" s="548"/>
      <c r="I567" s="548"/>
      <c r="J567" s="548"/>
      <c r="K567" s="548"/>
      <c r="L567" s="548"/>
      <c r="M567" s="548"/>
      <c r="N567" s="548"/>
      <c r="O567" s="548"/>
      <c r="P567" s="548"/>
      <c r="Q567" s="548"/>
      <c r="R567" s="548"/>
      <c r="S567" s="548"/>
      <c r="T567" s="548"/>
      <c r="U567" s="9"/>
      <c r="V567" s="9"/>
      <c r="W567" s="9"/>
      <c r="X567" s="9"/>
      <c r="Y567" s="9"/>
      <c r="Z567" s="9"/>
      <c r="AA567" s="9"/>
      <c r="AB567" s="9"/>
      <c r="AC567" s="9"/>
    </row>
    <row r="568" spans="1:29" ht="12.75" customHeight="1">
      <c r="A568" s="9"/>
      <c r="B568" s="9"/>
      <c r="C568" s="9"/>
      <c r="D568" s="9"/>
      <c r="E568" s="9"/>
      <c r="F568" s="9"/>
      <c r="G568" s="9"/>
      <c r="H568" s="548"/>
      <c r="I568" s="548"/>
      <c r="J568" s="548"/>
      <c r="K568" s="548"/>
      <c r="L568" s="548"/>
      <c r="M568" s="548"/>
      <c r="N568" s="548"/>
      <c r="O568" s="548"/>
      <c r="P568" s="548"/>
      <c r="Q568" s="548"/>
      <c r="R568" s="548"/>
      <c r="S568" s="548"/>
      <c r="T568" s="548"/>
      <c r="U568" s="9"/>
      <c r="V568" s="9"/>
      <c r="W568" s="9"/>
      <c r="X568" s="9"/>
      <c r="Y568" s="9"/>
      <c r="Z568" s="9"/>
      <c r="AA568" s="9"/>
      <c r="AB568" s="9"/>
      <c r="AC568" s="9"/>
    </row>
    <row r="569" spans="1:29" ht="12.75" customHeight="1">
      <c r="A569" s="9"/>
      <c r="B569" s="9"/>
      <c r="C569" s="9"/>
      <c r="D569" s="9"/>
      <c r="E569" s="9"/>
      <c r="F569" s="9"/>
      <c r="G569" s="9"/>
      <c r="H569" s="548"/>
      <c r="I569" s="548"/>
      <c r="J569" s="548"/>
      <c r="K569" s="548"/>
      <c r="L569" s="548"/>
      <c r="M569" s="548"/>
      <c r="N569" s="548"/>
      <c r="O569" s="548"/>
      <c r="P569" s="548"/>
      <c r="Q569" s="548"/>
      <c r="R569" s="548"/>
      <c r="S569" s="548"/>
      <c r="T569" s="548"/>
      <c r="U569" s="9"/>
      <c r="V569" s="9"/>
      <c r="W569" s="9"/>
      <c r="X569" s="9"/>
      <c r="Y569" s="9"/>
      <c r="Z569" s="9"/>
      <c r="AA569" s="9"/>
      <c r="AB569" s="9"/>
      <c r="AC569" s="9"/>
    </row>
    <row r="570" spans="1:29" ht="12.75" customHeight="1">
      <c r="A570" s="9"/>
      <c r="B570" s="9"/>
      <c r="C570" s="9"/>
      <c r="D570" s="9"/>
      <c r="E570" s="9"/>
      <c r="F570" s="9"/>
      <c r="G570" s="9"/>
      <c r="H570" s="548"/>
      <c r="I570" s="548"/>
      <c r="J570" s="548"/>
      <c r="K570" s="548"/>
      <c r="L570" s="548"/>
      <c r="M570" s="548"/>
      <c r="N570" s="548"/>
      <c r="O570" s="548"/>
      <c r="P570" s="548"/>
      <c r="Q570" s="548"/>
      <c r="R570" s="548"/>
      <c r="S570" s="548"/>
      <c r="T570" s="548"/>
      <c r="U570" s="9"/>
      <c r="V570" s="9"/>
      <c r="W570" s="9"/>
      <c r="X570" s="9"/>
      <c r="Y570" s="9"/>
      <c r="Z570" s="9"/>
      <c r="AA570" s="9"/>
      <c r="AB570" s="9"/>
      <c r="AC570" s="9"/>
    </row>
    <row r="571" spans="1:29" ht="12.75" customHeight="1">
      <c r="A571" s="9"/>
      <c r="B571" s="9"/>
      <c r="C571" s="9"/>
      <c r="D571" s="9"/>
      <c r="E571" s="9"/>
      <c r="F571" s="9"/>
      <c r="G571" s="9"/>
      <c r="H571" s="548"/>
      <c r="I571" s="548"/>
      <c r="J571" s="548"/>
      <c r="K571" s="548"/>
      <c r="L571" s="548"/>
      <c r="M571" s="548"/>
      <c r="N571" s="548"/>
      <c r="O571" s="548"/>
      <c r="P571" s="548"/>
      <c r="Q571" s="548"/>
      <c r="R571" s="548"/>
      <c r="S571" s="548"/>
      <c r="T571" s="548"/>
      <c r="U571" s="9"/>
      <c r="V571" s="9"/>
      <c r="W571" s="9"/>
      <c r="X571" s="9"/>
      <c r="Y571" s="9"/>
      <c r="Z571" s="9"/>
      <c r="AA571" s="9"/>
      <c r="AB571" s="9"/>
      <c r="AC571" s="9"/>
    </row>
    <row r="572" spans="1:29" ht="12.75" customHeight="1">
      <c r="A572" s="9"/>
      <c r="B572" s="9"/>
      <c r="C572" s="9"/>
      <c r="D572" s="9"/>
      <c r="E572" s="9"/>
      <c r="F572" s="9"/>
      <c r="G572" s="9"/>
      <c r="H572" s="548"/>
      <c r="I572" s="548"/>
      <c r="J572" s="548"/>
      <c r="K572" s="548"/>
      <c r="L572" s="548"/>
      <c r="M572" s="548"/>
      <c r="N572" s="548"/>
      <c r="O572" s="548"/>
      <c r="P572" s="548"/>
      <c r="Q572" s="548"/>
      <c r="R572" s="548"/>
      <c r="S572" s="548"/>
      <c r="T572" s="548"/>
      <c r="U572" s="9"/>
      <c r="V572" s="9"/>
      <c r="W572" s="9"/>
      <c r="X572" s="9"/>
      <c r="Y572" s="9"/>
      <c r="Z572" s="9"/>
      <c r="AA572" s="9"/>
      <c r="AB572" s="9"/>
      <c r="AC572" s="9"/>
    </row>
    <row r="573" spans="1:29" ht="12.75" customHeight="1">
      <c r="A573" s="9"/>
      <c r="B573" s="9"/>
      <c r="C573" s="9"/>
      <c r="D573" s="9"/>
      <c r="E573" s="9"/>
      <c r="F573" s="9"/>
      <c r="G573" s="9"/>
      <c r="H573" s="548"/>
      <c r="I573" s="548"/>
      <c r="J573" s="548"/>
      <c r="K573" s="548"/>
      <c r="L573" s="548"/>
      <c r="M573" s="548"/>
      <c r="N573" s="548"/>
      <c r="O573" s="548"/>
      <c r="P573" s="548"/>
      <c r="Q573" s="548"/>
      <c r="R573" s="548"/>
      <c r="S573" s="548"/>
      <c r="T573" s="548"/>
      <c r="U573" s="9"/>
      <c r="V573" s="9"/>
      <c r="W573" s="9"/>
      <c r="X573" s="9"/>
      <c r="Y573" s="9"/>
      <c r="Z573" s="9"/>
      <c r="AA573" s="9"/>
      <c r="AB573" s="9"/>
      <c r="AC573" s="9"/>
    </row>
    <row r="574" spans="1:29" ht="12.75" customHeight="1">
      <c r="A574" s="9"/>
      <c r="B574" s="9"/>
      <c r="C574" s="9"/>
      <c r="D574" s="9"/>
      <c r="E574" s="9"/>
      <c r="F574" s="9"/>
      <c r="G574" s="9"/>
      <c r="H574" s="548"/>
      <c r="I574" s="548"/>
      <c r="J574" s="548"/>
      <c r="K574" s="548"/>
      <c r="L574" s="548"/>
      <c r="M574" s="548"/>
      <c r="N574" s="548"/>
      <c r="O574" s="548"/>
      <c r="P574" s="548"/>
      <c r="Q574" s="548"/>
      <c r="R574" s="548"/>
      <c r="S574" s="548"/>
      <c r="T574" s="548"/>
      <c r="U574" s="9"/>
      <c r="V574" s="9"/>
      <c r="W574" s="9"/>
      <c r="X574" s="9"/>
      <c r="Y574" s="9"/>
      <c r="Z574" s="9"/>
      <c r="AA574" s="9"/>
      <c r="AB574" s="9"/>
      <c r="AC574" s="9"/>
    </row>
    <row r="575" spans="1:29" ht="12.75" customHeight="1">
      <c r="A575" s="9"/>
      <c r="B575" s="9"/>
      <c r="C575" s="9"/>
      <c r="D575" s="9"/>
      <c r="E575" s="9"/>
      <c r="F575" s="9"/>
      <c r="G575" s="9"/>
      <c r="H575" s="548"/>
      <c r="I575" s="548"/>
      <c r="J575" s="548"/>
      <c r="K575" s="548"/>
      <c r="L575" s="548"/>
      <c r="M575" s="548"/>
      <c r="N575" s="548"/>
      <c r="O575" s="548"/>
      <c r="P575" s="548"/>
      <c r="Q575" s="548"/>
      <c r="R575" s="548"/>
      <c r="S575" s="548"/>
      <c r="T575" s="548"/>
      <c r="U575" s="9"/>
      <c r="V575" s="9"/>
      <c r="W575" s="9"/>
      <c r="X575" s="9"/>
      <c r="Y575" s="9"/>
      <c r="Z575" s="9"/>
      <c r="AA575" s="9"/>
      <c r="AB575" s="9"/>
      <c r="AC575" s="9"/>
    </row>
    <row r="576" spans="1:29" ht="12.75" customHeight="1">
      <c r="A576" s="9"/>
      <c r="B576" s="9"/>
      <c r="C576" s="9"/>
      <c r="D576" s="9"/>
      <c r="E576" s="9"/>
      <c r="F576" s="9"/>
      <c r="G576" s="9"/>
      <c r="H576" s="548"/>
      <c r="I576" s="548"/>
      <c r="J576" s="548"/>
      <c r="K576" s="548"/>
      <c r="L576" s="548"/>
      <c r="M576" s="548"/>
      <c r="N576" s="548"/>
      <c r="O576" s="548"/>
      <c r="P576" s="548"/>
      <c r="Q576" s="548"/>
      <c r="R576" s="548"/>
      <c r="S576" s="548"/>
      <c r="T576" s="548"/>
      <c r="U576" s="9"/>
      <c r="V576" s="9"/>
      <c r="W576" s="9"/>
      <c r="X576" s="9"/>
      <c r="Y576" s="9"/>
      <c r="Z576" s="9"/>
      <c r="AA576" s="9"/>
      <c r="AB576" s="9"/>
      <c r="AC576" s="9"/>
    </row>
    <row r="577" spans="1:29" ht="12.75" customHeight="1">
      <c r="A577" s="9"/>
      <c r="B577" s="9"/>
      <c r="C577" s="9"/>
      <c r="D577" s="9"/>
      <c r="E577" s="9"/>
      <c r="F577" s="9"/>
      <c r="G577" s="9"/>
      <c r="H577" s="548"/>
      <c r="I577" s="548"/>
      <c r="J577" s="548"/>
      <c r="K577" s="548"/>
      <c r="L577" s="548"/>
      <c r="M577" s="548"/>
      <c r="N577" s="548"/>
      <c r="O577" s="548"/>
      <c r="P577" s="548"/>
      <c r="Q577" s="548"/>
      <c r="R577" s="548"/>
      <c r="S577" s="548"/>
      <c r="T577" s="548"/>
      <c r="U577" s="9"/>
      <c r="V577" s="9"/>
      <c r="W577" s="9"/>
      <c r="X577" s="9"/>
      <c r="Y577" s="9"/>
      <c r="Z577" s="9"/>
      <c r="AA577" s="9"/>
      <c r="AB577" s="9"/>
      <c r="AC577" s="9"/>
    </row>
    <row r="578" spans="1:29" ht="12.75" customHeight="1">
      <c r="A578" s="9"/>
      <c r="B578" s="9"/>
      <c r="C578" s="9"/>
      <c r="D578" s="9"/>
      <c r="E578" s="9"/>
      <c r="F578" s="9"/>
      <c r="G578" s="9"/>
      <c r="H578" s="548"/>
      <c r="I578" s="548"/>
      <c r="J578" s="548"/>
      <c r="K578" s="548"/>
      <c r="L578" s="548"/>
      <c r="M578" s="548"/>
      <c r="N578" s="548"/>
      <c r="O578" s="548"/>
      <c r="P578" s="548"/>
      <c r="Q578" s="548"/>
      <c r="R578" s="548"/>
      <c r="S578" s="548"/>
      <c r="T578" s="548"/>
      <c r="U578" s="9"/>
      <c r="V578" s="9"/>
      <c r="W578" s="9"/>
      <c r="X578" s="9"/>
      <c r="Y578" s="9"/>
      <c r="Z578" s="9"/>
      <c r="AA578" s="9"/>
      <c r="AB578" s="9"/>
      <c r="AC578" s="9"/>
    </row>
    <row r="579" spans="1:29" ht="12.75" customHeight="1">
      <c r="A579" s="9"/>
      <c r="B579" s="9"/>
      <c r="C579" s="9"/>
      <c r="D579" s="9"/>
      <c r="E579" s="9"/>
      <c r="F579" s="9"/>
      <c r="G579" s="9"/>
      <c r="H579" s="548"/>
      <c r="I579" s="548"/>
      <c r="J579" s="548"/>
      <c r="K579" s="548"/>
      <c r="L579" s="548"/>
      <c r="M579" s="548"/>
      <c r="N579" s="548"/>
      <c r="O579" s="548"/>
      <c r="P579" s="548"/>
      <c r="Q579" s="548"/>
      <c r="R579" s="548"/>
      <c r="S579" s="548"/>
      <c r="T579" s="548"/>
      <c r="U579" s="9"/>
      <c r="V579" s="9"/>
      <c r="W579" s="9"/>
      <c r="X579" s="9"/>
      <c r="Y579" s="9"/>
      <c r="Z579" s="9"/>
      <c r="AA579" s="9"/>
      <c r="AB579" s="9"/>
      <c r="AC579" s="9"/>
    </row>
    <row r="580" spans="1:29" ht="12.75" customHeight="1">
      <c r="A580" s="9"/>
      <c r="B580" s="9"/>
      <c r="C580" s="9"/>
      <c r="D580" s="9"/>
      <c r="E580" s="9"/>
      <c r="F580" s="9"/>
      <c r="G580" s="9"/>
      <c r="H580" s="548"/>
      <c r="I580" s="548"/>
      <c r="J580" s="548"/>
      <c r="K580" s="548"/>
      <c r="L580" s="548"/>
      <c r="M580" s="548"/>
      <c r="N580" s="548"/>
      <c r="O580" s="548"/>
      <c r="P580" s="548"/>
      <c r="Q580" s="548"/>
      <c r="R580" s="548"/>
      <c r="S580" s="548"/>
      <c r="T580" s="548"/>
      <c r="U580" s="9"/>
      <c r="V580" s="9"/>
      <c r="W580" s="9"/>
      <c r="X580" s="9"/>
      <c r="Y580" s="9"/>
      <c r="Z580" s="9"/>
      <c r="AA580" s="9"/>
      <c r="AB580" s="9"/>
      <c r="AC580" s="9"/>
    </row>
    <row r="581" spans="1:29" ht="12.75" customHeight="1">
      <c r="A581" s="9"/>
      <c r="B581" s="9"/>
      <c r="C581" s="9"/>
      <c r="D581" s="9"/>
      <c r="E581" s="9"/>
      <c r="F581" s="9"/>
      <c r="G581" s="9"/>
      <c r="H581" s="548"/>
      <c r="I581" s="548"/>
      <c r="J581" s="548"/>
      <c r="K581" s="548"/>
      <c r="L581" s="548"/>
      <c r="M581" s="548"/>
      <c r="N581" s="548"/>
      <c r="O581" s="548"/>
      <c r="P581" s="548"/>
      <c r="Q581" s="548"/>
      <c r="R581" s="548"/>
      <c r="S581" s="548"/>
      <c r="T581" s="548"/>
      <c r="U581" s="9"/>
      <c r="V581" s="9"/>
      <c r="W581" s="9"/>
      <c r="X581" s="9"/>
      <c r="Y581" s="9"/>
      <c r="Z581" s="9"/>
      <c r="AA581" s="9"/>
      <c r="AB581" s="9"/>
      <c r="AC581" s="9"/>
    </row>
    <row r="582" spans="1:29" ht="12.75" customHeight="1">
      <c r="A582" s="9"/>
      <c r="B582" s="9"/>
      <c r="C582" s="9"/>
      <c r="D582" s="9"/>
      <c r="E582" s="9"/>
      <c r="F582" s="9"/>
      <c r="G582" s="9"/>
      <c r="H582" s="548"/>
      <c r="I582" s="548"/>
      <c r="J582" s="548"/>
      <c r="K582" s="548"/>
      <c r="L582" s="548"/>
      <c r="M582" s="548"/>
      <c r="N582" s="548"/>
      <c r="O582" s="548"/>
      <c r="P582" s="548"/>
      <c r="Q582" s="548"/>
      <c r="R582" s="548"/>
      <c r="S582" s="548"/>
      <c r="T582" s="548"/>
      <c r="U582" s="9"/>
      <c r="V582" s="9"/>
      <c r="W582" s="9"/>
      <c r="X582" s="9"/>
      <c r="Y582" s="9"/>
      <c r="Z582" s="9"/>
      <c r="AA582" s="9"/>
      <c r="AB582" s="9"/>
      <c r="AC582" s="9"/>
    </row>
    <row r="583" spans="1:29" ht="12.75" customHeight="1">
      <c r="A583" s="9"/>
      <c r="B583" s="9"/>
      <c r="C583" s="9"/>
      <c r="D583" s="9"/>
      <c r="E583" s="9"/>
      <c r="F583" s="9"/>
      <c r="G583" s="9"/>
      <c r="H583" s="548"/>
      <c r="I583" s="548"/>
      <c r="J583" s="548"/>
      <c r="K583" s="548"/>
      <c r="L583" s="548"/>
      <c r="M583" s="548"/>
      <c r="N583" s="548"/>
      <c r="O583" s="548"/>
      <c r="P583" s="548"/>
      <c r="Q583" s="548"/>
      <c r="R583" s="548"/>
      <c r="S583" s="548"/>
      <c r="T583" s="548"/>
      <c r="U583" s="9"/>
      <c r="V583" s="9"/>
      <c r="W583" s="9"/>
      <c r="X583" s="9"/>
      <c r="Y583" s="9"/>
      <c r="Z583" s="9"/>
      <c r="AA583" s="9"/>
      <c r="AB583" s="9"/>
      <c r="AC583" s="9"/>
    </row>
    <row r="584" spans="1:29" ht="12.75" customHeight="1">
      <c r="A584" s="9"/>
      <c r="B584" s="9"/>
      <c r="C584" s="9"/>
      <c r="D584" s="9"/>
      <c r="E584" s="9"/>
      <c r="F584" s="9"/>
      <c r="G584" s="9"/>
      <c r="H584" s="548"/>
      <c r="I584" s="548"/>
      <c r="J584" s="548"/>
      <c r="K584" s="548"/>
      <c r="L584" s="548"/>
      <c r="M584" s="548"/>
      <c r="N584" s="548"/>
      <c r="O584" s="548"/>
      <c r="P584" s="548"/>
      <c r="Q584" s="548"/>
      <c r="R584" s="548"/>
      <c r="S584" s="548"/>
      <c r="T584" s="548"/>
      <c r="U584" s="9"/>
      <c r="V584" s="9"/>
      <c r="W584" s="9"/>
      <c r="X584" s="9"/>
      <c r="Y584" s="9"/>
      <c r="Z584" s="9"/>
      <c r="AA584" s="9"/>
      <c r="AB584" s="9"/>
      <c r="AC584" s="9"/>
    </row>
    <row r="585" spans="1:29" ht="12.75" customHeight="1">
      <c r="A585" s="9"/>
      <c r="B585" s="9"/>
      <c r="C585" s="9"/>
      <c r="D585" s="9"/>
      <c r="E585" s="9"/>
      <c r="F585" s="9"/>
      <c r="G585" s="9"/>
      <c r="H585" s="548"/>
      <c r="I585" s="548"/>
      <c r="J585" s="548"/>
      <c r="K585" s="548"/>
      <c r="L585" s="548"/>
      <c r="M585" s="548"/>
      <c r="N585" s="548"/>
      <c r="O585" s="548"/>
      <c r="P585" s="548"/>
      <c r="Q585" s="548"/>
      <c r="R585" s="548"/>
      <c r="S585" s="548"/>
      <c r="T585" s="548"/>
      <c r="U585" s="9"/>
      <c r="V585" s="9"/>
      <c r="W585" s="9"/>
      <c r="X585" s="9"/>
      <c r="Y585" s="9"/>
      <c r="Z585" s="9"/>
      <c r="AA585" s="9"/>
      <c r="AB585" s="9"/>
      <c r="AC585" s="9"/>
    </row>
    <row r="586" spans="1:29" ht="12.75" customHeight="1">
      <c r="A586" s="9"/>
      <c r="B586" s="9"/>
      <c r="C586" s="9"/>
      <c r="D586" s="9"/>
      <c r="E586" s="9"/>
      <c r="F586" s="9"/>
      <c r="G586" s="9"/>
      <c r="H586" s="548"/>
      <c r="I586" s="548"/>
      <c r="J586" s="548"/>
      <c r="K586" s="548"/>
      <c r="L586" s="548"/>
      <c r="M586" s="548"/>
      <c r="N586" s="548"/>
      <c r="O586" s="548"/>
      <c r="P586" s="548"/>
      <c r="Q586" s="548"/>
      <c r="R586" s="548"/>
      <c r="S586" s="548"/>
      <c r="T586" s="548"/>
      <c r="U586" s="9"/>
      <c r="V586" s="9"/>
      <c r="W586" s="9"/>
      <c r="X586" s="9"/>
      <c r="Y586" s="9"/>
      <c r="Z586" s="9"/>
      <c r="AA586" s="9"/>
      <c r="AB586" s="9"/>
      <c r="AC586" s="9"/>
    </row>
    <row r="587" spans="1:29" ht="12.75" customHeight="1">
      <c r="A587" s="9"/>
      <c r="B587" s="9"/>
      <c r="C587" s="9"/>
      <c r="D587" s="9"/>
      <c r="E587" s="9"/>
      <c r="F587" s="9"/>
      <c r="G587" s="9"/>
      <c r="H587" s="548"/>
      <c r="I587" s="548"/>
      <c r="J587" s="548"/>
      <c r="K587" s="548"/>
      <c r="L587" s="548"/>
      <c r="M587" s="548"/>
      <c r="N587" s="548"/>
      <c r="O587" s="548"/>
      <c r="P587" s="548"/>
      <c r="Q587" s="548"/>
      <c r="R587" s="548"/>
      <c r="S587" s="548"/>
      <c r="T587" s="548"/>
      <c r="U587" s="9"/>
      <c r="V587" s="9"/>
      <c r="W587" s="9"/>
      <c r="X587" s="9"/>
      <c r="Y587" s="9"/>
      <c r="Z587" s="9"/>
      <c r="AA587" s="9"/>
      <c r="AB587" s="9"/>
      <c r="AC587" s="9"/>
    </row>
    <row r="588" spans="1:29" ht="12.75" customHeight="1">
      <c r="A588" s="9"/>
      <c r="B588" s="9"/>
      <c r="C588" s="9"/>
      <c r="D588" s="9"/>
      <c r="E588" s="9"/>
      <c r="F588" s="9"/>
      <c r="G588" s="9"/>
      <c r="H588" s="548"/>
      <c r="I588" s="548"/>
      <c r="J588" s="548"/>
      <c r="K588" s="548"/>
      <c r="L588" s="548"/>
      <c r="M588" s="548"/>
      <c r="N588" s="548"/>
      <c r="O588" s="548"/>
      <c r="P588" s="548"/>
      <c r="Q588" s="548"/>
      <c r="R588" s="548"/>
      <c r="S588" s="548"/>
      <c r="T588" s="548"/>
      <c r="U588" s="9"/>
      <c r="V588" s="9"/>
      <c r="W588" s="9"/>
      <c r="X588" s="9"/>
      <c r="Y588" s="9"/>
      <c r="Z588" s="9"/>
      <c r="AA588" s="9"/>
      <c r="AB588" s="9"/>
      <c r="AC588" s="9"/>
    </row>
    <row r="589" spans="1:29" ht="12.75" customHeight="1">
      <c r="A589" s="9"/>
      <c r="B589" s="9"/>
      <c r="C589" s="9"/>
      <c r="D589" s="9"/>
      <c r="E589" s="9"/>
      <c r="F589" s="9"/>
      <c r="G589" s="9"/>
      <c r="H589" s="548"/>
      <c r="I589" s="548"/>
      <c r="J589" s="548"/>
      <c r="K589" s="548"/>
      <c r="L589" s="548"/>
      <c r="M589" s="548"/>
      <c r="N589" s="548"/>
      <c r="O589" s="548"/>
      <c r="P589" s="548"/>
      <c r="Q589" s="548"/>
      <c r="R589" s="548"/>
      <c r="S589" s="548"/>
      <c r="T589" s="548"/>
      <c r="U589" s="9"/>
      <c r="V589" s="9"/>
      <c r="W589" s="9"/>
      <c r="X589" s="9"/>
      <c r="Y589" s="9"/>
      <c r="Z589" s="9"/>
      <c r="AA589" s="9"/>
      <c r="AB589" s="9"/>
      <c r="AC589" s="9"/>
    </row>
    <row r="590" spans="1:29" ht="12.75" customHeight="1">
      <c r="A590" s="9"/>
      <c r="B590" s="9"/>
      <c r="C590" s="9"/>
      <c r="D590" s="9"/>
      <c r="E590" s="9"/>
      <c r="F590" s="9"/>
      <c r="G590" s="9"/>
      <c r="H590" s="548"/>
      <c r="I590" s="548"/>
      <c r="J590" s="548"/>
      <c r="K590" s="548"/>
      <c r="L590" s="548"/>
      <c r="M590" s="548"/>
      <c r="N590" s="548"/>
      <c r="O590" s="548"/>
      <c r="P590" s="548"/>
      <c r="Q590" s="548"/>
      <c r="R590" s="548"/>
      <c r="S590" s="548"/>
      <c r="T590" s="548"/>
      <c r="U590" s="9"/>
      <c r="V590" s="9"/>
      <c r="W590" s="9"/>
      <c r="X590" s="9"/>
      <c r="Y590" s="9"/>
      <c r="Z590" s="9"/>
      <c r="AA590" s="9"/>
      <c r="AB590" s="9"/>
      <c r="AC590" s="9"/>
    </row>
    <row r="591" spans="1:29" ht="12.75" customHeight="1">
      <c r="A591" s="9"/>
      <c r="B591" s="9"/>
      <c r="C591" s="9"/>
      <c r="D591" s="9"/>
      <c r="E591" s="9"/>
      <c r="F591" s="9"/>
      <c r="G591" s="9"/>
      <c r="H591" s="548"/>
      <c r="I591" s="548"/>
      <c r="J591" s="548"/>
      <c r="K591" s="548"/>
      <c r="L591" s="548"/>
      <c r="M591" s="548"/>
      <c r="N591" s="548"/>
      <c r="O591" s="548"/>
      <c r="P591" s="548"/>
      <c r="Q591" s="548"/>
      <c r="R591" s="548"/>
      <c r="S591" s="548"/>
      <c r="T591" s="548"/>
      <c r="U591" s="9"/>
      <c r="V591" s="9"/>
      <c r="W591" s="9"/>
      <c r="X591" s="9"/>
      <c r="Y591" s="9"/>
      <c r="Z591" s="9"/>
      <c r="AA591" s="9"/>
      <c r="AB591" s="9"/>
      <c r="AC591" s="9"/>
    </row>
    <row r="592" spans="1:29" ht="12.75" customHeight="1">
      <c r="A592" s="9"/>
      <c r="B592" s="9"/>
      <c r="C592" s="9"/>
      <c r="D592" s="9"/>
      <c r="E592" s="9"/>
      <c r="F592" s="9"/>
      <c r="G592" s="9"/>
      <c r="H592" s="548"/>
      <c r="I592" s="548"/>
      <c r="J592" s="548"/>
      <c r="K592" s="548"/>
      <c r="L592" s="548"/>
      <c r="M592" s="548"/>
      <c r="N592" s="548"/>
      <c r="O592" s="548"/>
      <c r="P592" s="548"/>
      <c r="Q592" s="548"/>
      <c r="R592" s="548"/>
      <c r="S592" s="548"/>
      <c r="T592" s="548"/>
      <c r="U592" s="9"/>
      <c r="V592" s="9"/>
      <c r="W592" s="9"/>
      <c r="X592" s="9"/>
      <c r="Y592" s="9"/>
      <c r="Z592" s="9"/>
      <c r="AA592" s="9"/>
      <c r="AB592" s="9"/>
      <c r="AC592" s="9"/>
    </row>
    <row r="593" spans="1:29" ht="12.75" customHeight="1">
      <c r="A593" s="9"/>
      <c r="B593" s="9"/>
      <c r="C593" s="9"/>
      <c r="D593" s="9"/>
      <c r="E593" s="9"/>
      <c r="F593" s="9"/>
      <c r="G593" s="9"/>
      <c r="H593" s="548"/>
      <c r="I593" s="548"/>
      <c r="J593" s="548"/>
      <c r="K593" s="548"/>
      <c r="L593" s="548"/>
      <c r="M593" s="548"/>
      <c r="N593" s="548"/>
      <c r="O593" s="548"/>
      <c r="P593" s="548"/>
      <c r="Q593" s="548"/>
      <c r="R593" s="548"/>
      <c r="S593" s="548"/>
      <c r="T593" s="548"/>
      <c r="U593" s="9"/>
      <c r="V593" s="9"/>
      <c r="W593" s="9"/>
      <c r="X593" s="9"/>
      <c r="Y593" s="9"/>
      <c r="Z593" s="9"/>
      <c r="AA593" s="9"/>
      <c r="AB593" s="9"/>
      <c r="AC593" s="9"/>
    </row>
    <row r="594" spans="1:29" ht="12.75" customHeight="1">
      <c r="A594" s="9"/>
      <c r="B594" s="9"/>
      <c r="C594" s="9"/>
      <c r="D594" s="9"/>
      <c r="E594" s="9"/>
      <c r="F594" s="9"/>
      <c r="G594" s="9"/>
      <c r="H594" s="548"/>
      <c r="I594" s="548"/>
      <c r="J594" s="548"/>
      <c r="K594" s="548"/>
      <c r="L594" s="548"/>
      <c r="M594" s="548"/>
      <c r="N594" s="548"/>
      <c r="O594" s="548"/>
      <c r="P594" s="548"/>
      <c r="Q594" s="548"/>
      <c r="R594" s="548"/>
      <c r="S594" s="548"/>
      <c r="T594" s="548"/>
      <c r="U594" s="9"/>
      <c r="V594" s="9"/>
      <c r="W594" s="9"/>
      <c r="X594" s="9"/>
      <c r="Y594" s="9"/>
      <c r="Z594" s="9"/>
      <c r="AA594" s="9"/>
      <c r="AB594" s="9"/>
      <c r="AC594" s="9"/>
    </row>
    <row r="595" spans="1:29" ht="12.75" customHeight="1">
      <c r="A595" s="9"/>
      <c r="B595" s="9"/>
      <c r="C595" s="9"/>
      <c r="D595" s="9"/>
      <c r="E595" s="9"/>
      <c r="F595" s="9"/>
      <c r="G595" s="9"/>
      <c r="H595" s="548"/>
      <c r="I595" s="548"/>
      <c r="J595" s="548"/>
      <c r="K595" s="548"/>
      <c r="L595" s="548"/>
      <c r="M595" s="548"/>
      <c r="N595" s="548"/>
      <c r="O595" s="548"/>
      <c r="P595" s="548"/>
      <c r="Q595" s="548"/>
      <c r="R595" s="548"/>
      <c r="S595" s="548"/>
      <c r="T595" s="548"/>
      <c r="U595" s="9"/>
      <c r="V595" s="9"/>
      <c r="W595" s="9"/>
      <c r="X595" s="9"/>
      <c r="Y595" s="9"/>
      <c r="Z595" s="9"/>
      <c r="AA595" s="9"/>
      <c r="AB595" s="9"/>
      <c r="AC595" s="9"/>
    </row>
    <row r="596" spans="1:29" ht="12.75" customHeight="1">
      <c r="A596" s="9"/>
      <c r="B596" s="9"/>
      <c r="C596" s="9"/>
      <c r="D596" s="9"/>
      <c r="E596" s="9"/>
      <c r="F596" s="9"/>
      <c r="G596" s="9"/>
      <c r="H596" s="548"/>
      <c r="I596" s="548"/>
      <c r="J596" s="548"/>
      <c r="K596" s="548"/>
      <c r="L596" s="548"/>
      <c r="M596" s="548"/>
      <c r="N596" s="548"/>
      <c r="O596" s="548"/>
      <c r="P596" s="548"/>
      <c r="Q596" s="548"/>
      <c r="R596" s="548"/>
      <c r="S596" s="548"/>
      <c r="T596" s="548"/>
      <c r="U596" s="9"/>
      <c r="V596" s="9"/>
      <c r="W596" s="9"/>
      <c r="X596" s="9"/>
      <c r="Y596" s="9"/>
      <c r="Z596" s="9"/>
      <c r="AA596" s="9"/>
      <c r="AB596" s="9"/>
      <c r="AC596" s="9"/>
    </row>
    <row r="597" spans="1:29" ht="12.75" customHeight="1">
      <c r="A597" s="9"/>
      <c r="B597" s="9"/>
      <c r="C597" s="9"/>
      <c r="D597" s="9"/>
      <c r="E597" s="9"/>
      <c r="F597" s="9"/>
      <c r="G597" s="9"/>
      <c r="H597" s="548"/>
      <c r="I597" s="548"/>
      <c r="J597" s="548"/>
      <c r="K597" s="548"/>
      <c r="L597" s="548"/>
      <c r="M597" s="548"/>
      <c r="N597" s="548"/>
      <c r="O597" s="548"/>
      <c r="P597" s="548"/>
      <c r="Q597" s="548"/>
      <c r="R597" s="548"/>
      <c r="S597" s="548"/>
      <c r="T597" s="548"/>
      <c r="U597" s="9"/>
      <c r="V597" s="9"/>
      <c r="W597" s="9"/>
      <c r="X597" s="9"/>
      <c r="Y597" s="9"/>
      <c r="Z597" s="9"/>
      <c r="AA597" s="9"/>
      <c r="AB597" s="9"/>
      <c r="AC597" s="9"/>
    </row>
    <row r="598" spans="1:29" ht="12.75" customHeight="1">
      <c r="A598" s="9"/>
      <c r="B598" s="9"/>
      <c r="C598" s="9"/>
      <c r="D598" s="9"/>
      <c r="E598" s="9"/>
      <c r="F598" s="9"/>
      <c r="G598" s="9"/>
      <c r="H598" s="548"/>
      <c r="I598" s="548"/>
      <c r="J598" s="548"/>
      <c r="K598" s="548"/>
      <c r="L598" s="548"/>
      <c r="M598" s="548"/>
      <c r="N598" s="548"/>
      <c r="O598" s="548"/>
      <c r="P598" s="548"/>
      <c r="Q598" s="548"/>
      <c r="R598" s="548"/>
      <c r="S598" s="548"/>
      <c r="T598" s="548"/>
      <c r="U598" s="9"/>
      <c r="V598" s="9"/>
      <c r="W598" s="9"/>
      <c r="X598" s="9"/>
      <c r="Y598" s="9"/>
      <c r="Z598" s="9"/>
      <c r="AA598" s="9"/>
      <c r="AB598" s="9"/>
      <c r="AC598" s="9"/>
    </row>
    <row r="599" spans="1:29" ht="12.75" customHeight="1">
      <c r="A599" s="9"/>
      <c r="B599" s="9"/>
      <c r="C599" s="9"/>
      <c r="D599" s="9"/>
      <c r="E599" s="9"/>
      <c r="F599" s="9"/>
      <c r="G599" s="9"/>
      <c r="H599" s="548"/>
      <c r="I599" s="548"/>
      <c r="J599" s="548"/>
      <c r="K599" s="548"/>
      <c r="L599" s="548"/>
      <c r="M599" s="548"/>
      <c r="N599" s="548"/>
      <c r="O599" s="548"/>
      <c r="P599" s="548"/>
      <c r="Q599" s="548"/>
      <c r="R599" s="548"/>
      <c r="S599" s="548"/>
      <c r="T599" s="548"/>
      <c r="U599" s="9"/>
      <c r="V599" s="9"/>
      <c r="W599" s="9"/>
      <c r="X599" s="9"/>
      <c r="Y599" s="9"/>
      <c r="Z599" s="9"/>
      <c r="AA599" s="9"/>
      <c r="AB599" s="9"/>
      <c r="AC599" s="9"/>
    </row>
    <row r="600" spans="1:29" ht="12.75" customHeight="1">
      <c r="A600" s="9"/>
      <c r="B600" s="9"/>
      <c r="C600" s="9"/>
      <c r="D600" s="9"/>
      <c r="E600" s="9"/>
      <c r="F600" s="9"/>
      <c r="G600" s="9"/>
      <c r="H600" s="548"/>
      <c r="I600" s="548"/>
      <c r="J600" s="548"/>
      <c r="K600" s="548"/>
      <c r="L600" s="548"/>
      <c r="M600" s="548"/>
      <c r="N600" s="548"/>
      <c r="O600" s="548"/>
      <c r="P600" s="548"/>
      <c r="Q600" s="548"/>
      <c r="R600" s="548"/>
      <c r="S600" s="548"/>
      <c r="T600" s="548"/>
      <c r="U600" s="9"/>
      <c r="V600" s="9"/>
      <c r="W600" s="9"/>
      <c r="X600" s="9"/>
      <c r="Y600" s="9"/>
      <c r="Z600" s="9"/>
      <c r="AA600" s="9"/>
      <c r="AB600" s="9"/>
      <c r="AC600" s="9"/>
    </row>
    <row r="601" spans="1:29" ht="12.75" customHeight="1">
      <c r="A601" s="9"/>
      <c r="B601" s="9"/>
      <c r="C601" s="9"/>
      <c r="D601" s="9"/>
      <c r="E601" s="9"/>
      <c r="F601" s="9"/>
      <c r="G601" s="9"/>
      <c r="H601" s="548"/>
      <c r="I601" s="548"/>
      <c r="J601" s="548"/>
      <c r="K601" s="548"/>
      <c r="L601" s="548"/>
      <c r="M601" s="548"/>
      <c r="N601" s="548"/>
      <c r="O601" s="548"/>
      <c r="P601" s="548"/>
      <c r="Q601" s="548"/>
      <c r="R601" s="548"/>
      <c r="S601" s="548"/>
      <c r="T601" s="548"/>
      <c r="U601" s="9"/>
      <c r="V601" s="9"/>
      <c r="W601" s="9"/>
      <c r="X601" s="9"/>
      <c r="Y601" s="9"/>
      <c r="Z601" s="9"/>
      <c r="AA601" s="9"/>
      <c r="AB601" s="9"/>
      <c r="AC601" s="9"/>
    </row>
    <row r="602" spans="1:29" ht="12.75" customHeight="1">
      <c r="A602" s="9"/>
      <c r="B602" s="9"/>
      <c r="C602" s="9"/>
      <c r="D602" s="9"/>
      <c r="E602" s="9"/>
      <c r="F602" s="9"/>
      <c r="G602" s="9"/>
      <c r="H602" s="548"/>
      <c r="I602" s="548"/>
      <c r="J602" s="548"/>
      <c r="K602" s="548"/>
      <c r="L602" s="548"/>
      <c r="M602" s="548"/>
      <c r="N602" s="548"/>
      <c r="O602" s="548"/>
      <c r="P602" s="548"/>
      <c r="Q602" s="548"/>
      <c r="R602" s="548"/>
      <c r="S602" s="548"/>
      <c r="T602" s="548"/>
      <c r="U602" s="9"/>
      <c r="V602" s="9"/>
      <c r="W602" s="9"/>
      <c r="X602" s="9"/>
      <c r="Y602" s="9"/>
      <c r="Z602" s="9"/>
      <c r="AA602" s="9"/>
      <c r="AB602" s="9"/>
      <c r="AC602" s="9"/>
    </row>
    <row r="603" spans="1:29" ht="12.75" customHeight="1">
      <c r="A603" s="9"/>
      <c r="B603" s="9"/>
      <c r="C603" s="9"/>
      <c r="D603" s="9"/>
      <c r="E603" s="9"/>
      <c r="F603" s="9"/>
      <c r="G603" s="9"/>
      <c r="H603" s="548"/>
      <c r="I603" s="548"/>
      <c r="J603" s="548"/>
      <c r="K603" s="548"/>
      <c r="L603" s="548"/>
      <c r="M603" s="548"/>
      <c r="N603" s="548"/>
      <c r="O603" s="548"/>
      <c r="P603" s="548"/>
      <c r="Q603" s="548"/>
      <c r="R603" s="548"/>
      <c r="S603" s="548"/>
      <c r="T603" s="548"/>
      <c r="U603" s="9"/>
      <c r="V603" s="9"/>
      <c r="W603" s="9"/>
      <c r="X603" s="9"/>
      <c r="Y603" s="9"/>
      <c r="Z603" s="9"/>
      <c r="AA603" s="9"/>
      <c r="AB603" s="9"/>
      <c r="AC603" s="9"/>
    </row>
    <row r="604" spans="1:29" ht="12.75" customHeight="1">
      <c r="A604" s="9"/>
      <c r="B604" s="9"/>
      <c r="C604" s="9"/>
      <c r="D604" s="9"/>
      <c r="E604" s="9"/>
      <c r="F604" s="9"/>
      <c r="G604" s="9"/>
      <c r="H604" s="548"/>
      <c r="I604" s="548"/>
      <c r="J604" s="548"/>
      <c r="K604" s="548"/>
      <c r="L604" s="548"/>
      <c r="M604" s="548"/>
      <c r="N604" s="548"/>
      <c r="O604" s="548"/>
      <c r="P604" s="548"/>
      <c r="Q604" s="548"/>
      <c r="R604" s="548"/>
      <c r="S604" s="548"/>
      <c r="T604" s="548"/>
      <c r="U604" s="9"/>
      <c r="V604" s="9"/>
      <c r="W604" s="9"/>
      <c r="X604" s="9"/>
      <c r="Y604" s="9"/>
      <c r="Z604" s="9"/>
      <c r="AA604" s="9"/>
      <c r="AB604" s="9"/>
      <c r="AC604" s="9"/>
    </row>
    <row r="605" spans="1:29" ht="12.75" customHeight="1">
      <c r="A605" s="9"/>
      <c r="B605" s="9"/>
      <c r="C605" s="9"/>
      <c r="D605" s="9"/>
      <c r="E605" s="9"/>
      <c r="F605" s="9"/>
      <c r="G605" s="9"/>
      <c r="H605" s="548"/>
      <c r="I605" s="548"/>
      <c r="J605" s="548"/>
      <c r="K605" s="548"/>
      <c r="L605" s="548"/>
      <c r="M605" s="548"/>
      <c r="N605" s="548"/>
      <c r="O605" s="548"/>
      <c r="P605" s="548"/>
      <c r="Q605" s="548"/>
      <c r="R605" s="548"/>
      <c r="S605" s="548"/>
      <c r="T605" s="548"/>
      <c r="U605" s="9"/>
      <c r="V605" s="9"/>
      <c r="W605" s="9"/>
      <c r="X605" s="9"/>
      <c r="Y605" s="9"/>
      <c r="Z605" s="9"/>
      <c r="AA605" s="9"/>
      <c r="AB605" s="9"/>
      <c r="AC605" s="9"/>
    </row>
    <row r="606" spans="1:29" ht="12.75" customHeight="1">
      <c r="A606" s="9"/>
      <c r="B606" s="9"/>
      <c r="C606" s="9"/>
      <c r="D606" s="9"/>
      <c r="E606" s="9"/>
      <c r="F606" s="9"/>
      <c r="G606" s="9"/>
      <c r="H606" s="548"/>
      <c r="I606" s="548"/>
      <c r="J606" s="548"/>
      <c r="K606" s="548"/>
      <c r="L606" s="548"/>
      <c r="M606" s="548"/>
      <c r="N606" s="548"/>
      <c r="O606" s="548"/>
      <c r="P606" s="548"/>
      <c r="Q606" s="548"/>
      <c r="R606" s="548"/>
      <c r="S606" s="548"/>
      <c r="T606" s="548"/>
      <c r="U606" s="9"/>
      <c r="V606" s="9"/>
      <c r="W606" s="9"/>
      <c r="X606" s="9"/>
      <c r="Y606" s="9"/>
      <c r="Z606" s="9"/>
      <c r="AA606" s="9"/>
      <c r="AB606" s="9"/>
      <c r="AC606" s="9"/>
    </row>
    <row r="607" spans="1:29" ht="12.75" customHeight="1">
      <c r="A607" s="9"/>
      <c r="B607" s="9"/>
      <c r="C607" s="9"/>
      <c r="D607" s="9"/>
      <c r="E607" s="9"/>
      <c r="F607" s="9"/>
      <c r="G607" s="9"/>
      <c r="H607" s="548"/>
      <c r="I607" s="548"/>
      <c r="J607" s="548"/>
      <c r="K607" s="548"/>
      <c r="L607" s="548"/>
      <c r="M607" s="548"/>
      <c r="N607" s="548"/>
      <c r="O607" s="548"/>
      <c r="P607" s="548"/>
      <c r="Q607" s="548"/>
      <c r="R607" s="548"/>
      <c r="S607" s="548"/>
      <c r="T607" s="548"/>
      <c r="U607" s="9"/>
      <c r="V607" s="9"/>
      <c r="W607" s="9"/>
      <c r="X607" s="9"/>
      <c r="Y607" s="9"/>
      <c r="Z607" s="9"/>
      <c r="AA607" s="9"/>
      <c r="AB607" s="9"/>
      <c r="AC607" s="9"/>
    </row>
    <row r="608" spans="1:29" ht="12.75" customHeight="1">
      <c r="A608" s="9"/>
      <c r="B608" s="9"/>
      <c r="C608" s="9"/>
      <c r="D608" s="9"/>
      <c r="E608" s="9"/>
      <c r="F608" s="9"/>
      <c r="G608" s="9"/>
      <c r="H608" s="548"/>
      <c r="I608" s="548"/>
      <c r="J608" s="548"/>
      <c r="K608" s="548"/>
      <c r="L608" s="548"/>
      <c r="M608" s="548"/>
      <c r="N608" s="548"/>
      <c r="O608" s="548"/>
      <c r="P608" s="548"/>
      <c r="Q608" s="548"/>
      <c r="R608" s="548"/>
      <c r="S608" s="548"/>
      <c r="T608" s="548"/>
      <c r="U608" s="9"/>
      <c r="V608" s="9"/>
      <c r="W608" s="9"/>
      <c r="X608" s="9"/>
      <c r="Y608" s="9"/>
      <c r="Z608" s="9"/>
      <c r="AA608" s="9"/>
      <c r="AB608" s="9"/>
      <c r="AC608" s="9"/>
    </row>
    <row r="609" spans="1:29" ht="12.75" customHeight="1">
      <c r="A609" s="9"/>
      <c r="B609" s="9"/>
      <c r="C609" s="9"/>
      <c r="D609" s="9"/>
      <c r="E609" s="9"/>
      <c r="F609" s="9"/>
      <c r="G609" s="9"/>
      <c r="H609" s="548"/>
      <c r="I609" s="548"/>
      <c r="J609" s="548"/>
      <c r="K609" s="548"/>
      <c r="L609" s="548"/>
      <c r="M609" s="548"/>
      <c r="N609" s="548"/>
      <c r="O609" s="548"/>
      <c r="P609" s="548"/>
      <c r="Q609" s="548"/>
      <c r="R609" s="548"/>
      <c r="S609" s="548"/>
      <c r="T609" s="548"/>
      <c r="U609" s="9"/>
      <c r="V609" s="9"/>
      <c r="W609" s="9"/>
      <c r="X609" s="9"/>
      <c r="Y609" s="9"/>
      <c r="Z609" s="9"/>
      <c r="AA609" s="9"/>
      <c r="AB609" s="9"/>
      <c r="AC609" s="9"/>
    </row>
    <row r="610" spans="1:29" ht="12.75" customHeight="1">
      <c r="A610" s="9"/>
      <c r="B610" s="9"/>
      <c r="C610" s="9"/>
      <c r="D610" s="9"/>
      <c r="E610" s="9"/>
      <c r="F610" s="9"/>
      <c r="G610" s="9"/>
      <c r="H610" s="548"/>
      <c r="I610" s="548"/>
      <c r="J610" s="548"/>
      <c r="K610" s="548"/>
      <c r="L610" s="548"/>
      <c r="M610" s="548"/>
      <c r="N610" s="548"/>
      <c r="O610" s="548"/>
      <c r="P610" s="548"/>
      <c r="Q610" s="548"/>
      <c r="R610" s="548"/>
      <c r="S610" s="548"/>
      <c r="T610" s="548"/>
      <c r="U610" s="9"/>
      <c r="V610" s="9"/>
      <c r="W610" s="9"/>
      <c r="X610" s="9"/>
      <c r="Y610" s="9"/>
      <c r="Z610" s="9"/>
      <c r="AA610" s="9"/>
      <c r="AB610" s="9"/>
      <c r="AC610" s="9"/>
    </row>
    <row r="611" spans="1:29" ht="12.75" customHeight="1">
      <c r="A611" s="9"/>
      <c r="B611" s="9"/>
      <c r="C611" s="9"/>
      <c r="D611" s="9"/>
      <c r="E611" s="9"/>
      <c r="F611" s="9"/>
      <c r="G611" s="9"/>
      <c r="H611" s="548"/>
      <c r="I611" s="548"/>
      <c r="J611" s="548"/>
      <c r="K611" s="548"/>
      <c r="L611" s="548"/>
      <c r="M611" s="548"/>
      <c r="N611" s="548"/>
      <c r="O611" s="548"/>
      <c r="P611" s="548"/>
      <c r="Q611" s="548"/>
      <c r="R611" s="548"/>
      <c r="S611" s="548"/>
      <c r="T611" s="548"/>
      <c r="U611" s="9"/>
      <c r="V611" s="9"/>
      <c r="W611" s="9"/>
      <c r="X611" s="9"/>
      <c r="Y611" s="9"/>
      <c r="Z611" s="9"/>
      <c r="AA611" s="9"/>
      <c r="AB611" s="9"/>
      <c r="AC611" s="9"/>
    </row>
    <row r="612" spans="1:29" ht="12.75" customHeight="1">
      <c r="A612" s="9"/>
      <c r="B612" s="9"/>
      <c r="C612" s="9"/>
      <c r="D612" s="9"/>
      <c r="E612" s="9"/>
      <c r="F612" s="9"/>
      <c r="G612" s="9"/>
      <c r="H612" s="548"/>
      <c r="I612" s="548"/>
      <c r="J612" s="548"/>
      <c r="K612" s="548"/>
      <c r="L612" s="548"/>
      <c r="M612" s="548"/>
      <c r="N612" s="548"/>
      <c r="O612" s="548"/>
      <c r="P612" s="548"/>
      <c r="Q612" s="548"/>
      <c r="R612" s="548"/>
      <c r="S612" s="548"/>
      <c r="T612" s="548"/>
      <c r="U612" s="9"/>
      <c r="V612" s="9"/>
      <c r="W612" s="9"/>
      <c r="X612" s="9"/>
      <c r="Y612" s="9"/>
      <c r="Z612" s="9"/>
      <c r="AA612" s="9"/>
      <c r="AB612" s="9"/>
      <c r="AC612" s="9"/>
    </row>
    <row r="613" spans="1:29" ht="12.75" customHeight="1">
      <c r="A613" s="9"/>
      <c r="B613" s="9"/>
      <c r="C613" s="9"/>
      <c r="D613" s="9"/>
      <c r="E613" s="9"/>
      <c r="F613" s="9"/>
      <c r="G613" s="9"/>
      <c r="H613" s="548"/>
      <c r="I613" s="548"/>
      <c r="J613" s="548"/>
      <c r="K613" s="548"/>
      <c r="L613" s="548"/>
      <c r="M613" s="548"/>
      <c r="N613" s="548"/>
      <c r="O613" s="548"/>
      <c r="P613" s="548"/>
      <c r="Q613" s="548"/>
      <c r="R613" s="548"/>
      <c r="S613" s="548"/>
      <c r="T613" s="548"/>
      <c r="U613" s="9"/>
      <c r="V613" s="9"/>
      <c r="W613" s="9"/>
      <c r="X613" s="9"/>
      <c r="Y613" s="9"/>
      <c r="Z613" s="9"/>
      <c r="AA613" s="9"/>
      <c r="AB613" s="9"/>
      <c r="AC613" s="9"/>
    </row>
    <row r="614" spans="1:29" ht="12.75" customHeight="1">
      <c r="A614" s="9"/>
      <c r="B614" s="9"/>
      <c r="C614" s="9"/>
      <c r="D614" s="9"/>
      <c r="E614" s="9"/>
      <c r="F614" s="9"/>
      <c r="G614" s="9"/>
      <c r="H614" s="548"/>
      <c r="I614" s="548"/>
      <c r="J614" s="548"/>
      <c r="K614" s="548"/>
      <c r="L614" s="548"/>
      <c r="M614" s="548"/>
      <c r="N614" s="548"/>
      <c r="O614" s="548"/>
      <c r="P614" s="548"/>
      <c r="Q614" s="548"/>
      <c r="R614" s="548"/>
      <c r="S614" s="548"/>
      <c r="T614" s="548"/>
      <c r="U614" s="9"/>
      <c r="V614" s="9"/>
      <c r="W614" s="9"/>
      <c r="X614" s="9"/>
      <c r="Y614" s="9"/>
      <c r="Z614" s="9"/>
      <c r="AA614" s="9"/>
      <c r="AB614" s="9"/>
      <c r="AC614" s="9"/>
    </row>
    <row r="615" spans="1:29" ht="12.75" customHeight="1">
      <c r="A615" s="9"/>
      <c r="B615" s="9"/>
      <c r="C615" s="9"/>
      <c r="D615" s="9"/>
      <c r="E615" s="9"/>
      <c r="F615" s="9"/>
      <c r="G615" s="9"/>
      <c r="H615" s="548"/>
      <c r="I615" s="548"/>
      <c r="J615" s="548"/>
      <c r="K615" s="548"/>
      <c r="L615" s="548"/>
      <c r="M615" s="548"/>
      <c r="N615" s="548"/>
      <c r="O615" s="548"/>
      <c r="P615" s="548"/>
      <c r="Q615" s="548"/>
      <c r="R615" s="548"/>
      <c r="S615" s="548"/>
      <c r="T615" s="548"/>
      <c r="U615" s="9"/>
      <c r="V615" s="9"/>
      <c r="W615" s="9"/>
      <c r="X615" s="9"/>
      <c r="Y615" s="9"/>
      <c r="Z615" s="9"/>
      <c r="AA615" s="9"/>
      <c r="AB615" s="9"/>
      <c r="AC615" s="9"/>
    </row>
    <row r="616" spans="1:29" ht="12.75" customHeight="1">
      <c r="A616" s="9"/>
      <c r="B616" s="9"/>
      <c r="C616" s="9"/>
      <c r="D616" s="9"/>
      <c r="E616" s="9"/>
      <c r="F616" s="9"/>
      <c r="G616" s="9"/>
      <c r="H616" s="548"/>
      <c r="I616" s="548"/>
      <c r="J616" s="548"/>
      <c r="K616" s="548"/>
      <c r="L616" s="548"/>
      <c r="M616" s="548"/>
      <c r="N616" s="548"/>
      <c r="O616" s="548"/>
      <c r="P616" s="548"/>
      <c r="Q616" s="548"/>
      <c r="R616" s="548"/>
      <c r="S616" s="548"/>
      <c r="T616" s="548"/>
      <c r="U616" s="9"/>
      <c r="V616" s="9"/>
      <c r="W616" s="9"/>
      <c r="X616" s="9"/>
      <c r="Y616" s="9"/>
      <c r="Z616" s="9"/>
      <c r="AA616" s="9"/>
      <c r="AB616" s="9"/>
      <c r="AC616" s="9"/>
    </row>
    <row r="617" spans="1:29" ht="12.75" customHeight="1">
      <c r="A617" s="9"/>
      <c r="B617" s="9"/>
      <c r="C617" s="9"/>
      <c r="D617" s="9"/>
      <c r="E617" s="9"/>
      <c r="F617" s="9"/>
      <c r="G617" s="9"/>
      <c r="H617" s="548"/>
      <c r="I617" s="548"/>
      <c r="J617" s="548"/>
      <c r="K617" s="548"/>
      <c r="L617" s="548"/>
      <c r="M617" s="548"/>
      <c r="N617" s="548"/>
      <c r="O617" s="548"/>
      <c r="P617" s="548"/>
      <c r="Q617" s="548"/>
      <c r="R617" s="548"/>
      <c r="S617" s="548"/>
      <c r="T617" s="548"/>
      <c r="U617" s="9"/>
      <c r="V617" s="9"/>
      <c r="W617" s="9"/>
      <c r="X617" s="9"/>
      <c r="Y617" s="9"/>
      <c r="Z617" s="9"/>
      <c r="AA617" s="9"/>
      <c r="AB617" s="9"/>
      <c r="AC617" s="9"/>
    </row>
    <row r="618" spans="1:29" ht="12.75" customHeight="1">
      <c r="A618" s="9"/>
      <c r="B618" s="9"/>
      <c r="C618" s="9"/>
      <c r="D618" s="9"/>
      <c r="E618" s="9"/>
      <c r="F618" s="9"/>
      <c r="G618" s="9"/>
      <c r="H618" s="548"/>
      <c r="I618" s="548"/>
      <c r="J618" s="548"/>
      <c r="K618" s="548"/>
      <c r="L618" s="548"/>
      <c r="M618" s="548"/>
      <c r="N618" s="548"/>
      <c r="O618" s="548"/>
      <c r="P618" s="548"/>
      <c r="Q618" s="548"/>
      <c r="R618" s="548"/>
      <c r="S618" s="548"/>
      <c r="T618" s="548"/>
      <c r="U618" s="9"/>
      <c r="V618" s="9"/>
      <c r="W618" s="9"/>
      <c r="X618" s="9"/>
      <c r="Y618" s="9"/>
      <c r="Z618" s="9"/>
      <c r="AA618" s="9"/>
      <c r="AB618" s="9"/>
      <c r="AC618" s="9"/>
    </row>
    <row r="619" spans="1:29" ht="12.75" customHeight="1">
      <c r="A619" s="9"/>
      <c r="B619" s="9"/>
      <c r="C619" s="9"/>
      <c r="D619" s="9"/>
      <c r="E619" s="9"/>
      <c r="F619" s="9"/>
      <c r="G619" s="9"/>
      <c r="H619" s="548"/>
      <c r="I619" s="548"/>
      <c r="J619" s="548"/>
      <c r="K619" s="548"/>
      <c r="L619" s="548"/>
      <c r="M619" s="548"/>
      <c r="N619" s="548"/>
      <c r="O619" s="548"/>
      <c r="P619" s="548"/>
      <c r="Q619" s="548"/>
      <c r="R619" s="548"/>
      <c r="S619" s="548"/>
      <c r="T619" s="548"/>
      <c r="U619" s="9"/>
      <c r="V619" s="9"/>
      <c r="W619" s="9"/>
      <c r="X619" s="9"/>
      <c r="Y619" s="9"/>
      <c r="Z619" s="9"/>
      <c r="AA619" s="9"/>
      <c r="AB619" s="9"/>
      <c r="AC619" s="9"/>
    </row>
    <row r="620" spans="1:29" ht="12.75" customHeight="1">
      <c r="A620" s="9"/>
      <c r="B620" s="9"/>
      <c r="C620" s="9"/>
      <c r="D620" s="9"/>
      <c r="E620" s="9"/>
      <c r="F620" s="9"/>
      <c r="G620" s="9"/>
      <c r="H620" s="548"/>
      <c r="I620" s="548"/>
      <c r="J620" s="548"/>
      <c r="K620" s="548"/>
      <c r="L620" s="548"/>
      <c r="M620" s="548"/>
      <c r="N620" s="548"/>
      <c r="O620" s="548"/>
      <c r="P620" s="548"/>
      <c r="Q620" s="548"/>
      <c r="R620" s="548"/>
      <c r="S620" s="548"/>
      <c r="T620" s="548"/>
      <c r="U620" s="9"/>
      <c r="V620" s="9"/>
      <c r="W620" s="9"/>
      <c r="X620" s="9"/>
      <c r="Y620" s="9"/>
      <c r="Z620" s="9"/>
      <c r="AA620" s="9"/>
      <c r="AB620" s="9"/>
      <c r="AC620" s="9"/>
    </row>
    <row r="621" spans="1:29" ht="12.75" customHeight="1">
      <c r="A621" s="9"/>
      <c r="B621" s="9"/>
      <c r="C621" s="9"/>
      <c r="D621" s="9"/>
      <c r="E621" s="9"/>
      <c r="F621" s="9"/>
      <c r="G621" s="9"/>
      <c r="H621" s="548"/>
      <c r="I621" s="548"/>
      <c r="J621" s="548"/>
      <c r="K621" s="548"/>
      <c r="L621" s="548"/>
      <c r="M621" s="548"/>
      <c r="N621" s="548"/>
      <c r="O621" s="548"/>
      <c r="P621" s="548"/>
      <c r="Q621" s="548"/>
      <c r="R621" s="548"/>
      <c r="S621" s="548"/>
      <c r="T621" s="548"/>
      <c r="U621" s="9"/>
      <c r="V621" s="9"/>
      <c r="W621" s="9"/>
      <c r="X621" s="9"/>
      <c r="Y621" s="9"/>
      <c r="Z621" s="9"/>
      <c r="AA621" s="9"/>
      <c r="AB621" s="9"/>
      <c r="AC621" s="9"/>
    </row>
    <row r="622" spans="1:29" ht="12.75" customHeight="1">
      <c r="A622" s="9"/>
      <c r="B622" s="9"/>
      <c r="C622" s="9"/>
      <c r="D622" s="9"/>
      <c r="E622" s="9"/>
      <c r="F622" s="9"/>
      <c r="G622" s="9"/>
      <c r="H622" s="548"/>
      <c r="I622" s="548"/>
      <c r="J622" s="548"/>
      <c r="K622" s="548"/>
      <c r="L622" s="548"/>
      <c r="M622" s="548"/>
      <c r="N622" s="548"/>
      <c r="O622" s="548"/>
      <c r="P622" s="548"/>
      <c r="Q622" s="548"/>
      <c r="R622" s="548"/>
      <c r="S622" s="548"/>
      <c r="T622" s="548"/>
      <c r="U622" s="9"/>
      <c r="V622" s="9"/>
      <c r="W622" s="9"/>
      <c r="X622" s="9"/>
      <c r="Y622" s="9"/>
      <c r="Z622" s="9"/>
      <c r="AA622" s="9"/>
      <c r="AB622" s="9"/>
      <c r="AC622" s="9"/>
    </row>
    <row r="623" spans="1:29" ht="12.75" customHeight="1">
      <c r="A623" s="9"/>
      <c r="B623" s="9"/>
      <c r="C623" s="9"/>
      <c r="D623" s="9"/>
      <c r="E623" s="9"/>
      <c r="F623" s="9"/>
      <c r="G623" s="9"/>
      <c r="H623" s="548"/>
      <c r="I623" s="548"/>
      <c r="J623" s="548"/>
      <c r="K623" s="548"/>
      <c r="L623" s="548"/>
      <c r="M623" s="548"/>
      <c r="N623" s="548"/>
      <c r="O623" s="548"/>
      <c r="P623" s="548"/>
      <c r="Q623" s="548"/>
      <c r="R623" s="548"/>
      <c r="S623" s="548"/>
      <c r="T623" s="548"/>
      <c r="U623" s="9"/>
      <c r="V623" s="9"/>
      <c r="W623" s="9"/>
      <c r="X623" s="9"/>
      <c r="Y623" s="9"/>
      <c r="Z623" s="9"/>
      <c r="AA623" s="9"/>
      <c r="AB623" s="9"/>
      <c r="AC623" s="9"/>
    </row>
    <row r="624" spans="1:29" ht="12.75" customHeight="1">
      <c r="A624" s="9"/>
      <c r="B624" s="9"/>
      <c r="C624" s="9"/>
      <c r="D624" s="9"/>
      <c r="E624" s="9"/>
      <c r="F624" s="9"/>
      <c r="G624" s="9"/>
      <c r="H624" s="548"/>
      <c r="I624" s="548"/>
      <c r="J624" s="548"/>
      <c r="K624" s="548"/>
      <c r="L624" s="548"/>
      <c r="M624" s="548"/>
      <c r="N624" s="548"/>
      <c r="O624" s="548"/>
      <c r="P624" s="548"/>
      <c r="Q624" s="548"/>
      <c r="R624" s="548"/>
      <c r="S624" s="548"/>
      <c r="T624" s="548"/>
      <c r="U624" s="9"/>
      <c r="V624" s="9"/>
      <c r="W624" s="9"/>
      <c r="X624" s="9"/>
      <c r="Y624" s="9"/>
      <c r="Z624" s="9"/>
      <c r="AA624" s="9"/>
      <c r="AB624" s="9"/>
      <c r="AC624" s="9"/>
    </row>
    <row r="625" spans="1:29" ht="12.75" customHeight="1">
      <c r="A625" s="9"/>
      <c r="B625" s="9"/>
      <c r="C625" s="9"/>
      <c r="D625" s="9"/>
      <c r="E625" s="9"/>
      <c r="F625" s="9"/>
      <c r="G625" s="9"/>
      <c r="H625" s="548"/>
      <c r="I625" s="548"/>
      <c r="J625" s="548"/>
      <c r="K625" s="548"/>
      <c r="L625" s="548"/>
      <c r="M625" s="548"/>
      <c r="N625" s="548"/>
      <c r="O625" s="548"/>
      <c r="P625" s="548"/>
      <c r="Q625" s="548"/>
      <c r="R625" s="548"/>
      <c r="S625" s="548"/>
      <c r="T625" s="548"/>
      <c r="U625" s="9"/>
      <c r="V625" s="9"/>
      <c r="W625" s="9"/>
      <c r="X625" s="9"/>
      <c r="Y625" s="9"/>
      <c r="Z625" s="9"/>
      <c r="AA625" s="9"/>
      <c r="AB625" s="9"/>
      <c r="AC625" s="9"/>
    </row>
    <row r="626" spans="1:29" ht="12.75" customHeight="1">
      <c r="A626" s="9"/>
      <c r="B626" s="9"/>
      <c r="C626" s="9"/>
      <c r="D626" s="9"/>
      <c r="E626" s="9"/>
      <c r="F626" s="9"/>
      <c r="G626" s="9"/>
      <c r="H626" s="548"/>
      <c r="I626" s="548"/>
      <c r="J626" s="548"/>
      <c r="K626" s="548"/>
      <c r="L626" s="548"/>
      <c r="M626" s="548"/>
      <c r="N626" s="548"/>
      <c r="O626" s="548"/>
      <c r="P626" s="548"/>
      <c r="Q626" s="548"/>
      <c r="R626" s="548"/>
      <c r="S626" s="548"/>
      <c r="T626" s="548"/>
      <c r="U626" s="9"/>
      <c r="V626" s="9"/>
      <c r="W626" s="9"/>
      <c r="X626" s="9"/>
      <c r="Y626" s="9"/>
      <c r="Z626" s="9"/>
      <c r="AA626" s="9"/>
      <c r="AB626" s="9"/>
      <c r="AC626" s="9"/>
    </row>
    <row r="627" spans="1:29" ht="12.75" customHeight="1">
      <c r="A627" s="9"/>
      <c r="B627" s="9"/>
      <c r="C627" s="9"/>
      <c r="D627" s="9"/>
      <c r="E627" s="9"/>
      <c r="F627" s="9"/>
      <c r="G627" s="9"/>
      <c r="H627" s="548"/>
      <c r="I627" s="548"/>
      <c r="J627" s="548"/>
      <c r="K627" s="548"/>
      <c r="L627" s="548"/>
      <c r="M627" s="548"/>
      <c r="N627" s="548"/>
      <c r="O627" s="548"/>
      <c r="P627" s="548"/>
      <c r="Q627" s="548"/>
      <c r="R627" s="548"/>
      <c r="S627" s="548"/>
      <c r="T627" s="548"/>
      <c r="U627" s="9"/>
      <c r="V627" s="9"/>
      <c r="W627" s="9"/>
      <c r="X627" s="9"/>
      <c r="Y627" s="9"/>
      <c r="Z627" s="9"/>
      <c r="AA627" s="9"/>
      <c r="AB627" s="9"/>
      <c r="AC627" s="9"/>
    </row>
    <row r="628" spans="1:29" ht="12.75" customHeight="1">
      <c r="A628" s="9"/>
      <c r="B628" s="9"/>
      <c r="C628" s="9"/>
      <c r="D628" s="9"/>
      <c r="E628" s="9"/>
      <c r="F628" s="9"/>
      <c r="G628" s="9"/>
      <c r="H628" s="548"/>
      <c r="I628" s="548"/>
      <c r="J628" s="548"/>
      <c r="K628" s="548"/>
      <c r="L628" s="548"/>
      <c r="M628" s="548"/>
      <c r="N628" s="548"/>
      <c r="O628" s="548"/>
      <c r="P628" s="548"/>
      <c r="Q628" s="548"/>
      <c r="R628" s="548"/>
      <c r="S628" s="548"/>
      <c r="T628" s="548"/>
      <c r="U628" s="9"/>
      <c r="V628" s="9"/>
      <c r="W628" s="9"/>
      <c r="X628" s="9"/>
      <c r="Y628" s="9"/>
      <c r="Z628" s="9"/>
      <c r="AA628" s="9"/>
      <c r="AB628" s="9"/>
      <c r="AC628" s="9"/>
    </row>
    <row r="629" spans="1:29" ht="12.75" customHeight="1">
      <c r="A629" s="9"/>
      <c r="B629" s="9"/>
      <c r="C629" s="9"/>
      <c r="D629" s="9"/>
      <c r="E629" s="9"/>
      <c r="F629" s="9"/>
      <c r="G629" s="9"/>
      <c r="H629" s="548"/>
      <c r="I629" s="548"/>
      <c r="J629" s="548"/>
      <c r="K629" s="548"/>
      <c r="L629" s="548"/>
      <c r="M629" s="548"/>
      <c r="N629" s="548"/>
      <c r="O629" s="548"/>
      <c r="P629" s="548"/>
      <c r="Q629" s="548"/>
      <c r="R629" s="548"/>
      <c r="S629" s="548"/>
      <c r="T629" s="548"/>
      <c r="U629" s="9"/>
      <c r="V629" s="9"/>
      <c r="W629" s="9"/>
      <c r="X629" s="9"/>
      <c r="Y629" s="9"/>
      <c r="Z629" s="9"/>
      <c r="AA629" s="9"/>
      <c r="AB629" s="9"/>
      <c r="AC629" s="9"/>
    </row>
    <row r="630" spans="1:29" ht="12.75" customHeight="1">
      <c r="A630" s="9"/>
      <c r="B630" s="9"/>
      <c r="C630" s="9"/>
      <c r="D630" s="9"/>
      <c r="E630" s="9"/>
      <c r="F630" s="9"/>
      <c r="G630" s="9"/>
      <c r="H630" s="548"/>
      <c r="I630" s="548"/>
      <c r="J630" s="548"/>
      <c r="K630" s="548"/>
      <c r="L630" s="548"/>
      <c r="M630" s="548"/>
      <c r="N630" s="548"/>
      <c r="O630" s="548"/>
      <c r="P630" s="548"/>
      <c r="Q630" s="548"/>
      <c r="R630" s="548"/>
      <c r="S630" s="548"/>
      <c r="T630" s="548"/>
      <c r="U630" s="9"/>
      <c r="V630" s="9"/>
      <c r="W630" s="9"/>
      <c r="X630" s="9"/>
      <c r="Y630" s="9"/>
      <c r="Z630" s="9"/>
      <c r="AA630" s="9"/>
      <c r="AB630" s="9"/>
      <c r="AC630" s="9"/>
    </row>
    <row r="631" spans="1:29" ht="12.75" customHeight="1">
      <c r="A631" s="9"/>
      <c r="B631" s="9"/>
      <c r="C631" s="9"/>
      <c r="D631" s="9"/>
      <c r="E631" s="9"/>
      <c r="F631" s="9"/>
      <c r="G631" s="9"/>
      <c r="H631" s="548"/>
      <c r="I631" s="548"/>
      <c r="J631" s="548"/>
      <c r="K631" s="548"/>
      <c r="L631" s="548"/>
      <c r="M631" s="548"/>
      <c r="N631" s="548"/>
      <c r="O631" s="548"/>
      <c r="P631" s="548"/>
      <c r="Q631" s="548"/>
      <c r="R631" s="548"/>
      <c r="S631" s="548"/>
      <c r="T631" s="548"/>
      <c r="U631" s="9"/>
      <c r="V631" s="9"/>
      <c r="W631" s="9"/>
      <c r="X631" s="9"/>
      <c r="Y631" s="9"/>
      <c r="Z631" s="9"/>
      <c r="AA631" s="9"/>
      <c r="AB631" s="9"/>
      <c r="AC631" s="9"/>
    </row>
    <row r="632" spans="1:29" ht="12.75" customHeight="1">
      <c r="A632" s="9"/>
      <c r="B632" s="9"/>
      <c r="C632" s="9"/>
      <c r="D632" s="9"/>
      <c r="E632" s="9"/>
      <c r="F632" s="9"/>
      <c r="G632" s="9"/>
      <c r="H632" s="548"/>
      <c r="I632" s="548"/>
      <c r="J632" s="548"/>
      <c r="K632" s="548"/>
      <c r="L632" s="548"/>
      <c r="M632" s="548"/>
      <c r="N632" s="548"/>
      <c r="O632" s="548"/>
      <c r="P632" s="548"/>
      <c r="Q632" s="548"/>
      <c r="R632" s="548"/>
      <c r="S632" s="548"/>
      <c r="T632" s="548"/>
      <c r="U632" s="9"/>
      <c r="V632" s="9"/>
      <c r="W632" s="9"/>
      <c r="X632" s="9"/>
      <c r="Y632" s="9"/>
      <c r="Z632" s="9"/>
      <c r="AA632" s="9"/>
      <c r="AB632" s="9"/>
      <c r="AC632" s="9"/>
    </row>
    <row r="633" spans="1:29" ht="12.75" customHeight="1">
      <c r="A633" s="9"/>
      <c r="B633" s="9"/>
      <c r="C633" s="9"/>
      <c r="D633" s="9"/>
      <c r="E633" s="9"/>
      <c r="F633" s="9"/>
      <c r="G633" s="9"/>
      <c r="H633" s="548"/>
      <c r="I633" s="548"/>
      <c r="J633" s="548"/>
      <c r="K633" s="548"/>
      <c r="L633" s="548"/>
      <c r="M633" s="548"/>
      <c r="N633" s="548"/>
      <c r="O633" s="548"/>
      <c r="P633" s="548"/>
      <c r="Q633" s="548"/>
      <c r="R633" s="548"/>
      <c r="S633" s="548"/>
      <c r="T633" s="548"/>
      <c r="U633" s="9"/>
      <c r="V633" s="9"/>
      <c r="W633" s="9"/>
      <c r="X633" s="9"/>
      <c r="Y633" s="9"/>
      <c r="Z633" s="9"/>
      <c r="AA633" s="9"/>
      <c r="AB633" s="9"/>
      <c r="AC633" s="9"/>
    </row>
    <row r="634" spans="1:29" ht="12.75" customHeight="1">
      <c r="A634" s="9"/>
      <c r="B634" s="9"/>
      <c r="C634" s="9"/>
      <c r="D634" s="9"/>
      <c r="E634" s="9"/>
      <c r="F634" s="9"/>
      <c r="G634" s="9"/>
      <c r="H634" s="548"/>
      <c r="I634" s="548"/>
      <c r="J634" s="548"/>
      <c r="K634" s="548"/>
      <c r="L634" s="548"/>
      <c r="M634" s="548"/>
      <c r="N634" s="548"/>
      <c r="O634" s="548"/>
      <c r="P634" s="548"/>
      <c r="Q634" s="548"/>
      <c r="R634" s="548"/>
      <c r="S634" s="548"/>
      <c r="T634" s="548"/>
      <c r="U634" s="9"/>
      <c r="V634" s="9"/>
      <c r="W634" s="9"/>
      <c r="X634" s="9"/>
      <c r="Y634" s="9"/>
      <c r="Z634" s="9"/>
      <c r="AA634" s="9"/>
      <c r="AB634" s="9"/>
      <c r="AC634" s="9"/>
    </row>
    <row r="635" spans="1:29" ht="12.75" customHeight="1">
      <c r="A635" s="9"/>
      <c r="B635" s="9"/>
      <c r="C635" s="9"/>
      <c r="D635" s="9"/>
      <c r="E635" s="9"/>
      <c r="F635" s="9"/>
      <c r="G635" s="9"/>
      <c r="H635" s="548"/>
      <c r="I635" s="548"/>
      <c r="J635" s="548"/>
      <c r="K635" s="548"/>
      <c r="L635" s="548"/>
      <c r="M635" s="548"/>
      <c r="N635" s="548"/>
      <c r="O635" s="548"/>
      <c r="P635" s="548"/>
      <c r="Q635" s="548"/>
      <c r="R635" s="548"/>
      <c r="S635" s="548"/>
      <c r="T635" s="548"/>
      <c r="U635" s="9"/>
      <c r="V635" s="9"/>
      <c r="W635" s="9"/>
      <c r="X635" s="9"/>
      <c r="Y635" s="9"/>
      <c r="Z635" s="9"/>
      <c r="AA635" s="9"/>
      <c r="AB635" s="9"/>
      <c r="AC635" s="9"/>
    </row>
    <row r="636" spans="1:29" ht="12.75" customHeight="1">
      <c r="A636" s="9"/>
      <c r="B636" s="9"/>
      <c r="C636" s="9"/>
      <c r="D636" s="9"/>
      <c r="E636" s="9"/>
      <c r="F636" s="9"/>
      <c r="G636" s="9"/>
      <c r="H636" s="548"/>
      <c r="I636" s="548"/>
      <c r="J636" s="548"/>
      <c r="K636" s="548"/>
      <c r="L636" s="548"/>
      <c r="M636" s="548"/>
      <c r="N636" s="548"/>
      <c r="O636" s="548"/>
      <c r="P636" s="548"/>
      <c r="Q636" s="548"/>
      <c r="R636" s="548"/>
      <c r="S636" s="548"/>
      <c r="T636" s="548"/>
      <c r="U636" s="9"/>
      <c r="V636" s="9"/>
      <c r="W636" s="9"/>
      <c r="X636" s="9"/>
      <c r="Y636" s="9"/>
      <c r="Z636" s="9"/>
      <c r="AA636" s="9"/>
      <c r="AB636" s="9"/>
      <c r="AC636" s="9"/>
    </row>
    <row r="637" spans="1:29" ht="12.75" customHeight="1">
      <c r="A637" s="9"/>
      <c r="B637" s="9"/>
      <c r="C637" s="9"/>
      <c r="D637" s="9"/>
      <c r="E637" s="9"/>
      <c r="F637" s="9"/>
      <c r="G637" s="9"/>
      <c r="H637" s="548"/>
      <c r="I637" s="548"/>
      <c r="J637" s="548"/>
      <c r="K637" s="548"/>
      <c r="L637" s="548"/>
      <c r="M637" s="548"/>
      <c r="N637" s="548"/>
      <c r="O637" s="548"/>
      <c r="P637" s="548"/>
      <c r="Q637" s="548"/>
      <c r="R637" s="548"/>
      <c r="S637" s="548"/>
      <c r="T637" s="548"/>
      <c r="U637" s="9"/>
      <c r="V637" s="9"/>
      <c r="W637" s="9"/>
      <c r="X637" s="9"/>
      <c r="Y637" s="9"/>
      <c r="Z637" s="9"/>
      <c r="AA637" s="9"/>
      <c r="AB637" s="9"/>
      <c r="AC637" s="9"/>
    </row>
    <row r="638" spans="1:29" ht="12.75" customHeight="1">
      <c r="A638" s="9"/>
      <c r="B638" s="9"/>
      <c r="C638" s="9"/>
      <c r="D638" s="9"/>
      <c r="E638" s="9"/>
      <c r="F638" s="9"/>
      <c r="G638" s="9"/>
      <c r="H638" s="548"/>
      <c r="I638" s="548"/>
      <c r="J638" s="548"/>
      <c r="K638" s="548"/>
      <c r="L638" s="548"/>
      <c r="M638" s="548"/>
      <c r="N638" s="548"/>
      <c r="O638" s="548"/>
      <c r="P638" s="548"/>
      <c r="Q638" s="548"/>
      <c r="R638" s="548"/>
      <c r="S638" s="548"/>
      <c r="T638" s="548"/>
      <c r="U638" s="9"/>
      <c r="V638" s="9"/>
      <c r="W638" s="9"/>
      <c r="X638" s="9"/>
      <c r="Y638" s="9"/>
      <c r="Z638" s="9"/>
      <c r="AA638" s="9"/>
      <c r="AB638" s="9"/>
      <c r="AC638" s="9"/>
    </row>
    <row r="639" spans="1:29" ht="12.75" customHeight="1">
      <c r="A639" s="9"/>
      <c r="B639" s="9"/>
      <c r="C639" s="9"/>
      <c r="D639" s="9"/>
      <c r="E639" s="9"/>
      <c r="F639" s="9"/>
      <c r="G639" s="9"/>
      <c r="H639" s="548"/>
      <c r="I639" s="548"/>
      <c r="J639" s="548"/>
      <c r="K639" s="548"/>
      <c r="L639" s="548"/>
      <c r="M639" s="548"/>
      <c r="N639" s="548"/>
      <c r="O639" s="548"/>
      <c r="P639" s="548"/>
      <c r="Q639" s="548"/>
      <c r="R639" s="548"/>
      <c r="S639" s="548"/>
      <c r="T639" s="548"/>
      <c r="U639" s="9"/>
      <c r="V639" s="9"/>
      <c r="W639" s="9"/>
      <c r="X639" s="9"/>
      <c r="Y639" s="9"/>
      <c r="Z639" s="9"/>
      <c r="AA639" s="9"/>
      <c r="AB639" s="9"/>
      <c r="AC639" s="9"/>
    </row>
    <row r="640" spans="1:29" ht="12.75" customHeight="1">
      <c r="A640" s="9"/>
      <c r="B640" s="9"/>
      <c r="C640" s="9"/>
      <c r="D640" s="9"/>
      <c r="E640" s="9"/>
      <c r="F640" s="9"/>
      <c r="G640" s="9"/>
      <c r="H640" s="548"/>
      <c r="I640" s="548"/>
      <c r="J640" s="548"/>
      <c r="K640" s="548"/>
      <c r="L640" s="548"/>
      <c r="M640" s="548"/>
      <c r="N640" s="548"/>
      <c r="O640" s="548"/>
      <c r="P640" s="548"/>
      <c r="Q640" s="548"/>
      <c r="R640" s="548"/>
      <c r="S640" s="548"/>
      <c r="T640" s="548"/>
      <c r="U640" s="9"/>
      <c r="V640" s="9"/>
      <c r="W640" s="9"/>
      <c r="X640" s="9"/>
      <c r="Y640" s="9"/>
      <c r="Z640" s="9"/>
      <c r="AA640" s="9"/>
      <c r="AB640" s="9"/>
      <c r="AC640" s="9"/>
    </row>
    <row r="641" spans="1:29" ht="12.75" customHeight="1">
      <c r="A641" s="9"/>
      <c r="B641" s="9"/>
      <c r="C641" s="9"/>
      <c r="D641" s="9"/>
      <c r="E641" s="9"/>
      <c r="F641" s="9"/>
      <c r="G641" s="9"/>
      <c r="H641" s="548"/>
      <c r="I641" s="548"/>
      <c r="J641" s="548"/>
      <c r="K641" s="548"/>
      <c r="L641" s="548"/>
      <c r="M641" s="548"/>
      <c r="N641" s="548"/>
      <c r="O641" s="548"/>
      <c r="P641" s="548"/>
      <c r="Q641" s="548"/>
      <c r="R641" s="548"/>
      <c r="S641" s="548"/>
      <c r="T641" s="548"/>
      <c r="U641" s="9"/>
      <c r="V641" s="9"/>
      <c r="W641" s="9"/>
      <c r="X641" s="9"/>
      <c r="Y641" s="9"/>
      <c r="Z641" s="9"/>
      <c r="AA641" s="9"/>
      <c r="AB641" s="9"/>
      <c r="AC641" s="9"/>
    </row>
    <row r="642" spans="1:29" ht="12.75" customHeight="1">
      <c r="A642" s="9"/>
      <c r="B642" s="9"/>
      <c r="C642" s="9"/>
      <c r="D642" s="9"/>
      <c r="E642" s="9"/>
      <c r="F642" s="9"/>
      <c r="G642" s="9"/>
      <c r="H642" s="548"/>
      <c r="I642" s="548"/>
      <c r="J642" s="548"/>
      <c r="K642" s="548"/>
      <c r="L642" s="548"/>
      <c r="M642" s="548"/>
      <c r="N642" s="548"/>
      <c r="O642" s="548"/>
      <c r="P642" s="548"/>
      <c r="Q642" s="548"/>
      <c r="R642" s="548"/>
      <c r="S642" s="548"/>
      <c r="T642" s="548"/>
      <c r="U642" s="9"/>
      <c r="V642" s="9"/>
      <c r="W642" s="9"/>
      <c r="X642" s="9"/>
      <c r="Y642" s="9"/>
      <c r="Z642" s="9"/>
      <c r="AA642" s="9"/>
      <c r="AB642" s="9"/>
      <c r="AC642" s="9"/>
    </row>
    <row r="643" spans="1:29" ht="12.75" customHeight="1">
      <c r="A643" s="9"/>
      <c r="B643" s="9"/>
      <c r="C643" s="9"/>
      <c r="D643" s="9"/>
      <c r="E643" s="9"/>
      <c r="F643" s="9"/>
      <c r="G643" s="9"/>
      <c r="H643" s="548"/>
      <c r="I643" s="548"/>
      <c r="J643" s="548"/>
      <c r="K643" s="548"/>
      <c r="L643" s="548"/>
      <c r="M643" s="548"/>
      <c r="N643" s="548"/>
      <c r="O643" s="548"/>
      <c r="P643" s="548"/>
      <c r="Q643" s="548"/>
      <c r="R643" s="548"/>
      <c r="S643" s="548"/>
      <c r="T643" s="548"/>
      <c r="U643" s="9"/>
      <c r="V643" s="9"/>
      <c r="W643" s="9"/>
      <c r="X643" s="9"/>
      <c r="Y643" s="9"/>
      <c r="Z643" s="9"/>
      <c r="AA643" s="9"/>
      <c r="AB643" s="9"/>
      <c r="AC643" s="9"/>
    </row>
    <row r="644" spans="1:29" ht="12.75" customHeight="1">
      <c r="A644" s="9"/>
      <c r="B644" s="9"/>
      <c r="C644" s="9"/>
      <c r="D644" s="9"/>
      <c r="E644" s="9"/>
      <c r="F644" s="9"/>
      <c r="G644" s="9"/>
      <c r="H644" s="548"/>
      <c r="I644" s="548"/>
      <c r="J644" s="548"/>
      <c r="K644" s="548"/>
      <c r="L644" s="548"/>
      <c r="M644" s="548"/>
      <c r="N644" s="548"/>
      <c r="O644" s="548"/>
      <c r="P644" s="548"/>
      <c r="Q644" s="548"/>
      <c r="R644" s="548"/>
      <c r="S644" s="548"/>
      <c r="T644" s="548"/>
      <c r="U644" s="9"/>
      <c r="V644" s="9"/>
      <c r="W644" s="9"/>
      <c r="X644" s="9"/>
      <c r="Y644" s="9"/>
      <c r="Z644" s="9"/>
      <c r="AA644" s="9"/>
      <c r="AB644" s="9"/>
      <c r="AC644" s="9"/>
    </row>
    <row r="645" spans="1:29" ht="12.75" customHeight="1">
      <c r="A645" s="9"/>
      <c r="B645" s="9"/>
      <c r="C645" s="9"/>
      <c r="D645" s="9"/>
      <c r="E645" s="9"/>
      <c r="F645" s="9"/>
      <c r="G645" s="9"/>
      <c r="H645" s="548"/>
      <c r="I645" s="548"/>
      <c r="J645" s="548"/>
      <c r="K645" s="548"/>
      <c r="L645" s="548"/>
      <c r="M645" s="548"/>
      <c r="N645" s="548"/>
      <c r="O645" s="548"/>
      <c r="P645" s="548"/>
      <c r="Q645" s="548"/>
      <c r="R645" s="548"/>
      <c r="S645" s="548"/>
      <c r="T645" s="548"/>
      <c r="U645" s="9"/>
      <c r="V645" s="9"/>
      <c r="W645" s="9"/>
      <c r="X645" s="9"/>
      <c r="Y645" s="9"/>
      <c r="Z645" s="9"/>
      <c r="AA645" s="9"/>
      <c r="AB645" s="9"/>
      <c r="AC645" s="9"/>
    </row>
    <row r="646" spans="1:29" ht="12.75" customHeight="1">
      <c r="A646" s="9"/>
      <c r="B646" s="9"/>
      <c r="C646" s="9"/>
      <c r="D646" s="9"/>
      <c r="E646" s="9"/>
      <c r="F646" s="9"/>
      <c r="G646" s="9"/>
      <c r="H646" s="548"/>
      <c r="I646" s="548"/>
      <c r="J646" s="548"/>
      <c r="K646" s="548"/>
      <c r="L646" s="548"/>
      <c r="M646" s="548"/>
      <c r="N646" s="548"/>
      <c r="O646" s="548"/>
      <c r="P646" s="548"/>
      <c r="Q646" s="548"/>
      <c r="R646" s="548"/>
      <c r="S646" s="548"/>
      <c r="T646" s="548"/>
      <c r="U646" s="9"/>
      <c r="V646" s="9"/>
      <c r="W646" s="9"/>
      <c r="X646" s="9"/>
      <c r="Y646" s="9"/>
      <c r="Z646" s="9"/>
      <c r="AA646" s="9"/>
      <c r="AB646" s="9"/>
      <c r="AC646" s="9"/>
    </row>
    <row r="647" spans="1:29" ht="12.75" customHeight="1">
      <c r="A647" s="9"/>
      <c r="B647" s="9"/>
      <c r="C647" s="9"/>
      <c r="D647" s="9"/>
      <c r="E647" s="9"/>
      <c r="F647" s="9"/>
      <c r="G647" s="9"/>
      <c r="H647" s="548"/>
      <c r="I647" s="548"/>
      <c r="J647" s="548"/>
      <c r="K647" s="548"/>
      <c r="L647" s="548"/>
      <c r="M647" s="548"/>
      <c r="N647" s="548"/>
      <c r="O647" s="548"/>
      <c r="P647" s="548"/>
      <c r="Q647" s="548"/>
      <c r="R647" s="548"/>
      <c r="S647" s="548"/>
      <c r="T647" s="548"/>
      <c r="U647" s="9"/>
      <c r="V647" s="9"/>
      <c r="W647" s="9"/>
      <c r="X647" s="9"/>
      <c r="Y647" s="9"/>
      <c r="Z647" s="9"/>
      <c r="AA647" s="9"/>
      <c r="AB647" s="9"/>
      <c r="AC647" s="9"/>
    </row>
    <row r="648" spans="1:29" ht="12.75" customHeight="1">
      <c r="A648" s="9"/>
      <c r="B648" s="9"/>
      <c r="C648" s="9"/>
      <c r="D648" s="9"/>
      <c r="E648" s="9"/>
      <c r="F648" s="9"/>
      <c r="G648" s="9"/>
      <c r="H648" s="548"/>
      <c r="I648" s="548"/>
      <c r="J648" s="548"/>
      <c r="K648" s="548"/>
      <c r="L648" s="548"/>
      <c r="M648" s="548"/>
      <c r="N648" s="548"/>
      <c r="O648" s="548"/>
      <c r="P648" s="548"/>
      <c r="Q648" s="548"/>
      <c r="R648" s="548"/>
      <c r="S648" s="548"/>
      <c r="T648" s="548"/>
      <c r="U648" s="9"/>
      <c r="V648" s="9"/>
      <c r="W648" s="9"/>
      <c r="X648" s="9"/>
      <c r="Y648" s="9"/>
      <c r="Z648" s="9"/>
      <c r="AA648" s="9"/>
      <c r="AB648" s="9"/>
      <c r="AC648" s="9"/>
    </row>
    <row r="649" spans="1:29" ht="12.75" customHeight="1">
      <c r="A649" s="9"/>
      <c r="B649" s="9"/>
      <c r="C649" s="9"/>
      <c r="D649" s="9"/>
      <c r="E649" s="9"/>
      <c r="F649" s="9"/>
      <c r="G649" s="9"/>
      <c r="H649" s="548"/>
      <c r="I649" s="548"/>
      <c r="J649" s="548"/>
      <c r="K649" s="548"/>
      <c r="L649" s="548"/>
      <c r="M649" s="548"/>
      <c r="N649" s="548"/>
      <c r="O649" s="548"/>
      <c r="P649" s="548"/>
      <c r="Q649" s="548"/>
      <c r="R649" s="548"/>
      <c r="S649" s="548"/>
      <c r="T649" s="548"/>
      <c r="U649" s="9"/>
      <c r="V649" s="9"/>
      <c r="W649" s="9"/>
      <c r="X649" s="9"/>
      <c r="Y649" s="9"/>
      <c r="Z649" s="9"/>
      <c r="AA649" s="9"/>
      <c r="AB649" s="9"/>
      <c r="AC649" s="9"/>
    </row>
    <row r="650" spans="1:29" ht="12.75" customHeight="1">
      <c r="A650" s="9"/>
      <c r="B650" s="9"/>
      <c r="C650" s="9"/>
      <c r="D650" s="9"/>
      <c r="E650" s="9"/>
      <c r="F650" s="9"/>
      <c r="G650" s="9"/>
      <c r="H650" s="548"/>
      <c r="I650" s="548"/>
      <c r="J650" s="548"/>
      <c r="K650" s="548"/>
      <c r="L650" s="548"/>
      <c r="M650" s="548"/>
      <c r="N650" s="548"/>
      <c r="O650" s="548"/>
      <c r="P650" s="548"/>
      <c r="Q650" s="548"/>
      <c r="R650" s="548"/>
      <c r="S650" s="548"/>
      <c r="T650" s="548"/>
      <c r="U650" s="9"/>
      <c r="V650" s="9"/>
      <c r="W650" s="9"/>
      <c r="X650" s="9"/>
      <c r="Y650" s="9"/>
      <c r="Z650" s="9"/>
      <c r="AA650" s="9"/>
      <c r="AB650" s="9"/>
      <c r="AC650" s="9"/>
    </row>
    <row r="651" spans="1:29" ht="12.75" customHeight="1">
      <c r="A651" s="9"/>
      <c r="B651" s="9"/>
      <c r="C651" s="9"/>
      <c r="D651" s="9"/>
      <c r="E651" s="9"/>
      <c r="F651" s="9"/>
      <c r="G651" s="9"/>
      <c r="H651" s="548"/>
      <c r="I651" s="548"/>
      <c r="J651" s="548"/>
      <c r="K651" s="548"/>
      <c r="L651" s="548"/>
      <c r="M651" s="548"/>
      <c r="N651" s="548"/>
      <c r="O651" s="548"/>
      <c r="P651" s="548"/>
      <c r="Q651" s="548"/>
      <c r="R651" s="548"/>
      <c r="S651" s="548"/>
      <c r="T651" s="548"/>
      <c r="U651" s="9"/>
      <c r="V651" s="9"/>
      <c r="W651" s="9"/>
      <c r="X651" s="9"/>
      <c r="Y651" s="9"/>
      <c r="Z651" s="9"/>
      <c r="AA651" s="9"/>
      <c r="AB651" s="9"/>
      <c r="AC651" s="9"/>
    </row>
    <row r="652" spans="1:29" ht="12.75" customHeight="1">
      <c r="A652" s="9"/>
      <c r="B652" s="9"/>
      <c r="C652" s="9"/>
      <c r="D652" s="9"/>
      <c r="E652" s="9"/>
      <c r="F652" s="9"/>
      <c r="G652" s="9"/>
      <c r="H652" s="548"/>
      <c r="I652" s="548"/>
      <c r="J652" s="548"/>
      <c r="K652" s="548"/>
      <c r="L652" s="548"/>
      <c r="M652" s="548"/>
      <c r="N652" s="548"/>
      <c r="O652" s="548"/>
      <c r="P652" s="548"/>
      <c r="Q652" s="548"/>
      <c r="R652" s="548"/>
      <c r="S652" s="548"/>
      <c r="T652" s="548"/>
      <c r="U652" s="9"/>
      <c r="V652" s="9"/>
      <c r="W652" s="9"/>
      <c r="X652" s="9"/>
      <c r="Y652" s="9"/>
      <c r="Z652" s="9"/>
      <c r="AA652" s="9"/>
      <c r="AB652" s="9"/>
      <c r="AC652" s="9"/>
    </row>
    <row r="653" spans="1:29" ht="12.75" customHeight="1">
      <c r="A653" s="9"/>
      <c r="B653" s="9"/>
      <c r="C653" s="9"/>
      <c r="D653" s="9"/>
      <c r="E653" s="9"/>
      <c r="F653" s="9"/>
      <c r="G653" s="9"/>
      <c r="H653" s="548"/>
      <c r="I653" s="548"/>
      <c r="J653" s="548"/>
      <c r="K653" s="548"/>
      <c r="L653" s="548"/>
      <c r="M653" s="548"/>
      <c r="N653" s="548"/>
      <c r="O653" s="548"/>
      <c r="P653" s="548"/>
      <c r="Q653" s="548"/>
      <c r="R653" s="548"/>
      <c r="S653" s="548"/>
      <c r="T653" s="548"/>
      <c r="U653" s="9"/>
      <c r="V653" s="9"/>
      <c r="W653" s="9"/>
      <c r="X653" s="9"/>
      <c r="Y653" s="9"/>
      <c r="Z653" s="9"/>
      <c r="AA653" s="9"/>
      <c r="AB653" s="9"/>
      <c r="AC653" s="9"/>
    </row>
    <row r="654" spans="1:29" ht="12.75" customHeight="1">
      <c r="A654" s="9"/>
      <c r="B654" s="9"/>
      <c r="C654" s="9"/>
      <c r="D654" s="9"/>
      <c r="E654" s="9"/>
      <c r="F654" s="9"/>
      <c r="G654" s="9"/>
      <c r="H654" s="548"/>
      <c r="I654" s="548"/>
      <c r="J654" s="548"/>
      <c r="K654" s="548"/>
      <c r="L654" s="548"/>
      <c r="M654" s="548"/>
      <c r="N654" s="548"/>
      <c r="O654" s="548"/>
      <c r="P654" s="548"/>
      <c r="Q654" s="548"/>
      <c r="R654" s="548"/>
      <c r="S654" s="548"/>
      <c r="T654" s="548"/>
      <c r="U654" s="9"/>
      <c r="V654" s="9"/>
      <c r="W654" s="9"/>
      <c r="X654" s="9"/>
      <c r="Y654" s="9"/>
      <c r="Z654" s="9"/>
      <c r="AA654" s="9"/>
      <c r="AB654" s="9"/>
      <c r="AC654" s="9"/>
    </row>
    <row r="655" spans="1:29" ht="12.75" customHeight="1">
      <c r="A655" s="9"/>
      <c r="B655" s="9"/>
      <c r="C655" s="9"/>
      <c r="D655" s="9"/>
      <c r="E655" s="9"/>
      <c r="F655" s="9"/>
      <c r="G655" s="9"/>
      <c r="H655" s="548"/>
      <c r="I655" s="548"/>
      <c r="J655" s="548"/>
      <c r="K655" s="548"/>
      <c r="L655" s="548"/>
      <c r="M655" s="548"/>
      <c r="N655" s="548"/>
      <c r="O655" s="548"/>
      <c r="P655" s="548"/>
      <c r="Q655" s="548"/>
      <c r="R655" s="548"/>
      <c r="S655" s="548"/>
      <c r="T655" s="548"/>
      <c r="U655" s="9"/>
      <c r="V655" s="9"/>
      <c r="W655" s="9"/>
      <c r="X655" s="9"/>
      <c r="Y655" s="9"/>
      <c r="Z655" s="9"/>
      <c r="AA655" s="9"/>
      <c r="AB655" s="9"/>
      <c r="AC655" s="9"/>
    </row>
    <row r="656" spans="1:29" ht="12.75" customHeight="1">
      <c r="A656" s="9"/>
      <c r="B656" s="9"/>
      <c r="C656" s="9"/>
      <c r="D656" s="9"/>
      <c r="E656" s="9"/>
      <c r="F656" s="9"/>
      <c r="G656" s="9"/>
      <c r="H656" s="548"/>
      <c r="I656" s="548"/>
      <c r="J656" s="548"/>
      <c r="K656" s="548"/>
      <c r="L656" s="548"/>
      <c r="M656" s="548"/>
      <c r="N656" s="548"/>
      <c r="O656" s="548"/>
      <c r="P656" s="548"/>
      <c r="Q656" s="548"/>
      <c r="R656" s="548"/>
      <c r="S656" s="548"/>
      <c r="T656" s="548"/>
      <c r="U656" s="9"/>
      <c r="V656" s="9"/>
      <c r="W656" s="9"/>
      <c r="X656" s="9"/>
      <c r="Y656" s="9"/>
      <c r="Z656" s="9"/>
      <c r="AA656" s="9"/>
      <c r="AB656" s="9"/>
      <c r="AC656" s="9"/>
    </row>
    <row r="657" spans="1:29" ht="12.75" customHeight="1">
      <c r="A657" s="9"/>
      <c r="B657" s="9"/>
      <c r="C657" s="9"/>
      <c r="D657" s="9"/>
      <c r="E657" s="9"/>
      <c r="F657" s="9"/>
      <c r="G657" s="9"/>
      <c r="H657" s="548"/>
      <c r="I657" s="548"/>
      <c r="J657" s="548"/>
      <c r="K657" s="548"/>
      <c r="L657" s="548"/>
      <c r="M657" s="548"/>
      <c r="N657" s="548"/>
      <c r="O657" s="548"/>
      <c r="P657" s="548"/>
      <c r="Q657" s="548"/>
      <c r="R657" s="548"/>
      <c r="S657" s="548"/>
      <c r="T657" s="548"/>
      <c r="U657" s="9"/>
      <c r="V657" s="9"/>
      <c r="W657" s="9"/>
      <c r="X657" s="9"/>
      <c r="Y657" s="9"/>
      <c r="Z657" s="9"/>
      <c r="AA657" s="9"/>
      <c r="AB657" s="9"/>
      <c r="AC657" s="9"/>
    </row>
    <row r="658" spans="1:29" ht="12.75" customHeight="1">
      <c r="A658" s="9"/>
      <c r="B658" s="9"/>
      <c r="C658" s="9"/>
      <c r="D658" s="9"/>
      <c r="E658" s="9"/>
      <c r="F658" s="9"/>
      <c r="G658" s="9"/>
      <c r="H658" s="548"/>
      <c r="I658" s="548"/>
      <c r="J658" s="548"/>
      <c r="K658" s="548"/>
      <c r="L658" s="548"/>
      <c r="M658" s="548"/>
      <c r="N658" s="548"/>
      <c r="O658" s="548"/>
      <c r="P658" s="548"/>
      <c r="Q658" s="548"/>
      <c r="R658" s="548"/>
      <c r="S658" s="548"/>
      <c r="T658" s="548"/>
      <c r="U658" s="9"/>
      <c r="V658" s="9"/>
      <c r="W658" s="9"/>
      <c r="X658" s="9"/>
      <c r="Y658" s="9"/>
      <c r="Z658" s="9"/>
      <c r="AA658" s="9"/>
      <c r="AB658" s="9"/>
      <c r="AC658" s="9"/>
    </row>
    <row r="659" spans="1:29" ht="12.75" customHeight="1">
      <c r="A659" s="9"/>
      <c r="B659" s="9"/>
      <c r="C659" s="9"/>
      <c r="D659" s="9"/>
      <c r="E659" s="9"/>
      <c r="F659" s="9"/>
      <c r="G659" s="9"/>
      <c r="H659" s="548"/>
      <c r="I659" s="548"/>
      <c r="J659" s="548"/>
      <c r="K659" s="548"/>
      <c r="L659" s="548"/>
      <c r="M659" s="548"/>
      <c r="N659" s="548"/>
      <c r="O659" s="548"/>
      <c r="P659" s="548"/>
      <c r="Q659" s="548"/>
      <c r="R659" s="548"/>
      <c r="S659" s="548"/>
      <c r="T659" s="548"/>
      <c r="U659" s="9"/>
      <c r="V659" s="9"/>
      <c r="W659" s="9"/>
      <c r="X659" s="9"/>
      <c r="Y659" s="9"/>
      <c r="Z659" s="9"/>
      <c r="AA659" s="9"/>
      <c r="AB659" s="9"/>
      <c r="AC659" s="9"/>
    </row>
    <row r="660" spans="1:29" ht="12.75" customHeight="1">
      <c r="A660" s="9"/>
      <c r="B660" s="9"/>
      <c r="C660" s="9"/>
      <c r="D660" s="9"/>
      <c r="E660" s="9"/>
      <c r="F660" s="9"/>
      <c r="G660" s="9"/>
      <c r="H660" s="548"/>
      <c r="I660" s="548"/>
      <c r="J660" s="548"/>
      <c r="K660" s="548"/>
      <c r="L660" s="548"/>
      <c r="M660" s="548"/>
      <c r="N660" s="548"/>
      <c r="O660" s="548"/>
      <c r="P660" s="548"/>
      <c r="Q660" s="548"/>
      <c r="R660" s="548"/>
      <c r="S660" s="548"/>
      <c r="T660" s="548"/>
      <c r="U660" s="9"/>
      <c r="V660" s="9"/>
      <c r="W660" s="9"/>
      <c r="X660" s="9"/>
      <c r="Y660" s="9"/>
      <c r="Z660" s="9"/>
      <c r="AA660" s="9"/>
      <c r="AB660" s="9"/>
      <c r="AC660" s="9"/>
    </row>
    <row r="661" spans="1:29" ht="12.75" customHeight="1">
      <c r="A661" s="9"/>
      <c r="B661" s="9"/>
      <c r="C661" s="9"/>
      <c r="D661" s="9"/>
      <c r="E661" s="9"/>
      <c r="F661" s="9"/>
      <c r="G661" s="9"/>
      <c r="H661" s="548"/>
      <c r="I661" s="548"/>
      <c r="J661" s="548"/>
      <c r="K661" s="548"/>
      <c r="L661" s="548"/>
      <c r="M661" s="548"/>
      <c r="N661" s="548"/>
      <c r="O661" s="548"/>
      <c r="P661" s="548"/>
      <c r="Q661" s="548"/>
      <c r="R661" s="548"/>
      <c r="S661" s="548"/>
      <c r="T661" s="548"/>
      <c r="U661" s="9"/>
      <c r="V661" s="9"/>
      <c r="W661" s="9"/>
      <c r="X661" s="9"/>
      <c r="Y661" s="9"/>
      <c r="Z661" s="9"/>
      <c r="AA661" s="9"/>
      <c r="AB661" s="9"/>
      <c r="AC661" s="9"/>
    </row>
    <row r="662" spans="1:29" ht="12.75" customHeight="1">
      <c r="A662" s="9"/>
      <c r="B662" s="9"/>
      <c r="C662" s="9"/>
      <c r="D662" s="9"/>
      <c r="E662" s="9"/>
      <c r="F662" s="9"/>
      <c r="G662" s="9"/>
      <c r="H662" s="548"/>
      <c r="I662" s="548"/>
      <c r="J662" s="548"/>
      <c r="K662" s="548"/>
      <c r="L662" s="548"/>
      <c r="M662" s="548"/>
      <c r="N662" s="548"/>
      <c r="O662" s="548"/>
      <c r="P662" s="548"/>
      <c r="Q662" s="548"/>
      <c r="R662" s="548"/>
      <c r="S662" s="548"/>
      <c r="T662" s="548"/>
      <c r="U662" s="9"/>
      <c r="V662" s="9"/>
      <c r="W662" s="9"/>
      <c r="X662" s="9"/>
      <c r="Y662" s="9"/>
      <c r="Z662" s="9"/>
      <c r="AA662" s="9"/>
      <c r="AB662" s="9"/>
      <c r="AC662" s="9"/>
    </row>
    <row r="663" spans="1:29" ht="12.75" customHeight="1">
      <c r="A663" s="9"/>
      <c r="B663" s="9"/>
      <c r="C663" s="9"/>
      <c r="D663" s="9"/>
      <c r="E663" s="9"/>
      <c r="F663" s="9"/>
      <c r="G663" s="9"/>
      <c r="H663" s="548"/>
      <c r="I663" s="548"/>
      <c r="J663" s="548"/>
      <c r="K663" s="548"/>
      <c r="L663" s="548"/>
      <c r="M663" s="548"/>
      <c r="N663" s="548"/>
      <c r="O663" s="548"/>
      <c r="P663" s="548"/>
      <c r="Q663" s="548"/>
      <c r="R663" s="548"/>
      <c r="S663" s="548"/>
      <c r="T663" s="548"/>
      <c r="U663" s="9"/>
      <c r="V663" s="9"/>
      <c r="W663" s="9"/>
      <c r="X663" s="9"/>
      <c r="Y663" s="9"/>
      <c r="Z663" s="9"/>
      <c r="AA663" s="9"/>
      <c r="AB663" s="9"/>
      <c r="AC663" s="9"/>
    </row>
    <row r="664" spans="1:29" ht="12.75" customHeight="1">
      <c r="A664" s="9"/>
      <c r="B664" s="9"/>
      <c r="C664" s="9"/>
      <c r="D664" s="9"/>
      <c r="E664" s="9"/>
      <c r="F664" s="9"/>
      <c r="G664" s="9"/>
      <c r="H664" s="548"/>
      <c r="I664" s="548"/>
      <c r="J664" s="548"/>
      <c r="K664" s="548"/>
      <c r="L664" s="548"/>
      <c r="M664" s="548"/>
      <c r="N664" s="548"/>
      <c r="O664" s="548"/>
      <c r="P664" s="548"/>
      <c r="Q664" s="548"/>
      <c r="R664" s="548"/>
      <c r="S664" s="548"/>
      <c r="T664" s="548"/>
      <c r="U664" s="9"/>
      <c r="V664" s="9"/>
      <c r="W664" s="9"/>
      <c r="X664" s="9"/>
      <c r="Y664" s="9"/>
      <c r="Z664" s="9"/>
      <c r="AA664" s="9"/>
      <c r="AB664" s="9"/>
      <c r="AC664" s="9"/>
    </row>
    <row r="665" spans="1:29" ht="12.75" customHeight="1">
      <c r="A665" s="9"/>
      <c r="B665" s="9"/>
      <c r="C665" s="9"/>
      <c r="D665" s="9"/>
      <c r="E665" s="9"/>
      <c r="F665" s="9"/>
      <c r="G665" s="9"/>
      <c r="H665" s="548"/>
      <c r="I665" s="548"/>
      <c r="J665" s="548"/>
      <c r="K665" s="548"/>
      <c r="L665" s="548"/>
      <c r="M665" s="548"/>
      <c r="N665" s="548"/>
      <c r="O665" s="548"/>
      <c r="P665" s="548"/>
      <c r="Q665" s="548"/>
      <c r="R665" s="548"/>
      <c r="S665" s="548"/>
      <c r="T665" s="548"/>
      <c r="U665" s="9"/>
      <c r="V665" s="9"/>
      <c r="W665" s="9"/>
      <c r="X665" s="9"/>
      <c r="Y665" s="9"/>
      <c r="Z665" s="9"/>
      <c r="AA665" s="9"/>
      <c r="AB665" s="9"/>
      <c r="AC665" s="9"/>
    </row>
    <row r="666" spans="1:29" ht="12.75" customHeight="1">
      <c r="A666" s="9"/>
      <c r="B666" s="9"/>
      <c r="C666" s="9"/>
      <c r="D666" s="9"/>
      <c r="E666" s="9"/>
      <c r="F666" s="9"/>
      <c r="G666" s="9"/>
      <c r="H666" s="548"/>
      <c r="I666" s="548"/>
      <c r="J666" s="548"/>
      <c r="K666" s="548"/>
      <c r="L666" s="548"/>
      <c r="M666" s="548"/>
      <c r="N666" s="548"/>
      <c r="O666" s="548"/>
      <c r="P666" s="548"/>
      <c r="Q666" s="548"/>
      <c r="R666" s="548"/>
      <c r="S666" s="548"/>
      <c r="T666" s="548"/>
      <c r="U666" s="9"/>
      <c r="V666" s="9"/>
      <c r="W666" s="9"/>
      <c r="X666" s="9"/>
      <c r="Y666" s="9"/>
      <c r="Z666" s="9"/>
      <c r="AA666" s="9"/>
      <c r="AB666" s="9"/>
      <c r="AC666" s="9"/>
    </row>
    <row r="667" spans="1:29" ht="12.75" customHeight="1">
      <c r="A667" s="9"/>
      <c r="B667" s="9"/>
      <c r="C667" s="9"/>
      <c r="D667" s="9"/>
      <c r="E667" s="9"/>
      <c r="F667" s="9"/>
      <c r="G667" s="9"/>
      <c r="H667" s="548"/>
      <c r="I667" s="548"/>
      <c r="J667" s="548"/>
      <c r="K667" s="548"/>
      <c r="L667" s="548"/>
      <c r="M667" s="548"/>
      <c r="N667" s="548"/>
      <c r="O667" s="548"/>
      <c r="P667" s="548"/>
      <c r="Q667" s="548"/>
      <c r="R667" s="548"/>
      <c r="S667" s="548"/>
      <c r="T667" s="548"/>
      <c r="U667" s="9"/>
      <c r="V667" s="9"/>
      <c r="W667" s="9"/>
      <c r="X667" s="9"/>
      <c r="Y667" s="9"/>
      <c r="Z667" s="9"/>
      <c r="AA667" s="9"/>
      <c r="AB667" s="9"/>
      <c r="AC667" s="9"/>
    </row>
    <row r="668" spans="1:29" ht="12.75" customHeight="1">
      <c r="A668" s="9"/>
      <c r="B668" s="9"/>
      <c r="C668" s="9"/>
      <c r="D668" s="9"/>
      <c r="E668" s="9"/>
      <c r="F668" s="9"/>
      <c r="G668" s="9"/>
      <c r="H668" s="548"/>
      <c r="I668" s="548"/>
      <c r="J668" s="548"/>
      <c r="K668" s="548"/>
      <c r="L668" s="548"/>
      <c r="M668" s="548"/>
      <c r="N668" s="548"/>
      <c r="O668" s="548"/>
      <c r="P668" s="548"/>
      <c r="Q668" s="548"/>
      <c r="R668" s="548"/>
      <c r="S668" s="548"/>
      <c r="T668" s="548"/>
      <c r="U668" s="9"/>
      <c r="V668" s="9"/>
      <c r="W668" s="9"/>
      <c r="X668" s="9"/>
      <c r="Y668" s="9"/>
      <c r="Z668" s="9"/>
      <c r="AA668" s="9"/>
      <c r="AB668" s="9"/>
      <c r="AC668" s="9"/>
    </row>
    <row r="669" spans="1:29" ht="12.75" customHeight="1">
      <c r="A669" s="9"/>
      <c r="B669" s="9"/>
      <c r="C669" s="9"/>
      <c r="D669" s="9"/>
      <c r="E669" s="9"/>
      <c r="F669" s="9"/>
      <c r="G669" s="9"/>
      <c r="H669" s="548"/>
      <c r="I669" s="548"/>
      <c r="J669" s="548"/>
      <c r="K669" s="548"/>
      <c r="L669" s="548"/>
      <c r="M669" s="548"/>
      <c r="N669" s="548"/>
      <c r="O669" s="548"/>
      <c r="P669" s="548"/>
      <c r="Q669" s="548"/>
      <c r="R669" s="548"/>
      <c r="S669" s="548"/>
      <c r="T669" s="548"/>
      <c r="U669" s="9"/>
      <c r="V669" s="9"/>
      <c r="W669" s="9"/>
      <c r="X669" s="9"/>
      <c r="Y669" s="9"/>
      <c r="Z669" s="9"/>
      <c r="AA669" s="9"/>
      <c r="AB669" s="9"/>
      <c r="AC669" s="9"/>
    </row>
    <row r="670" spans="1:29" ht="12.75" customHeight="1">
      <c r="A670" s="9"/>
      <c r="B670" s="9"/>
      <c r="C670" s="9"/>
      <c r="D670" s="9"/>
      <c r="E670" s="9"/>
      <c r="F670" s="9"/>
      <c r="G670" s="9"/>
      <c r="H670" s="548"/>
      <c r="I670" s="548"/>
      <c r="J670" s="548"/>
      <c r="K670" s="548"/>
      <c r="L670" s="548"/>
      <c r="M670" s="548"/>
      <c r="N670" s="548"/>
      <c r="O670" s="548"/>
      <c r="P670" s="548"/>
      <c r="Q670" s="548"/>
      <c r="R670" s="548"/>
      <c r="S670" s="548"/>
      <c r="T670" s="548"/>
      <c r="U670" s="9"/>
      <c r="V670" s="9"/>
      <c r="W670" s="9"/>
      <c r="X670" s="9"/>
      <c r="Y670" s="9"/>
      <c r="Z670" s="9"/>
      <c r="AA670" s="9"/>
      <c r="AB670" s="9"/>
      <c r="AC670" s="9"/>
    </row>
    <row r="671" spans="1:29" ht="12.75" customHeight="1">
      <c r="A671" s="9"/>
      <c r="B671" s="9"/>
      <c r="C671" s="9"/>
      <c r="D671" s="9"/>
      <c r="E671" s="9"/>
      <c r="F671" s="9"/>
      <c r="G671" s="9"/>
      <c r="H671" s="548"/>
      <c r="I671" s="548"/>
      <c r="J671" s="548"/>
      <c r="K671" s="548"/>
      <c r="L671" s="548"/>
      <c r="M671" s="548"/>
      <c r="N671" s="548"/>
      <c r="O671" s="548"/>
      <c r="P671" s="548"/>
      <c r="Q671" s="548"/>
      <c r="R671" s="548"/>
      <c r="S671" s="548"/>
      <c r="T671" s="548"/>
      <c r="U671" s="9"/>
      <c r="V671" s="9"/>
      <c r="W671" s="9"/>
      <c r="X671" s="9"/>
      <c r="Y671" s="9"/>
      <c r="Z671" s="9"/>
      <c r="AA671" s="9"/>
      <c r="AB671" s="9"/>
      <c r="AC671" s="9"/>
    </row>
    <row r="672" spans="1:29" ht="12.75" customHeight="1">
      <c r="A672" s="9"/>
      <c r="B672" s="9"/>
      <c r="C672" s="9"/>
      <c r="D672" s="9"/>
      <c r="E672" s="9"/>
      <c r="F672" s="9"/>
      <c r="G672" s="9"/>
      <c r="H672" s="548"/>
      <c r="I672" s="548"/>
      <c r="J672" s="548"/>
      <c r="K672" s="548"/>
      <c r="L672" s="548"/>
      <c r="M672" s="548"/>
      <c r="N672" s="548"/>
      <c r="O672" s="548"/>
      <c r="P672" s="548"/>
      <c r="Q672" s="548"/>
      <c r="R672" s="548"/>
      <c r="S672" s="548"/>
      <c r="T672" s="548"/>
      <c r="U672" s="9"/>
      <c r="V672" s="9"/>
      <c r="W672" s="9"/>
      <c r="X672" s="9"/>
      <c r="Y672" s="9"/>
      <c r="Z672" s="9"/>
      <c r="AA672" s="9"/>
      <c r="AB672" s="9"/>
      <c r="AC672" s="9"/>
    </row>
    <row r="673" spans="1:29" ht="12.75" customHeight="1">
      <c r="A673" s="9"/>
      <c r="B673" s="9"/>
      <c r="C673" s="9"/>
      <c r="D673" s="9"/>
      <c r="E673" s="9"/>
      <c r="F673" s="9"/>
      <c r="G673" s="9"/>
      <c r="H673" s="548"/>
      <c r="I673" s="548"/>
      <c r="J673" s="548"/>
      <c r="K673" s="548"/>
      <c r="L673" s="548"/>
      <c r="M673" s="548"/>
      <c r="N673" s="548"/>
      <c r="O673" s="548"/>
      <c r="P673" s="548"/>
      <c r="Q673" s="548"/>
      <c r="R673" s="548"/>
      <c r="S673" s="548"/>
      <c r="T673" s="548"/>
      <c r="U673" s="9"/>
      <c r="V673" s="9"/>
      <c r="W673" s="9"/>
      <c r="X673" s="9"/>
      <c r="Y673" s="9"/>
      <c r="Z673" s="9"/>
      <c r="AA673" s="9"/>
      <c r="AB673" s="9"/>
      <c r="AC673" s="9"/>
    </row>
    <row r="674" spans="1:29" ht="12.75" customHeight="1">
      <c r="A674" s="9"/>
      <c r="B674" s="9"/>
      <c r="C674" s="9"/>
      <c r="D674" s="9"/>
      <c r="E674" s="9"/>
      <c r="F674" s="9"/>
      <c r="G674" s="9"/>
      <c r="H674" s="548"/>
      <c r="I674" s="548"/>
      <c r="J674" s="548"/>
      <c r="K674" s="548"/>
      <c r="L674" s="548"/>
      <c r="M674" s="548"/>
      <c r="N674" s="548"/>
      <c r="O674" s="548"/>
      <c r="P674" s="548"/>
      <c r="Q674" s="548"/>
      <c r="R674" s="548"/>
      <c r="S674" s="548"/>
      <c r="T674" s="548"/>
      <c r="U674" s="9"/>
      <c r="V674" s="9"/>
      <c r="W674" s="9"/>
      <c r="X674" s="9"/>
      <c r="Y674" s="9"/>
      <c r="Z674" s="9"/>
      <c r="AA674" s="9"/>
      <c r="AB674" s="9"/>
      <c r="AC674" s="9"/>
    </row>
    <row r="675" spans="1:29" ht="12.75" customHeight="1">
      <c r="A675" s="9"/>
      <c r="B675" s="9"/>
      <c r="C675" s="9"/>
      <c r="D675" s="9"/>
      <c r="E675" s="9"/>
      <c r="F675" s="9"/>
      <c r="G675" s="9"/>
      <c r="H675" s="548"/>
      <c r="I675" s="548"/>
      <c r="J675" s="548"/>
      <c r="K675" s="548"/>
      <c r="L675" s="548"/>
      <c r="M675" s="548"/>
      <c r="N675" s="548"/>
      <c r="O675" s="548"/>
      <c r="P675" s="548"/>
      <c r="Q675" s="548"/>
      <c r="R675" s="548"/>
      <c r="S675" s="548"/>
      <c r="T675" s="548"/>
      <c r="U675" s="9"/>
      <c r="V675" s="9"/>
      <c r="W675" s="9"/>
      <c r="X675" s="9"/>
      <c r="Y675" s="9"/>
      <c r="Z675" s="9"/>
      <c r="AA675" s="9"/>
      <c r="AB675" s="9"/>
      <c r="AC675" s="9"/>
    </row>
    <row r="676" spans="1:29" ht="12.75" customHeight="1">
      <c r="A676" s="9"/>
      <c r="B676" s="9"/>
      <c r="C676" s="9"/>
      <c r="D676" s="9"/>
      <c r="E676" s="9"/>
      <c r="F676" s="9"/>
      <c r="G676" s="9"/>
      <c r="H676" s="548"/>
      <c r="I676" s="548"/>
      <c r="J676" s="548"/>
      <c r="K676" s="548"/>
      <c r="L676" s="548"/>
      <c r="M676" s="548"/>
      <c r="N676" s="548"/>
      <c r="O676" s="548"/>
      <c r="P676" s="548"/>
      <c r="Q676" s="548"/>
      <c r="R676" s="548"/>
      <c r="S676" s="548"/>
      <c r="T676" s="548"/>
      <c r="U676" s="9"/>
      <c r="V676" s="9"/>
      <c r="W676" s="9"/>
      <c r="X676" s="9"/>
      <c r="Y676" s="9"/>
      <c r="Z676" s="9"/>
      <c r="AA676" s="9"/>
      <c r="AB676" s="9"/>
      <c r="AC676" s="9"/>
    </row>
    <row r="677" spans="1:29" ht="12.75" customHeight="1">
      <c r="A677" s="9"/>
      <c r="B677" s="9"/>
      <c r="C677" s="9"/>
      <c r="D677" s="9"/>
      <c r="E677" s="9"/>
      <c r="F677" s="9"/>
      <c r="G677" s="9"/>
      <c r="H677" s="548"/>
      <c r="I677" s="548"/>
      <c r="J677" s="548"/>
      <c r="K677" s="548"/>
      <c r="L677" s="548"/>
      <c r="M677" s="548"/>
      <c r="N677" s="548"/>
      <c r="O677" s="548"/>
      <c r="P677" s="548"/>
      <c r="Q677" s="548"/>
      <c r="R677" s="548"/>
      <c r="S677" s="548"/>
      <c r="T677" s="548"/>
      <c r="U677" s="9"/>
      <c r="V677" s="9"/>
      <c r="W677" s="9"/>
      <c r="X677" s="9"/>
      <c r="Y677" s="9"/>
      <c r="Z677" s="9"/>
      <c r="AA677" s="9"/>
      <c r="AB677" s="9"/>
      <c r="AC677" s="9"/>
    </row>
    <row r="678" spans="1:29" ht="12.75" customHeight="1">
      <c r="A678" s="9"/>
      <c r="B678" s="9"/>
      <c r="C678" s="9"/>
      <c r="D678" s="9"/>
      <c r="E678" s="9"/>
      <c r="F678" s="9"/>
      <c r="G678" s="9"/>
      <c r="H678" s="548"/>
      <c r="I678" s="548"/>
      <c r="J678" s="548"/>
      <c r="K678" s="548"/>
      <c r="L678" s="548"/>
      <c r="M678" s="548"/>
      <c r="N678" s="548"/>
      <c r="O678" s="548"/>
      <c r="P678" s="548"/>
      <c r="Q678" s="548"/>
      <c r="R678" s="548"/>
      <c r="S678" s="548"/>
      <c r="T678" s="548"/>
      <c r="U678" s="9"/>
      <c r="V678" s="9"/>
      <c r="W678" s="9"/>
      <c r="X678" s="9"/>
      <c r="Y678" s="9"/>
      <c r="Z678" s="9"/>
      <c r="AA678" s="9"/>
      <c r="AB678" s="9"/>
      <c r="AC678" s="9"/>
    </row>
    <row r="679" spans="1:29" ht="12.75" customHeight="1">
      <c r="A679" s="9"/>
      <c r="B679" s="9"/>
      <c r="C679" s="9"/>
      <c r="D679" s="9"/>
      <c r="E679" s="9"/>
      <c r="F679" s="9"/>
      <c r="G679" s="9"/>
      <c r="H679" s="548"/>
      <c r="I679" s="548"/>
      <c r="J679" s="548"/>
      <c r="K679" s="548"/>
      <c r="L679" s="548"/>
      <c r="M679" s="548"/>
      <c r="N679" s="548"/>
      <c r="O679" s="548"/>
      <c r="P679" s="548"/>
      <c r="Q679" s="548"/>
      <c r="R679" s="548"/>
      <c r="S679" s="548"/>
      <c r="T679" s="548"/>
      <c r="U679" s="9"/>
      <c r="V679" s="9"/>
      <c r="W679" s="9"/>
      <c r="X679" s="9"/>
      <c r="Y679" s="9"/>
      <c r="Z679" s="9"/>
      <c r="AA679" s="9"/>
      <c r="AB679" s="9"/>
      <c r="AC679" s="9"/>
    </row>
    <row r="680" spans="1:29" ht="12.75" customHeight="1">
      <c r="A680" s="9"/>
      <c r="B680" s="9"/>
      <c r="C680" s="9"/>
      <c r="D680" s="9"/>
      <c r="E680" s="9"/>
      <c r="F680" s="9"/>
      <c r="G680" s="9"/>
      <c r="H680" s="548"/>
      <c r="I680" s="548"/>
      <c r="J680" s="548"/>
      <c r="K680" s="548"/>
      <c r="L680" s="548"/>
      <c r="M680" s="548"/>
      <c r="N680" s="548"/>
      <c r="O680" s="548"/>
      <c r="P680" s="548"/>
      <c r="Q680" s="548"/>
      <c r="R680" s="548"/>
      <c r="S680" s="548"/>
      <c r="T680" s="548"/>
      <c r="U680" s="9"/>
      <c r="V680" s="9"/>
      <c r="W680" s="9"/>
      <c r="X680" s="9"/>
      <c r="Y680" s="9"/>
      <c r="Z680" s="9"/>
      <c r="AA680" s="9"/>
      <c r="AB680" s="9"/>
      <c r="AC680" s="9"/>
    </row>
    <row r="681" spans="1:29" ht="12.75" customHeight="1">
      <c r="A681" s="9"/>
      <c r="B681" s="9"/>
      <c r="C681" s="9"/>
      <c r="D681" s="9"/>
      <c r="E681" s="9"/>
      <c r="F681" s="9"/>
      <c r="G681" s="9"/>
      <c r="H681" s="548"/>
      <c r="I681" s="548"/>
      <c r="J681" s="548"/>
      <c r="K681" s="548"/>
      <c r="L681" s="548"/>
      <c r="M681" s="548"/>
      <c r="N681" s="548"/>
      <c r="O681" s="548"/>
      <c r="P681" s="548"/>
      <c r="Q681" s="548"/>
      <c r="R681" s="548"/>
      <c r="S681" s="548"/>
      <c r="T681" s="548"/>
      <c r="U681" s="9"/>
      <c r="V681" s="9"/>
      <c r="W681" s="9"/>
      <c r="X681" s="9"/>
      <c r="Y681" s="9"/>
      <c r="Z681" s="9"/>
      <c r="AA681" s="9"/>
      <c r="AB681" s="9"/>
      <c r="AC681" s="9"/>
    </row>
    <row r="682" spans="1:29" ht="12.75" customHeight="1">
      <c r="A682" s="9"/>
      <c r="B682" s="9"/>
      <c r="C682" s="9"/>
      <c r="D682" s="9"/>
      <c r="E682" s="9"/>
      <c r="F682" s="9"/>
      <c r="G682" s="9"/>
      <c r="H682" s="548"/>
      <c r="I682" s="548"/>
      <c r="J682" s="548"/>
      <c r="K682" s="548"/>
      <c r="L682" s="548"/>
      <c r="M682" s="548"/>
      <c r="N682" s="548"/>
      <c r="O682" s="548"/>
      <c r="P682" s="548"/>
      <c r="Q682" s="548"/>
      <c r="R682" s="548"/>
      <c r="S682" s="548"/>
      <c r="T682" s="548"/>
      <c r="U682" s="9"/>
      <c r="V682" s="9"/>
      <c r="W682" s="9"/>
      <c r="X682" s="9"/>
      <c r="Y682" s="9"/>
      <c r="Z682" s="9"/>
      <c r="AA682" s="9"/>
      <c r="AB682" s="9"/>
      <c r="AC682" s="9"/>
    </row>
    <row r="683" spans="1:29" ht="12.75" customHeight="1">
      <c r="A683" s="9"/>
      <c r="B683" s="9"/>
      <c r="C683" s="9"/>
      <c r="D683" s="9"/>
      <c r="E683" s="9"/>
      <c r="F683" s="9"/>
      <c r="G683" s="9"/>
      <c r="H683" s="548"/>
      <c r="I683" s="548"/>
      <c r="J683" s="548"/>
      <c r="K683" s="548"/>
      <c r="L683" s="548"/>
      <c r="M683" s="548"/>
      <c r="N683" s="548"/>
      <c r="O683" s="548"/>
      <c r="P683" s="548"/>
      <c r="Q683" s="548"/>
      <c r="R683" s="548"/>
      <c r="S683" s="548"/>
      <c r="T683" s="548"/>
      <c r="U683" s="9"/>
      <c r="V683" s="9"/>
      <c r="W683" s="9"/>
      <c r="X683" s="9"/>
      <c r="Y683" s="9"/>
      <c r="Z683" s="9"/>
      <c r="AA683" s="9"/>
      <c r="AB683" s="9"/>
      <c r="AC683" s="9"/>
    </row>
    <row r="684" spans="1:29" ht="12.75" customHeight="1">
      <c r="A684" s="9"/>
      <c r="B684" s="9"/>
      <c r="C684" s="9"/>
      <c r="D684" s="9"/>
      <c r="E684" s="9"/>
      <c r="F684" s="9"/>
      <c r="G684" s="9"/>
      <c r="H684" s="548"/>
      <c r="I684" s="548"/>
      <c r="J684" s="548"/>
      <c r="K684" s="548"/>
      <c r="L684" s="548"/>
      <c r="M684" s="548"/>
      <c r="N684" s="548"/>
      <c r="O684" s="548"/>
      <c r="P684" s="548"/>
      <c r="Q684" s="548"/>
      <c r="R684" s="548"/>
      <c r="S684" s="548"/>
      <c r="T684" s="548"/>
      <c r="U684" s="9"/>
      <c r="V684" s="9"/>
      <c r="W684" s="9"/>
      <c r="X684" s="9"/>
      <c r="Y684" s="9"/>
      <c r="Z684" s="9"/>
      <c r="AA684" s="9"/>
      <c r="AB684" s="9"/>
      <c r="AC684" s="9"/>
    </row>
    <row r="685" spans="1:29" ht="12.75" customHeight="1">
      <c r="A685" s="9"/>
      <c r="B685" s="9"/>
      <c r="C685" s="9"/>
      <c r="D685" s="9"/>
      <c r="E685" s="9"/>
      <c r="F685" s="9"/>
      <c r="G685" s="9"/>
      <c r="H685" s="548"/>
      <c r="I685" s="548"/>
      <c r="J685" s="548"/>
      <c r="K685" s="548"/>
      <c r="L685" s="548"/>
      <c r="M685" s="548"/>
      <c r="N685" s="548"/>
      <c r="O685" s="548"/>
      <c r="P685" s="548"/>
      <c r="Q685" s="548"/>
      <c r="R685" s="548"/>
      <c r="S685" s="548"/>
      <c r="T685" s="548"/>
      <c r="U685" s="9"/>
      <c r="V685" s="9"/>
      <c r="W685" s="9"/>
      <c r="X685" s="9"/>
      <c r="Y685" s="9"/>
      <c r="Z685" s="9"/>
      <c r="AA685" s="9"/>
      <c r="AB685" s="9"/>
      <c r="AC685" s="9"/>
    </row>
    <row r="686" spans="1:29" ht="12.75" customHeight="1">
      <c r="A686" s="9"/>
      <c r="B686" s="9"/>
      <c r="C686" s="9"/>
      <c r="D686" s="9"/>
      <c r="E686" s="9"/>
      <c r="F686" s="9"/>
      <c r="G686" s="9"/>
      <c r="H686" s="548"/>
      <c r="I686" s="548"/>
      <c r="J686" s="548"/>
      <c r="K686" s="548"/>
      <c r="L686" s="548"/>
      <c r="M686" s="548"/>
      <c r="N686" s="548"/>
      <c r="O686" s="548"/>
      <c r="P686" s="548"/>
      <c r="Q686" s="548"/>
      <c r="R686" s="548"/>
      <c r="S686" s="548"/>
      <c r="T686" s="548"/>
      <c r="U686" s="9"/>
      <c r="V686" s="9"/>
      <c r="W686" s="9"/>
      <c r="X686" s="9"/>
      <c r="Y686" s="9"/>
      <c r="Z686" s="9"/>
      <c r="AA686" s="9"/>
      <c r="AB686" s="9"/>
      <c r="AC686" s="9"/>
    </row>
    <row r="687" spans="1:29" ht="12.75" customHeight="1">
      <c r="A687" s="9"/>
      <c r="B687" s="9"/>
      <c r="C687" s="9"/>
      <c r="D687" s="9"/>
      <c r="E687" s="9"/>
      <c r="F687" s="9"/>
      <c r="G687" s="9"/>
      <c r="H687" s="548"/>
      <c r="I687" s="548"/>
      <c r="J687" s="548"/>
      <c r="K687" s="548"/>
      <c r="L687" s="548"/>
      <c r="M687" s="548"/>
      <c r="N687" s="548"/>
      <c r="O687" s="548"/>
      <c r="P687" s="548"/>
      <c r="Q687" s="548"/>
      <c r="R687" s="548"/>
      <c r="S687" s="548"/>
      <c r="T687" s="548"/>
      <c r="U687" s="9"/>
      <c r="V687" s="9"/>
      <c r="W687" s="9"/>
      <c r="X687" s="9"/>
      <c r="Y687" s="9"/>
      <c r="Z687" s="9"/>
      <c r="AA687" s="9"/>
      <c r="AB687" s="9"/>
      <c r="AC687" s="9"/>
    </row>
    <row r="688" spans="1:29" ht="12.75" customHeight="1">
      <c r="A688" s="9"/>
      <c r="B688" s="9"/>
      <c r="C688" s="9"/>
      <c r="D688" s="9"/>
      <c r="E688" s="9"/>
      <c r="F688" s="9"/>
      <c r="G688" s="9"/>
      <c r="H688" s="548"/>
      <c r="I688" s="548"/>
      <c r="J688" s="548"/>
      <c r="K688" s="548"/>
      <c r="L688" s="548"/>
      <c r="M688" s="548"/>
      <c r="N688" s="548"/>
      <c r="O688" s="548"/>
      <c r="P688" s="548"/>
      <c r="Q688" s="548"/>
      <c r="R688" s="548"/>
      <c r="S688" s="548"/>
      <c r="T688" s="548"/>
      <c r="U688" s="9"/>
      <c r="V688" s="9"/>
      <c r="W688" s="9"/>
      <c r="X688" s="9"/>
      <c r="Y688" s="9"/>
      <c r="Z688" s="9"/>
      <c r="AA688" s="9"/>
      <c r="AB688" s="9"/>
      <c r="AC688" s="9"/>
    </row>
    <row r="689" spans="1:29" ht="12.75" customHeight="1">
      <c r="A689" s="9"/>
      <c r="B689" s="9"/>
      <c r="C689" s="9"/>
      <c r="D689" s="9"/>
      <c r="E689" s="9"/>
      <c r="F689" s="9"/>
      <c r="G689" s="9"/>
      <c r="H689" s="548"/>
      <c r="I689" s="548"/>
      <c r="J689" s="548"/>
      <c r="K689" s="548"/>
      <c r="L689" s="548"/>
      <c r="M689" s="548"/>
      <c r="N689" s="548"/>
      <c r="O689" s="548"/>
      <c r="P689" s="548"/>
      <c r="Q689" s="548"/>
      <c r="R689" s="548"/>
      <c r="S689" s="548"/>
      <c r="T689" s="548"/>
      <c r="U689" s="9"/>
      <c r="V689" s="9"/>
      <c r="W689" s="9"/>
      <c r="X689" s="9"/>
      <c r="Y689" s="9"/>
      <c r="Z689" s="9"/>
      <c r="AA689" s="9"/>
      <c r="AB689" s="9"/>
      <c r="AC689" s="9"/>
    </row>
    <row r="690" spans="1:29" ht="12.75" customHeight="1">
      <c r="A690" s="9"/>
      <c r="B690" s="9"/>
      <c r="C690" s="9"/>
      <c r="D690" s="9"/>
      <c r="E690" s="9"/>
      <c r="F690" s="9"/>
      <c r="G690" s="9"/>
      <c r="H690" s="548"/>
      <c r="I690" s="548"/>
      <c r="J690" s="548"/>
      <c r="K690" s="548"/>
      <c r="L690" s="548"/>
      <c r="M690" s="548"/>
      <c r="N690" s="548"/>
      <c r="O690" s="548"/>
      <c r="P690" s="548"/>
      <c r="Q690" s="548"/>
      <c r="R690" s="548"/>
      <c r="S690" s="548"/>
      <c r="T690" s="548"/>
      <c r="U690" s="9"/>
      <c r="V690" s="9"/>
      <c r="W690" s="9"/>
      <c r="X690" s="9"/>
      <c r="Y690" s="9"/>
      <c r="Z690" s="9"/>
      <c r="AA690" s="9"/>
      <c r="AB690" s="9"/>
      <c r="AC690" s="9"/>
    </row>
    <row r="691" spans="1:29" ht="12.75" customHeight="1">
      <c r="A691" s="9"/>
      <c r="B691" s="9"/>
      <c r="C691" s="9"/>
      <c r="D691" s="9"/>
      <c r="E691" s="9"/>
      <c r="F691" s="9"/>
      <c r="G691" s="9"/>
      <c r="H691" s="548"/>
      <c r="I691" s="548"/>
      <c r="J691" s="548"/>
      <c r="K691" s="548"/>
      <c r="L691" s="548"/>
      <c r="M691" s="548"/>
      <c r="N691" s="548"/>
      <c r="O691" s="548"/>
      <c r="P691" s="548"/>
      <c r="Q691" s="548"/>
      <c r="R691" s="548"/>
      <c r="S691" s="548"/>
      <c r="T691" s="548"/>
      <c r="U691" s="9"/>
      <c r="V691" s="9"/>
      <c r="W691" s="9"/>
      <c r="X691" s="9"/>
      <c r="Y691" s="9"/>
      <c r="Z691" s="9"/>
      <c r="AA691" s="9"/>
      <c r="AB691" s="9"/>
      <c r="AC691" s="9"/>
    </row>
    <row r="692" spans="1:29" ht="12.75" customHeight="1">
      <c r="A692" s="9"/>
      <c r="B692" s="9"/>
      <c r="C692" s="9"/>
      <c r="D692" s="9"/>
      <c r="E692" s="9"/>
      <c r="F692" s="9"/>
      <c r="G692" s="9"/>
      <c r="H692" s="548"/>
      <c r="I692" s="548"/>
      <c r="J692" s="548"/>
      <c r="K692" s="548"/>
      <c r="L692" s="548"/>
      <c r="M692" s="548"/>
      <c r="N692" s="548"/>
      <c r="O692" s="548"/>
      <c r="P692" s="548"/>
      <c r="Q692" s="548"/>
      <c r="R692" s="548"/>
      <c r="S692" s="548"/>
      <c r="T692" s="548"/>
      <c r="U692" s="9"/>
      <c r="V692" s="9"/>
      <c r="W692" s="9"/>
      <c r="X692" s="9"/>
      <c r="Y692" s="9"/>
      <c r="Z692" s="9"/>
      <c r="AA692" s="9"/>
      <c r="AB692" s="9"/>
      <c r="AC692" s="9"/>
    </row>
    <row r="693" spans="1:29" ht="12.75" customHeight="1">
      <c r="A693" s="9"/>
      <c r="B693" s="9"/>
      <c r="C693" s="9"/>
      <c r="D693" s="9"/>
      <c r="E693" s="9"/>
      <c r="F693" s="9"/>
      <c r="G693" s="9"/>
      <c r="H693" s="548"/>
      <c r="I693" s="548"/>
      <c r="J693" s="548"/>
      <c r="K693" s="548"/>
      <c r="L693" s="548"/>
      <c r="M693" s="548"/>
      <c r="N693" s="548"/>
      <c r="O693" s="548"/>
      <c r="P693" s="548"/>
      <c r="Q693" s="548"/>
      <c r="R693" s="548"/>
      <c r="S693" s="548"/>
      <c r="T693" s="548"/>
      <c r="U693" s="9"/>
      <c r="V693" s="9"/>
      <c r="W693" s="9"/>
      <c r="X693" s="9"/>
      <c r="Y693" s="9"/>
      <c r="Z693" s="9"/>
      <c r="AA693" s="9"/>
      <c r="AB693" s="9"/>
      <c r="AC693" s="9"/>
    </row>
    <row r="694" spans="1:29" ht="12.75" customHeight="1">
      <c r="A694" s="9"/>
      <c r="B694" s="9"/>
      <c r="C694" s="9"/>
      <c r="D694" s="9"/>
      <c r="E694" s="9"/>
      <c r="F694" s="9"/>
      <c r="G694" s="9"/>
      <c r="H694" s="548"/>
      <c r="I694" s="548"/>
      <c r="J694" s="548"/>
      <c r="K694" s="548"/>
      <c r="L694" s="548"/>
      <c r="M694" s="548"/>
      <c r="N694" s="548"/>
      <c r="O694" s="548"/>
      <c r="P694" s="548"/>
      <c r="Q694" s="548"/>
      <c r="R694" s="548"/>
      <c r="S694" s="548"/>
      <c r="T694" s="548"/>
      <c r="U694" s="9"/>
      <c r="V694" s="9"/>
      <c r="W694" s="9"/>
      <c r="X694" s="9"/>
      <c r="Y694" s="9"/>
      <c r="Z694" s="9"/>
      <c r="AA694" s="9"/>
      <c r="AB694" s="9"/>
      <c r="AC694" s="9"/>
    </row>
    <row r="695" spans="1:29" ht="12.75" customHeight="1">
      <c r="A695" s="9"/>
      <c r="B695" s="9"/>
      <c r="C695" s="9"/>
      <c r="D695" s="9"/>
      <c r="E695" s="9"/>
      <c r="F695" s="9"/>
      <c r="G695" s="9"/>
      <c r="H695" s="548"/>
      <c r="I695" s="548"/>
      <c r="J695" s="548"/>
      <c r="K695" s="548"/>
      <c r="L695" s="548"/>
      <c r="M695" s="548"/>
      <c r="N695" s="548"/>
      <c r="O695" s="548"/>
      <c r="P695" s="548"/>
      <c r="Q695" s="548"/>
      <c r="R695" s="548"/>
      <c r="S695" s="548"/>
      <c r="T695" s="548"/>
      <c r="U695" s="9"/>
      <c r="V695" s="9"/>
      <c r="W695" s="9"/>
      <c r="X695" s="9"/>
      <c r="Y695" s="9"/>
      <c r="Z695" s="9"/>
      <c r="AA695" s="9"/>
      <c r="AB695" s="9"/>
      <c r="AC695" s="9"/>
    </row>
    <row r="696" spans="1:29" ht="12.75" customHeight="1">
      <c r="A696" s="9"/>
      <c r="B696" s="9"/>
      <c r="C696" s="9"/>
      <c r="D696" s="9"/>
      <c r="E696" s="9"/>
      <c r="F696" s="9"/>
      <c r="G696" s="9"/>
      <c r="H696" s="548"/>
      <c r="I696" s="548"/>
      <c r="J696" s="548"/>
      <c r="K696" s="548"/>
      <c r="L696" s="548"/>
      <c r="M696" s="548"/>
      <c r="N696" s="548"/>
      <c r="O696" s="548"/>
      <c r="P696" s="548"/>
      <c r="Q696" s="548"/>
      <c r="R696" s="548"/>
      <c r="S696" s="548"/>
      <c r="T696" s="548"/>
      <c r="U696" s="9"/>
      <c r="V696" s="9"/>
      <c r="W696" s="9"/>
      <c r="X696" s="9"/>
      <c r="Y696" s="9"/>
      <c r="Z696" s="9"/>
      <c r="AA696" s="9"/>
      <c r="AB696" s="9"/>
      <c r="AC696" s="9"/>
    </row>
    <row r="697" spans="1:29" ht="12.75" customHeight="1">
      <c r="A697" s="9"/>
      <c r="B697" s="9"/>
      <c r="C697" s="9"/>
      <c r="D697" s="9"/>
      <c r="E697" s="9"/>
      <c r="F697" s="9"/>
      <c r="G697" s="9"/>
      <c r="H697" s="548"/>
      <c r="I697" s="548"/>
      <c r="J697" s="548"/>
      <c r="K697" s="548"/>
      <c r="L697" s="548"/>
      <c r="M697" s="548"/>
      <c r="N697" s="548"/>
      <c r="O697" s="548"/>
      <c r="P697" s="548"/>
      <c r="Q697" s="548"/>
      <c r="R697" s="548"/>
      <c r="S697" s="548"/>
      <c r="T697" s="548"/>
      <c r="U697" s="9"/>
      <c r="V697" s="9"/>
      <c r="W697" s="9"/>
      <c r="X697" s="9"/>
      <c r="Y697" s="9"/>
      <c r="Z697" s="9"/>
      <c r="AA697" s="9"/>
      <c r="AB697" s="9"/>
      <c r="AC697" s="9"/>
    </row>
    <row r="698" spans="1:29" ht="12.75" customHeight="1">
      <c r="A698" s="9"/>
      <c r="B698" s="9"/>
      <c r="C698" s="9"/>
      <c r="D698" s="9"/>
      <c r="E698" s="9"/>
      <c r="F698" s="9"/>
      <c r="G698" s="9"/>
      <c r="H698" s="548"/>
      <c r="I698" s="548"/>
      <c r="J698" s="548"/>
      <c r="K698" s="548"/>
      <c r="L698" s="548"/>
      <c r="M698" s="548"/>
      <c r="N698" s="548"/>
      <c r="O698" s="548"/>
      <c r="P698" s="548"/>
      <c r="Q698" s="548"/>
      <c r="R698" s="548"/>
      <c r="S698" s="548"/>
      <c r="T698" s="548"/>
      <c r="U698" s="9"/>
      <c r="V698" s="9"/>
      <c r="W698" s="9"/>
      <c r="X698" s="9"/>
      <c r="Y698" s="9"/>
      <c r="Z698" s="9"/>
      <c r="AA698" s="9"/>
      <c r="AB698" s="9"/>
      <c r="AC698" s="9"/>
    </row>
    <row r="699" spans="1:29" ht="12.75" customHeight="1">
      <c r="A699" s="9"/>
      <c r="B699" s="9"/>
      <c r="C699" s="9"/>
      <c r="D699" s="9"/>
      <c r="E699" s="9"/>
      <c r="F699" s="9"/>
      <c r="G699" s="9"/>
      <c r="H699" s="548"/>
      <c r="I699" s="548"/>
      <c r="J699" s="548"/>
      <c r="K699" s="548"/>
      <c r="L699" s="548"/>
      <c r="M699" s="548"/>
      <c r="N699" s="548"/>
      <c r="O699" s="548"/>
      <c r="P699" s="548"/>
      <c r="Q699" s="548"/>
      <c r="R699" s="548"/>
      <c r="S699" s="548"/>
      <c r="T699" s="548"/>
      <c r="U699" s="9"/>
      <c r="V699" s="9"/>
      <c r="W699" s="9"/>
      <c r="X699" s="9"/>
      <c r="Y699" s="9"/>
      <c r="Z699" s="9"/>
      <c r="AA699" s="9"/>
      <c r="AB699" s="9"/>
      <c r="AC699" s="9"/>
    </row>
    <row r="700" spans="1:29" ht="12.75" customHeight="1">
      <c r="A700" s="9"/>
      <c r="B700" s="9"/>
      <c r="C700" s="9"/>
      <c r="D700" s="9"/>
      <c r="E700" s="9"/>
      <c r="F700" s="9"/>
      <c r="G700" s="9"/>
      <c r="H700" s="548"/>
      <c r="I700" s="548"/>
      <c r="J700" s="548"/>
      <c r="K700" s="548"/>
      <c r="L700" s="548"/>
      <c r="M700" s="548"/>
      <c r="N700" s="548"/>
      <c r="O700" s="548"/>
      <c r="P700" s="548"/>
      <c r="Q700" s="548"/>
      <c r="R700" s="548"/>
      <c r="S700" s="548"/>
      <c r="T700" s="548"/>
      <c r="U700" s="9"/>
      <c r="V700" s="9"/>
      <c r="W700" s="9"/>
      <c r="X700" s="9"/>
      <c r="Y700" s="9"/>
      <c r="Z700" s="9"/>
      <c r="AA700" s="9"/>
      <c r="AB700" s="9"/>
      <c r="AC700" s="9"/>
    </row>
    <row r="701" spans="1:29" ht="12.75" customHeight="1">
      <c r="A701" s="9"/>
      <c r="B701" s="9"/>
      <c r="C701" s="9"/>
      <c r="D701" s="9"/>
      <c r="E701" s="9"/>
      <c r="F701" s="9"/>
      <c r="G701" s="9"/>
      <c r="H701" s="548"/>
      <c r="I701" s="548"/>
      <c r="J701" s="548"/>
      <c r="K701" s="548"/>
      <c r="L701" s="548"/>
      <c r="M701" s="548"/>
      <c r="N701" s="548"/>
      <c r="O701" s="548"/>
      <c r="P701" s="548"/>
      <c r="Q701" s="548"/>
      <c r="R701" s="548"/>
      <c r="S701" s="548"/>
      <c r="T701" s="548"/>
      <c r="U701" s="9"/>
      <c r="V701" s="9"/>
      <c r="W701" s="9"/>
      <c r="X701" s="9"/>
      <c r="Y701" s="9"/>
      <c r="Z701" s="9"/>
      <c r="AA701" s="9"/>
      <c r="AB701" s="9"/>
      <c r="AC701" s="9"/>
    </row>
    <row r="702" spans="1:29" ht="12.75" customHeight="1">
      <c r="A702" s="9"/>
      <c r="B702" s="9"/>
      <c r="C702" s="9"/>
      <c r="D702" s="9"/>
      <c r="E702" s="9"/>
      <c r="F702" s="9"/>
      <c r="G702" s="9"/>
      <c r="H702" s="548"/>
      <c r="I702" s="548"/>
      <c r="J702" s="548"/>
      <c r="K702" s="548"/>
      <c r="L702" s="548"/>
      <c r="M702" s="548"/>
      <c r="N702" s="548"/>
      <c r="O702" s="548"/>
      <c r="P702" s="548"/>
      <c r="Q702" s="548"/>
      <c r="R702" s="548"/>
      <c r="S702" s="548"/>
      <c r="T702" s="548"/>
      <c r="U702" s="9"/>
      <c r="V702" s="9"/>
      <c r="W702" s="9"/>
      <c r="X702" s="9"/>
      <c r="Y702" s="9"/>
      <c r="Z702" s="9"/>
      <c r="AA702" s="9"/>
      <c r="AB702" s="9"/>
      <c r="AC702" s="9"/>
    </row>
    <row r="703" spans="1:29" ht="12.75" customHeight="1">
      <c r="A703" s="9"/>
      <c r="B703" s="9"/>
      <c r="C703" s="9"/>
      <c r="D703" s="9"/>
      <c r="E703" s="9"/>
      <c r="F703" s="9"/>
      <c r="G703" s="9"/>
      <c r="H703" s="548"/>
      <c r="I703" s="548"/>
      <c r="J703" s="548"/>
      <c r="K703" s="548"/>
      <c r="L703" s="548"/>
      <c r="M703" s="548"/>
      <c r="N703" s="548"/>
      <c r="O703" s="548"/>
      <c r="P703" s="548"/>
      <c r="Q703" s="548"/>
      <c r="R703" s="548"/>
      <c r="S703" s="548"/>
      <c r="T703" s="548"/>
      <c r="U703" s="9"/>
      <c r="V703" s="9"/>
      <c r="W703" s="9"/>
      <c r="X703" s="9"/>
      <c r="Y703" s="9"/>
      <c r="Z703" s="9"/>
      <c r="AA703" s="9"/>
      <c r="AB703" s="9"/>
      <c r="AC703" s="9"/>
    </row>
    <row r="704" spans="1:29" ht="12.75" customHeight="1">
      <c r="A704" s="9"/>
      <c r="B704" s="9"/>
      <c r="C704" s="9"/>
      <c r="D704" s="9"/>
      <c r="E704" s="9"/>
      <c r="F704" s="9"/>
      <c r="G704" s="9"/>
      <c r="H704" s="548"/>
      <c r="I704" s="548"/>
      <c r="J704" s="548"/>
      <c r="K704" s="548"/>
      <c r="L704" s="548"/>
      <c r="M704" s="548"/>
      <c r="N704" s="548"/>
      <c r="O704" s="548"/>
      <c r="P704" s="548"/>
      <c r="Q704" s="548"/>
      <c r="R704" s="548"/>
      <c r="S704" s="548"/>
      <c r="T704" s="548"/>
      <c r="U704" s="9"/>
      <c r="V704" s="9"/>
      <c r="W704" s="9"/>
      <c r="X704" s="9"/>
      <c r="Y704" s="9"/>
      <c r="Z704" s="9"/>
      <c r="AA704" s="9"/>
      <c r="AB704" s="9"/>
      <c r="AC704" s="9"/>
    </row>
    <row r="705" spans="1:29" ht="12.75" customHeight="1">
      <c r="A705" s="9"/>
      <c r="B705" s="9"/>
      <c r="C705" s="9"/>
      <c r="D705" s="9"/>
      <c r="E705" s="9"/>
      <c r="F705" s="9"/>
      <c r="G705" s="9"/>
      <c r="H705" s="548"/>
      <c r="I705" s="548"/>
      <c r="J705" s="548"/>
      <c r="K705" s="548"/>
      <c r="L705" s="548"/>
      <c r="M705" s="548"/>
      <c r="N705" s="548"/>
      <c r="O705" s="548"/>
      <c r="P705" s="548"/>
      <c r="Q705" s="548"/>
      <c r="R705" s="548"/>
      <c r="S705" s="548"/>
      <c r="T705" s="548"/>
      <c r="U705" s="9"/>
      <c r="V705" s="9"/>
      <c r="W705" s="9"/>
      <c r="X705" s="9"/>
      <c r="Y705" s="9"/>
      <c r="Z705" s="9"/>
      <c r="AA705" s="9"/>
      <c r="AB705" s="9"/>
      <c r="AC705" s="9"/>
    </row>
    <row r="706" spans="1:29" ht="12.75" customHeight="1">
      <c r="A706" s="9"/>
      <c r="B706" s="9"/>
      <c r="C706" s="9"/>
      <c r="D706" s="9"/>
      <c r="E706" s="9"/>
      <c r="F706" s="9"/>
      <c r="G706" s="9"/>
      <c r="H706" s="548"/>
      <c r="I706" s="548"/>
      <c r="J706" s="548"/>
      <c r="K706" s="548"/>
      <c r="L706" s="548"/>
      <c r="M706" s="548"/>
      <c r="N706" s="548"/>
      <c r="O706" s="548"/>
      <c r="P706" s="548"/>
      <c r="Q706" s="548"/>
      <c r="R706" s="548"/>
      <c r="S706" s="548"/>
      <c r="T706" s="548"/>
      <c r="U706" s="9"/>
      <c r="V706" s="9"/>
      <c r="W706" s="9"/>
      <c r="X706" s="9"/>
      <c r="Y706" s="9"/>
      <c r="Z706" s="9"/>
      <c r="AA706" s="9"/>
      <c r="AB706" s="9"/>
      <c r="AC706" s="9"/>
    </row>
    <row r="707" spans="1:29" ht="12.75" customHeight="1">
      <c r="A707" s="9"/>
      <c r="B707" s="9"/>
      <c r="C707" s="9"/>
      <c r="D707" s="9"/>
      <c r="E707" s="9"/>
      <c r="F707" s="9"/>
      <c r="G707" s="9"/>
      <c r="H707" s="548"/>
      <c r="I707" s="548"/>
      <c r="J707" s="548"/>
      <c r="K707" s="548"/>
      <c r="L707" s="548"/>
      <c r="M707" s="548"/>
      <c r="N707" s="548"/>
      <c r="O707" s="548"/>
      <c r="P707" s="548"/>
      <c r="Q707" s="548"/>
      <c r="R707" s="548"/>
      <c r="S707" s="548"/>
      <c r="T707" s="548"/>
      <c r="U707" s="9"/>
      <c r="V707" s="9"/>
      <c r="W707" s="9"/>
      <c r="X707" s="9"/>
      <c r="Y707" s="9"/>
      <c r="Z707" s="9"/>
      <c r="AA707" s="9"/>
      <c r="AB707" s="9"/>
      <c r="AC707" s="9"/>
    </row>
    <row r="708" spans="1:29" ht="12.75" customHeight="1">
      <c r="A708" s="9"/>
      <c r="B708" s="9"/>
      <c r="C708" s="9"/>
      <c r="D708" s="9"/>
      <c r="E708" s="9"/>
      <c r="F708" s="9"/>
      <c r="G708" s="9"/>
      <c r="H708" s="548"/>
      <c r="I708" s="548"/>
      <c r="J708" s="548"/>
      <c r="K708" s="548"/>
      <c r="L708" s="548"/>
      <c r="M708" s="548"/>
      <c r="N708" s="548"/>
      <c r="O708" s="548"/>
      <c r="P708" s="548"/>
      <c r="Q708" s="548"/>
      <c r="R708" s="548"/>
      <c r="S708" s="548"/>
      <c r="T708" s="548"/>
      <c r="U708" s="9"/>
      <c r="V708" s="9"/>
      <c r="W708" s="9"/>
      <c r="X708" s="9"/>
      <c r="Y708" s="9"/>
      <c r="Z708" s="9"/>
      <c r="AA708" s="9"/>
      <c r="AB708" s="9"/>
      <c r="AC708" s="9"/>
    </row>
    <row r="709" spans="1:29" ht="12.75" customHeight="1">
      <c r="A709" s="9"/>
      <c r="B709" s="9"/>
      <c r="C709" s="9"/>
      <c r="D709" s="9"/>
      <c r="E709" s="9"/>
      <c r="F709" s="9"/>
      <c r="G709" s="9"/>
      <c r="H709" s="548"/>
      <c r="I709" s="548"/>
      <c r="J709" s="548"/>
      <c r="K709" s="548"/>
      <c r="L709" s="548"/>
      <c r="M709" s="548"/>
      <c r="N709" s="548"/>
      <c r="O709" s="548"/>
      <c r="P709" s="548"/>
      <c r="Q709" s="548"/>
      <c r="R709" s="548"/>
      <c r="S709" s="548"/>
      <c r="T709" s="548"/>
      <c r="U709" s="9"/>
      <c r="V709" s="9"/>
      <c r="W709" s="9"/>
      <c r="X709" s="9"/>
      <c r="Y709" s="9"/>
      <c r="Z709" s="9"/>
      <c r="AA709" s="9"/>
      <c r="AB709" s="9"/>
      <c r="AC709" s="9"/>
    </row>
    <row r="710" spans="1:29" ht="12.75" customHeight="1">
      <c r="A710" s="9"/>
      <c r="B710" s="9"/>
      <c r="C710" s="9"/>
      <c r="D710" s="9"/>
      <c r="E710" s="9"/>
      <c r="F710" s="9"/>
      <c r="G710" s="9"/>
      <c r="H710" s="548"/>
      <c r="I710" s="548"/>
      <c r="J710" s="548"/>
      <c r="K710" s="548"/>
      <c r="L710" s="548"/>
      <c r="M710" s="548"/>
      <c r="N710" s="548"/>
      <c r="O710" s="548"/>
      <c r="P710" s="548"/>
      <c r="Q710" s="548"/>
      <c r="R710" s="548"/>
      <c r="S710" s="548"/>
      <c r="T710" s="548"/>
      <c r="U710" s="9"/>
      <c r="V710" s="9"/>
      <c r="W710" s="9"/>
      <c r="X710" s="9"/>
      <c r="Y710" s="9"/>
      <c r="Z710" s="9"/>
      <c r="AA710" s="9"/>
      <c r="AB710" s="9"/>
      <c r="AC710" s="9"/>
    </row>
    <row r="711" spans="1:29" ht="12.75" customHeight="1">
      <c r="A711" s="9"/>
      <c r="B711" s="9"/>
      <c r="C711" s="9"/>
      <c r="D711" s="9"/>
      <c r="E711" s="9"/>
      <c r="F711" s="9"/>
      <c r="G711" s="9"/>
      <c r="H711" s="548"/>
      <c r="I711" s="548"/>
      <c r="J711" s="548"/>
      <c r="K711" s="548"/>
      <c r="L711" s="548"/>
      <c r="M711" s="548"/>
      <c r="N711" s="548"/>
      <c r="O711" s="548"/>
      <c r="P711" s="548"/>
      <c r="Q711" s="548"/>
      <c r="R711" s="548"/>
      <c r="S711" s="548"/>
      <c r="T711" s="548"/>
      <c r="U711" s="9"/>
      <c r="V711" s="9"/>
      <c r="W711" s="9"/>
      <c r="X711" s="9"/>
      <c r="Y711" s="9"/>
      <c r="Z711" s="9"/>
      <c r="AA711" s="9"/>
      <c r="AB711" s="9"/>
      <c r="AC711" s="9"/>
    </row>
    <row r="712" spans="1:29" ht="12.75" customHeight="1">
      <c r="A712" s="9"/>
      <c r="B712" s="9"/>
      <c r="C712" s="9"/>
      <c r="D712" s="9"/>
      <c r="E712" s="9"/>
      <c r="F712" s="9"/>
      <c r="G712" s="9"/>
      <c r="H712" s="548"/>
      <c r="I712" s="548"/>
      <c r="J712" s="548"/>
      <c r="K712" s="548"/>
      <c r="L712" s="548"/>
      <c r="M712" s="548"/>
      <c r="N712" s="548"/>
      <c r="O712" s="548"/>
      <c r="P712" s="548"/>
      <c r="Q712" s="548"/>
      <c r="R712" s="548"/>
      <c r="S712" s="548"/>
      <c r="T712" s="548"/>
      <c r="U712" s="9"/>
      <c r="V712" s="9"/>
      <c r="W712" s="9"/>
      <c r="X712" s="9"/>
      <c r="Y712" s="9"/>
      <c r="Z712" s="9"/>
      <c r="AA712" s="9"/>
      <c r="AB712" s="9"/>
      <c r="AC712" s="9"/>
    </row>
    <row r="713" spans="1:29" ht="12.75" customHeight="1">
      <c r="A713" s="9"/>
      <c r="B713" s="9"/>
      <c r="C713" s="9"/>
      <c r="D713" s="9"/>
      <c r="E713" s="9"/>
      <c r="F713" s="9"/>
      <c r="G713" s="9"/>
      <c r="H713" s="548"/>
      <c r="I713" s="548"/>
      <c r="J713" s="548"/>
      <c r="K713" s="548"/>
      <c r="L713" s="548"/>
      <c r="M713" s="548"/>
      <c r="N713" s="548"/>
      <c r="O713" s="548"/>
      <c r="P713" s="548"/>
      <c r="Q713" s="548"/>
      <c r="R713" s="548"/>
      <c r="S713" s="548"/>
      <c r="T713" s="548"/>
      <c r="U713" s="9"/>
      <c r="V713" s="9"/>
      <c r="W713" s="9"/>
      <c r="X713" s="9"/>
      <c r="Y713" s="9"/>
      <c r="Z713" s="9"/>
      <c r="AA713" s="9"/>
      <c r="AB713" s="9"/>
      <c r="AC713" s="9"/>
    </row>
    <row r="714" spans="1:29" ht="12.75" customHeight="1">
      <c r="A714" s="9"/>
      <c r="B714" s="9"/>
      <c r="C714" s="9"/>
      <c r="D714" s="9"/>
      <c r="E714" s="9"/>
      <c r="F714" s="9"/>
      <c r="G714" s="9"/>
      <c r="H714" s="548"/>
      <c r="I714" s="548"/>
      <c r="J714" s="548"/>
      <c r="K714" s="548"/>
      <c r="L714" s="548"/>
      <c r="M714" s="548"/>
      <c r="N714" s="548"/>
      <c r="O714" s="548"/>
      <c r="P714" s="548"/>
      <c r="Q714" s="548"/>
      <c r="R714" s="548"/>
      <c r="S714" s="548"/>
      <c r="T714" s="548"/>
      <c r="U714" s="9"/>
      <c r="V714" s="9"/>
      <c r="W714" s="9"/>
      <c r="X714" s="9"/>
      <c r="Y714" s="9"/>
      <c r="Z714" s="9"/>
      <c r="AA714" s="9"/>
      <c r="AB714" s="9"/>
      <c r="AC714" s="9"/>
    </row>
    <row r="715" spans="1:29" ht="12.75" customHeight="1">
      <c r="A715" s="9"/>
      <c r="B715" s="9"/>
      <c r="C715" s="9"/>
      <c r="D715" s="9"/>
      <c r="E715" s="9"/>
      <c r="F715" s="9"/>
      <c r="G715" s="9"/>
      <c r="H715" s="548"/>
      <c r="I715" s="548"/>
      <c r="J715" s="548"/>
      <c r="K715" s="548"/>
      <c r="L715" s="548"/>
      <c r="M715" s="548"/>
      <c r="N715" s="548"/>
      <c r="O715" s="548"/>
      <c r="P715" s="548"/>
      <c r="Q715" s="548"/>
      <c r="R715" s="548"/>
      <c r="S715" s="548"/>
      <c r="T715" s="548"/>
      <c r="U715" s="9"/>
      <c r="V715" s="9"/>
      <c r="W715" s="9"/>
      <c r="X715" s="9"/>
      <c r="Y715" s="9"/>
      <c r="Z715" s="9"/>
      <c r="AA715" s="9"/>
      <c r="AB715" s="9"/>
      <c r="AC715" s="9"/>
    </row>
    <row r="716" spans="1:29" ht="12.75" customHeight="1">
      <c r="A716" s="9"/>
      <c r="B716" s="9"/>
      <c r="C716" s="9"/>
      <c r="D716" s="9"/>
      <c r="E716" s="9"/>
      <c r="F716" s="9"/>
      <c r="G716" s="9"/>
      <c r="H716" s="548"/>
      <c r="I716" s="548"/>
      <c r="J716" s="548"/>
      <c r="K716" s="548"/>
      <c r="L716" s="548"/>
      <c r="M716" s="548"/>
      <c r="N716" s="548"/>
      <c r="O716" s="548"/>
      <c r="P716" s="548"/>
      <c r="Q716" s="548"/>
      <c r="R716" s="548"/>
      <c r="S716" s="548"/>
      <c r="T716" s="548"/>
      <c r="U716" s="9"/>
      <c r="V716" s="9"/>
      <c r="W716" s="9"/>
      <c r="X716" s="9"/>
      <c r="Y716" s="9"/>
      <c r="Z716" s="9"/>
      <c r="AA716" s="9"/>
      <c r="AB716" s="9"/>
      <c r="AC716" s="9"/>
    </row>
    <row r="717" spans="1:29" ht="12.75" customHeight="1">
      <c r="A717" s="9"/>
      <c r="B717" s="9"/>
      <c r="C717" s="9"/>
      <c r="D717" s="9"/>
      <c r="E717" s="9"/>
      <c r="F717" s="9"/>
      <c r="G717" s="9"/>
      <c r="H717" s="548"/>
      <c r="I717" s="548"/>
      <c r="J717" s="548"/>
      <c r="K717" s="548"/>
      <c r="L717" s="548"/>
      <c r="M717" s="548"/>
      <c r="N717" s="548"/>
      <c r="O717" s="548"/>
      <c r="P717" s="548"/>
      <c r="Q717" s="548"/>
      <c r="R717" s="548"/>
      <c r="S717" s="548"/>
      <c r="T717" s="548"/>
      <c r="U717" s="9"/>
      <c r="V717" s="9"/>
      <c r="W717" s="9"/>
      <c r="X717" s="9"/>
      <c r="Y717" s="9"/>
      <c r="Z717" s="9"/>
      <c r="AA717" s="9"/>
      <c r="AB717" s="9"/>
      <c r="AC717" s="9"/>
    </row>
    <row r="718" spans="1:29" ht="12.75" customHeight="1">
      <c r="A718" s="9"/>
      <c r="B718" s="9"/>
      <c r="C718" s="9"/>
      <c r="D718" s="9"/>
      <c r="E718" s="9"/>
      <c r="F718" s="9"/>
      <c r="G718" s="9"/>
      <c r="H718" s="548"/>
      <c r="I718" s="548"/>
      <c r="J718" s="548"/>
      <c r="K718" s="548"/>
      <c r="L718" s="548"/>
      <c r="M718" s="548"/>
      <c r="N718" s="548"/>
      <c r="O718" s="548"/>
      <c r="P718" s="548"/>
      <c r="Q718" s="548"/>
      <c r="R718" s="548"/>
      <c r="S718" s="548"/>
      <c r="T718" s="548"/>
      <c r="U718" s="9"/>
      <c r="V718" s="9"/>
      <c r="W718" s="9"/>
      <c r="X718" s="9"/>
      <c r="Y718" s="9"/>
      <c r="Z718" s="9"/>
      <c r="AA718" s="9"/>
      <c r="AB718" s="9"/>
      <c r="AC718" s="9"/>
    </row>
    <row r="719" spans="1:29" ht="12.75" customHeight="1">
      <c r="A719" s="9"/>
      <c r="B719" s="9"/>
      <c r="C719" s="9"/>
      <c r="D719" s="9"/>
      <c r="E719" s="9"/>
      <c r="F719" s="9"/>
      <c r="G719" s="9"/>
      <c r="H719" s="548"/>
      <c r="I719" s="548"/>
      <c r="J719" s="548"/>
      <c r="K719" s="548"/>
      <c r="L719" s="548"/>
      <c r="M719" s="548"/>
      <c r="N719" s="548"/>
      <c r="O719" s="548"/>
      <c r="P719" s="548"/>
      <c r="Q719" s="548"/>
      <c r="R719" s="548"/>
      <c r="S719" s="548"/>
      <c r="T719" s="548"/>
      <c r="U719" s="9"/>
      <c r="V719" s="9"/>
      <c r="W719" s="9"/>
      <c r="X719" s="9"/>
      <c r="Y719" s="9"/>
      <c r="Z719" s="9"/>
      <c r="AA719" s="9"/>
      <c r="AB719" s="9"/>
      <c r="AC719" s="9"/>
    </row>
    <row r="720" spans="1:29" ht="12.75" customHeight="1">
      <c r="A720" s="9"/>
      <c r="B720" s="9"/>
      <c r="C720" s="9"/>
      <c r="D720" s="9"/>
      <c r="E720" s="9"/>
      <c r="F720" s="9"/>
      <c r="G720" s="9"/>
      <c r="H720" s="548"/>
      <c r="I720" s="548"/>
      <c r="J720" s="548"/>
      <c r="K720" s="548"/>
      <c r="L720" s="548"/>
      <c r="M720" s="548"/>
      <c r="N720" s="548"/>
      <c r="O720" s="548"/>
      <c r="P720" s="548"/>
      <c r="Q720" s="548"/>
      <c r="R720" s="548"/>
      <c r="S720" s="548"/>
      <c r="T720" s="548"/>
      <c r="U720" s="9"/>
      <c r="V720" s="9"/>
      <c r="W720" s="9"/>
      <c r="X720" s="9"/>
      <c r="Y720" s="9"/>
      <c r="Z720" s="9"/>
      <c r="AA720" s="9"/>
      <c r="AB720" s="9"/>
      <c r="AC720" s="9"/>
    </row>
    <row r="721" spans="1:29" ht="12.75" customHeight="1">
      <c r="A721" s="9"/>
      <c r="B721" s="9"/>
      <c r="C721" s="9"/>
      <c r="D721" s="9"/>
      <c r="E721" s="9"/>
      <c r="F721" s="9"/>
      <c r="G721" s="9"/>
      <c r="H721" s="548"/>
      <c r="I721" s="548"/>
      <c r="J721" s="548"/>
      <c r="K721" s="548"/>
      <c r="L721" s="548"/>
      <c r="M721" s="548"/>
      <c r="N721" s="548"/>
      <c r="O721" s="548"/>
      <c r="P721" s="548"/>
      <c r="Q721" s="548"/>
      <c r="R721" s="548"/>
      <c r="S721" s="548"/>
      <c r="T721" s="548"/>
      <c r="U721" s="9"/>
      <c r="V721" s="9"/>
      <c r="W721" s="9"/>
      <c r="X721" s="9"/>
      <c r="Y721" s="9"/>
      <c r="Z721" s="9"/>
      <c r="AA721" s="9"/>
      <c r="AB721" s="9"/>
      <c r="AC721" s="9"/>
    </row>
    <row r="722" spans="1:29" ht="12.75" customHeight="1">
      <c r="A722" s="9"/>
      <c r="B722" s="9"/>
      <c r="C722" s="9"/>
      <c r="D722" s="9"/>
      <c r="E722" s="9"/>
      <c r="F722" s="9"/>
      <c r="G722" s="9"/>
      <c r="H722" s="548"/>
      <c r="I722" s="548"/>
      <c r="J722" s="548"/>
      <c r="K722" s="548"/>
      <c r="L722" s="548"/>
      <c r="M722" s="548"/>
      <c r="N722" s="548"/>
      <c r="O722" s="548"/>
      <c r="P722" s="548"/>
      <c r="Q722" s="548"/>
      <c r="R722" s="548"/>
      <c r="S722" s="548"/>
      <c r="T722" s="548"/>
      <c r="U722" s="9"/>
      <c r="V722" s="9"/>
      <c r="W722" s="9"/>
      <c r="X722" s="9"/>
      <c r="Y722" s="9"/>
      <c r="Z722" s="9"/>
      <c r="AA722" s="9"/>
      <c r="AB722" s="9"/>
      <c r="AC722" s="9"/>
    </row>
    <row r="723" spans="1:29" ht="12.75" customHeight="1">
      <c r="A723" s="9"/>
      <c r="B723" s="9"/>
      <c r="C723" s="9"/>
      <c r="D723" s="9"/>
      <c r="E723" s="9"/>
      <c r="F723" s="9"/>
      <c r="G723" s="9"/>
      <c r="H723" s="548"/>
      <c r="I723" s="548"/>
      <c r="J723" s="548"/>
      <c r="K723" s="548"/>
      <c r="L723" s="548"/>
      <c r="M723" s="548"/>
      <c r="N723" s="548"/>
      <c r="O723" s="548"/>
      <c r="P723" s="548"/>
      <c r="Q723" s="548"/>
      <c r="R723" s="548"/>
      <c r="S723" s="548"/>
      <c r="T723" s="548"/>
      <c r="U723" s="9"/>
      <c r="V723" s="9"/>
      <c r="W723" s="9"/>
      <c r="X723" s="9"/>
      <c r="Y723" s="9"/>
      <c r="Z723" s="9"/>
      <c r="AA723" s="9"/>
      <c r="AB723" s="9"/>
      <c r="AC723" s="9"/>
    </row>
    <row r="724" spans="1:29" ht="12.75" customHeight="1">
      <c r="A724" s="9"/>
      <c r="B724" s="9"/>
      <c r="C724" s="9"/>
      <c r="D724" s="9"/>
      <c r="E724" s="9"/>
      <c r="F724" s="9"/>
      <c r="G724" s="9"/>
      <c r="H724" s="548"/>
      <c r="I724" s="548"/>
      <c r="J724" s="548"/>
      <c r="K724" s="548"/>
      <c r="L724" s="548"/>
      <c r="M724" s="548"/>
      <c r="N724" s="548"/>
      <c r="O724" s="548"/>
      <c r="P724" s="548"/>
      <c r="Q724" s="548"/>
      <c r="R724" s="548"/>
      <c r="S724" s="548"/>
      <c r="T724" s="548"/>
      <c r="U724" s="9"/>
      <c r="V724" s="9"/>
      <c r="W724" s="9"/>
      <c r="X724" s="9"/>
      <c r="Y724" s="9"/>
      <c r="Z724" s="9"/>
      <c r="AA724" s="9"/>
      <c r="AB724" s="9"/>
      <c r="AC724" s="9"/>
    </row>
    <row r="725" spans="1:29" ht="12.75" customHeight="1">
      <c r="A725" s="9"/>
      <c r="B725" s="9"/>
      <c r="C725" s="9"/>
      <c r="D725" s="9"/>
      <c r="E725" s="9"/>
      <c r="F725" s="9"/>
      <c r="G725" s="9"/>
      <c r="H725" s="548"/>
      <c r="I725" s="548"/>
      <c r="J725" s="548"/>
      <c r="K725" s="548"/>
      <c r="L725" s="548"/>
      <c r="M725" s="548"/>
      <c r="N725" s="548"/>
      <c r="O725" s="548"/>
      <c r="P725" s="548"/>
      <c r="Q725" s="548"/>
      <c r="R725" s="548"/>
      <c r="S725" s="548"/>
      <c r="T725" s="548"/>
      <c r="U725" s="9"/>
      <c r="V725" s="9"/>
      <c r="W725" s="9"/>
      <c r="X725" s="9"/>
      <c r="Y725" s="9"/>
      <c r="Z725" s="9"/>
      <c r="AA725" s="9"/>
      <c r="AB725" s="9"/>
      <c r="AC725" s="9"/>
    </row>
    <row r="726" spans="1:29" ht="12.75" customHeight="1">
      <c r="A726" s="9"/>
      <c r="B726" s="9"/>
      <c r="C726" s="9"/>
      <c r="D726" s="9"/>
      <c r="E726" s="9"/>
      <c r="F726" s="9"/>
      <c r="G726" s="9"/>
      <c r="H726" s="548"/>
      <c r="I726" s="548"/>
      <c r="J726" s="548"/>
      <c r="K726" s="548"/>
      <c r="L726" s="548"/>
      <c r="M726" s="548"/>
      <c r="N726" s="548"/>
      <c r="O726" s="548"/>
      <c r="P726" s="548"/>
      <c r="Q726" s="548"/>
      <c r="R726" s="548"/>
      <c r="S726" s="548"/>
      <c r="T726" s="548"/>
      <c r="U726" s="9"/>
      <c r="V726" s="9"/>
      <c r="W726" s="9"/>
      <c r="X726" s="9"/>
      <c r="Y726" s="9"/>
      <c r="Z726" s="9"/>
      <c r="AA726" s="9"/>
      <c r="AB726" s="9"/>
      <c r="AC726" s="9"/>
    </row>
    <row r="727" spans="1:29" ht="12.75" customHeight="1">
      <c r="A727" s="9"/>
      <c r="B727" s="9"/>
      <c r="C727" s="9"/>
      <c r="D727" s="9"/>
      <c r="E727" s="9"/>
      <c r="F727" s="9"/>
      <c r="G727" s="9"/>
      <c r="H727" s="548"/>
      <c r="I727" s="548"/>
      <c r="J727" s="548"/>
      <c r="K727" s="548"/>
      <c r="L727" s="548"/>
      <c r="M727" s="548"/>
      <c r="N727" s="548"/>
      <c r="O727" s="548"/>
      <c r="P727" s="548"/>
      <c r="Q727" s="548"/>
      <c r="R727" s="548"/>
      <c r="S727" s="548"/>
      <c r="T727" s="548"/>
      <c r="U727" s="9"/>
      <c r="V727" s="9"/>
      <c r="W727" s="9"/>
      <c r="X727" s="9"/>
      <c r="Y727" s="9"/>
      <c r="Z727" s="9"/>
      <c r="AA727" s="9"/>
      <c r="AB727" s="9"/>
      <c r="AC727" s="9"/>
    </row>
    <row r="728" spans="1:29" ht="12.75" customHeight="1">
      <c r="A728" s="9"/>
      <c r="B728" s="9"/>
      <c r="C728" s="9"/>
      <c r="D728" s="9"/>
      <c r="E728" s="9"/>
      <c r="F728" s="9"/>
      <c r="G728" s="9"/>
      <c r="H728" s="548"/>
      <c r="I728" s="548"/>
      <c r="J728" s="548"/>
      <c r="K728" s="548"/>
      <c r="L728" s="548"/>
      <c r="M728" s="548"/>
      <c r="N728" s="548"/>
      <c r="O728" s="548"/>
      <c r="P728" s="548"/>
      <c r="Q728" s="548"/>
      <c r="R728" s="548"/>
      <c r="S728" s="548"/>
      <c r="T728" s="548"/>
      <c r="U728" s="9"/>
      <c r="V728" s="9"/>
      <c r="W728" s="9"/>
      <c r="X728" s="9"/>
      <c r="Y728" s="9"/>
      <c r="Z728" s="9"/>
      <c r="AA728" s="9"/>
      <c r="AB728" s="9"/>
      <c r="AC728" s="9"/>
    </row>
    <row r="729" spans="1:29" ht="12.75" customHeight="1">
      <c r="A729" s="9"/>
      <c r="B729" s="9"/>
      <c r="C729" s="9"/>
      <c r="D729" s="9"/>
      <c r="E729" s="9"/>
      <c r="F729" s="9"/>
      <c r="G729" s="9"/>
      <c r="H729" s="548"/>
      <c r="I729" s="548"/>
      <c r="J729" s="548"/>
      <c r="K729" s="548"/>
      <c r="L729" s="548"/>
      <c r="M729" s="548"/>
      <c r="N729" s="548"/>
      <c r="O729" s="548"/>
      <c r="P729" s="548"/>
      <c r="Q729" s="548"/>
      <c r="R729" s="548"/>
      <c r="S729" s="548"/>
      <c r="T729" s="548"/>
      <c r="U729" s="9"/>
      <c r="V729" s="9"/>
      <c r="W729" s="9"/>
      <c r="X729" s="9"/>
      <c r="Y729" s="9"/>
      <c r="Z729" s="9"/>
      <c r="AA729" s="9"/>
      <c r="AB729" s="9"/>
      <c r="AC729" s="9"/>
    </row>
    <row r="730" spans="1:29" ht="12.75" customHeight="1">
      <c r="A730" s="9"/>
      <c r="B730" s="9"/>
      <c r="C730" s="9"/>
      <c r="D730" s="9"/>
      <c r="E730" s="9"/>
      <c r="F730" s="9"/>
      <c r="G730" s="9"/>
      <c r="H730" s="548"/>
      <c r="I730" s="548"/>
      <c r="J730" s="548"/>
      <c r="K730" s="548"/>
      <c r="L730" s="548"/>
      <c r="M730" s="548"/>
      <c r="N730" s="548"/>
      <c r="O730" s="548"/>
      <c r="P730" s="548"/>
      <c r="Q730" s="548"/>
      <c r="R730" s="548"/>
      <c r="S730" s="548"/>
      <c r="T730" s="548"/>
      <c r="U730" s="9"/>
      <c r="V730" s="9"/>
      <c r="W730" s="9"/>
      <c r="X730" s="9"/>
      <c r="Y730" s="9"/>
      <c r="Z730" s="9"/>
      <c r="AA730" s="9"/>
      <c r="AB730" s="9"/>
      <c r="AC730" s="9"/>
    </row>
    <row r="731" spans="1:29" ht="12.75" customHeight="1">
      <c r="A731" s="9"/>
      <c r="B731" s="9"/>
      <c r="C731" s="9"/>
      <c r="D731" s="9"/>
      <c r="E731" s="9"/>
      <c r="F731" s="9"/>
      <c r="G731" s="9"/>
      <c r="H731" s="548"/>
      <c r="I731" s="548"/>
      <c r="J731" s="548"/>
      <c r="K731" s="548"/>
      <c r="L731" s="548"/>
      <c r="M731" s="548"/>
      <c r="N731" s="548"/>
      <c r="O731" s="548"/>
      <c r="P731" s="548"/>
      <c r="Q731" s="548"/>
      <c r="R731" s="548"/>
      <c r="S731" s="548"/>
      <c r="T731" s="548"/>
      <c r="U731" s="9"/>
      <c r="V731" s="9"/>
      <c r="W731" s="9"/>
      <c r="X731" s="9"/>
      <c r="Y731" s="9"/>
      <c r="Z731" s="9"/>
      <c r="AA731" s="9"/>
      <c r="AB731" s="9"/>
      <c r="AC731" s="9"/>
    </row>
    <row r="732" spans="1:29" ht="12.75" customHeight="1">
      <c r="A732" s="9"/>
      <c r="B732" s="9"/>
      <c r="C732" s="9"/>
      <c r="D732" s="9"/>
      <c r="E732" s="9"/>
      <c r="F732" s="9"/>
      <c r="G732" s="9"/>
      <c r="H732" s="548"/>
      <c r="I732" s="548"/>
      <c r="J732" s="548"/>
      <c r="K732" s="548"/>
      <c r="L732" s="548"/>
      <c r="M732" s="548"/>
      <c r="N732" s="548"/>
      <c r="O732" s="548"/>
      <c r="P732" s="548"/>
      <c r="Q732" s="548"/>
      <c r="R732" s="548"/>
      <c r="S732" s="548"/>
      <c r="T732" s="548"/>
      <c r="U732" s="9"/>
      <c r="V732" s="9"/>
      <c r="W732" s="9"/>
      <c r="X732" s="9"/>
      <c r="Y732" s="9"/>
      <c r="Z732" s="9"/>
      <c r="AA732" s="9"/>
      <c r="AB732" s="9"/>
      <c r="AC732" s="9"/>
    </row>
    <row r="733" spans="1:29" ht="12.75" customHeight="1">
      <c r="A733" s="9"/>
      <c r="B733" s="9"/>
      <c r="C733" s="9"/>
      <c r="D733" s="9"/>
      <c r="E733" s="9"/>
      <c r="F733" s="9"/>
      <c r="G733" s="9"/>
      <c r="H733" s="548"/>
      <c r="I733" s="548"/>
      <c r="J733" s="548"/>
      <c r="K733" s="548"/>
      <c r="L733" s="548"/>
      <c r="M733" s="548"/>
      <c r="N733" s="548"/>
      <c r="O733" s="548"/>
      <c r="P733" s="548"/>
      <c r="Q733" s="548"/>
      <c r="R733" s="548"/>
      <c r="S733" s="548"/>
      <c r="T733" s="548"/>
      <c r="U733" s="9"/>
      <c r="V733" s="9"/>
      <c r="W733" s="9"/>
      <c r="X733" s="9"/>
      <c r="Y733" s="9"/>
      <c r="Z733" s="9"/>
      <c r="AA733" s="9"/>
      <c r="AB733" s="9"/>
      <c r="AC733" s="9"/>
    </row>
    <row r="734" spans="1:29" ht="12.75" customHeight="1">
      <c r="A734" s="9"/>
      <c r="B734" s="9"/>
      <c r="C734" s="9"/>
      <c r="D734" s="9"/>
      <c r="E734" s="9"/>
      <c r="F734" s="9"/>
      <c r="G734" s="9"/>
      <c r="H734" s="548"/>
      <c r="I734" s="548"/>
      <c r="J734" s="548"/>
      <c r="K734" s="548"/>
      <c r="L734" s="548"/>
      <c r="M734" s="548"/>
      <c r="N734" s="548"/>
      <c r="O734" s="548"/>
      <c r="P734" s="548"/>
      <c r="Q734" s="548"/>
      <c r="R734" s="548"/>
      <c r="S734" s="548"/>
      <c r="T734" s="548"/>
      <c r="U734" s="9"/>
      <c r="V734" s="9"/>
      <c r="W734" s="9"/>
      <c r="X734" s="9"/>
      <c r="Y734" s="9"/>
      <c r="Z734" s="9"/>
      <c r="AA734" s="9"/>
      <c r="AB734" s="9"/>
      <c r="AC734" s="9"/>
    </row>
    <row r="735" spans="1:29" ht="12.75" customHeight="1">
      <c r="A735" s="9"/>
      <c r="B735" s="9"/>
      <c r="C735" s="9"/>
      <c r="D735" s="9"/>
      <c r="E735" s="9"/>
      <c r="F735" s="9"/>
      <c r="G735" s="9"/>
      <c r="H735" s="548"/>
      <c r="I735" s="548"/>
      <c r="J735" s="548"/>
      <c r="K735" s="548"/>
      <c r="L735" s="548"/>
      <c r="M735" s="548"/>
      <c r="N735" s="548"/>
      <c r="O735" s="548"/>
      <c r="P735" s="548"/>
      <c r="Q735" s="548"/>
      <c r="R735" s="548"/>
      <c r="S735" s="548"/>
      <c r="T735" s="548"/>
      <c r="U735" s="9"/>
      <c r="V735" s="9"/>
      <c r="W735" s="9"/>
      <c r="X735" s="9"/>
      <c r="Y735" s="9"/>
      <c r="Z735" s="9"/>
      <c r="AA735" s="9"/>
      <c r="AB735" s="9"/>
      <c r="AC735" s="9"/>
    </row>
    <row r="736" spans="1:29" ht="12.75" customHeight="1">
      <c r="A736" s="9"/>
      <c r="B736" s="9"/>
      <c r="C736" s="9"/>
      <c r="D736" s="9"/>
      <c r="E736" s="9"/>
      <c r="F736" s="9"/>
      <c r="G736" s="9"/>
      <c r="H736" s="548"/>
      <c r="I736" s="548"/>
      <c r="J736" s="548"/>
      <c r="K736" s="548"/>
      <c r="L736" s="548"/>
      <c r="M736" s="548"/>
      <c r="N736" s="548"/>
      <c r="O736" s="548"/>
      <c r="P736" s="548"/>
      <c r="Q736" s="548"/>
      <c r="R736" s="548"/>
      <c r="S736" s="548"/>
      <c r="T736" s="548"/>
      <c r="U736" s="9"/>
      <c r="V736" s="9"/>
      <c r="W736" s="9"/>
      <c r="X736" s="9"/>
      <c r="Y736" s="9"/>
      <c r="Z736" s="9"/>
      <c r="AA736" s="9"/>
      <c r="AB736" s="9"/>
      <c r="AC736" s="9"/>
    </row>
    <row r="737" spans="1:29" ht="12.75" customHeight="1">
      <c r="A737" s="9"/>
      <c r="B737" s="9"/>
      <c r="C737" s="9"/>
      <c r="D737" s="9"/>
      <c r="E737" s="9"/>
      <c r="F737" s="9"/>
      <c r="G737" s="9"/>
      <c r="H737" s="548"/>
      <c r="I737" s="548"/>
      <c r="J737" s="548"/>
      <c r="K737" s="548"/>
      <c r="L737" s="548"/>
      <c r="M737" s="548"/>
      <c r="N737" s="548"/>
      <c r="O737" s="548"/>
      <c r="P737" s="548"/>
      <c r="Q737" s="548"/>
      <c r="R737" s="548"/>
      <c r="S737" s="548"/>
      <c r="T737" s="548"/>
      <c r="U737" s="9"/>
      <c r="V737" s="9"/>
      <c r="W737" s="9"/>
      <c r="X737" s="9"/>
      <c r="Y737" s="9"/>
      <c r="Z737" s="9"/>
      <c r="AA737" s="9"/>
      <c r="AB737" s="9"/>
      <c r="AC737" s="9"/>
    </row>
    <row r="738" spans="1:29" ht="12.75" customHeight="1">
      <c r="A738" s="9"/>
      <c r="B738" s="9"/>
      <c r="C738" s="9"/>
      <c r="D738" s="9"/>
      <c r="E738" s="9"/>
      <c r="F738" s="9"/>
      <c r="G738" s="9"/>
      <c r="H738" s="548"/>
      <c r="I738" s="548"/>
      <c r="J738" s="548"/>
      <c r="K738" s="548"/>
      <c r="L738" s="548"/>
      <c r="M738" s="548"/>
      <c r="N738" s="548"/>
      <c r="O738" s="548"/>
      <c r="P738" s="548"/>
      <c r="Q738" s="548"/>
      <c r="R738" s="548"/>
      <c r="S738" s="548"/>
      <c r="T738" s="548"/>
      <c r="U738" s="9"/>
      <c r="V738" s="9"/>
      <c r="W738" s="9"/>
      <c r="X738" s="9"/>
      <c r="Y738" s="9"/>
      <c r="Z738" s="9"/>
      <c r="AA738" s="9"/>
      <c r="AB738" s="9"/>
      <c r="AC738" s="9"/>
    </row>
    <row r="739" spans="1:29" ht="12.75" customHeight="1">
      <c r="A739" s="9"/>
      <c r="B739" s="9"/>
      <c r="C739" s="9"/>
      <c r="D739" s="9"/>
      <c r="E739" s="9"/>
      <c r="F739" s="9"/>
      <c r="G739" s="9"/>
      <c r="H739" s="548"/>
      <c r="I739" s="548"/>
      <c r="J739" s="548"/>
      <c r="K739" s="548"/>
      <c r="L739" s="548"/>
      <c r="M739" s="548"/>
      <c r="N739" s="548"/>
      <c r="O739" s="548"/>
      <c r="P739" s="548"/>
      <c r="Q739" s="548"/>
      <c r="R739" s="548"/>
      <c r="S739" s="548"/>
      <c r="T739" s="548"/>
      <c r="U739" s="9"/>
      <c r="V739" s="9"/>
      <c r="W739" s="9"/>
      <c r="X739" s="9"/>
      <c r="Y739" s="9"/>
      <c r="Z739" s="9"/>
      <c r="AA739" s="9"/>
      <c r="AB739" s="9"/>
      <c r="AC739" s="9"/>
    </row>
    <row r="740" spans="1:29" ht="12.75" customHeight="1">
      <c r="A740" s="9"/>
      <c r="B740" s="9"/>
      <c r="C740" s="9"/>
      <c r="D740" s="9"/>
      <c r="E740" s="9"/>
      <c r="F740" s="9"/>
      <c r="G740" s="9"/>
      <c r="H740" s="548"/>
      <c r="I740" s="548"/>
      <c r="J740" s="548"/>
      <c r="K740" s="548"/>
      <c r="L740" s="548"/>
      <c r="M740" s="548"/>
      <c r="N740" s="548"/>
      <c r="O740" s="548"/>
      <c r="P740" s="548"/>
      <c r="Q740" s="548"/>
      <c r="R740" s="548"/>
      <c r="S740" s="548"/>
      <c r="T740" s="548"/>
      <c r="U740" s="9"/>
      <c r="V740" s="9"/>
      <c r="W740" s="9"/>
      <c r="X740" s="9"/>
      <c r="Y740" s="9"/>
      <c r="Z740" s="9"/>
      <c r="AA740" s="9"/>
      <c r="AB740" s="9"/>
      <c r="AC740" s="9"/>
    </row>
    <row r="741" spans="1:29" ht="12.75" customHeight="1">
      <c r="A741" s="9"/>
      <c r="B741" s="9"/>
      <c r="C741" s="9"/>
      <c r="D741" s="9"/>
      <c r="E741" s="9"/>
      <c r="F741" s="9"/>
      <c r="G741" s="9"/>
      <c r="H741" s="548"/>
      <c r="I741" s="548"/>
      <c r="J741" s="548"/>
      <c r="K741" s="548"/>
      <c r="L741" s="548"/>
      <c r="M741" s="548"/>
      <c r="N741" s="548"/>
      <c r="O741" s="548"/>
      <c r="P741" s="548"/>
      <c r="Q741" s="548"/>
      <c r="R741" s="548"/>
      <c r="S741" s="548"/>
      <c r="T741" s="548"/>
      <c r="U741" s="9"/>
      <c r="V741" s="9"/>
      <c r="W741" s="9"/>
      <c r="X741" s="9"/>
      <c r="Y741" s="9"/>
      <c r="Z741" s="9"/>
      <c r="AA741" s="9"/>
      <c r="AB741" s="9"/>
      <c r="AC741" s="9"/>
    </row>
    <row r="742" spans="1:29" ht="12.75" customHeight="1">
      <c r="A742" s="9"/>
      <c r="B742" s="9"/>
      <c r="C742" s="9"/>
      <c r="D742" s="9"/>
      <c r="E742" s="9"/>
      <c r="F742" s="9"/>
      <c r="G742" s="9"/>
      <c r="H742" s="548"/>
      <c r="I742" s="548"/>
      <c r="J742" s="548"/>
      <c r="K742" s="548"/>
      <c r="L742" s="548"/>
      <c r="M742" s="548"/>
      <c r="N742" s="548"/>
      <c r="O742" s="548"/>
      <c r="P742" s="548"/>
      <c r="Q742" s="548"/>
      <c r="R742" s="548"/>
      <c r="S742" s="548"/>
      <c r="T742" s="548"/>
      <c r="U742" s="9"/>
      <c r="V742" s="9"/>
      <c r="W742" s="9"/>
      <c r="X742" s="9"/>
      <c r="Y742" s="9"/>
      <c r="Z742" s="9"/>
      <c r="AA742" s="9"/>
      <c r="AB742" s="9"/>
      <c r="AC742" s="9"/>
    </row>
    <row r="743" spans="1:29" ht="12.75" customHeight="1">
      <c r="A743" s="9"/>
      <c r="B743" s="9"/>
      <c r="C743" s="9"/>
      <c r="D743" s="9"/>
      <c r="E743" s="9"/>
      <c r="F743" s="9"/>
      <c r="G743" s="9"/>
      <c r="H743" s="548"/>
      <c r="I743" s="548"/>
      <c r="J743" s="548"/>
      <c r="K743" s="548"/>
      <c r="L743" s="548"/>
      <c r="M743" s="548"/>
      <c r="N743" s="548"/>
      <c r="O743" s="548"/>
      <c r="P743" s="548"/>
      <c r="Q743" s="548"/>
      <c r="R743" s="548"/>
      <c r="S743" s="548"/>
      <c r="T743" s="548"/>
      <c r="U743" s="9"/>
      <c r="V743" s="9"/>
      <c r="W743" s="9"/>
      <c r="X743" s="9"/>
      <c r="Y743" s="9"/>
      <c r="Z743" s="9"/>
      <c r="AA743" s="9"/>
      <c r="AB743" s="9"/>
      <c r="AC743" s="9"/>
    </row>
    <row r="744" spans="1:29" ht="12.75" customHeight="1">
      <c r="A744" s="9"/>
      <c r="B744" s="9"/>
      <c r="C744" s="9"/>
      <c r="D744" s="9"/>
      <c r="E744" s="9"/>
      <c r="F744" s="9"/>
      <c r="G744" s="9"/>
      <c r="H744" s="548"/>
      <c r="I744" s="548"/>
      <c r="J744" s="548"/>
      <c r="K744" s="548"/>
      <c r="L744" s="548"/>
      <c r="M744" s="548"/>
      <c r="N744" s="548"/>
      <c r="O744" s="548"/>
      <c r="P744" s="548"/>
      <c r="Q744" s="548"/>
      <c r="R744" s="548"/>
      <c r="S744" s="548"/>
      <c r="T744" s="548"/>
      <c r="U744" s="9"/>
      <c r="V744" s="9"/>
      <c r="W744" s="9"/>
      <c r="X744" s="9"/>
      <c r="Y744" s="9"/>
      <c r="Z744" s="9"/>
      <c r="AA744" s="9"/>
      <c r="AB744" s="9"/>
      <c r="AC744" s="9"/>
    </row>
    <row r="745" spans="1:29" ht="12.75" customHeight="1">
      <c r="A745" s="9"/>
      <c r="B745" s="9"/>
      <c r="C745" s="9"/>
      <c r="D745" s="9"/>
      <c r="E745" s="9"/>
      <c r="F745" s="9"/>
      <c r="G745" s="9"/>
      <c r="H745" s="548"/>
      <c r="I745" s="548"/>
      <c r="J745" s="548"/>
      <c r="K745" s="548"/>
      <c r="L745" s="548"/>
      <c r="M745" s="548"/>
      <c r="N745" s="548"/>
      <c r="O745" s="548"/>
      <c r="P745" s="548"/>
      <c r="Q745" s="548"/>
      <c r="R745" s="548"/>
      <c r="S745" s="548"/>
      <c r="T745" s="548"/>
      <c r="U745" s="9"/>
      <c r="V745" s="9"/>
      <c r="W745" s="9"/>
      <c r="X745" s="9"/>
      <c r="Y745" s="9"/>
      <c r="Z745" s="9"/>
      <c r="AA745" s="9"/>
      <c r="AB745" s="9"/>
      <c r="AC745" s="9"/>
    </row>
    <row r="746" spans="1:29" ht="12.75" customHeight="1">
      <c r="A746" s="9"/>
      <c r="B746" s="9"/>
      <c r="C746" s="9"/>
      <c r="D746" s="9"/>
      <c r="E746" s="9"/>
      <c r="F746" s="9"/>
      <c r="G746" s="9"/>
      <c r="H746" s="548"/>
      <c r="I746" s="548"/>
      <c r="J746" s="548"/>
      <c r="K746" s="548"/>
      <c r="L746" s="548"/>
      <c r="M746" s="548"/>
      <c r="N746" s="548"/>
      <c r="O746" s="548"/>
      <c r="P746" s="548"/>
      <c r="Q746" s="548"/>
      <c r="R746" s="548"/>
      <c r="S746" s="548"/>
      <c r="T746" s="548"/>
      <c r="U746" s="9"/>
      <c r="V746" s="9"/>
      <c r="W746" s="9"/>
      <c r="X746" s="9"/>
      <c r="Y746" s="9"/>
      <c r="Z746" s="9"/>
      <c r="AA746" s="9"/>
      <c r="AB746" s="9"/>
      <c r="AC746" s="9"/>
    </row>
    <row r="747" spans="1:29" ht="12.75" customHeight="1">
      <c r="A747" s="9"/>
      <c r="B747" s="9"/>
      <c r="C747" s="9"/>
      <c r="D747" s="9"/>
      <c r="E747" s="9"/>
      <c r="F747" s="9"/>
      <c r="G747" s="9"/>
      <c r="H747" s="548"/>
      <c r="I747" s="548"/>
      <c r="J747" s="548"/>
      <c r="K747" s="548"/>
      <c r="L747" s="548"/>
      <c r="M747" s="548"/>
      <c r="N747" s="548"/>
      <c r="O747" s="548"/>
      <c r="P747" s="548"/>
      <c r="Q747" s="548"/>
      <c r="R747" s="548"/>
      <c r="S747" s="548"/>
      <c r="T747" s="548"/>
      <c r="U747" s="9"/>
      <c r="V747" s="9"/>
      <c r="W747" s="9"/>
      <c r="X747" s="9"/>
      <c r="Y747" s="9"/>
      <c r="Z747" s="9"/>
      <c r="AA747" s="9"/>
      <c r="AB747" s="9"/>
      <c r="AC747" s="9"/>
    </row>
    <row r="748" spans="1:29" ht="12.75" customHeight="1">
      <c r="A748" s="9"/>
      <c r="B748" s="9"/>
      <c r="C748" s="9"/>
      <c r="D748" s="9"/>
      <c r="E748" s="9"/>
      <c r="F748" s="9"/>
      <c r="G748" s="9"/>
      <c r="H748" s="548"/>
      <c r="I748" s="548"/>
      <c r="J748" s="548"/>
      <c r="K748" s="548"/>
      <c r="L748" s="548"/>
      <c r="M748" s="548"/>
      <c r="N748" s="548"/>
      <c r="O748" s="548"/>
      <c r="P748" s="548"/>
      <c r="Q748" s="548"/>
      <c r="R748" s="548"/>
      <c r="S748" s="548"/>
      <c r="T748" s="548"/>
      <c r="U748" s="9"/>
      <c r="V748" s="9"/>
      <c r="W748" s="9"/>
      <c r="X748" s="9"/>
      <c r="Y748" s="9"/>
      <c r="Z748" s="9"/>
      <c r="AA748" s="9"/>
      <c r="AB748" s="9"/>
      <c r="AC748" s="9"/>
    </row>
    <row r="749" spans="1:29" ht="12.75" customHeight="1">
      <c r="A749" s="9"/>
      <c r="B749" s="9"/>
      <c r="C749" s="9"/>
      <c r="D749" s="9"/>
      <c r="E749" s="9"/>
      <c r="F749" s="9"/>
      <c r="G749" s="9"/>
      <c r="H749" s="548"/>
      <c r="I749" s="548"/>
      <c r="J749" s="548"/>
      <c r="K749" s="548"/>
      <c r="L749" s="548"/>
      <c r="M749" s="548"/>
      <c r="N749" s="548"/>
      <c r="O749" s="548"/>
      <c r="P749" s="548"/>
      <c r="Q749" s="548"/>
      <c r="R749" s="548"/>
      <c r="S749" s="548"/>
      <c r="T749" s="548"/>
      <c r="U749" s="9"/>
      <c r="V749" s="9"/>
      <c r="W749" s="9"/>
      <c r="X749" s="9"/>
      <c r="Y749" s="9"/>
      <c r="Z749" s="9"/>
      <c r="AA749" s="9"/>
      <c r="AB749" s="9"/>
      <c r="AC749" s="9"/>
    </row>
    <row r="750" spans="1:29" ht="12.75" customHeight="1">
      <c r="A750" s="9"/>
      <c r="B750" s="9"/>
      <c r="C750" s="9"/>
      <c r="D750" s="9"/>
      <c r="E750" s="9"/>
      <c r="F750" s="9"/>
      <c r="G750" s="9"/>
      <c r="H750" s="548"/>
      <c r="I750" s="548"/>
      <c r="J750" s="548"/>
      <c r="K750" s="548"/>
      <c r="L750" s="548"/>
      <c r="M750" s="548"/>
      <c r="N750" s="548"/>
      <c r="O750" s="548"/>
      <c r="P750" s="548"/>
      <c r="Q750" s="548"/>
      <c r="R750" s="548"/>
      <c r="S750" s="548"/>
      <c r="T750" s="548"/>
      <c r="U750" s="9"/>
      <c r="V750" s="9"/>
      <c r="W750" s="9"/>
      <c r="X750" s="9"/>
      <c r="Y750" s="9"/>
      <c r="Z750" s="9"/>
      <c r="AA750" s="9"/>
      <c r="AB750" s="9"/>
      <c r="AC750" s="9"/>
    </row>
    <row r="751" spans="1:29" ht="12.75" customHeight="1">
      <c r="A751" s="9"/>
      <c r="B751" s="9"/>
      <c r="C751" s="9"/>
      <c r="D751" s="9"/>
      <c r="E751" s="9"/>
      <c r="F751" s="9"/>
      <c r="G751" s="9"/>
      <c r="H751" s="548"/>
      <c r="I751" s="548"/>
      <c r="J751" s="548"/>
      <c r="K751" s="548"/>
      <c r="L751" s="548"/>
      <c r="M751" s="548"/>
      <c r="N751" s="548"/>
      <c r="O751" s="548"/>
      <c r="P751" s="548"/>
      <c r="Q751" s="548"/>
      <c r="R751" s="548"/>
      <c r="S751" s="548"/>
      <c r="T751" s="548"/>
      <c r="U751" s="9"/>
      <c r="V751" s="9"/>
      <c r="W751" s="9"/>
      <c r="X751" s="9"/>
      <c r="Y751" s="9"/>
      <c r="Z751" s="9"/>
      <c r="AA751" s="9"/>
      <c r="AB751" s="9"/>
      <c r="AC751" s="9"/>
    </row>
    <row r="752" spans="1:29" ht="12.75" customHeight="1">
      <c r="A752" s="9"/>
      <c r="B752" s="9"/>
      <c r="C752" s="9"/>
      <c r="D752" s="9"/>
      <c r="E752" s="9"/>
      <c r="F752" s="9"/>
      <c r="G752" s="9"/>
      <c r="H752" s="548"/>
      <c r="I752" s="548"/>
      <c r="J752" s="548"/>
      <c r="K752" s="548"/>
      <c r="L752" s="548"/>
      <c r="M752" s="548"/>
      <c r="N752" s="548"/>
      <c r="O752" s="548"/>
      <c r="P752" s="548"/>
      <c r="Q752" s="548"/>
      <c r="R752" s="548"/>
      <c r="S752" s="548"/>
      <c r="T752" s="548"/>
      <c r="U752" s="9"/>
      <c r="V752" s="9"/>
      <c r="W752" s="9"/>
      <c r="X752" s="9"/>
      <c r="Y752" s="9"/>
      <c r="Z752" s="9"/>
      <c r="AA752" s="9"/>
      <c r="AB752" s="9"/>
      <c r="AC752" s="9"/>
    </row>
    <row r="753" spans="1:29" ht="12.75" customHeight="1">
      <c r="A753" s="9"/>
      <c r="B753" s="9"/>
      <c r="C753" s="9"/>
      <c r="D753" s="9"/>
      <c r="E753" s="9"/>
      <c r="F753" s="9"/>
      <c r="G753" s="9"/>
      <c r="H753" s="548"/>
      <c r="I753" s="548"/>
      <c r="J753" s="548"/>
      <c r="K753" s="548"/>
      <c r="L753" s="548"/>
      <c r="M753" s="548"/>
      <c r="N753" s="548"/>
      <c r="O753" s="548"/>
      <c r="P753" s="548"/>
      <c r="Q753" s="548"/>
      <c r="R753" s="548"/>
      <c r="S753" s="548"/>
      <c r="T753" s="548"/>
      <c r="U753" s="9"/>
      <c r="V753" s="9"/>
      <c r="W753" s="9"/>
      <c r="X753" s="9"/>
      <c r="Y753" s="9"/>
      <c r="Z753" s="9"/>
      <c r="AA753" s="9"/>
      <c r="AB753" s="9"/>
      <c r="AC753" s="9"/>
    </row>
    <row r="754" spans="1:29" ht="12.75" customHeight="1">
      <c r="A754" s="9"/>
      <c r="B754" s="9"/>
      <c r="C754" s="9"/>
      <c r="D754" s="9"/>
      <c r="E754" s="9"/>
      <c r="F754" s="9"/>
      <c r="G754" s="9"/>
      <c r="H754" s="548"/>
      <c r="I754" s="548"/>
      <c r="J754" s="548"/>
      <c r="K754" s="548"/>
      <c r="L754" s="548"/>
      <c r="M754" s="548"/>
      <c r="N754" s="548"/>
      <c r="O754" s="548"/>
      <c r="P754" s="548"/>
      <c r="Q754" s="548"/>
      <c r="R754" s="548"/>
      <c r="S754" s="548"/>
      <c r="T754" s="548"/>
      <c r="U754" s="9"/>
      <c r="V754" s="9"/>
      <c r="W754" s="9"/>
      <c r="X754" s="9"/>
      <c r="Y754" s="9"/>
      <c r="Z754" s="9"/>
      <c r="AA754" s="9"/>
      <c r="AB754" s="9"/>
      <c r="AC754" s="9"/>
    </row>
    <row r="755" spans="1:29" ht="12.75" customHeight="1">
      <c r="A755" s="9"/>
      <c r="B755" s="9"/>
      <c r="C755" s="9"/>
      <c r="D755" s="9"/>
      <c r="E755" s="9"/>
      <c r="F755" s="9"/>
      <c r="G755" s="9"/>
      <c r="H755" s="548"/>
      <c r="I755" s="548"/>
      <c r="J755" s="548"/>
      <c r="K755" s="548"/>
      <c r="L755" s="548"/>
      <c r="M755" s="548"/>
      <c r="N755" s="548"/>
      <c r="O755" s="548"/>
      <c r="P755" s="548"/>
      <c r="Q755" s="548"/>
      <c r="R755" s="548"/>
      <c r="S755" s="548"/>
      <c r="T755" s="548"/>
      <c r="U755" s="9"/>
      <c r="V755" s="9"/>
      <c r="W755" s="9"/>
      <c r="X755" s="9"/>
      <c r="Y755" s="9"/>
      <c r="Z755" s="9"/>
      <c r="AA755" s="9"/>
      <c r="AB755" s="9"/>
      <c r="AC755" s="9"/>
    </row>
    <row r="756" spans="1:29" ht="12.75" customHeight="1">
      <c r="A756" s="9"/>
      <c r="B756" s="9"/>
      <c r="C756" s="9"/>
      <c r="D756" s="9"/>
      <c r="E756" s="9"/>
      <c r="F756" s="9"/>
      <c r="G756" s="9"/>
      <c r="H756" s="548"/>
      <c r="I756" s="548"/>
      <c r="J756" s="548"/>
      <c r="K756" s="548"/>
      <c r="L756" s="548"/>
      <c r="M756" s="548"/>
      <c r="N756" s="548"/>
      <c r="O756" s="548"/>
      <c r="P756" s="548"/>
      <c r="Q756" s="548"/>
      <c r="R756" s="548"/>
      <c r="S756" s="548"/>
      <c r="T756" s="548"/>
      <c r="U756" s="9"/>
      <c r="V756" s="9"/>
      <c r="W756" s="9"/>
      <c r="X756" s="9"/>
      <c r="Y756" s="9"/>
      <c r="Z756" s="9"/>
      <c r="AA756" s="9"/>
      <c r="AB756" s="9"/>
      <c r="AC756" s="9"/>
    </row>
    <row r="757" spans="1:29" ht="12.75" customHeight="1">
      <c r="A757" s="9"/>
      <c r="B757" s="9"/>
      <c r="C757" s="9"/>
      <c r="D757" s="9"/>
      <c r="E757" s="9"/>
      <c r="F757" s="9"/>
      <c r="G757" s="9"/>
      <c r="H757" s="548"/>
      <c r="I757" s="548"/>
      <c r="J757" s="548"/>
      <c r="K757" s="548"/>
      <c r="L757" s="548"/>
      <c r="M757" s="548"/>
      <c r="N757" s="548"/>
      <c r="O757" s="548"/>
      <c r="P757" s="548"/>
      <c r="Q757" s="548"/>
      <c r="R757" s="548"/>
      <c r="S757" s="548"/>
      <c r="T757" s="548"/>
      <c r="U757" s="9"/>
      <c r="V757" s="9"/>
      <c r="W757" s="9"/>
      <c r="X757" s="9"/>
      <c r="Y757" s="9"/>
      <c r="Z757" s="9"/>
      <c r="AA757" s="9"/>
      <c r="AB757" s="9"/>
      <c r="AC757" s="9"/>
    </row>
    <row r="758" spans="1:29" ht="12.75" customHeight="1">
      <c r="A758" s="9"/>
      <c r="B758" s="9"/>
      <c r="C758" s="9"/>
      <c r="D758" s="9"/>
      <c r="E758" s="9"/>
      <c r="F758" s="9"/>
      <c r="G758" s="9"/>
      <c r="H758" s="548"/>
      <c r="I758" s="548"/>
      <c r="J758" s="548"/>
      <c r="K758" s="548"/>
      <c r="L758" s="548"/>
      <c r="M758" s="548"/>
      <c r="N758" s="548"/>
      <c r="O758" s="548"/>
      <c r="P758" s="548"/>
      <c r="Q758" s="548"/>
      <c r="R758" s="548"/>
      <c r="S758" s="548"/>
      <c r="T758" s="548"/>
      <c r="U758" s="9"/>
      <c r="V758" s="9"/>
      <c r="W758" s="9"/>
      <c r="X758" s="9"/>
      <c r="Y758" s="9"/>
      <c r="Z758" s="9"/>
      <c r="AA758" s="9"/>
      <c r="AB758" s="9"/>
      <c r="AC758" s="9"/>
    </row>
    <row r="759" spans="1:29" ht="12.75" customHeight="1">
      <c r="A759" s="9"/>
      <c r="B759" s="9"/>
      <c r="C759" s="9"/>
      <c r="D759" s="9"/>
      <c r="E759" s="9"/>
      <c r="F759" s="9"/>
      <c r="G759" s="9"/>
      <c r="H759" s="548"/>
      <c r="I759" s="548"/>
      <c r="J759" s="548"/>
      <c r="K759" s="548"/>
      <c r="L759" s="548"/>
      <c r="M759" s="548"/>
      <c r="N759" s="548"/>
      <c r="O759" s="548"/>
      <c r="P759" s="548"/>
      <c r="Q759" s="548"/>
      <c r="R759" s="548"/>
      <c r="S759" s="548"/>
      <c r="T759" s="548"/>
      <c r="U759" s="9"/>
      <c r="V759" s="9"/>
      <c r="W759" s="9"/>
      <c r="X759" s="9"/>
      <c r="Y759" s="9"/>
      <c r="Z759" s="9"/>
      <c r="AA759" s="9"/>
      <c r="AB759" s="9"/>
      <c r="AC759" s="9"/>
    </row>
    <row r="760" spans="1:29" ht="12.75" customHeight="1">
      <c r="A760" s="9"/>
      <c r="B760" s="9"/>
      <c r="C760" s="9"/>
      <c r="D760" s="9"/>
      <c r="E760" s="9"/>
      <c r="F760" s="9"/>
      <c r="G760" s="9"/>
      <c r="H760" s="548"/>
      <c r="I760" s="548"/>
      <c r="J760" s="548"/>
      <c r="K760" s="548"/>
      <c r="L760" s="548"/>
      <c r="M760" s="548"/>
      <c r="N760" s="548"/>
      <c r="O760" s="548"/>
      <c r="P760" s="548"/>
      <c r="Q760" s="548"/>
      <c r="R760" s="548"/>
      <c r="S760" s="548"/>
      <c r="T760" s="548"/>
      <c r="U760" s="9"/>
      <c r="V760" s="9"/>
      <c r="W760" s="9"/>
      <c r="X760" s="9"/>
      <c r="Y760" s="9"/>
      <c r="Z760" s="9"/>
      <c r="AA760" s="9"/>
      <c r="AB760" s="9"/>
      <c r="AC760" s="9"/>
    </row>
    <row r="761" spans="1:29" ht="12.75" customHeight="1">
      <c r="A761" s="9"/>
      <c r="B761" s="9"/>
      <c r="C761" s="9"/>
      <c r="D761" s="9"/>
      <c r="E761" s="9"/>
      <c r="F761" s="9"/>
      <c r="G761" s="9"/>
      <c r="H761" s="548"/>
      <c r="I761" s="548"/>
      <c r="J761" s="548"/>
      <c r="K761" s="548"/>
      <c r="L761" s="548"/>
      <c r="M761" s="548"/>
      <c r="N761" s="548"/>
      <c r="O761" s="548"/>
      <c r="P761" s="548"/>
      <c r="Q761" s="548"/>
      <c r="R761" s="548"/>
      <c r="S761" s="548"/>
      <c r="T761" s="548"/>
      <c r="U761" s="9"/>
      <c r="V761" s="9"/>
      <c r="W761" s="9"/>
      <c r="X761" s="9"/>
      <c r="Y761" s="9"/>
      <c r="Z761" s="9"/>
      <c r="AA761" s="9"/>
      <c r="AB761" s="9"/>
      <c r="AC761" s="9"/>
    </row>
    <row r="762" spans="1:29" ht="12.75" customHeight="1">
      <c r="A762" s="9"/>
      <c r="B762" s="9"/>
      <c r="C762" s="9"/>
      <c r="D762" s="9"/>
      <c r="E762" s="9"/>
      <c r="F762" s="9"/>
      <c r="G762" s="9"/>
      <c r="H762" s="548"/>
      <c r="I762" s="548"/>
      <c r="J762" s="548"/>
      <c r="K762" s="548"/>
      <c r="L762" s="548"/>
      <c r="M762" s="548"/>
      <c r="N762" s="548"/>
      <c r="O762" s="548"/>
      <c r="P762" s="548"/>
      <c r="Q762" s="548"/>
      <c r="R762" s="548"/>
      <c r="S762" s="548"/>
      <c r="T762" s="548"/>
      <c r="U762" s="9"/>
      <c r="V762" s="9"/>
      <c r="W762" s="9"/>
      <c r="X762" s="9"/>
      <c r="Y762" s="9"/>
      <c r="Z762" s="9"/>
      <c r="AA762" s="9"/>
      <c r="AB762" s="9"/>
      <c r="AC762" s="9"/>
    </row>
    <row r="763" spans="1:29" ht="12.75" customHeight="1">
      <c r="A763" s="9"/>
      <c r="B763" s="9"/>
      <c r="C763" s="9"/>
      <c r="D763" s="9"/>
      <c r="E763" s="9"/>
      <c r="F763" s="9"/>
      <c r="G763" s="9"/>
      <c r="H763" s="548"/>
      <c r="I763" s="548"/>
      <c r="J763" s="548"/>
      <c r="K763" s="548"/>
      <c r="L763" s="548"/>
      <c r="M763" s="548"/>
      <c r="N763" s="548"/>
      <c r="O763" s="548"/>
      <c r="P763" s="548"/>
      <c r="Q763" s="548"/>
      <c r="R763" s="548"/>
      <c r="S763" s="548"/>
      <c r="T763" s="548"/>
      <c r="U763" s="9"/>
      <c r="V763" s="9"/>
      <c r="W763" s="9"/>
      <c r="X763" s="9"/>
      <c r="Y763" s="9"/>
      <c r="Z763" s="9"/>
      <c r="AA763" s="9"/>
      <c r="AB763" s="9"/>
      <c r="AC763" s="9"/>
    </row>
    <row r="764" spans="1:29" ht="12.75" customHeight="1">
      <c r="A764" s="9"/>
      <c r="B764" s="9"/>
      <c r="C764" s="9"/>
      <c r="D764" s="9"/>
      <c r="E764" s="9"/>
      <c r="F764" s="9"/>
      <c r="G764" s="9"/>
      <c r="H764" s="548"/>
      <c r="I764" s="548"/>
      <c r="J764" s="548"/>
      <c r="K764" s="548"/>
      <c r="L764" s="548"/>
      <c r="M764" s="548"/>
      <c r="N764" s="548"/>
      <c r="O764" s="548"/>
      <c r="P764" s="548"/>
      <c r="Q764" s="548"/>
      <c r="R764" s="548"/>
      <c r="S764" s="548"/>
      <c r="T764" s="548"/>
      <c r="U764" s="9"/>
      <c r="V764" s="9"/>
      <c r="W764" s="9"/>
      <c r="X764" s="9"/>
      <c r="Y764" s="9"/>
      <c r="Z764" s="9"/>
      <c r="AA764" s="9"/>
      <c r="AB764" s="9"/>
      <c r="AC764" s="9"/>
    </row>
    <row r="765" spans="1:29" ht="12.75" customHeight="1">
      <c r="A765" s="9"/>
      <c r="B765" s="9"/>
      <c r="C765" s="9"/>
      <c r="D765" s="9"/>
      <c r="E765" s="9"/>
      <c r="F765" s="9"/>
      <c r="G765" s="9"/>
      <c r="H765" s="548"/>
      <c r="I765" s="548"/>
      <c r="J765" s="548"/>
      <c r="K765" s="548"/>
      <c r="L765" s="548"/>
      <c r="M765" s="548"/>
      <c r="N765" s="548"/>
      <c r="O765" s="548"/>
      <c r="P765" s="548"/>
      <c r="Q765" s="548"/>
      <c r="R765" s="548"/>
      <c r="S765" s="548"/>
      <c r="T765" s="548"/>
      <c r="U765" s="9"/>
      <c r="V765" s="9"/>
      <c r="W765" s="9"/>
      <c r="X765" s="9"/>
      <c r="Y765" s="9"/>
      <c r="Z765" s="9"/>
      <c r="AA765" s="9"/>
      <c r="AB765" s="9"/>
      <c r="AC765" s="9"/>
    </row>
    <row r="766" spans="1:29" ht="12.75" customHeight="1">
      <c r="A766" s="9"/>
      <c r="B766" s="9"/>
      <c r="C766" s="9"/>
      <c r="D766" s="9"/>
      <c r="E766" s="9"/>
      <c r="F766" s="9"/>
      <c r="G766" s="9"/>
      <c r="H766" s="548"/>
      <c r="I766" s="548"/>
      <c r="J766" s="548"/>
      <c r="K766" s="548"/>
      <c r="L766" s="548"/>
      <c r="M766" s="548"/>
      <c r="N766" s="548"/>
      <c r="O766" s="548"/>
      <c r="P766" s="548"/>
      <c r="Q766" s="548"/>
      <c r="R766" s="548"/>
      <c r="S766" s="548"/>
      <c r="T766" s="548"/>
      <c r="U766" s="9"/>
      <c r="V766" s="9"/>
      <c r="W766" s="9"/>
      <c r="X766" s="9"/>
      <c r="Y766" s="9"/>
      <c r="Z766" s="9"/>
      <c r="AA766" s="9"/>
      <c r="AB766" s="9"/>
      <c r="AC766" s="9"/>
    </row>
    <row r="767" spans="1:29" ht="12.75" customHeight="1">
      <c r="A767" s="9"/>
      <c r="B767" s="9"/>
      <c r="C767" s="9"/>
      <c r="D767" s="9"/>
      <c r="E767" s="9"/>
      <c r="F767" s="9"/>
      <c r="G767" s="9"/>
      <c r="H767" s="548"/>
      <c r="I767" s="548"/>
      <c r="J767" s="548"/>
      <c r="K767" s="548"/>
      <c r="L767" s="548"/>
      <c r="M767" s="548"/>
      <c r="N767" s="548"/>
      <c r="O767" s="548"/>
      <c r="P767" s="548"/>
      <c r="Q767" s="548"/>
      <c r="R767" s="548"/>
      <c r="S767" s="548"/>
      <c r="T767" s="548"/>
      <c r="U767" s="9"/>
      <c r="V767" s="9"/>
      <c r="W767" s="9"/>
      <c r="X767" s="9"/>
      <c r="Y767" s="9"/>
      <c r="Z767" s="9"/>
      <c r="AA767" s="9"/>
      <c r="AB767" s="9"/>
      <c r="AC767" s="9"/>
    </row>
    <row r="768" spans="1:29" ht="12.75" customHeight="1">
      <c r="A768" s="9"/>
      <c r="B768" s="9"/>
      <c r="C768" s="9"/>
      <c r="D768" s="9"/>
      <c r="E768" s="9"/>
      <c r="F768" s="9"/>
      <c r="G768" s="9"/>
      <c r="H768" s="548"/>
      <c r="I768" s="548"/>
      <c r="J768" s="548"/>
      <c r="K768" s="548"/>
      <c r="L768" s="548"/>
      <c r="M768" s="548"/>
      <c r="N768" s="548"/>
      <c r="O768" s="548"/>
      <c r="P768" s="548"/>
      <c r="Q768" s="548"/>
      <c r="R768" s="548"/>
      <c r="S768" s="548"/>
      <c r="T768" s="548"/>
      <c r="U768" s="9"/>
      <c r="V768" s="9"/>
      <c r="W768" s="9"/>
      <c r="X768" s="9"/>
      <c r="Y768" s="9"/>
      <c r="Z768" s="9"/>
      <c r="AA768" s="9"/>
      <c r="AB768" s="9"/>
      <c r="AC768" s="9"/>
    </row>
    <row r="769" spans="1:29" ht="12.75" customHeight="1">
      <c r="A769" s="9"/>
      <c r="B769" s="9"/>
      <c r="C769" s="9"/>
      <c r="D769" s="9"/>
      <c r="E769" s="9"/>
      <c r="F769" s="9"/>
      <c r="G769" s="9"/>
      <c r="H769" s="548"/>
      <c r="I769" s="548"/>
      <c r="J769" s="548"/>
      <c r="K769" s="548"/>
      <c r="L769" s="548"/>
      <c r="M769" s="548"/>
      <c r="N769" s="548"/>
      <c r="O769" s="548"/>
      <c r="P769" s="548"/>
      <c r="Q769" s="548"/>
      <c r="R769" s="548"/>
      <c r="S769" s="548"/>
      <c r="T769" s="548"/>
      <c r="U769" s="9"/>
      <c r="V769" s="9"/>
      <c r="W769" s="9"/>
      <c r="X769" s="9"/>
      <c r="Y769" s="9"/>
      <c r="Z769" s="9"/>
      <c r="AA769" s="9"/>
      <c r="AB769" s="9"/>
      <c r="AC769" s="9"/>
    </row>
    <row r="770" spans="1:29" ht="12.75" customHeight="1">
      <c r="A770" s="9"/>
      <c r="B770" s="9"/>
      <c r="C770" s="9"/>
      <c r="D770" s="9"/>
      <c r="E770" s="9"/>
      <c r="F770" s="9"/>
      <c r="G770" s="9"/>
      <c r="H770" s="548"/>
      <c r="I770" s="548"/>
      <c r="J770" s="548"/>
      <c r="K770" s="548"/>
      <c r="L770" s="548"/>
      <c r="M770" s="548"/>
      <c r="N770" s="548"/>
      <c r="O770" s="548"/>
      <c r="P770" s="548"/>
      <c r="Q770" s="548"/>
      <c r="R770" s="548"/>
      <c r="S770" s="548"/>
      <c r="T770" s="548"/>
      <c r="U770" s="9"/>
      <c r="V770" s="9"/>
      <c r="W770" s="9"/>
      <c r="X770" s="9"/>
      <c r="Y770" s="9"/>
      <c r="Z770" s="9"/>
      <c r="AA770" s="9"/>
      <c r="AB770" s="9"/>
      <c r="AC770" s="9"/>
    </row>
    <row r="771" spans="1:29" ht="12.75" customHeight="1">
      <c r="A771" s="9"/>
      <c r="B771" s="9"/>
      <c r="C771" s="9"/>
      <c r="D771" s="9"/>
      <c r="E771" s="9"/>
      <c r="F771" s="9"/>
      <c r="G771" s="9"/>
      <c r="H771" s="548"/>
      <c r="I771" s="548"/>
      <c r="J771" s="548"/>
      <c r="K771" s="548"/>
      <c r="L771" s="548"/>
      <c r="M771" s="548"/>
      <c r="N771" s="548"/>
      <c r="O771" s="548"/>
      <c r="P771" s="548"/>
      <c r="Q771" s="548"/>
      <c r="R771" s="548"/>
      <c r="S771" s="548"/>
      <c r="T771" s="548"/>
      <c r="U771" s="9"/>
      <c r="V771" s="9"/>
      <c r="W771" s="9"/>
      <c r="X771" s="9"/>
      <c r="Y771" s="9"/>
      <c r="Z771" s="9"/>
      <c r="AA771" s="9"/>
      <c r="AB771" s="9"/>
      <c r="AC771" s="9"/>
    </row>
    <row r="772" spans="1:29" ht="12.75" customHeight="1">
      <c r="A772" s="9"/>
      <c r="B772" s="9"/>
      <c r="C772" s="9"/>
      <c r="D772" s="9"/>
      <c r="E772" s="9"/>
      <c r="F772" s="9"/>
      <c r="G772" s="9"/>
      <c r="H772" s="548"/>
      <c r="I772" s="548"/>
      <c r="J772" s="548"/>
      <c r="K772" s="548"/>
      <c r="L772" s="548"/>
      <c r="M772" s="548"/>
      <c r="N772" s="548"/>
      <c r="O772" s="548"/>
      <c r="P772" s="548"/>
      <c r="Q772" s="548"/>
      <c r="R772" s="548"/>
      <c r="S772" s="548"/>
      <c r="T772" s="548"/>
      <c r="U772" s="9"/>
      <c r="V772" s="9"/>
      <c r="W772" s="9"/>
      <c r="X772" s="9"/>
      <c r="Y772" s="9"/>
      <c r="Z772" s="9"/>
      <c r="AA772" s="9"/>
      <c r="AB772" s="9"/>
      <c r="AC772" s="9"/>
    </row>
    <row r="773" spans="1:29" ht="12.75" customHeight="1">
      <c r="A773" s="9"/>
      <c r="B773" s="9"/>
      <c r="C773" s="9"/>
      <c r="D773" s="9"/>
      <c r="E773" s="9"/>
      <c r="F773" s="9"/>
      <c r="G773" s="9"/>
      <c r="H773" s="548"/>
      <c r="I773" s="548"/>
      <c r="J773" s="548"/>
      <c r="K773" s="548"/>
      <c r="L773" s="548"/>
      <c r="M773" s="548"/>
      <c r="N773" s="548"/>
      <c r="O773" s="548"/>
      <c r="P773" s="548"/>
      <c r="Q773" s="548"/>
      <c r="R773" s="548"/>
      <c r="S773" s="548"/>
      <c r="T773" s="548"/>
      <c r="U773" s="9"/>
      <c r="V773" s="9"/>
      <c r="W773" s="9"/>
      <c r="X773" s="9"/>
      <c r="Y773" s="9"/>
      <c r="Z773" s="9"/>
      <c r="AA773" s="9"/>
      <c r="AB773" s="9"/>
      <c r="AC773" s="9"/>
    </row>
    <row r="774" spans="1:29" ht="12.75" customHeight="1">
      <c r="A774" s="9"/>
      <c r="B774" s="9"/>
      <c r="C774" s="9"/>
      <c r="D774" s="9"/>
      <c r="E774" s="9"/>
      <c r="F774" s="9"/>
      <c r="G774" s="9"/>
      <c r="H774" s="548"/>
      <c r="I774" s="548"/>
      <c r="J774" s="548"/>
      <c r="K774" s="548"/>
      <c r="L774" s="548"/>
      <c r="M774" s="548"/>
      <c r="N774" s="548"/>
      <c r="O774" s="548"/>
      <c r="P774" s="548"/>
      <c r="Q774" s="548"/>
      <c r="R774" s="548"/>
      <c r="S774" s="548"/>
      <c r="T774" s="548"/>
      <c r="U774" s="9"/>
      <c r="V774" s="9"/>
      <c r="W774" s="9"/>
      <c r="X774" s="9"/>
      <c r="Y774" s="9"/>
      <c r="Z774" s="9"/>
      <c r="AA774" s="9"/>
      <c r="AB774" s="9"/>
      <c r="AC774" s="9"/>
    </row>
    <row r="775" spans="1:29" ht="12.75" customHeight="1">
      <c r="A775" s="9"/>
      <c r="B775" s="9"/>
      <c r="C775" s="9"/>
      <c r="D775" s="9"/>
      <c r="E775" s="9"/>
      <c r="F775" s="9"/>
      <c r="G775" s="9"/>
      <c r="H775" s="548"/>
      <c r="I775" s="548"/>
      <c r="J775" s="548"/>
      <c r="K775" s="548"/>
      <c r="L775" s="548"/>
      <c r="M775" s="548"/>
      <c r="N775" s="548"/>
      <c r="O775" s="548"/>
      <c r="P775" s="548"/>
      <c r="Q775" s="548"/>
      <c r="R775" s="548"/>
      <c r="S775" s="548"/>
      <c r="T775" s="548"/>
      <c r="U775" s="9"/>
      <c r="V775" s="9"/>
      <c r="W775" s="9"/>
      <c r="X775" s="9"/>
      <c r="Y775" s="9"/>
      <c r="Z775" s="9"/>
      <c r="AA775" s="9"/>
      <c r="AB775" s="9"/>
      <c r="AC775" s="9"/>
    </row>
    <row r="776" spans="1:29" ht="12.75" customHeight="1">
      <c r="A776" s="9"/>
      <c r="B776" s="9"/>
      <c r="C776" s="9"/>
      <c r="D776" s="9"/>
      <c r="E776" s="9"/>
      <c r="F776" s="9"/>
      <c r="G776" s="9"/>
      <c r="H776" s="548"/>
      <c r="I776" s="548"/>
      <c r="J776" s="548"/>
      <c r="K776" s="548"/>
      <c r="L776" s="548"/>
      <c r="M776" s="548"/>
      <c r="N776" s="548"/>
      <c r="O776" s="548"/>
      <c r="P776" s="548"/>
      <c r="Q776" s="548"/>
      <c r="R776" s="548"/>
      <c r="S776" s="548"/>
      <c r="T776" s="548"/>
      <c r="U776" s="9"/>
      <c r="V776" s="9"/>
      <c r="W776" s="9"/>
      <c r="X776" s="9"/>
      <c r="Y776" s="9"/>
      <c r="Z776" s="9"/>
      <c r="AA776" s="9"/>
      <c r="AB776" s="9"/>
      <c r="AC776" s="9"/>
    </row>
    <row r="777" spans="1:29" ht="12.75" customHeight="1">
      <c r="A777" s="9"/>
      <c r="B777" s="9"/>
      <c r="C777" s="9"/>
      <c r="D777" s="9"/>
      <c r="E777" s="9"/>
      <c r="F777" s="9"/>
      <c r="G777" s="9"/>
      <c r="H777" s="548"/>
      <c r="I777" s="548"/>
      <c r="J777" s="548"/>
      <c r="K777" s="548"/>
      <c r="L777" s="548"/>
      <c r="M777" s="548"/>
      <c r="N777" s="548"/>
      <c r="O777" s="548"/>
      <c r="P777" s="548"/>
      <c r="Q777" s="548"/>
      <c r="R777" s="548"/>
      <c r="S777" s="548"/>
      <c r="T777" s="548"/>
      <c r="U777" s="9"/>
      <c r="V777" s="9"/>
      <c r="W777" s="9"/>
      <c r="X777" s="9"/>
      <c r="Y777" s="9"/>
      <c r="Z777" s="9"/>
      <c r="AA777" s="9"/>
      <c r="AB777" s="9"/>
      <c r="AC777" s="9"/>
    </row>
    <row r="778" spans="1:29" ht="12.75" customHeight="1">
      <c r="A778" s="9"/>
      <c r="B778" s="9"/>
      <c r="C778" s="9"/>
      <c r="D778" s="9"/>
      <c r="E778" s="9"/>
      <c r="F778" s="9"/>
      <c r="G778" s="9"/>
      <c r="H778" s="548"/>
      <c r="I778" s="548"/>
      <c r="J778" s="548"/>
      <c r="K778" s="548"/>
      <c r="L778" s="548"/>
      <c r="M778" s="548"/>
      <c r="N778" s="548"/>
      <c r="O778" s="548"/>
      <c r="P778" s="548"/>
      <c r="Q778" s="548"/>
      <c r="R778" s="548"/>
      <c r="S778" s="548"/>
      <c r="T778" s="548"/>
      <c r="U778" s="9"/>
      <c r="V778" s="9"/>
      <c r="W778" s="9"/>
      <c r="X778" s="9"/>
      <c r="Y778" s="9"/>
      <c r="Z778" s="9"/>
      <c r="AA778" s="9"/>
      <c r="AB778" s="9"/>
      <c r="AC778" s="9"/>
    </row>
    <row r="779" spans="1:29" ht="12.75" customHeight="1">
      <c r="A779" s="9"/>
      <c r="B779" s="9"/>
      <c r="C779" s="9"/>
      <c r="D779" s="9"/>
      <c r="E779" s="9"/>
      <c r="F779" s="9"/>
      <c r="G779" s="9"/>
      <c r="H779" s="548"/>
      <c r="I779" s="548"/>
      <c r="J779" s="548"/>
      <c r="K779" s="548"/>
      <c r="L779" s="548"/>
      <c r="M779" s="548"/>
      <c r="N779" s="548"/>
      <c r="O779" s="548"/>
      <c r="P779" s="548"/>
      <c r="Q779" s="548"/>
      <c r="R779" s="548"/>
      <c r="S779" s="548"/>
      <c r="T779" s="548"/>
      <c r="U779" s="9"/>
      <c r="V779" s="9"/>
      <c r="W779" s="9"/>
      <c r="X779" s="9"/>
      <c r="Y779" s="9"/>
      <c r="Z779" s="9"/>
      <c r="AA779" s="9"/>
      <c r="AB779" s="9"/>
      <c r="AC779" s="9"/>
    </row>
    <row r="780" spans="1:29" ht="12.75" customHeight="1">
      <c r="A780" s="9"/>
      <c r="B780" s="9"/>
      <c r="C780" s="9"/>
      <c r="D780" s="9"/>
      <c r="E780" s="9"/>
      <c r="F780" s="9"/>
      <c r="G780" s="9"/>
      <c r="H780" s="548"/>
      <c r="I780" s="548"/>
      <c r="J780" s="548"/>
      <c r="K780" s="548"/>
      <c r="L780" s="548"/>
      <c r="M780" s="548"/>
      <c r="N780" s="548"/>
      <c r="O780" s="548"/>
      <c r="P780" s="548"/>
      <c r="Q780" s="548"/>
      <c r="R780" s="548"/>
      <c r="S780" s="548"/>
      <c r="T780" s="548"/>
      <c r="U780" s="9"/>
      <c r="V780" s="9"/>
      <c r="W780" s="9"/>
      <c r="X780" s="9"/>
      <c r="Y780" s="9"/>
      <c r="Z780" s="9"/>
      <c r="AA780" s="9"/>
      <c r="AB780" s="9"/>
      <c r="AC780" s="9"/>
    </row>
    <row r="781" spans="1:29" ht="12.75" customHeight="1">
      <c r="A781" s="9"/>
      <c r="B781" s="9"/>
      <c r="C781" s="9"/>
      <c r="D781" s="9"/>
      <c r="E781" s="9"/>
      <c r="F781" s="9"/>
      <c r="G781" s="9"/>
      <c r="H781" s="548"/>
      <c r="I781" s="548"/>
      <c r="J781" s="548"/>
      <c r="K781" s="548"/>
      <c r="L781" s="548"/>
      <c r="M781" s="548"/>
      <c r="N781" s="548"/>
      <c r="O781" s="548"/>
      <c r="P781" s="548"/>
      <c r="Q781" s="548"/>
      <c r="R781" s="548"/>
      <c r="S781" s="548"/>
      <c r="T781" s="548"/>
      <c r="U781" s="9"/>
      <c r="V781" s="9"/>
      <c r="W781" s="9"/>
      <c r="X781" s="9"/>
      <c r="Y781" s="9"/>
      <c r="Z781" s="9"/>
      <c r="AA781" s="9"/>
      <c r="AB781" s="9"/>
      <c r="AC781" s="9"/>
    </row>
    <row r="782" spans="1:29" ht="12.75" customHeight="1">
      <c r="A782" s="9"/>
      <c r="B782" s="9"/>
      <c r="C782" s="9"/>
      <c r="D782" s="9"/>
      <c r="E782" s="9"/>
      <c r="F782" s="9"/>
      <c r="G782" s="9"/>
      <c r="H782" s="548"/>
      <c r="I782" s="548"/>
      <c r="J782" s="548"/>
      <c r="K782" s="548"/>
      <c r="L782" s="548"/>
      <c r="M782" s="548"/>
      <c r="N782" s="548"/>
      <c r="O782" s="548"/>
      <c r="P782" s="548"/>
      <c r="Q782" s="548"/>
      <c r="R782" s="548"/>
      <c r="S782" s="548"/>
      <c r="T782" s="548"/>
      <c r="U782" s="9"/>
      <c r="V782" s="9"/>
      <c r="W782" s="9"/>
      <c r="X782" s="9"/>
      <c r="Y782" s="9"/>
      <c r="Z782" s="9"/>
      <c r="AA782" s="9"/>
      <c r="AB782" s="9"/>
      <c r="AC782" s="9"/>
    </row>
    <row r="783" spans="1:29" ht="12.75" customHeight="1">
      <c r="A783" s="9"/>
      <c r="B783" s="9"/>
      <c r="C783" s="9"/>
      <c r="D783" s="9"/>
      <c r="E783" s="9"/>
      <c r="F783" s="9"/>
      <c r="G783" s="9"/>
      <c r="H783" s="548"/>
      <c r="I783" s="548"/>
      <c r="J783" s="548"/>
      <c r="K783" s="548"/>
      <c r="L783" s="548"/>
      <c r="M783" s="548"/>
      <c r="N783" s="548"/>
      <c r="O783" s="548"/>
      <c r="P783" s="548"/>
      <c r="Q783" s="548"/>
      <c r="R783" s="548"/>
      <c r="S783" s="548"/>
      <c r="T783" s="548"/>
      <c r="U783" s="9"/>
      <c r="V783" s="9"/>
      <c r="W783" s="9"/>
      <c r="X783" s="9"/>
      <c r="Y783" s="9"/>
      <c r="Z783" s="9"/>
      <c r="AA783" s="9"/>
      <c r="AB783" s="9"/>
      <c r="AC783" s="9"/>
    </row>
    <row r="784" spans="1:29" ht="12.75" customHeight="1">
      <c r="A784" s="9"/>
      <c r="B784" s="9"/>
      <c r="C784" s="9"/>
      <c r="D784" s="9"/>
      <c r="E784" s="9"/>
      <c r="F784" s="9"/>
      <c r="G784" s="9"/>
      <c r="H784" s="548"/>
      <c r="I784" s="548"/>
      <c r="J784" s="548"/>
      <c r="K784" s="548"/>
      <c r="L784" s="548"/>
      <c r="M784" s="548"/>
      <c r="N784" s="548"/>
      <c r="O784" s="548"/>
      <c r="P784" s="548"/>
      <c r="Q784" s="548"/>
      <c r="R784" s="548"/>
      <c r="S784" s="548"/>
      <c r="T784" s="548"/>
      <c r="U784" s="9"/>
      <c r="V784" s="9"/>
      <c r="W784" s="9"/>
      <c r="X784" s="9"/>
      <c r="Y784" s="9"/>
      <c r="Z784" s="9"/>
      <c r="AA784" s="9"/>
      <c r="AB784" s="9"/>
      <c r="AC784" s="9"/>
    </row>
    <row r="785" spans="1:29" ht="12.75" customHeight="1">
      <c r="A785" s="9"/>
      <c r="B785" s="9"/>
      <c r="C785" s="9"/>
      <c r="D785" s="9"/>
      <c r="E785" s="9"/>
      <c r="F785" s="9"/>
      <c r="G785" s="9"/>
      <c r="H785" s="548"/>
      <c r="I785" s="548"/>
      <c r="J785" s="548"/>
      <c r="K785" s="548"/>
      <c r="L785" s="548"/>
      <c r="M785" s="548"/>
      <c r="N785" s="548"/>
      <c r="O785" s="548"/>
      <c r="P785" s="548"/>
      <c r="Q785" s="548"/>
      <c r="R785" s="548"/>
      <c r="S785" s="548"/>
      <c r="T785" s="548"/>
      <c r="U785" s="9"/>
      <c r="V785" s="9"/>
      <c r="W785" s="9"/>
      <c r="X785" s="9"/>
      <c r="Y785" s="9"/>
      <c r="Z785" s="9"/>
      <c r="AA785" s="9"/>
      <c r="AB785" s="9"/>
      <c r="AC785" s="9"/>
    </row>
    <row r="786" spans="1:29" ht="12.75" customHeight="1">
      <c r="A786" s="9"/>
      <c r="B786" s="9"/>
      <c r="C786" s="9"/>
      <c r="D786" s="9"/>
      <c r="E786" s="9"/>
      <c r="F786" s="9"/>
      <c r="G786" s="9"/>
      <c r="H786" s="548"/>
      <c r="I786" s="548"/>
      <c r="J786" s="548"/>
      <c r="K786" s="548"/>
      <c r="L786" s="548"/>
      <c r="M786" s="548"/>
      <c r="N786" s="548"/>
      <c r="O786" s="548"/>
      <c r="P786" s="548"/>
      <c r="Q786" s="548"/>
      <c r="R786" s="548"/>
      <c r="S786" s="548"/>
      <c r="T786" s="548"/>
      <c r="U786" s="9"/>
      <c r="V786" s="9"/>
      <c r="W786" s="9"/>
      <c r="X786" s="9"/>
      <c r="Y786" s="9"/>
      <c r="Z786" s="9"/>
      <c r="AA786" s="9"/>
      <c r="AB786" s="9"/>
      <c r="AC786" s="9"/>
    </row>
    <row r="787" spans="1:29" ht="12.75" customHeight="1">
      <c r="A787" s="9"/>
      <c r="B787" s="9"/>
      <c r="C787" s="9"/>
      <c r="D787" s="9"/>
      <c r="E787" s="9"/>
      <c r="F787" s="9"/>
      <c r="G787" s="9"/>
      <c r="H787" s="548"/>
      <c r="I787" s="548"/>
      <c r="J787" s="548"/>
      <c r="K787" s="548"/>
      <c r="L787" s="548"/>
      <c r="M787" s="548"/>
      <c r="N787" s="548"/>
      <c r="O787" s="548"/>
      <c r="P787" s="548"/>
      <c r="Q787" s="548"/>
      <c r="R787" s="548"/>
      <c r="S787" s="548"/>
      <c r="T787" s="548"/>
      <c r="U787" s="9"/>
      <c r="V787" s="9"/>
      <c r="W787" s="9"/>
      <c r="X787" s="9"/>
      <c r="Y787" s="9"/>
      <c r="Z787" s="9"/>
      <c r="AA787" s="9"/>
      <c r="AB787" s="9"/>
      <c r="AC787" s="9"/>
    </row>
    <row r="788" spans="1:29" ht="12.75" customHeight="1">
      <c r="A788" s="9"/>
      <c r="B788" s="9"/>
      <c r="C788" s="9"/>
      <c r="D788" s="9"/>
      <c r="E788" s="9"/>
      <c r="F788" s="9"/>
      <c r="G788" s="9"/>
      <c r="H788" s="548"/>
      <c r="I788" s="548"/>
      <c r="J788" s="548"/>
      <c r="K788" s="548"/>
      <c r="L788" s="548"/>
      <c r="M788" s="548"/>
      <c r="N788" s="548"/>
      <c r="O788" s="548"/>
      <c r="P788" s="548"/>
      <c r="Q788" s="548"/>
      <c r="R788" s="548"/>
      <c r="S788" s="548"/>
      <c r="T788" s="548"/>
      <c r="U788" s="9"/>
      <c r="V788" s="9"/>
      <c r="W788" s="9"/>
      <c r="X788" s="9"/>
      <c r="Y788" s="9"/>
      <c r="Z788" s="9"/>
      <c r="AA788" s="9"/>
      <c r="AB788" s="9"/>
      <c r="AC788" s="9"/>
    </row>
    <row r="789" spans="1:29" ht="12.75" customHeight="1">
      <c r="A789" s="9"/>
      <c r="B789" s="9"/>
      <c r="C789" s="9"/>
      <c r="D789" s="9"/>
      <c r="E789" s="9"/>
      <c r="F789" s="9"/>
      <c r="G789" s="9"/>
      <c r="H789" s="548"/>
      <c r="I789" s="548"/>
      <c r="J789" s="548"/>
      <c r="K789" s="548"/>
      <c r="L789" s="548"/>
      <c r="M789" s="548"/>
      <c r="N789" s="548"/>
      <c r="O789" s="548"/>
      <c r="P789" s="548"/>
      <c r="Q789" s="548"/>
      <c r="R789" s="548"/>
      <c r="S789" s="548"/>
      <c r="T789" s="548"/>
      <c r="U789" s="9"/>
      <c r="V789" s="9"/>
      <c r="W789" s="9"/>
      <c r="X789" s="9"/>
      <c r="Y789" s="9"/>
      <c r="Z789" s="9"/>
      <c r="AA789" s="9"/>
      <c r="AB789" s="9"/>
      <c r="AC789" s="9"/>
    </row>
    <row r="790" spans="1:29" ht="12.75" customHeight="1">
      <c r="A790" s="9"/>
      <c r="B790" s="9"/>
      <c r="C790" s="9"/>
      <c r="D790" s="9"/>
      <c r="E790" s="9"/>
      <c r="F790" s="9"/>
      <c r="G790" s="9"/>
      <c r="H790" s="548"/>
      <c r="I790" s="548"/>
      <c r="J790" s="548"/>
      <c r="K790" s="548"/>
      <c r="L790" s="548"/>
      <c r="M790" s="548"/>
      <c r="N790" s="548"/>
      <c r="O790" s="548"/>
      <c r="P790" s="548"/>
      <c r="Q790" s="548"/>
      <c r="R790" s="548"/>
      <c r="S790" s="548"/>
      <c r="T790" s="548"/>
      <c r="U790" s="9"/>
      <c r="V790" s="9"/>
      <c r="W790" s="9"/>
      <c r="X790" s="9"/>
      <c r="Y790" s="9"/>
      <c r="Z790" s="9"/>
      <c r="AA790" s="9"/>
      <c r="AB790" s="9"/>
      <c r="AC790" s="9"/>
    </row>
    <row r="791" spans="1:29" ht="12.75" customHeight="1">
      <c r="A791" s="9"/>
      <c r="B791" s="9"/>
      <c r="C791" s="9"/>
      <c r="D791" s="9"/>
      <c r="E791" s="9"/>
      <c r="F791" s="9"/>
      <c r="G791" s="9"/>
      <c r="H791" s="548"/>
      <c r="I791" s="548"/>
      <c r="J791" s="548"/>
      <c r="K791" s="548"/>
      <c r="L791" s="548"/>
      <c r="M791" s="548"/>
      <c r="N791" s="548"/>
      <c r="O791" s="548"/>
      <c r="P791" s="548"/>
      <c r="Q791" s="548"/>
      <c r="R791" s="548"/>
      <c r="S791" s="548"/>
      <c r="T791" s="548"/>
      <c r="U791" s="9"/>
      <c r="V791" s="9"/>
      <c r="W791" s="9"/>
      <c r="X791" s="9"/>
      <c r="Y791" s="9"/>
      <c r="Z791" s="9"/>
      <c r="AA791" s="9"/>
      <c r="AB791" s="9"/>
      <c r="AC791" s="9"/>
    </row>
    <row r="792" spans="1:29" ht="12.75" customHeight="1">
      <c r="A792" s="9"/>
      <c r="B792" s="9"/>
      <c r="C792" s="9"/>
      <c r="D792" s="9"/>
      <c r="E792" s="9"/>
      <c r="F792" s="9"/>
      <c r="G792" s="9"/>
      <c r="H792" s="548"/>
      <c r="I792" s="548"/>
      <c r="J792" s="548"/>
      <c r="K792" s="548"/>
      <c r="L792" s="548"/>
      <c r="M792" s="548"/>
      <c r="N792" s="548"/>
      <c r="O792" s="548"/>
      <c r="P792" s="548"/>
      <c r="Q792" s="548"/>
      <c r="R792" s="548"/>
      <c r="S792" s="548"/>
      <c r="T792" s="548"/>
      <c r="U792" s="9"/>
      <c r="V792" s="9"/>
      <c r="W792" s="9"/>
      <c r="X792" s="9"/>
      <c r="Y792" s="9"/>
      <c r="Z792" s="9"/>
      <c r="AA792" s="9"/>
      <c r="AB792" s="9"/>
      <c r="AC792" s="9"/>
    </row>
    <row r="793" spans="1:29" ht="12.75" customHeight="1">
      <c r="A793" s="9"/>
      <c r="B793" s="9"/>
      <c r="C793" s="9"/>
      <c r="D793" s="9"/>
      <c r="E793" s="9"/>
      <c r="F793" s="9"/>
      <c r="G793" s="9"/>
      <c r="H793" s="548"/>
      <c r="I793" s="548"/>
      <c r="J793" s="548"/>
      <c r="K793" s="548"/>
      <c r="L793" s="548"/>
      <c r="M793" s="548"/>
      <c r="N793" s="548"/>
      <c r="O793" s="548"/>
      <c r="P793" s="548"/>
      <c r="Q793" s="548"/>
      <c r="R793" s="548"/>
      <c r="S793" s="548"/>
      <c r="T793" s="548"/>
      <c r="U793" s="9"/>
      <c r="V793" s="9"/>
      <c r="W793" s="9"/>
      <c r="X793" s="9"/>
      <c r="Y793" s="9"/>
      <c r="Z793" s="9"/>
      <c r="AA793" s="9"/>
      <c r="AB793" s="9"/>
      <c r="AC793" s="9"/>
    </row>
    <row r="794" spans="1:29" ht="12.75" customHeight="1">
      <c r="A794" s="9"/>
      <c r="B794" s="9"/>
      <c r="C794" s="9"/>
      <c r="D794" s="9"/>
      <c r="E794" s="9"/>
      <c r="F794" s="9"/>
      <c r="G794" s="9"/>
      <c r="H794" s="548"/>
      <c r="I794" s="548"/>
      <c r="J794" s="548"/>
      <c r="K794" s="548"/>
      <c r="L794" s="548"/>
      <c r="M794" s="548"/>
      <c r="N794" s="548"/>
      <c r="O794" s="548"/>
      <c r="P794" s="548"/>
      <c r="Q794" s="548"/>
      <c r="R794" s="548"/>
      <c r="S794" s="548"/>
      <c r="T794" s="548"/>
      <c r="U794" s="9"/>
      <c r="V794" s="9"/>
      <c r="W794" s="9"/>
      <c r="X794" s="9"/>
      <c r="Y794" s="9"/>
      <c r="Z794" s="9"/>
      <c r="AA794" s="9"/>
      <c r="AB794" s="9"/>
      <c r="AC794" s="9"/>
    </row>
    <row r="795" spans="1:29" ht="12.75" customHeight="1">
      <c r="A795" s="9"/>
      <c r="B795" s="9"/>
      <c r="C795" s="9"/>
      <c r="D795" s="9"/>
      <c r="E795" s="9"/>
      <c r="F795" s="9"/>
      <c r="G795" s="9"/>
      <c r="H795" s="548"/>
      <c r="I795" s="548"/>
      <c r="J795" s="548"/>
      <c r="K795" s="548"/>
      <c r="L795" s="548"/>
      <c r="M795" s="548"/>
      <c r="N795" s="548"/>
      <c r="O795" s="548"/>
      <c r="P795" s="548"/>
      <c r="Q795" s="548"/>
      <c r="R795" s="548"/>
      <c r="S795" s="548"/>
      <c r="T795" s="548"/>
      <c r="U795" s="9"/>
      <c r="V795" s="9"/>
      <c r="W795" s="9"/>
      <c r="X795" s="9"/>
      <c r="Y795" s="9"/>
      <c r="Z795" s="9"/>
      <c r="AA795" s="9"/>
      <c r="AB795" s="9"/>
      <c r="AC795" s="9"/>
    </row>
    <row r="796" spans="1:29" ht="12.75" customHeight="1">
      <c r="A796" s="9"/>
      <c r="B796" s="9"/>
      <c r="C796" s="9"/>
      <c r="D796" s="9"/>
      <c r="E796" s="9"/>
      <c r="F796" s="9"/>
      <c r="G796" s="9"/>
      <c r="H796" s="548"/>
      <c r="I796" s="548"/>
      <c r="J796" s="548"/>
      <c r="K796" s="548"/>
      <c r="L796" s="548"/>
      <c r="M796" s="548"/>
      <c r="N796" s="548"/>
      <c r="O796" s="548"/>
      <c r="P796" s="548"/>
      <c r="Q796" s="548"/>
      <c r="R796" s="548"/>
      <c r="S796" s="548"/>
      <c r="T796" s="548"/>
      <c r="U796" s="9"/>
      <c r="V796" s="9"/>
      <c r="W796" s="9"/>
      <c r="X796" s="9"/>
      <c r="Y796" s="9"/>
      <c r="Z796" s="9"/>
      <c r="AA796" s="9"/>
      <c r="AB796" s="9"/>
      <c r="AC796" s="9"/>
    </row>
    <row r="797" spans="1:29" ht="12.75" customHeight="1">
      <c r="A797" s="9"/>
      <c r="B797" s="9"/>
      <c r="C797" s="9"/>
      <c r="D797" s="9"/>
      <c r="E797" s="9"/>
      <c r="F797" s="9"/>
      <c r="G797" s="9"/>
      <c r="H797" s="548"/>
      <c r="I797" s="548"/>
      <c r="J797" s="548"/>
      <c r="K797" s="548"/>
      <c r="L797" s="548"/>
      <c r="M797" s="548"/>
      <c r="N797" s="548"/>
      <c r="O797" s="548"/>
      <c r="P797" s="548"/>
      <c r="Q797" s="548"/>
      <c r="R797" s="548"/>
      <c r="S797" s="548"/>
      <c r="T797" s="548"/>
      <c r="U797" s="9"/>
      <c r="V797" s="9"/>
      <c r="W797" s="9"/>
      <c r="X797" s="9"/>
      <c r="Y797" s="9"/>
      <c r="Z797" s="9"/>
      <c r="AA797" s="9"/>
      <c r="AB797" s="9"/>
      <c r="AC797" s="9"/>
    </row>
    <row r="798" spans="1:29" ht="12.75" customHeight="1">
      <c r="A798" s="9"/>
      <c r="B798" s="9"/>
      <c r="C798" s="9"/>
      <c r="D798" s="9"/>
      <c r="E798" s="9"/>
      <c r="F798" s="9"/>
      <c r="G798" s="9"/>
      <c r="H798" s="548"/>
      <c r="I798" s="548"/>
      <c r="J798" s="548"/>
      <c r="K798" s="548"/>
      <c r="L798" s="548"/>
      <c r="M798" s="548"/>
      <c r="N798" s="548"/>
      <c r="O798" s="548"/>
      <c r="P798" s="548"/>
      <c r="Q798" s="548"/>
      <c r="R798" s="548"/>
      <c r="S798" s="548"/>
      <c r="T798" s="548"/>
      <c r="U798" s="9"/>
      <c r="V798" s="9"/>
      <c r="W798" s="9"/>
      <c r="X798" s="9"/>
      <c r="Y798" s="9"/>
      <c r="Z798" s="9"/>
      <c r="AA798" s="9"/>
      <c r="AB798" s="9"/>
      <c r="AC798" s="9"/>
    </row>
    <row r="799" spans="1:29" ht="12.75" customHeight="1">
      <c r="A799" s="9"/>
      <c r="B799" s="9"/>
      <c r="C799" s="9"/>
      <c r="D799" s="9"/>
      <c r="E799" s="9"/>
      <c r="F799" s="9"/>
      <c r="G799" s="9"/>
      <c r="H799" s="548"/>
      <c r="I799" s="548"/>
      <c r="J799" s="548"/>
      <c r="K799" s="548"/>
      <c r="L799" s="548"/>
      <c r="M799" s="548"/>
      <c r="N799" s="548"/>
      <c r="O799" s="548"/>
      <c r="P799" s="548"/>
      <c r="Q799" s="548"/>
      <c r="R799" s="548"/>
      <c r="S799" s="548"/>
      <c r="T799" s="548"/>
      <c r="U799" s="9"/>
      <c r="V799" s="9"/>
      <c r="W799" s="9"/>
      <c r="X799" s="9"/>
      <c r="Y799" s="9"/>
      <c r="Z799" s="9"/>
      <c r="AA799" s="9"/>
      <c r="AB799" s="9"/>
      <c r="AC799" s="9"/>
    </row>
    <row r="800" spans="1:29" ht="12.75" customHeight="1">
      <c r="A800" s="9"/>
      <c r="B800" s="9"/>
      <c r="C800" s="9"/>
      <c r="D800" s="9"/>
      <c r="E800" s="9"/>
      <c r="F800" s="9"/>
      <c r="G800" s="9"/>
      <c r="H800" s="548"/>
      <c r="I800" s="548"/>
      <c r="J800" s="548"/>
      <c r="K800" s="548"/>
      <c r="L800" s="548"/>
      <c r="M800" s="548"/>
      <c r="N800" s="548"/>
      <c r="O800" s="548"/>
      <c r="P800" s="548"/>
      <c r="Q800" s="548"/>
      <c r="R800" s="548"/>
      <c r="S800" s="548"/>
      <c r="T800" s="548"/>
      <c r="U800" s="9"/>
      <c r="V800" s="9"/>
      <c r="W800" s="9"/>
      <c r="X800" s="9"/>
      <c r="Y800" s="9"/>
      <c r="Z800" s="9"/>
      <c r="AA800" s="9"/>
      <c r="AB800" s="9"/>
      <c r="AC800" s="9"/>
    </row>
    <row r="801" spans="1:29" ht="12.75" customHeight="1">
      <c r="A801" s="9"/>
      <c r="B801" s="9"/>
      <c r="C801" s="9"/>
      <c r="D801" s="9"/>
      <c r="E801" s="9"/>
      <c r="F801" s="9"/>
      <c r="G801" s="9"/>
      <c r="H801" s="548"/>
      <c r="I801" s="548"/>
      <c r="J801" s="548"/>
      <c r="K801" s="548"/>
      <c r="L801" s="548"/>
      <c r="M801" s="548"/>
      <c r="N801" s="548"/>
      <c r="O801" s="548"/>
      <c r="P801" s="548"/>
      <c r="Q801" s="548"/>
      <c r="R801" s="548"/>
      <c r="S801" s="548"/>
      <c r="T801" s="548"/>
      <c r="U801" s="9"/>
      <c r="V801" s="9"/>
      <c r="W801" s="9"/>
      <c r="X801" s="9"/>
      <c r="Y801" s="9"/>
      <c r="Z801" s="9"/>
      <c r="AA801" s="9"/>
      <c r="AB801" s="9"/>
      <c r="AC801" s="9"/>
    </row>
    <row r="802" spans="1:29" ht="12.75" customHeight="1">
      <c r="A802" s="9"/>
      <c r="B802" s="9"/>
      <c r="C802" s="9"/>
      <c r="D802" s="9"/>
      <c r="E802" s="9"/>
      <c r="F802" s="9"/>
      <c r="G802" s="9"/>
      <c r="H802" s="548"/>
      <c r="I802" s="548"/>
      <c r="J802" s="548"/>
      <c r="K802" s="548"/>
      <c r="L802" s="548"/>
      <c r="M802" s="548"/>
      <c r="N802" s="548"/>
      <c r="O802" s="548"/>
      <c r="P802" s="548"/>
      <c r="Q802" s="548"/>
      <c r="R802" s="548"/>
      <c r="S802" s="548"/>
      <c r="T802" s="548"/>
      <c r="U802" s="9"/>
      <c r="V802" s="9"/>
      <c r="W802" s="9"/>
      <c r="X802" s="9"/>
      <c r="Y802" s="9"/>
      <c r="Z802" s="9"/>
      <c r="AA802" s="9"/>
      <c r="AB802" s="9"/>
      <c r="AC802" s="9"/>
    </row>
    <row r="803" spans="1:29" ht="12.75" customHeight="1">
      <c r="A803" s="9"/>
      <c r="B803" s="9"/>
      <c r="C803" s="9"/>
      <c r="D803" s="9"/>
      <c r="E803" s="9"/>
      <c r="F803" s="9"/>
      <c r="G803" s="9"/>
      <c r="H803" s="548"/>
      <c r="I803" s="548"/>
      <c r="J803" s="548"/>
      <c r="K803" s="548"/>
      <c r="L803" s="548"/>
      <c r="M803" s="548"/>
      <c r="N803" s="548"/>
      <c r="O803" s="548"/>
      <c r="P803" s="548"/>
      <c r="Q803" s="548"/>
      <c r="R803" s="548"/>
      <c r="S803" s="548"/>
      <c r="T803" s="548"/>
      <c r="U803" s="9"/>
      <c r="V803" s="9"/>
      <c r="W803" s="9"/>
      <c r="X803" s="9"/>
      <c r="Y803" s="9"/>
      <c r="Z803" s="9"/>
      <c r="AA803" s="9"/>
      <c r="AB803" s="9"/>
      <c r="AC803" s="9"/>
    </row>
    <row r="804" spans="1:29" ht="12.75" customHeight="1">
      <c r="A804" s="9"/>
      <c r="B804" s="9"/>
      <c r="C804" s="9"/>
      <c r="D804" s="9"/>
      <c r="E804" s="9"/>
      <c r="F804" s="9"/>
      <c r="G804" s="9"/>
      <c r="H804" s="548"/>
      <c r="I804" s="548"/>
      <c r="J804" s="548"/>
      <c r="K804" s="548"/>
      <c r="L804" s="548"/>
      <c r="M804" s="548"/>
      <c r="N804" s="548"/>
      <c r="O804" s="548"/>
      <c r="P804" s="548"/>
      <c r="Q804" s="548"/>
      <c r="R804" s="548"/>
      <c r="S804" s="548"/>
      <c r="T804" s="548"/>
      <c r="U804" s="9"/>
      <c r="V804" s="9"/>
      <c r="W804" s="9"/>
      <c r="X804" s="9"/>
      <c r="Y804" s="9"/>
      <c r="Z804" s="9"/>
      <c r="AA804" s="9"/>
      <c r="AB804" s="9"/>
      <c r="AC804" s="9"/>
    </row>
    <row r="805" spans="1:29" ht="12.75" customHeight="1">
      <c r="A805" s="9"/>
      <c r="B805" s="9"/>
      <c r="C805" s="9"/>
      <c r="D805" s="9"/>
      <c r="E805" s="9"/>
      <c r="F805" s="9"/>
      <c r="G805" s="9"/>
      <c r="H805" s="548"/>
      <c r="I805" s="548"/>
      <c r="J805" s="548"/>
      <c r="K805" s="548"/>
      <c r="L805" s="548"/>
      <c r="M805" s="548"/>
      <c r="N805" s="548"/>
      <c r="O805" s="548"/>
      <c r="P805" s="548"/>
      <c r="Q805" s="548"/>
      <c r="R805" s="548"/>
      <c r="S805" s="548"/>
      <c r="T805" s="548"/>
      <c r="U805" s="9"/>
      <c r="V805" s="9"/>
      <c r="W805" s="9"/>
      <c r="X805" s="9"/>
      <c r="Y805" s="9"/>
      <c r="Z805" s="9"/>
      <c r="AA805" s="9"/>
      <c r="AB805" s="9"/>
      <c r="AC805" s="9"/>
    </row>
    <row r="806" spans="1:29" ht="12.75" customHeight="1">
      <c r="A806" s="9"/>
      <c r="B806" s="9"/>
      <c r="C806" s="9"/>
      <c r="D806" s="9"/>
      <c r="E806" s="9"/>
      <c r="F806" s="9"/>
      <c r="G806" s="9"/>
      <c r="H806" s="548"/>
      <c r="I806" s="548"/>
      <c r="J806" s="548"/>
      <c r="K806" s="548"/>
      <c r="L806" s="548"/>
      <c r="M806" s="548"/>
      <c r="N806" s="548"/>
      <c r="O806" s="548"/>
      <c r="P806" s="548"/>
      <c r="Q806" s="548"/>
      <c r="R806" s="548"/>
      <c r="S806" s="548"/>
      <c r="T806" s="548"/>
      <c r="U806" s="9"/>
      <c r="V806" s="9"/>
      <c r="W806" s="9"/>
      <c r="X806" s="9"/>
      <c r="Y806" s="9"/>
      <c r="Z806" s="9"/>
      <c r="AA806" s="9"/>
      <c r="AB806" s="9"/>
      <c r="AC806" s="9"/>
    </row>
    <row r="807" spans="1:29" ht="12.75" customHeight="1">
      <c r="A807" s="9"/>
      <c r="B807" s="9"/>
      <c r="C807" s="9"/>
      <c r="D807" s="9"/>
      <c r="E807" s="9"/>
      <c r="F807" s="9"/>
      <c r="G807" s="9"/>
      <c r="H807" s="548"/>
      <c r="I807" s="548"/>
      <c r="J807" s="548"/>
      <c r="K807" s="548"/>
      <c r="L807" s="548"/>
      <c r="M807" s="548"/>
      <c r="N807" s="548"/>
      <c r="O807" s="548"/>
      <c r="P807" s="548"/>
      <c r="Q807" s="548"/>
      <c r="R807" s="548"/>
      <c r="S807" s="548"/>
      <c r="T807" s="548"/>
      <c r="U807" s="9"/>
      <c r="V807" s="9"/>
      <c r="W807" s="9"/>
      <c r="X807" s="9"/>
      <c r="Y807" s="9"/>
      <c r="Z807" s="9"/>
      <c r="AA807" s="9"/>
      <c r="AB807" s="9"/>
      <c r="AC807" s="9"/>
    </row>
    <row r="808" spans="1:29" ht="12.75" customHeight="1">
      <c r="A808" s="9"/>
      <c r="B808" s="9"/>
      <c r="C808" s="9"/>
      <c r="D808" s="9"/>
      <c r="E808" s="9"/>
      <c r="F808" s="9"/>
      <c r="G808" s="9"/>
      <c r="H808" s="548"/>
      <c r="I808" s="548"/>
      <c r="J808" s="548"/>
      <c r="K808" s="548"/>
      <c r="L808" s="548"/>
      <c r="M808" s="548"/>
      <c r="N808" s="548"/>
      <c r="O808" s="548"/>
      <c r="P808" s="548"/>
      <c r="Q808" s="548"/>
      <c r="R808" s="548"/>
      <c r="S808" s="548"/>
      <c r="T808" s="548"/>
      <c r="U808" s="9"/>
      <c r="V808" s="9"/>
      <c r="W808" s="9"/>
      <c r="X808" s="9"/>
      <c r="Y808" s="9"/>
      <c r="Z808" s="9"/>
      <c r="AA808" s="9"/>
      <c r="AB808" s="9"/>
      <c r="AC808" s="9"/>
    </row>
    <row r="809" spans="1:29" ht="12.75" customHeight="1">
      <c r="A809" s="9"/>
      <c r="B809" s="9"/>
      <c r="C809" s="9"/>
      <c r="D809" s="9"/>
      <c r="E809" s="9"/>
      <c r="F809" s="9"/>
      <c r="G809" s="9"/>
      <c r="H809" s="548"/>
      <c r="I809" s="548"/>
      <c r="J809" s="548"/>
      <c r="K809" s="548"/>
      <c r="L809" s="548"/>
      <c r="M809" s="548"/>
      <c r="N809" s="548"/>
      <c r="O809" s="548"/>
      <c r="P809" s="548"/>
      <c r="Q809" s="548"/>
      <c r="R809" s="548"/>
      <c r="S809" s="548"/>
      <c r="T809" s="548"/>
      <c r="U809" s="9"/>
      <c r="V809" s="9"/>
      <c r="W809" s="9"/>
      <c r="X809" s="9"/>
      <c r="Y809" s="9"/>
      <c r="Z809" s="9"/>
      <c r="AA809" s="9"/>
      <c r="AB809" s="9"/>
      <c r="AC809" s="9"/>
    </row>
    <row r="810" spans="1:29" ht="12.75" customHeight="1">
      <c r="A810" s="9"/>
      <c r="B810" s="9"/>
      <c r="C810" s="9"/>
      <c r="D810" s="9"/>
      <c r="E810" s="9"/>
      <c r="F810" s="9"/>
      <c r="G810" s="9"/>
      <c r="H810" s="548"/>
      <c r="I810" s="548"/>
      <c r="J810" s="548"/>
      <c r="K810" s="548"/>
      <c r="L810" s="548"/>
      <c r="M810" s="548"/>
      <c r="N810" s="548"/>
      <c r="O810" s="548"/>
      <c r="P810" s="548"/>
      <c r="Q810" s="548"/>
      <c r="R810" s="548"/>
      <c r="S810" s="548"/>
      <c r="T810" s="548"/>
      <c r="U810" s="9"/>
      <c r="V810" s="9"/>
      <c r="W810" s="9"/>
      <c r="X810" s="9"/>
      <c r="Y810" s="9"/>
      <c r="Z810" s="9"/>
      <c r="AA810" s="9"/>
      <c r="AB810" s="9"/>
      <c r="AC810" s="9"/>
    </row>
    <row r="811" spans="1:29" ht="12.75" customHeight="1">
      <c r="A811" s="9"/>
      <c r="B811" s="9"/>
      <c r="C811" s="9"/>
      <c r="D811" s="9"/>
      <c r="E811" s="9"/>
      <c r="F811" s="9"/>
      <c r="G811" s="9"/>
      <c r="H811" s="548"/>
      <c r="I811" s="548"/>
      <c r="J811" s="548"/>
      <c r="K811" s="548"/>
      <c r="L811" s="548"/>
      <c r="M811" s="548"/>
      <c r="N811" s="548"/>
      <c r="O811" s="548"/>
      <c r="P811" s="548"/>
      <c r="Q811" s="548"/>
      <c r="R811" s="548"/>
      <c r="S811" s="548"/>
      <c r="T811" s="548"/>
      <c r="U811" s="9"/>
      <c r="V811" s="9"/>
      <c r="W811" s="9"/>
      <c r="X811" s="9"/>
      <c r="Y811" s="9"/>
      <c r="Z811" s="9"/>
      <c r="AA811" s="9"/>
      <c r="AB811" s="9"/>
      <c r="AC811" s="9"/>
    </row>
    <row r="812" spans="1:29" ht="12.75" customHeight="1">
      <c r="A812" s="9"/>
      <c r="B812" s="9"/>
      <c r="C812" s="9"/>
      <c r="D812" s="9"/>
      <c r="E812" s="9"/>
      <c r="F812" s="9"/>
      <c r="G812" s="9"/>
      <c r="H812" s="548"/>
      <c r="I812" s="548"/>
      <c r="J812" s="548"/>
      <c r="K812" s="548"/>
      <c r="L812" s="548"/>
      <c r="M812" s="548"/>
      <c r="N812" s="548"/>
      <c r="O812" s="548"/>
      <c r="P812" s="548"/>
      <c r="Q812" s="548"/>
      <c r="R812" s="548"/>
      <c r="S812" s="548"/>
      <c r="T812" s="548"/>
      <c r="U812" s="9"/>
      <c r="V812" s="9"/>
      <c r="W812" s="9"/>
      <c r="X812" s="9"/>
      <c r="Y812" s="9"/>
      <c r="Z812" s="9"/>
      <c r="AA812" s="9"/>
      <c r="AB812" s="9"/>
      <c r="AC812" s="9"/>
    </row>
    <row r="813" spans="1:29" ht="12.75" customHeight="1">
      <c r="A813" s="9"/>
      <c r="B813" s="9"/>
      <c r="C813" s="9"/>
      <c r="D813" s="9"/>
      <c r="E813" s="9"/>
      <c r="F813" s="9"/>
      <c r="G813" s="9"/>
      <c r="H813" s="548"/>
      <c r="I813" s="548"/>
      <c r="J813" s="548"/>
      <c r="K813" s="548"/>
      <c r="L813" s="548"/>
      <c r="M813" s="548"/>
      <c r="N813" s="548"/>
      <c r="O813" s="548"/>
      <c r="P813" s="548"/>
      <c r="Q813" s="548"/>
      <c r="R813" s="548"/>
      <c r="S813" s="548"/>
      <c r="T813" s="548"/>
      <c r="U813" s="9"/>
      <c r="V813" s="9"/>
      <c r="W813" s="9"/>
      <c r="X813" s="9"/>
      <c r="Y813" s="9"/>
      <c r="Z813" s="9"/>
      <c r="AA813" s="9"/>
      <c r="AB813" s="9"/>
      <c r="AC813" s="9"/>
    </row>
    <row r="814" spans="1:29" ht="12.75" customHeight="1">
      <c r="A814" s="9"/>
      <c r="B814" s="9"/>
      <c r="C814" s="9"/>
      <c r="D814" s="9"/>
      <c r="E814" s="9"/>
      <c r="F814" s="9"/>
      <c r="G814" s="9"/>
      <c r="H814" s="548"/>
      <c r="I814" s="548"/>
      <c r="J814" s="548"/>
      <c r="K814" s="548"/>
      <c r="L814" s="548"/>
      <c r="M814" s="548"/>
      <c r="N814" s="548"/>
      <c r="O814" s="548"/>
      <c r="P814" s="548"/>
      <c r="Q814" s="548"/>
      <c r="R814" s="548"/>
      <c r="S814" s="548"/>
      <c r="T814" s="548"/>
      <c r="U814" s="9"/>
      <c r="V814" s="9"/>
      <c r="W814" s="9"/>
      <c r="X814" s="9"/>
      <c r="Y814" s="9"/>
      <c r="Z814" s="9"/>
      <c r="AA814" s="9"/>
      <c r="AB814" s="9"/>
      <c r="AC814" s="9"/>
    </row>
    <row r="815" spans="1:29" ht="12.75" customHeight="1">
      <c r="A815" s="9"/>
      <c r="B815" s="9"/>
      <c r="C815" s="9"/>
      <c r="D815" s="9"/>
      <c r="E815" s="9"/>
      <c r="F815" s="9"/>
      <c r="G815" s="9"/>
      <c r="H815" s="548"/>
      <c r="I815" s="548"/>
      <c r="J815" s="548"/>
      <c r="K815" s="548"/>
      <c r="L815" s="548"/>
      <c r="M815" s="548"/>
      <c r="N815" s="548"/>
      <c r="O815" s="548"/>
      <c r="P815" s="548"/>
      <c r="Q815" s="548"/>
      <c r="R815" s="548"/>
      <c r="S815" s="548"/>
      <c r="T815" s="548"/>
      <c r="U815" s="9"/>
      <c r="V815" s="9"/>
      <c r="W815" s="9"/>
      <c r="X815" s="9"/>
      <c r="Y815" s="9"/>
      <c r="Z815" s="9"/>
      <c r="AA815" s="9"/>
      <c r="AB815" s="9"/>
      <c r="AC815" s="9"/>
    </row>
    <row r="816" spans="1:29" ht="12.75" customHeight="1">
      <c r="A816" s="9"/>
      <c r="B816" s="9"/>
      <c r="C816" s="9"/>
      <c r="D816" s="9"/>
      <c r="E816" s="9"/>
      <c r="F816" s="9"/>
      <c r="G816" s="9"/>
      <c r="H816" s="548"/>
      <c r="I816" s="548"/>
      <c r="J816" s="548"/>
      <c r="K816" s="548"/>
      <c r="L816" s="548"/>
      <c r="M816" s="548"/>
      <c r="N816" s="548"/>
      <c r="O816" s="548"/>
      <c r="P816" s="548"/>
      <c r="Q816" s="548"/>
      <c r="R816" s="548"/>
      <c r="S816" s="548"/>
      <c r="T816" s="548"/>
      <c r="U816" s="9"/>
      <c r="V816" s="9"/>
      <c r="W816" s="9"/>
      <c r="X816" s="9"/>
      <c r="Y816" s="9"/>
      <c r="Z816" s="9"/>
      <c r="AA816" s="9"/>
      <c r="AB816" s="9"/>
      <c r="AC816" s="9"/>
    </row>
    <row r="817" spans="1:29" ht="12.75" customHeight="1">
      <c r="A817" s="9"/>
      <c r="B817" s="9"/>
      <c r="C817" s="9"/>
      <c r="D817" s="9"/>
      <c r="E817" s="9"/>
      <c r="F817" s="9"/>
      <c r="G817" s="9"/>
      <c r="H817" s="548"/>
      <c r="I817" s="548"/>
      <c r="J817" s="548"/>
      <c r="K817" s="548"/>
      <c r="L817" s="548"/>
      <c r="M817" s="548"/>
      <c r="N817" s="548"/>
      <c r="O817" s="548"/>
      <c r="P817" s="548"/>
      <c r="Q817" s="548"/>
      <c r="R817" s="548"/>
      <c r="S817" s="548"/>
      <c r="T817" s="548"/>
      <c r="U817" s="9"/>
      <c r="V817" s="9"/>
      <c r="W817" s="9"/>
      <c r="X817" s="9"/>
      <c r="Y817" s="9"/>
      <c r="Z817" s="9"/>
      <c r="AA817" s="9"/>
      <c r="AB817" s="9"/>
      <c r="AC817" s="9"/>
    </row>
    <row r="818" spans="1:29" ht="12.75" customHeight="1">
      <c r="A818" s="9"/>
      <c r="B818" s="9"/>
      <c r="C818" s="9"/>
      <c r="D818" s="9"/>
      <c r="E818" s="9"/>
      <c r="F818" s="9"/>
      <c r="G818" s="9"/>
      <c r="H818" s="548"/>
      <c r="I818" s="548"/>
      <c r="J818" s="548"/>
      <c r="K818" s="548"/>
      <c r="L818" s="548"/>
      <c r="M818" s="548"/>
      <c r="N818" s="548"/>
      <c r="O818" s="548"/>
      <c r="P818" s="548"/>
      <c r="Q818" s="548"/>
      <c r="R818" s="548"/>
      <c r="S818" s="548"/>
      <c r="T818" s="548"/>
      <c r="U818" s="9"/>
      <c r="V818" s="9"/>
      <c r="W818" s="9"/>
      <c r="X818" s="9"/>
      <c r="Y818" s="9"/>
      <c r="Z818" s="9"/>
      <c r="AA818" s="9"/>
      <c r="AB818" s="9"/>
      <c r="AC818" s="9"/>
    </row>
    <row r="819" spans="1:29" ht="12.75" customHeight="1">
      <c r="A819" s="9"/>
      <c r="B819" s="9"/>
      <c r="C819" s="9"/>
      <c r="D819" s="9"/>
      <c r="E819" s="9"/>
      <c r="F819" s="9"/>
      <c r="G819" s="9"/>
      <c r="H819" s="548"/>
      <c r="I819" s="548"/>
      <c r="J819" s="548"/>
      <c r="K819" s="548"/>
      <c r="L819" s="548"/>
      <c r="M819" s="548"/>
      <c r="N819" s="548"/>
      <c r="O819" s="548"/>
      <c r="P819" s="548"/>
      <c r="Q819" s="548"/>
      <c r="R819" s="548"/>
      <c r="S819" s="548"/>
      <c r="T819" s="548"/>
      <c r="U819" s="9"/>
      <c r="V819" s="9"/>
      <c r="W819" s="9"/>
      <c r="X819" s="9"/>
      <c r="Y819" s="9"/>
      <c r="Z819" s="9"/>
      <c r="AA819" s="9"/>
      <c r="AB819" s="9"/>
      <c r="AC819" s="9"/>
    </row>
    <row r="820" spans="1:29" ht="12.75" customHeight="1">
      <c r="A820" s="9"/>
      <c r="B820" s="9"/>
      <c r="C820" s="9"/>
      <c r="D820" s="9"/>
      <c r="E820" s="9"/>
      <c r="F820" s="9"/>
      <c r="G820" s="9"/>
      <c r="H820" s="548"/>
      <c r="I820" s="548"/>
      <c r="J820" s="548"/>
      <c r="K820" s="548"/>
      <c r="L820" s="548"/>
      <c r="M820" s="548"/>
      <c r="N820" s="548"/>
      <c r="O820" s="548"/>
      <c r="P820" s="548"/>
      <c r="Q820" s="548"/>
      <c r="R820" s="548"/>
      <c r="S820" s="548"/>
      <c r="T820" s="548"/>
      <c r="U820" s="9"/>
      <c r="V820" s="9"/>
      <c r="W820" s="9"/>
      <c r="X820" s="9"/>
      <c r="Y820" s="9"/>
      <c r="Z820" s="9"/>
      <c r="AA820" s="9"/>
      <c r="AB820" s="9"/>
      <c r="AC820" s="9"/>
    </row>
    <row r="821" spans="1:29" ht="12.75" customHeight="1">
      <c r="A821" s="9"/>
      <c r="B821" s="9"/>
      <c r="C821" s="9"/>
      <c r="D821" s="9"/>
      <c r="E821" s="9"/>
      <c r="F821" s="9"/>
      <c r="G821" s="9"/>
      <c r="H821" s="548"/>
      <c r="I821" s="548"/>
      <c r="J821" s="548"/>
      <c r="K821" s="548"/>
      <c r="L821" s="548"/>
      <c r="M821" s="548"/>
      <c r="N821" s="548"/>
      <c r="O821" s="548"/>
      <c r="P821" s="548"/>
      <c r="Q821" s="548"/>
      <c r="R821" s="548"/>
      <c r="S821" s="548"/>
      <c r="T821" s="548"/>
      <c r="U821" s="9"/>
      <c r="V821" s="9"/>
      <c r="W821" s="9"/>
      <c r="X821" s="9"/>
      <c r="Y821" s="9"/>
      <c r="Z821" s="9"/>
      <c r="AA821" s="9"/>
      <c r="AB821" s="9"/>
      <c r="AC821" s="9"/>
    </row>
    <row r="822" spans="1:29" ht="12.75" customHeight="1">
      <c r="A822" s="9"/>
      <c r="B822" s="9"/>
      <c r="C822" s="9"/>
      <c r="D822" s="9"/>
      <c r="E822" s="9"/>
      <c r="F822" s="9"/>
      <c r="G822" s="9"/>
      <c r="H822" s="548"/>
      <c r="I822" s="548"/>
      <c r="J822" s="548"/>
      <c r="K822" s="548"/>
      <c r="L822" s="548"/>
      <c r="M822" s="548"/>
      <c r="N822" s="548"/>
      <c r="O822" s="548"/>
      <c r="P822" s="548"/>
      <c r="Q822" s="548"/>
      <c r="R822" s="548"/>
      <c r="S822" s="548"/>
      <c r="T822" s="548"/>
      <c r="U822" s="9"/>
      <c r="V822" s="9"/>
      <c r="W822" s="9"/>
      <c r="X822" s="9"/>
      <c r="Y822" s="9"/>
      <c r="Z822" s="9"/>
      <c r="AA822" s="9"/>
      <c r="AB822" s="9"/>
      <c r="AC822" s="9"/>
    </row>
    <row r="823" spans="1:29" ht="12.75" customHeight="1">
      <c r="A823" s="9"/>
      <c r="B823" s="9"/>
      <c r="C823" s="9"/>
      <c r="D823" s="9"/>
      <c r="E823" s="9"/>
      <c r="F823" s="9"/>
      <c r="G823" s="9"/>
      <c r="H823" s="548"/>
      <c r="I823" s="548"/>
      <c r="J823" s="548"/>
      <c r="K823" s="548"/>
      <c r="L823" s="548"/>
      <c r="M823" s="548"/>
      <c r="N823" s="548"/>
      <c r="O823" s="548"/>
      <c r="P823" s="548"/>
      <c r="Q823" s="548"/>
      <c r="R823" s="548"/>
      <c r="S823" s="548"/>
      <c r="T823" s="548"/>
      <c r="U823" s="9"/>
      <c r="V823" s="9"/>
      <c r="W823" s="9"/>
      <c r="X823" s="9"/>
      <c r="Y823" s="9"/>
      <c r="Z823" s="9"/>
      <c r="AA823" s="9"/>
      <c r="AB823" s="9"/>
      <c r="AC823" s="9"/>
    </row>
    <row r="824" spans="1:29" ht="12.75" customHeight="1">
      <c r="A824" s="9"/>
      <c r="B824" s="9"/>
      <c r="C824" s="9"/>
      <c r="D824" s="9"/>
      <c r="E824" s="9"/>
      <c r="F824" s="9"/>
      <c r="G824" s="9"/>
      <c r="H824" s="548"/>
      <c r="I824" s="548"/>
      <c r="J824" s="548"/>
      <c r="K824" s="548"/>
      <c r="L824" s="548"/>
      <c r="M824" s="548"/>
      <c r="N824" s="548"/>
      <c r="O824" s="548"/>
      <c r="P824" s="548"/>
      <c r="Q824" s="548"/>
      <c r="R824" s="548"/>
      <c r="S824" s="548"/>
      <c r="T824" s="548"/>
      <c r="U824" s="9"/>
      <c r="V824" s="9"/>
      <c r="W824" s="9"/>
      <c r="X824" s="9"/>
      <c r="Y824" s="9"/>
      <c r="Z824" s="9"/>
      <c r="AA824" s="9"/>
      <c r="AB824" s="9"/>
      <c r="AC824" s="9"/>
    </row>
    <row r="825" spans="1:29" ht="12.75" customHeight="1">
      <c r="A825" s="9"/>
      <c r="B825" s="9"/>
      <c r="C825" s="9"/>
      <c r="D825" s="9"/>
      <c r="E825" s="9"/>
      <c r="F825" s="9"/>
      <c r="G825" s="9"/>
      <c r="H825" s="548"/>
      <c r="I825" s="548"/>
      <c r="J825" s="548"/>
      <c r="K825" s="548"/>
      <c r="L825" s="548"/>
      <c r="M825" s="548"/>
      <c r="N825" s="548"/>
      <c r="O825" s="548"/>
      <c r="P825" s="548"/>
      <c r="Q825" s="548"/>
      <c r="R825" s="548"/>
      <c r="S825" s="548"/>
      <c r="T825" s="548"/>
      <c r="U825" s="9"/>
      <c r="V825" s="9"/>
      <c r="W825" s="9"/>
      <c r="X825" s="9"/>
      <c r="Y825" s="9"/>
      <c r="Z825" s="9"/>
      <c r="AA825" s="9"/>
      <c r="AB825" s="9"/>
      <c r="AC825" s="9"/>
    </row>
    <row r="826" spans="1:29" ht="12.75" customHeight="1">
      <c r="A826" s="9"/>
      <c r="B826" s="9"/>
      <c r="C826" s="9"/>
      <c r="D826" s="9"/>
      <c r="E826" s="9"/>
      <c r="F826" s="9"/>
      <c r="G826" s="9"/>
      <c r="H826" s="548"/>
      <c r="I826" s="548"/>
      <c r="J826" s="548"/>
      <c r="K826" s="548"/>
      <c r="L826" s="548"/>
      <c r="M826" s="548"/>
      <c r="N826" s="548"/>
      <c r="O826" s="548"/>
      <c r="P826" s="548"/>
      <c r="Q826" s="548"/>
      <c r="R826" s="548"/>
      <c r="S826" s="548"/>
      <c r="T826" s="548"/>
      <c r="U826" s="9"/>
      <c r="V826" s="9"/>
      <c r="W826" s="9"/>
      <c r="X826" s="9"/>
      <c r="Y826" s="9"/>
      <c r="Z826" s="9"/>
      <c r="AA826" s="9"/>
      <c r="AB826" s="9"/>
      <c r="AC826" s="9"/>
    </row>
    <row r="827" spans="1:29" ht="12.75" customHeight="1">
      <c r="A827" s="9"/>
      <c r="B827" s="9"/>
      <c r="C827" s="9"/>
      <c r="D827" s="9"/>
      <c r="E827" s="9"/>
      <c r="F827" s="9"/>
      <c r="G827" s="9"/>
      <c r="H827" s="548"/>
      <c r="I827" s="548"/>
      <c r="J827" s="548"/>
      <c r="K827" s="548"/>
      <c r="L827" s="548"/>
      <c r="M827" s="548"/>
      <c r="N827" s="548"/>
      <c r="O827" s="548"/>
      <c r="P827" s="548"/>
      <c r="Q827" s="548"/>
      <c r="R827" s="548"/>
      <c r="S827" s="548"/>
      <c r="T827" s="548"/>
      <c r="U827" s="9"/>
      <c r="V827" s="9"/>
      <c r="W827" s="9"/>
      <c r="X827" s="9"/>
      <c r="Y827" s="9"/>
      <c r="Z827" s="9"/>
      <c r="AA827" s="9"/>
      <c r="AB827" s="9"/>
      <c r="AC827" s="9"/>
    </row>
    <row r="828" spans="1:29" ht="12.75" customHeight="1">
      <c r="A828" s="9"/>
      <c r="B828" s="9"/>
      <c r="C828" s="9"/>
      <c r="D828" s="9"/>
      <c r="E828" s="9"/>
      <c r="F828" s="9"/>
      <c r="G828" s="9"/>
      <c r="H828" s="548"/>
      <c r="I828" s="548"/>
      <c r="J828" s="548"/>
      <c r="K828" s="548"/>
      <c r="L828" s="548"/>
      <c r="M828" s="548"/>
      <c r="N828" s="548"/>
      <c r="O828" s="548"/>
      <c r="P828" s="548"/>
      <c r="Q828" s="548"/>
      <c r="R828" s="548"/>
      <c r="S828" s="548"/>
      <c r="T828" s="548"/>
      <c r="U828" s="9"/>
      <c r="V828" s="9"/>
      <c r="W828" s="9"/>
      <c r="X828" s="9"/>
      <c r="Y828" s="9"/>
      <c r="Z828" s="9"/>
      <c r="AA828" s="9"/>
      <c r="AB828" s="9"/>
      <c r="AC828" s="9"/>
    </row>
    <row r="829" spans="1:29" ht="12.75" customHeight="1">
      <c r="A829" s="9"/>
      <c r="B829" s="9"/>
      <c r="C829" s="9"/>
      <c r="D829" s="9"/>
      <c r="E829" s="9"/>
      <c r="F829" s="9"/>
      <c r="G829" s="9"/>
      <c r="H829" s="548"/>
      <c r="I829" s="548"/>
      <c r="J829" s="548"/>
      <c r="K829" s="548"/>
      <c r="L829" s="548"/>
      <c r="M829" s="548"/>
      <c r="N829" s="548"/>
      <c r="O829" s="548"/>
      <c r="P829" s="548"/>
      <c r="Q829" s="548"/>
      <c r="R829" s="548"/>
      <c r="S829" s="548"/>
      <c r="T829" s="548"/>
      <c r="U829" s="9"/>
      <c r="V829" s="9"/>
      <c r="W829" s="9"/>
      <c r="X829" s="9"/>
      <c r="Y829" s="9"/>
      <c r="Z829" s="9"/>
      <c r="AA829" s="9"/>
      <c r="AB829" s="9"/>
      <c r="AC829" s="9"/>
    </row>
    <row r="830" spans="1:29" ht="12.75" customHeight="1">
      <c r="A830" s="9"/>
      <c r="B830" s="9"/>
      <c r="C830" s="9"/>
      <c r="D830" s="9"/>
      <c r="E830" s="9"/>
      <c r="F830" s="9"/>
      <c r="G830" s="9"/>
      <c r="H830" s="548"/>
      <c r="I830" s="548"/>
      <c r="J830" s="548"/>
      <c r="K830" s="548"/>
      <c r="L830" s="548"/>
      <c r="M830" s="548"/>
      <c r="N830" s="548"/>
      <c r="O830" s="548"/>
      <c r="P830" s="548"/>
      <c r="Q830" s="548"/>
      <c r="R830" s="548"/>
      <c r="S830" s="548"/>
      <c r="T830" s="548"/>
      <c r="U830" s="9"/>
      <c r="V830" s="9"/>
      <c r="W830" s="9"/>
      <c r="X830" s="9"/>
      <c r="Y830" s="9"/>
      <c r="Z830" s="9"/>
      <c r="AA830" s="9"/>
      <c r="AB830" s="9"/>
      <c r="AC830" s="9"/>
    </row>
    <row r="831" spans="1:29" ht="12.75" customHeight="1">
      <c r="A831" s="9"/>
      <c r="B831" s="9"/>
      <c r="C831" s="9"/>
      <c r="D831" s="9"/>
      <c r="E831" s="9"/>
      <c r="F831" s="9"/>
      <c r="G831" s="9"/>
      <c r="H831" s="548"/>
      <c r="I831" s="548"/>
      <c r="J831" s="548"/>
      <c r="K831" s="548"/>
      <c r="L831" s="548"/>
      <c r="M831" s="548"/>
      <c r="N831" s="548"/>
      <c r="O831" s="548"/>
      <c r="P831" s="548"/>
      <c r="Q831" s="548"/>
      <c r="R831" s="548"/>
      <c r="S831" s="548"/>
      <c r="T831" s="548"/>
      <c r="U831" s="9"/>
      <c r="V831" s="9"/>
      <c r="W831" s="9"/>
      <c r="X831" s="9"/>
      <c r="Y831" s="9"/>
      <c r="Z831" s="9"/>
      <c r="AA831" s="9"/>
      <c r="AB831" s="9"/>
      <c r="AC831" s="9"/>
    </row>
    <row r="832" spans="1:29" ht="12.75" customHeight="1">
      <c r="A832" s="9"/>
      <c r="B832" s="9"/>
      <c r="C832" s="9"/>
      <c r="D832" s="9"/>
      <c r="E832" s="9"/>
      <c r="F832" s="9"/>
      <c r="G832" s="9"/>
      <c r="H832" s="548"/>
      <c r="I832" s="548"/>
      <c r="J832" s="548"/>
      <c r="K832" s="548"/>
      <c r="L832" s="548"/>
      <c r="M832" s="548"/>
      <c r="N832" s="548"/>
      <c r="O832" s="548"/>
      <c r="P832" s="548"/>
      <c r="Q832" s="548"/>
      <c r="R832" s="548"/>
      <c r="S832" s="548"/>
      <c r="T832" s="548"/>
      <c r="U832" s="9"/>
      <c r="V832" s="9"/>
      <c r="W832" s="9"/>
      <c r="X832" s="9"/>
      <c r="Y832" s="9"/>
      <c r="Z832" s="9"/>
      <c r="AA832" s="9"/>
      <c r="AB832" s="9"/>
      <c r="AC832" s="9"/>
    </row>
    <row r="833" spans="1:29" ht="12.75" customHeight="1">
      <c r="A833" s="9"/>
      <c r="B833" s="9"/>
      <c r="C833" s="9"/>
      <c r="D833" s="9"/>
      <c r="E833" s="9"/>
      <c r="F833" s="9"/>
      <c r="G833" s="9"/>
      <c r="H833" s="548"/>
      <c r="I833" s="548"/>
      <c r="J833" s="548"/>
      <c r="K833" s="548"/>
      <c r="L833" s="548"/>
      <c r="M833" s="548"/>
      <c r="N833" s="548"/>
      <c r="O833" s="548"/>
      <c r="P833" s="548"/>
      <c r="Q833" s="548"/>
      <c r="R833" s="548"/>
      <c r="S833" s="548"/>
      <c r="T833" s="548"/>
      <c r="U833" s="9"/>
      <c r="V833" s="9"/>
      <c r="W833" s="9"/>
      <c r="X833" s="9"/>
      <c r="Y833" s="9"/>
      <c r="Z833" s="9"/>
      <c r="AA833" s="9"/>
      <c r="AB833" s="9"/>
      <c r="AC833" s="9"/>
    </row>
    <row r="834" spans="1:29" ht="12.75" customHeight="1">
      <c r="A834" s="9"/>
      <c r="B834" s="9"/>
      <c r="C834" s="9"/>
      <c r="D834" s="9"/>
      <c r="E834" s="9"/>
      <c r="F834" s="9"/>
      <c r="G834" s="9"/>
      <c r="H834" s="548"/>
      <c r="I834" s="548"/>
      <c r="J834" s="548"/>
      <c r="K834" s="548"/>
      <c r="L834" s="548"/>
      <c r="M834" s="548"/>
      <c r="N834" s="548"/>
      <c r="O834" s="548"/>
      <c r="P834" s="548"/>
      <c r="Q834" s="548"/>
      <c r="R834" s="548"/>
      <c r="S834" s="548"/>
      <c r="T834" s="548"/>
      <c r="U834" s="9"/>
      <c r="V834" s="9"/>
      <c r="W834" s="9"/>
      <c r="X834" s="9"/>
      <c r="Y834" s="9"/>
      <c r="Z834" s="9"/>
      <c r="AA834" s="9"/>
      <c r="AB834" s="9"/>
      <c r="AC834" s="9"/>
    </row>
    <row r="835" spans="1:29" ht="12.75" customHeight="1">
      <c r="A835" s="9"/>
      <c r="B835" s="9"/>
      <c r="C835" s="9"/>
      <c r="D835" s="9"/>
      <c r="E835" s="9"/>
      <c r="F835" s="9"/>
      <c r="G835" s="9"/>
      <c r="H835" s="548"/>
      <c r="I835" s="548"/>
      <c r="J835" s="548"/>
      <c r="K835" s="548"/>
      <c r="L835" s="548"/>
      <c r="M835" s="548"/>
      <c r="N835" s="548"/>
      <c r="O835" s="548"/>
      <c r="P835" s="548"/>
      <c r="Q835" s="548"/>
      <c r="R835" s="548"/>
      <c r="S835" s="548"/>
      <c r="T835" s="548"/>
      <c r="U835" s="9"/>
      <c r="V835" s="9"/>
      <c r="W835" s="9"/>
      <c r="X835" s="9"/>
      <c r="Y835" s="9"/>
      <c r="Z835" s="9"/>
      <c r="AA835" s="9"/>
      <c r="AB835" s="9"/>
      <c r="AC835" s="9"/>
    </row>
    <row r="836" spans="1:29" ht="12.75" customHeight="1">
      <c r="A836" s="9"/>
      <c r="B836" s="9"/>
      <c r="C836" s="9"/>
      <c r="D836" s="9"/>
      <c r="E836" s="9"/>
      <c r="F836" s="9"/>
      <c r="G836" s="9"/>
      <c r="H836" s="548"/>
      <c r="I836" s="548"/>
      <c r="J836" s="548"/>
      <c r="K836" s="548"/>
      <c r="L836" s="548"/>
      <c r="M836" s="548"/>
      <c r="N836" s="548"/>
      <c r="O836" s="548"/>
      <c r="P836" s="548"/>
      <c r="Q836" s="548"/>
      <c r="R836" s="548"/>
      <c r="S836" s="548"/>
      <c r="T836" s="548"/>
      <c r="U836" s="9"/>
      <c r="V836" s="9"/>
      <c r="W836" s="9"/>
      <c r="X836" s="9"/>
      <c r="Y836" s="9"/>
      <c r="Z836" s="9"/>
      <c r="AA836" s="9"/>
      <c r="AB836" s="9"/>
      <c r="AC836" s="9"/>
    </row>
    <row r="837" spans="1:29" ht="12.75" customHeight="1">
      <c r="A837" s="9"/>
      <c r="B837" s="9"/>
      <c r="C837" s="9"/>
      <c r="D837" s="9"/>
      <c r="E837" s="9"/>
      <c r="F837" s="9"/>
      <c r="G837" s="9"/>
      <c r="H837" s="548"/>
      <c r="I837" s="548"/>
      <c r="J837" s="548"/>
      <c r="K837" s="548"/>
      <c r="L837" s="548"/>
      <c r="M837" s="548"/>
      <c r="N837" s="548"/>
      <c r="O837" s="548"/>
      <c r="P837" s="548"/>
      <c r="Q837" s="548"/>
      <c r="R837" s="548"/>
      <c r="S837" s="548"/>
      <c r="T837" s="548"/>
      <c r="U837" s="9"/>
      <c r="V837" s="9"/>
      <c r="W837" s="9"/>
      <c r="X837" s="9"/>
      <c r="Y837" s="9"/>
      <c r="Z837" s="9"/>
      <c r="AA837" s="9"/>
      <c r="AB837" s="9"/>
      <c r="AC837" s="9"/>
    </row>
    <row r="838" spans="1:29" ht="12.75" customHeight="1">
      <c r="A838" s="9"/>
      <c r="B838" s="9"/>
      <c r="C838" s="9"/>
      <c r="D838" s="9"/>
      <c r="E838" s="9"/>
      <c r="F838" s="9"/>
      <c r="G838" s="9"/>
      <c r="H838" s="548"/>
      <c r="I838" s="548"/>
      <c r="J838" s="548"/>
      <c r="K838" s="548"/>
      <c r="L838" s="548"/>
      <c r="M838" s="548"/>
      <c r="N838" s="548"/>
      <c r="O838" s="548"/>
      <c r="P838" s="548"/>
      <c r="Q838" s="548"/>
      <c r="R838" s="548"/>
      <c r="S838" s="548"/>
      <c r="T838" s="548"/>
      <c r="U838" s="9"/>
      <c r="V838" s="9"/>
      <c r="W838" s="9"/>
      <c r="X838" s="9"/>
      <c r="Y838" s="9"/>
      <c r="Z838" s="9"/>
      <c r="AA838" s="9"/>
      <c r="AB838" s="9"/>
      <c r="AC838" s="9"/>
    </row>
    <row r="839" spans="1:29" ht="12.75" customHeight="1">
      <c r="A839" s="9"/>
      <c r="B839" s="9"/>
      <c r="C839" s="9"/>
      <c r="D839" s="9"/>
      <c r="E839" s="9"/>
      <c r="F839" s="9"/>
      <c r="G839" s="9"/>
      <c r="H839" s="548"/>
      <c r="I839" s="548"/>
      <c r="J839" s="548"/>
      <c r="K839" s="548"/>
      <c r="L839" s="548"/>
      <c r="M839" s="548"/>
      <c r="N839" s="548"/>
      <c r="O839" s="548"/>
      <c r="P839" s="548"/>
      <c r="Q839" s="548"/>
      <c r="R839" s="548"/>
      <c r="S839" s="548"/>
      <c r="T839" s="548"/>
      <c r="U839" s="9"/>
      <c r="V839" s="9"/>
      <c r="W839" s="9"/>
      <c r="X839" s="9"/>
      <c r="Y839" s="9"/>
      <c r="Z839" s="9"/>
      <c r="AA839" s="9"/>
      <c r="AB839" s="9"/>
      <c r="AC839" s="9"/>
    </row>
    <row r="840" spans="1:29" ht="12.75" customHeight="1">
      <c r="A840" s="9"/>
      <c r="B840" s="9"/>
      <c r="C840" s="9"/>
      <c r="D840" s="9"/>
      <c r="E840" s="9"/>
      <c r="F840" s="9"/>
      <c r="G840" s="9"/>
      <c r="H840" s="548"/>
      <c r="I840" s="548"/>
      <c r="J840" s="548"/>
      <c r="K840" s="548"/>
      <c r="L840" s="548"/>
      <c r="M840" s="548"/>
      <c r="N840" s="548"/>
      <c r="O840" s="548"/>
      <c r="P840" s="548"/>
      <c r="Q840" s="548"/>
      <c r="R840" s="548"/>
      <c r="S840" s="548"/>
      <c r="T840" s="548"/>
      <c r="U840" s="9"/>
      <c r="V840" s="9"/>
      <c r="W840" s="9"/>
      <c r="X840" s="9"/>
      <c r="Y840" s="9"/>
      <c r="Z840" s="9"/>
      <c r="AA840" s="9"/>
      <c r="AB840" s="9"/>
      <c r="AC840" s="9"/>
    </row>
    <row r="841" spans="1:29" ht="12.75" customHeight="1">
      <c r="A841" s="9"/>
      <c r="B841" s="9"/>
      <c r="C841" s="9"/>
      <c r="D841" s="9"/>
      <c r="E841" s="9"/>
      <c r="F841" s="9"/>
      <c r="G841" s="9"/>
      <c r="H841" s="548"/>
      <c r="I841" s="548"/>
      <c r="J841" s="548"/>
      <c r="K841" s="548"/>
      <c r="L841" s="548"/>
      <c r="M841" s="548"/>
      <c r="N841" s="548"/>
      <c r="O841" s="548"/>
      <c r="P841" s="548"/>
      <c r="Q841" s="548"/>
      <c r="R841" s="548"/>
      <c r="S841" s="548"/>
      <c r="T841" s="548"/>
      <c r="U841" s="9"/>
      <c r="V841" s="9"/>
      <c r="W841" s="9"/>
      <c r="X841" s="9"/>
      <c r="Y841" s="9"/>
      <c r="Z841" s="9"/>
      <c r="AA841" s="9"/>
      <c r="AB841" s="9"/>
      <c r="AC841" s="9"/>
    </row>
    <row r="842" spans="1:29" ht="12.75" customHeight="1">
      <c r="A842" s="9"/>
      <c r="B842" s="9"/>
      <c r="C842" s="9"/>
      <c r="D842" s="9"/>
      <c r="E842" s="9"/>
      <c r="F842" s="9"/>
      <c r="G842" s="9"/>
      <c r="H842" s="548"/>
      <c r="I842" s="548"/>
      <c r="J842" s="548"/>
      <c r="K842" s="548"/>
      <c r="L842" s="548"/>
      <c r="M842" s="548"/>
      <c r="N842" s="548"/>
      <c r="O842" s="548"/>
      <c r="P842" s="548"/>
      <c r="Q842" s="548"/>
      <c r="R842" s="548"/>
      <c r="S842" s="548"/>
      <c r="T842" s="548"/>
      <c r="U842" s="9"/>
      <c r="V842" s="9"/>
      <c r="W842" s="9"/>
      <c r="X842" s="9"/>
      <c r="Y842" s="9"/>
      <c r="Z842" s="9"/>
      <c r="AA842" s="9"/>
      <c r="AB842" s="9"/>
      <c r="AC842" s="9"/>
    </row>
    <row r="843" spans="1:29" ht="12.75" customHeight="1">
      <c r="A843" s="9"/>
      <c r="B843" s="9"/>
      <c r="C843" s="9"/>
      <c r="D843" s="9"/>
      <c r="E843" s="9"/>
      <c r="F843" s="9"/>
      <c r="G843" s="9"/>
      <c r="H843" s="548"/>
      <c r="I843" s="548"/>
      <c r="J843" s="548"/>
      <c r="K843" s="548"/>
      <c r="L843" s="548"/>
      <c r="M843" s="548"/>
      <c r="N843" s="548"/>
      <c r="O843" s="548"/>
      <c r="P843" s="548"/>
      <c r="Q843" s="548"/>
      <c r="R843" s="548"/>
      <c r="S843" s="548"/>
      <c r="T843" s="548"/>
      <c r="U843" s="9"/>
      <c r="V843" s="9"/>
      <c r="W843" s="9"/>
      <c r="X843" s="9"/>
      <c r="Y843" s="9"/>
      <c r="Z843" s="9"/>
      <c r="AA843" s="9"/>
      <c r="AB843" s="9"/>
      <c r="AC843" s="9"/>
    </row>
    <row r="844" spans="1:29" ht="12.75" customHeight="1">
      <c r="A844" s="9"/>
      <c r="B844" s="9"/>
      <c r="C844" s="9"/>
      <c r="D844" s="9"/>
      <c r="E844" s="9"/>
      <c r="F844" s="9"/>
      <c r="G844" s="9"/>
      <c r="H844" s="548"/>
      <c r="I844" s="548"/>
      <c r="J844" s="548"/>
      <c r="K844" s="548"/>
      <c r="L844" s="548"/>
      <c r="M844" s="548"/>
      <c r="N844" s="548"/>
      <c r="O844" s="548"/>
      <c r="P844" s="548"/>
      <c r="Q844" s="548"/>
      <c r="R844" s="548"/>
      <c r="S844" s="548"/>
      <c r="T844" s="548"/>
      <c r="U844" s="9"/>
      <c r="V844" s="9"/>
      <c r="W844" s="9"/>
      <c r="X844" s="9"/>
      <c r="Y844" s="9"/>
      <c r="Z844" s="9"/>
      <c r="AA844" s="9"/>
      <c r="AB844" s="9"/>
      <c r="AC844" s="9"/>
    </row>
    <row r="845" spans="1:29" ht="12.75" customHeight="1">
      <c r="A845" s="9"/>
      <c r="B845" s="9"/>
      <c r="C845" s="9"/>
      <c r="D845" s="9"/>
      <c r="E845" s="9"/>
      <c r="F845" s="9"/>
      <c r="G845" s="9"/>
      <c r="H845" s="548"/>
      <c r="I845" s="548"/>
      <c r="J845" s="548"/>
      <c r="K845" s="548"/>
      <c r="L845" s="548"/>
      <c r="M845" s="548"/>
      <c r="N845" s="548"/>
      <c r="O845" s="548"/>
      <c r="P845" s="548"/>
      <c r="Q845" s="548"/>
      <c r="R845" s="548"/>
      <c r="S845" s="548"/>
      <c r="T845" s="548"/>
      <c r="U845" s="9"/>
      <c r="V845" s="9"/>
      <c r="W845" s="9"/>
      <c r="X845" s="9"/>
      <c r="Y845" s="9"/>
      <c r="Z845" s="9"/>
      <c r="AA845" s="9"/>
      <c r="AB845" s="9"/>
      <c r="AC845" s="9"/>
    </row>
    <row r="846" spans="1:29" ht="12.75" customHeight="1">
      <c r="A846" s="9"/>
      <c r="B846" s="9"/>
      <c r="C846" s="9"/>
      <c r="D846" s="9"/>
      <c r="E846" s="9"/>
      <c r="F846" s="9"/>
      <c r="G846" s="9"/>
      <c r="H846" s="548"/>
      <c r="I846" s="548"/>
      <c r="J846" s="548"/>
      <c r="K846" s="548"/>
      <c r="L846" s="548"/>
      <c r="M846" s="548"/>
      <c r="N846" s="548"/>
      <c r="O846" s="548"/>
      <c r="P846" s="548"/>
      <c r="Q846" s="548"/>
      <c r="R846" s="548"/>
      <c r="S846" s="548"/>
      <c r="T846" s="548"/>
      <c r="U846" s="9"/>
      <c r="V846" s="9"/>
      <c r="W846" s="9"/>
      <c r="X846" s="9"/>
      <c r="Y846" s="9"/>
      <c r="Z846" s="9"/>
      <c r="AA846" s="9"/>
      <c r="AB846" s="9"/>
      <c r="AC846" s="9"/>
    </row>
    <row r="847" spans="1:29" ht="12.75" customHeight="1">
      <c r="A847" s="9"/>
      <c r="B847" s="9"/>
      <c r="C847" s="9"/>
      <c r="D847" s="9"/>
      <c r="E847" s="9"/>
      <c r="F847" s="9"/>
      <c r="G847" s="9"/>
      <c r="H847" s="548"/>
      <c r="I847" s="548"/>
      <c r="J847" s="548"/>
      <c r="K847" s="548"/>
      <c r="L847" s="548"/>
      <c r="M847" s="548"/>
      <c r="N847" s="548"/>
      <c r="O847" s="548"/>
      <c r="P847" s="548"/>
      <c r="Q847" s="548"/>
      <c r="R847" s="548"/>
      <c r="S847" s="548"/>
      <c r="T847" s="548"/>
      <c r="U847" s="9"/>
      <c r="V847" s="9"/>
      <c r="W847" s="9"/>
      <c r="X847" s="9"/>
      <c r="Y847" s="9"/>
      <c r="Z847" s="9"/>
      <c r="AA847" s="9"/>
      <c r="AB847" s="9"/>
      <c r="AC847" s="9"/>
    </row>
    <row r="848" spans="1:29" ht="12.75" customHeight="1">
      <c r="A848" s="9"/>
      <c r="B848" s="9"/>
      <c r="C848" s="9"/>
      <c r="D848" s="9"/>
      <c r="E848" s="9"/>
      <c r="F848" s="9"/>
      <c r="G848" s="9"/>
      <c r="H848" s="548"/>
      <c r="I848" s="548"/>
      <c r="J848" s="548"/>
      <c r="K848" s="548"/>
      <c r="L848" s="548"/>
      <c r="M848" s="548"/>
      <c r="N848" s="548"/>
      <c r="O848" s="548"/>
      <c r="P848" s="548"/>
      <c r="Q848" s="548"/>
      <c r="R848" s="548"/>
      <c r="S848" s="548"/>
      <c r="T848" s="548"/>
      <c r="U848" s="9"/>
      <c r="V848" s="9"/>
      <c r="W848" s="9"/>
      <c r="X848" s="9"/>
      <c r="Y848" s="9"/>
      <c r="Z848" s="9"/>
      <c r="AA848" s="9"/>
      <c r="AB848" s="9"/>
      <c r="AC848" s="9"/>
    </row>
    <row r="849" spans="1:29" ht="12.75" customHeight="1">
      <c r="A849" s="9"/>
      <c r="B849" s="9"/>
      <c r="C849" s="9"/>
      <c r="D849" s="9"/>
      <c r="E849" s="9"/>
      <c r="F849" s="9"/>
      <c r="G849" s="9"/>
      <c r="H849" s="548"/>
      <c r="I849" s="548"/>
      <c r="J849" s="548"/>
      <c r="K849" s="548"/>
      <c r="L849" s="548"/>
      <c r="M849" s="548"/>
      <c r="N849" s="548"/>
      <c r="O849" s="548"/>
      <c r="P849" s="548"/>
      <c r="Q849" s="548"/>
      <c r="R849" s="548"/>
      <c r="S849" s="548"/>
      <c r="T849" s="548"/>
      <c r="U849" s="9"/>
      <c r="V849" s="9"/>
      <c r="W849" s="9"/>
      <c r="X849" s="9"/>
      <c r="Y849" s="9"/>
      <c r="Z849" s="9"/>
      <c r="AA849" s="9"/>
      <c r="AB849" s="9"/>
      <c r="AC849" s="9"/>
    </row>
    <row r="850" spans="1:29" ht="12.75" customHeight="1">
      <c r="A850" s="9"/>
      <c r="B850" s="9"/>
      <c r="C850" s="9"/>
      <c r="D850" s="9"/>
      <c r="E850" s="9"/>
      <c r="F850" s="9"/>
      <c r="G850" s="9"/>
      <c r="H850" s="548"/>
      <c r="I850" s="548"/>
      <c r="J850" s="548"/>
      <c r="K850" s="548"/>
      <c r="L850" s="548"/>
      <c r="M850" s="548"/>
      <c r="N850" s="548"/>
      <c r="O850" s="548"/>
      <c r="P850" s="548"/>
      <c r="Q850" s="548"/>
      <c r="R850" s="548"/>
      <c r="S850" s="548"/>
      <c r="T850" s="548"/>
      <c r="U850" s="9"/>
      <c r="V850" s="9"/>
      <c r="W850" s="9"/>
      <c r="X850" s="9"/>
      <c r="Y850" s="9"/>
      <c r="Z850" s="9"/>
      <c r="AA850" s="9"/>
      <c r="AB850" s="9"/>
      <c r="AC850" s="9"/>
    </row>
    <row r="851" spans="1:29" ht="12.75" customHeight="1">
      <c r="A851" s="9"/>
      <c r="B851" s="9"/>
      <c r="C851" s="9"/>
      <c r="D851" s="9"/>
      <c r="E851" s="9"/>
      <c r="F851" s="9"/>
      <c r="G851" s="9"/>
      <c r="H851" s="548"/>
      <c r="I851" s="548"/>
      <c r="J851" s="548"/>
      <c r="K851" s="548"/>
      <c r="L851" s="548"/>
      <c r="M851" s="548"/>
      <c r="N851" s="548"/>
      <c r="O851" s="548"/>
      <c r="P851" s="548"/>
      <c r="Q851" s="548"/>
      <c r="R851" s="548"/>
      <c r="S851" s="548"/>
      <c r="T851" s="548"/>
      <c r="U851" s="9"/>
      <c r="V851" s="9"/>
      <c r="W851" s="9"/>
      <c r="X851" s="9"/>
      <c r="Y851" s="9"/>
      <c r="Z851" s="9"/>
      <c r="AA851" s="9"/>
      <c r="AB851" s="9"/>
      <c r="AC851" s="9"/>
    </row>
    <row r="852" spans="1:29" ht="12.75" customHeight="1">
      <c r="A852" s="9"/>
      <c r="B852" s="9"/>
      <c r="C852" s="9"/>
      <c r="D852" s="9"/>
      <c r="E852" s="9"/>
      <c r="F852" s="9"/>
      <c r="G852" s="9"/>
      <c r="H852" s="548"/>
      <c r="I852" s="548"/>
      <c r="J852" s="548"/>
      <c r="K852" s="548"/>
      <c r="L852" s="548"/>
      <c r="M852" s="548"/>
      <c r="N852" s="548"/>
      <c r="O852" s="548"/>
      <c r="P852" s="548"/>
      <c r="Q852" s="548"/>
      <c r="R852" s="548"/>
      <c r="S852" s="548"/>
      <c r="T852" s="548"/>
      <c r="U852" s="9"/>
      <c r="V852" s="9"/>
      <c r="W852" s="9"/>
      <c r="X852" s="9"/>
      <c r="Y852" s="9"/>
      <c r="Z852" s="9"/>
      <c r="AA852" s="9"/>
      <c r="AB852" s="9"/>
      <c r="AC852" s="9"/>
    </row>
    <row r="853" spans="1:29" ht="12.75" customHeight="1">
      <c r="A853" s="9"/>
      <c r="B853" s="9"/>
      <c r="C853" s="9"/>
      <c r="D853" s="9"/>
      <c r="E853" s="9"/>
      <c r="F853" s="9"/>
      <c r="G853" s="9"/>
      <c r="H853" s="548"/>
      <c r="I853" s="548"/>
      <c r="J853" s="548"/>
      <c r="K853" s="548"/>
      <c r="L853" s="548"/>
      <c r="M853" s="548"/>
      <c r="N853" s="548"/>
      <c r="O853" s="548"/>
      <c r="P853" s="548"/>
      <c r="Q853" s="548"/>
      <c r="R853" s="548"/>
      <c r="S853" s="548"/>
      <c r="T853" s="548"/>
      <c r="U853" s="9"/>
      <c r="V853" s="9"/>
      <c r="W853" s="9"/>
      <c r="X853" s="9"/>
      <c r="Y853" s="9"/>
      <c r="Z853" s="9"/>
      <c r="AA853" s="9"/>
      <c r="AB853" s="9"/>
      <c r="AC853" s="9"/>
    </row>
    <row r="854" spans="1:29" ht="12.75" customHeight="1">
      <c r="A854" s="9"/>
      <c r="B854" s="9"/>
      <c r="C854" s="9"/>
      <c r="D854" s="9"/>
      <c r="E854" s="9"/>
      <c r="F854" s="9"/>
      <c r="G854" s="9"/>
      <c r="H854" s="548"/>
      <c r="I854" s="548"/>
      <c r="J854" s="548"/>
      <c r="K854" s="548"/>
      <c r="L854" s="548"/>
      <c r="M854" s="548"/>
      <c r="N854" s="548"/>
      <c r="O854" s="548"/>
      <c r="P854" s="548"/>
      <c r="Q854" s="548"/>
      <c r="R854" s="548"/>
      <c r="S854" s="548"/>
      <c r="T854" s="548"/>
      <c r="U854" s="9"/>
      <c r="V854" s="9"/>
      <c r="W854" s="9"/>
      <c r="X854" s="9"/>
      <c r="Y854" s="9"/>
      <c r="Z854" s="9"/>
      <c r="AA854" s="9"/>
      <c r="AB854" s="9"/>
      <c r="AC854" s="9"/>
    </row>
    <row r="855" spans="1:29" ht="12.75" customHeight="1">
      <c r="A855" s="9"/>
      <c r="B855" s="9"/>
      <c r="C855" s="9"/>
      <c r="D855" s="9"/>
      <c r="E855" s="9"/>
      <c r="F855" s="9"/>
      <c r="G855" s="9"/>
      <c r="H855" s="548"/>
      <c r="I855" s="548"/>
      <c r="J855" s="548"/>
      <c r="K855" s="548"/>
      <c r="L855" s="548"/>
      <c r="M855" s="548"/>
      <c r="N855" s="548"/>
      <c r="O855" s="548"/>
      <c r="P855" s="548"/>
      <c r="Q855" s="548"/>
      <c r="R855" s="548"/>
      <c r="S855" s="548"/>
      <c r="T855" s="548"/>
      <c r="U855" s="9"/>
      <c r="V855" s="9"/>
      <c r="W855" s="9"/>
      <c r="X855" s="9"/>
      <c r="Y855" s="9"/>
      <c r="Z855" s="9"/>
      <c r="AA855" s="9"/>
      <c r="AB855" s="9"/>
      <c r="AC855" s="9"/>
    </row>
    <row r="856" spans="1:29" ht="12.75" customHeight="1">
      <c r="A856" s="9"/>
      <c r="B856" s="9"/>
      <c r="C856" s="9"/>
      <c r="D856" s="9"/>
      <c r="E856" s="9"/>
      <c r="F856" s="9"/>
      <c r="G856" s="9"/>
      <c r="H856" s="548"/>
      <c r="I856" s="548"/>
      <c r="J856" s="548"/>
      <c r="K856" s="548"/>
      <c r="L856" s="548"/>
      <c r="M856" s="548"/>
      <c r="N856" s="548"/>
      <c r="O856" s="548"/>
      <c r="P856" s="548"/>
      <c r="Q856" s="548"/>
      <c r="R856" s="548"/>
      <c r="S856" s="548"/>
      <c r="T856" s="548"/>
      <c r="U856" s="9"/>
      <c r="V856" s="9"/>
      <c r="W856" s="9"/>
      <c r="X856" s="9"/>
      <c r="Y856" s="9"/>
      <c r="Z856" s="9"/>
      <c r="AA856" s="9"/>
      <c r="AB856" s="9"/>
      <c r="AC856" s="9"/>
    </row>
    <row r="857" spans="1:29" ht="12.75" customHeight="1">
      <c r="A857" s="9"/>
      <c r="B857" s="9"/>
      <c r="C857" s="9"/>
      <c r="D857" s="9"/>
      <c r="E857" s="9"/>
      <c r="F857" s="9"/>
      <c r="G857" s="9"/>
      <c r="H857" s="548"/>
      <c r="I857" s="548"/>
      <c r="J857" s="548"/>
      <c r="K857" s="548"/>
      <c r="L857" s="548"/>
      <c r="M857" s="548"/>
      <c r="N857" s="548"/>
      <c r="O857" s="548"/>
      <c r="P857" s="548"/>
      <c r="Q857" s="548"/>
      <c r="R857" s="548"/>
      <c r="S857" s="548"/>
      <c r="T857" s="548"/>
      <c r="U857" s="9"/>
      <c r="V857" s="9"/>
      <c r="W857" s="9"/>
      <c r="X857" s="9"/>
      <c r="Y857" s="9"/>
      <c r="Z857" s="9"/>
      <c r="AA857" s="9"/>
      <c r="AB857" s="9"/>
      <c r="AC857" s="9"/>
    </row>
    <row r="858" spans="1:29" ht="12.75" customHeight="1">
      <c r="A858" s="9"/>
      <c r="B858" s="9"/>
      <c r="C858" s="9"/>
      <c r="D858" s="9"/>
      <c r="E858" s="9"/>
      <c r="F858" s="9"/>
      <c r="G858" s="9"/>
      <c r="H858" s="548"/>
      <c r="I858" s="548"/>
      <c r="J858" s="548"/>
      <c r="K858" s="548"/>
      <c r="L858" s="548"/>
      <c r="M858" s="548"/>
      <c r="N858" s="548"/>
      <c r="O858" s="548"/>
      <c r="P858" s="548"/>
      <c r="Q858" s="548"/>
      <c r="R858" s="548"/>
      <c r="S858" s="548"/>
      <c r="T858" s="548"/>
      <c r="U858" s="9"/>
      <c r="V858" s="9"/>
      <c r="W858" s="9"/>
      <c r="X858" s="9"/>
      <c r="Y858" s="9"/>
      <c r="Z858" s="9"/>
      <c r="AA858" s="9"/>
      <c r="AB858" s="9"/>
      <c r="AC858" s="9"/>
    </row>
    <row r="859" spans="1:29" ht="12.75" customHeight="1">
      <c r="A859" s="9"/>
      <c r="B859" s="9"/>
      <c r="C859" s="9"/>
      <c r="D859" s="9"/>
      <c r="E859" s="9"/>
      <c r="F859" s="9"/>
      <c r="G859" s="9"/>
      <c r="H859" s="548"/>
      <c r="I859" s="548"/>
      <c r="J859" s="548"/>
      <c r="K859" s="548"/>
      <c r="L859" s="548"/>
      <c r="M859" s="548"/>
      <c r="N859" s="548"/>
      <c r="O859" s="548"/>
      <c r="P859" s="548"/>
      <c r="Q859" s="548"/>
      <c r="R859" s="548"/>
      <c r="S859" s="548"/>
      <c r="T859" s="548"/>
      <c r="U859" s="9"/>
      <c r="V859" s="9"/>
      <c r="W859" s="9"/>
      <c r="X859" s="9"/>
      <c r="Y859" s="9"/>
      <c r="Z859" s="9"/>
      <c r="AA859" s="9"/>
      <c r="AB859" s="9"/>
      <c r="AC859" s="9"/>
    </row>
    <row r="860" spans="1:29" ht="12.75" customHeight="1">
      <c r="A860" s="9"/>
      <c r="B860" s="9"/>
      <c r="C860" s="9"/>
      <c r="D860" s="9"/>
      <c r="E860" s="9"/>
      <c r="F860" s="9"/>
      <c r="G860" s="9"/>
      <c r="H860" s="548"/>
      <c r="I860" s="548"/>
      <c r="J860" s="548"/>
      <c r="K860" s="548"/>
      <c r="L860" s="548"/>
      <c r="M860" s="548"/>
      <c r="N860" s="548"/>
      <c r="O860" s="548"/>
      <c r="P860" s="548"/>
      <c r="Q860" s="548"/>
      <c r="R860" s="548"/>
      <c r="S860" s="548"/>
      <c r="T860" s="548"/>
      <c r="U860" s="9"/>
      <c r="V860" s="9"/>
      <c r="W860" s="9"/>
      <c r="X860" s="9"/>
      <c r="Y860" s="9"/>
      <c r="Z860" s="9"/>
      <c r="AA860" s="9"/>
      <c r="AB860" s="9"/>
      <c r="AC860" s="9"/>
    </row>
    <row r="861" spans="1:29" ht="12.75" customHeight="1">
      <c r="A861" s="9"/>
      <c r="B861" s="9"/>
      <c r="C861" s="9"/>
      <c r="D861" s="9"/>
      <c r="E861" s="9"/>
      <c r="F861" s="9"/>
      <c r="G861" s="9"/>
      <c r="H861" s="548"/>
      <c r="I861" s="548"/>
      <c r="J861" s="548"/>
      <c r="K861" s="548"/>
      <c r="L861" s="548"/>
      <c r="M861" s="548"/>
      <c r="N861" s="548"/>
      <c r="O861" s="548"/>
      <c r="P861" s="548"/>
      <c r="Q861" s="548"/>
      <c r="R861" s="548"/>
      <c r="S861" s="548"/>
      <c r="T861" s="548"/>
      <c r="U861" s="9"/>
      <c r="V861" s="9"/>
      <c r="W861" s="9"/>
      <c r="X861" s="9"/>
      <c r="Y861" s="9"/>
      <c r="Z861" s="9"/>
      <c r="AA861" s="9"/>
      <c r="AB861" s="9"/>
      <c r="AC861" s="9"/>
    </row>
    <row r="862" spans="1:29" ht="12.75" customHeight="1">
      <c r="A862" s="9"/>
      <c r="B862" s="9"/>
      <c r="C862" s="9"/>
      <c r="D862" s="9"/>
      <c r="E862" s="9"/>
      <c r="F862" s="9"/>
      <c r="G862" s="9"/>
      <c r="H862" s="548"/>
      <c r="I862" s="548"/>
      <c r="J862" s="548"/>
      <c r="K862" s="548"/>
      <c r="L862" s="548"/>
      <c r="M862" s="548"/>
      <c r="N862" s="548"/>
      <c r="O862" s="548"/>
      <c r="P862" s="548"/>
      <c r="Q862" s="548"/>
      <c r="R862" s="548"/>
      <c r="S862" s="548"/>
      <c r="T862" s="548"/>
      <c r="U862" s="9"/>
      <c r="V862" s="9"/>
      <c r="W862" s="9"/>
      <c r="X862" s="9"/>
      <c r="Y862" s="9"/>
      <c r="Z862" s="9"/>
      <c r="AA862" s="9"/>
      <c r="AB862" s="9"/>
      <c r="AC862" s="9"/>
    </row>
    <row r="863" spans="1:29" ht="12.75" customHeight="1">
      <c r="A863" s="9"/>
      <c r="B863" s="9"/>
      <c r="C863" s="9"/>
      <c r="D863" s="9"/>
      <c r="E863" s="9"/>
      <c r="F863" s="9"/>
      <c r="G863" s="9"/>
      <c r="H863" s="548"/>
      <c r="I863" s="548"/>
      <c r="J863" s="548"/>
      <c r="K863" s="548"/>
      <c r="L863" s="548"/>
      <c r="M863" s="548"/>
      <c r="N863" s="548"/>
      <c r="O863" s="548"/>
      <c r="P863" s="548"/>
      <c r="Q863" s="548"/>
      <c r="R863" s="548"/>
      <c r="S863" s="548"/>
      <c r="T863" s="548"/>
      <c r="U863" s="9"/>
      <c r="V863" s="9"/>
      <c r="W863" s="9"/>
      <c r="X863" s="9"/>
      <c r="Y863" s="9"/>
      <c r="Z863" s="9"/>
      <c r="AA863" s="9"/>
      <c r="AB863" s="9"/>
      <c r="AC863" s="9"/>
    </row>
    <row r="864" spans="1:29" ht="12.75" customHeight="1">
      <c r="A864" s="9"/>
      <c r="B864" s="9"/>
      <c r="C864" s="9"/>
      <c r="D864" s="9"/>
      <c r="E864" s="9"/>
      <c r="F864" s="9"/>
      <c r="G864" s="9"/>
      <c r="H864" s="548"/>
      <c r="I864" s="548"/>
      <c r="J864" s="548"/>
      <c r="K864" s="548"/>
      <c r="L864" s="548"/>
      <c r="M864" s="548"/>
      <c r="N864" s="548"/>
      <c r="O864" s="548"/>
      <c r="P864" s="548"/>
      <c r="Q864" s="548"/>
      <c r="R864" s="548"/>
      <c r="S864" s="548"/>
      <c r="T864" s="548"/>
      <c r="U864" s="9"/>
      <c r="V864" s="9"/>
      <c r="W864" s="9"/>
      <c r="X864" s="9"/>
      <c r="Y864" s="9"/>
      <c r="Z864" s="9"/>
      <c r="AA864" s="9"/>
      <c r="AB864" s="9"/>
      <c r="AC864" s="9"/>
    </row>
    <row r="865" spans="1:29" ht="12.75" customHeight="1">
      <c r="A865" s="9"/>
      <c r="B865" s="9"/>
      <c r="C865" s="9"/>
      <c r="D865" s="9"/>
      <c r="E865" s="9"/>
      <c r="F865" s="9"/>
      <c r="G865" s="9"/>
      <c r="H865" s="548"/>
      <c r="I865" s="548"/>
      <c r="J865" s="548"/>
      <c r="K865" s="548"/>
      <c r="L865" s="548"/>
      <c r="M865" s="548"/>
      <c r="N865" s="548"/>
      <c r="O865" s="548"/>
      <c r="P865" s="548"/>
      <c r="Q865" s="548"/>
      <c r="R865" s="548"/>
      <c r="S865" s="548"/>
      <c r="T865" s="548"/>
      <c r="U865" s="9"/>
      <c r="V865" s="9"/>
      <c r="W865" s="9"/>
      <c r="X865" s="9"/>
      <c r="Y865" s="9"/>
      <c r="Z865" s="9"/>
      <c r="AA865" s="9"/>
      <c r="AB865" s="9"/>
      <c r="AC865" s="9"/>
    </row>
    <row r="866" spans="1:29" ht="12.75" customHeight="1">
      <c r="A866" s="9"/>
      <c r="B866" s="9"/>
      <c r="C866" s="9"/>
      <c r="D866" s="9"/>
      <c r="E866" s="9"/>
      <c r="F866" s="9"/>
      <c r="G866" s="9"/>
      <c r="H866" s="548"/>
      <c r="I866" s="548"/>
      <c r="J866" s="548"/>
      <c r="K866" s="548"/>
      <c r="L866" s="548"/>
      <c r="M866" s="548"/>
      <c r="N866" s="548"/>
      <c r="O866" s="548"/>
      <c r="P866" s="548"/>
      <c r="Q866" s="548"/>
      <c r="R866" s="548"/>
      <c r="S866" s="548"/>
      <c r="T866" s="548"/>
      <c r="U866" s="9"/>
      <c r="V866" s="9"/>
      <c r="W866" s="9"/>
      <c r="X866" s="9"/>
      <c r="Y866" s="9"/>
      <c r="Z866" s="9"/>
      <c r="AA866" s="9"/>
      <c r="AB866" s="9"/>
      <c r="AC866" s="9"/>
    </row>
    <row r="867" spans="1:29" ht="12.75" customHeight="1">
      <c r="A867" s="9"/>
      <c r="B867" s="9"/>
      <c r="C867" s="9"/>
      <c r="D867" s="9"/>
      <c r="E867" s="9"/>
      <c r="F867" s="9"/>
      <c r="G867" s="9"/>
      <c r="H867" s="548"/>
      <c r="I867" s="548"/>
      <c r="J867" s="548"/>
      <c r="K867" s="548"/>
      <c r="L867" s="548"/>
      <c r="M867" s="548"/>
      <c r="N867" s="548"/>
      <c r="O867" s="548"/>
      <c r="P867" s="548"/>
      <c r="Q867" s="548"/>
      <c r="R867" s="548"/>
      <c r="S867" s="548"/>
      <c r="T867" s="548"/>
      <c r="U867" s="9"/>
      <c r="V867" s="9"/>
      <c r="W867" s="9"/>
      <c r="X867" s="9"/>
      <c r="Y867" s="9"/>
      <c r="Z867" s="9"/>
      <c r="AA867" s="9"/>
      <c r="AB867" s="9"/>
      <c r="AC867" s="9"/>
    </row>
    <row r="868" spans="1:29" ht="12.75" customHeight="1">
      <c r="A868" s="9"/>
      <c r="B868" s="9"/>
      <c r="C868" s="9"/>
      <c r="D868" s="9"/>
      <c r="E868" s="9"/>
      <c r="F868" s="9"/>
      <c r="G868" s="9"/>
      <c r="H868" s="548"/>
      <c r="I868" s="548"/>
      <c r="J868" s="548"/>
      <c r="K868" s="548"/>
      <c r="L868" s="548"/>
      <c r="M868" s="548"/>
      <c r="N868" s="548"/>
      <c r="O868" s="548"/>
      <c r="P868" s="548"/>
      <c r="Q868" s="548"/>
      <c r="R868" s="548"/>
      <c r="S868" s="548"/>
      <c r="T868" s="548"/>
      <c r="U868" s="9"/>
      <c r="V868" s="9"/>
      <c r="W868" s="9"/>
      <c r="X868" s="9"/>
      <c r="Y868" s="9"/>
      <c r="Z868" s="9"/>
      <c r="AA868" s="9"/>
      <c r="AB868" s="9"/>
      <c r="AC868" s="9"/>
    </row>
    <row r="869" spans="1:29" ht="12.75" customHeight="1">
      <c r="A869" s="9"/>
      <c r="B869" s="9"/>
      <c r="C869" s="9"/>
      <c r="D869" s="9"/>
      <c r="E869" s="9"/>
      <c r="F869" s="9"/>
      <c r="G869" s="9"/>
      <c r="H869" s="548"/>
      <c r="I869" s="548"/>
      <c r="J869" s="548"/>
      <c r="K869" s="548"/>
      <c r="L869" s="548"/>
      <c r="M869" s="548"/>
      <c r="N869" s="548"/>
      <c r="O869" s="548"/>
      <c r="P869" s="548"/>
      <c r="Q869" s="548"/>
      <c r="R869" s="548"/>
      <c r="S869" s="548"/>
      <c r="T869" s="548"/>
      <c r="U869" s="9"/>
      <c r="V869" s="9"/>
      <c r="W869" s="9"/>
      <c r="X869" s="9"/>
      <c r="Y869" s="9"/>
      <c r="Z869" s="9"/>
      <c r="AA869" s="9"/>
      <c r="AB869" s="9"/>
      <c r="AC869" s="9"/>
    </row>
    <row r="870" spans="1:29" ht="12.75" customHeight="1">
      <c r="A870" s="9"/>
      <c r="B870" s="9"/>
      <c r="C870" s="9"/>
      <c r="D870" s="9"/>
      <c r="E870" s="9"/>
      <c r="F870" s="9"/>
      <c r="G870" s="9"/>
      <c r="H870" s="548"/>
      <c r="I870" s="548"/>
      <c r="J870" s="548"/>
      <c r="K870" s="548"/>
      <c r="L870" s="548"/>
      <c r="M870" s="548"/>
      <c r="N870" s="548"/>
      <c r="O870" s="548"/>
      <c r="P870" s="548"/>
      <c r="Q870" s="548"/>
      <c r="R870" s="548"/>
      <c r="S870" s="548"/>
      <c r="T870" s="548"/>
      <c r="U870" s="9"/>
      <c r="V870" s="9"/>
      <c r="W870" s="9"/>
      <c r="X870" s="9"/>
      <c r="Y870" s="9"/>
      <c r="Z870" s="9"/>
      <c r="AA870" s="9"/>
      <c r="AB870" s="9"/>
      <c r="AC870" s="9"/>
    </row>
    <row r="871" spans="1:29" ht="12.75" customHeight="1">
      <c r="A871" s="9"/>
      <c r="B871" s="9"/>
      <c r="C871" s="9"/>
      <c r="D871" s="9"/>
      <c r="E871" s="9"/>
      <c r="F871" s="9"/>
      <c r="G871" s="9"/>
      <c r="H871" s="548"/>
      <c r="I871" s="548"/>
      <c r="J871" s="548"/>
      <c r="K871" s="548"/>
      <c r="L871" s="548"/>
      <c r="M871" s="548"/>
      <c r="N871" s="548"/>
      <c r="O871" s="548"/>
      <c r="P871" s="548"/>
      <c r="Q871" s="548"/>
      <c r="R871" s="548"/>
      <c r="S871" s="548"/>
      <c r="T871" s="548"/>
      <c r="U871" s="9"/>
      <c r="V871" s="9"/>
      <c r="W871" s="9"/>
      <c r="X871" s="9"/>
      <c r="Y871" s="9"/>
      <c r="Z871" s="9"/>
      <c r="AA871" s="9"/>
      <c r="AB871" s="9"/>
      <c r="AC871" s="9"/>
    </row>
    <row r="872" spans="1:29" ht="12.75" customHeight="1">
      <c r="A872" s="9"/>
      <c r="B872" s="9"/>
      <c r="C872" s="9"/>
      <c r="D872" s="9"/>
      <c r="E872" s="9"/>
      <c r="F872" s="9"/>
      <c r="G872" s="9"/>
      <c r="H872" s="548"/>
      <c r="I872" s="548"/>
      <c r="J872" s="548"/>
      <c r="K872" s="548"/>
      <c r="L872" s="548"/>
      <c r="M872" s="548"/>
      <c r="N872" s="548"/>
      <c r="O872" s="548"/>
      <c r="P872" s="548"/>
      <c r="Q872" s="548"/>
      <c r="R872" s="548"/>
      <c r="S872" s="548"/>
      <c r="T872" s="548"/>
      <c r="U872" s="9"/>
      <c r="V872" s="9"/>
      <c r="W872" s="9"/>
      <c r="X872" s="9"/>
      <c r="Y872" s="9"/>
      <c r="Z872" s="9"/>
      <c r="AA872" s="9"/>
      <c r="AB872" s="9"/>
      <c r="AC872" s="9"/>
    </row>
    <row r="873" spans="1:29" ht="12.75" customHeight="1">
      <c r="A873" s="9"/>
      <c r="B873" s="9"/>
      <c r="C873" s="9"/>
      <c r="D873" s="9"/>
      <c r="E873" s="9"/>
      <c r="F873" s="9"/>
      <c r="G873" s="9"/>
      <c r="H873" s="548"/>
      <c r="I873" s="548"/>
      <c r="J873" s="548"/>
      <c r="K873" s="548"/>
      <c r="L873" s="548"/>
      <c r="M873" s="548"/>
      <c r="N873" s="548"/>
      <c r="O873" s="548"/>
      <c r="P873" s="548"/>
      <c r="Q873" s="548"/>
      <c r="R873" s="548"/>
      <c r="S873" s="548"/>
      <c r="T873" s="548"/>
      <c r="U873" s="9"/>
      <c r="V873" s="9"/>
      <c r="W873" s="9"/>
      <c r="X873" s="9"/>
      <c r="Y873" s="9"/>
      <c r="Z873" s="9"/>
      <c r="AA873" s="9"/>
      <c r="AB873" s="9"/>
      <c r="AC873" s="9"/>
    </row>
    <row r="874" spans="1:29" ht="12.75" customHeight="1">
      <c r="A874" s="9"/>
      <c r="B874" s="9"/>
      <c r="C874" s="9"/>
      <c r="D874" s="9"/>
      <c r="E874" s="9"/>
      <c r="F874" s="9"/>
      <c r="G874" s="9"/>
      <c r="H874" s="548"/>
      <c r="I874" s="548"/>
      <c r="J874" s="548"/>
      <c r="K874" s="548"/>
      <c r="L874" s="548"/>
      <c r="M874" s="548"/>
      <c r="N874" s="548"/>
      <c r="O874" s="548"/>
      <c r="P874" s="548"/>
      <c r="Q874" s="548"/>
      <c r="R874" s="548"/>
      <c r="S874" s="548"/>
      <c r="T874" s="548"/>
      <c r="U874" s="9"/>
      <c r="V874" s="9"/>
      <c r="W874" s="9"/>
      <c r="X874" s="9"/>
      <c r="Y874" s="9"/>
      <c r="Z874" s="9"/>
      <c r="AA874" s="9"/>
      <c r="AB874" s="9"/>
      <c r="AC874" s="9"/>
    </row>
    <row r="875" spans="1:29" ht="12.75" customHeight="1">
      <c r="A875" s="9"/>
      <c r="B875" s="9"/>
      <c r="C875" s="9"/>
      <c r="D875" s="9"/>
      <c r="E875" s="9"/>
      <c r="F875" s="9"/>
      <c r="G875" s="9"/>
      <c r="H875" s="548"/>
      <c r="I875" s="548"/>
      <c r="J875" s="548"/>
      <c r="K875" s="548"/>
      <c r="L875" s="548"/>
      <c r="M875" s="548"/>
      <c r="N875" s="548"/>
      <c r="O875" s="548"/>
      <c r="P875" s="548"/>
      <c r="Q875" s="548"/>
      <c r="R875" s="548"/>
      <c r="S875" s="548"/>
      <c r="T875" s="548"/>
      <c r="U875" s="9"/>
      <c r="V875" s="9"/>
      <c r="W875" s="9"/>
      <c r="X875" s="9"/>
      <c r="Y875" s="9"/>
      <c r="Z875" s="9"/>
      <c r="AA875" s="9"/>
      <c r="AB875" s="9"/>
      <c r="AC875" s="9"/>
    </row>
    <row r="876" spans="1:29" ht="12.75" customHeight="1">
      <c r="A876" s="9"/>
      <c r="B876" s="9"/>
      <c r="C876" s="9"/>
      <c r="D876" s="9"/>
      <c r="E876" s="9"/>
      <c r="F876" s="9"/>
      <c r="G876" s="9"/>
      <c r="H876" s="548"/>
      <c r="I876" s="548"/>
      <c r="J876" s="548"/>
      <c r="K876" s="548"/>
      <c r="L876" s="548"/>
      <c r="M876" s="548"/>
      <c r="N876" s="548"/>
      <c r="O876" s="548"/>
      <c r="P876" s="548"/>
      <c r="Q876" s="548"/>
      <c r="R876" s="548"/>
      <c r="S876" s="548"/>
      <c r="T876" s="548"/>
      <c r="U876" s="9"/>
      <c r="V876" s="9"/>
      <c r="W876" s="9"/>
      <c r="X876" s="9"/>
      <c r="Y876" s="9"/>
      <c r="Z876" s="9"/>
      <c r="AA876" s="9"/>
      <c r="AB876" s="9"/>
      <c r="AC876" s="9"/>
    </row>
    <row r="877" spans="1:29" ht="12.75" customHeight="1">
      <c r="A877" s="9"/>
      <c r="B877" s="9"/>
      <c r="C877" s="9"/>
      <c r="D877" s="9"/>
      <c r="E877" s="9"/>
      <c r="F877" s="9"/>
      <c r="G877" s="9"/>
      <c r="H877" s="548"/>
      <c r="I877" s="548"/>
      <c r="J877" s="548"/>
      <c r="K877" s="548"/>
      <c r="L877" s="548"/>
      <c r="M877" s="548"/>
      <c r="N877" s="548"/>
      <c r="O877" s="548"/>
      <c r="P877" s="548"/>
      <c r="Q877" s="548"/>
      <c r="R877" s="548"/>
      <c r="S877" s="548"/>
      <c r="T877" s="548"/>
      <c r="U877" s="9"/>
      <c r="V877" s="9"/>
      <c r="W877" s="9"/>
      <c r="X877" s="9"/>
      <c r="Y877" s="9"/>
      <c r="Z877" s="9"/>
      <c r="AA877" s="9"/>
      <c r="AB877" s="9"/>
      <c r="AC877" s="9"/>
    </row>
    <row r="878" spans="1:29" ht="12.75" customHeight="1">
      <c r="A878" s="9"/>
      <c r="B878" s="9"/>
      <c r="C878" s="9"/>
      <c r="D878" s="9"/>
      <c r="E878" s="9"/>
      <c r="F878" s="9"/>
      <c r="G878" s="9"/>
      <c r="H878" s="548"/>
      <c r="I878" s="548"/>
      <c r="J878" s="548"/>
      <c r="K878" s="548"/>
      <c r="L878" s="548"/>
      <c r="M878" s="548"/>
      <c r="N878" s="548"/>
      <c r="O878" s="548"/>
      <c r="P878" s="548"/>
      <c r="Q878" s="548"/>
      <c r="R878" s="548"/>
      <c r="S878" s="548"/>
      <c r="T878" s="548"/>
      <c r="U878" s="9"/>
      <c r="V878" s="9"/>
      <c r="W878" s="9"/>
      <c r="X878" s="9"/>
      <c r="Y878" s="9"/>
      <c r="Z878" s="9"/>
      <c r="AA878" s="9"/>
      <c r="AB878" s="9"/>
      <c r="AC878" s="9"/>
    </row>
    <row r="879" spans="1:29" ht="12.75" customHeight="1">
      <c r="A879" s="9"/>
      <c r="B879" s="9"/>
      <c r="C879" s="9"/>
      <c r="D879" s="9"/>
      <c r="E879" s="9"/>
      <c r="F879" s="9"/>
      <c r="G879" s="9"/>
      <c r="H879" s="548"/>
      <c r="I879" s="548"/>
      <c r="J879" s="548"/>
      <c r="K879" s="548"/>
      <c r="L879" s="548"/>
      <c r="M879" s="548"/>
      <c r="N879" s="548"/>
      <c r="O879" s="548"/>
      <c r="P879" s="548"/>
      <c r="Q879" s="548"/>
      <c r="R879" s="548"/>
      <c r="S879" s="548"/>
      <c r="T879" s="548"/>
      <c r="U879" s="9"/>
      <c r="V879" s="9"/>
      <c r="W879" s="9"/>
      <c r="X879" s="9"/>
      <c r="Y879" s="9"/>
      <c r="Z879" s="9"/>
      <c r="AA879" s="9"/>
      <c r="AB879" s="9"/>
      <c r="AC879" s="9"/>
    </row>
    <row r="880" spans="1:29" ht="12.75" customHeight="1">
      <c r="A880" s="9"/>
      <c r="B880" s="9"/>
      <c r="C880" s="9"/>
      <c r="D880" s="9"/>
      <c r="E880" s="9"/>
      <c r="F880" s="9"/>
      <c r="G880" s="9"/>
      <c r="H880" s="548"/>
      <c r="I880" s="548"/>
      <c r="J880" s="548"/>
      <c r="K880" s="548"/>
      <c r="L880" s="548"/>
      <c r="M880" s="548"/>
      <c r="N880" s="548"/>
      <c r="O880" s="548"/>
      <c r="P880" s="548"/>
      <c r="Q880" s="548"/>
      <c r="R880" s="548"/>
      <c r="S880" s="548"/>
      <c r="T880" s="548"/>
      <c r="U880" s="9"/>
      <c r="V880" s="9"/>
      <c r="W880" s="9"/>
      <c r="X880" s="9"/>
      <c r="Y880" s="9"/>
      <c r="Z880" s="9"/>
      <c r="AA880" s="9"/>
      <c r="AB880" s="9"/>
      <c r="AC880" s="9"/>
    </row>
    <row r="881" spans="1:29" ht="12.75" customHeight="1">
      <c r="A881" s="9"/>
      <c r="B881" s="9"/>
      <c r="C881" s="9"/>
      <c r="D881" s="9"/>
      <c r="E881" s="9"/>
      <c r="F881" s="9"/>
      <c r="G881" s="9"/>
      <c r="H881" s="548"/>
      <c r="I881" s="548"/>
      <c r="J881" s="548"/>
      <c r="K881" s="548"/>
      <c r="L881" s="548"/>
      <c r="M881" s="548"/>
      <c r="N881" s="548"/>
      <c r="O881" s="548"/>
      <c r="P881" s="548"/>
      <c r="Q881" s="548"/>
      <c r="R881" s="548"/>
      <c r="S881" s="548"/>
      <c r="T881" s="548"/>
      <c r="U881" s="9"/>
      <c r="V881" s="9"/>
      <c r="W881" s="9"/>
      <c r="X881" s="9"/>
      <c r="Y881" s="9"/>
      <c r="Z881" s="9"/>
      <c r="AA881" s="9"/>
      <c r="AB881" s="9"/>
      <c r="AC881" s="9"/>
    </row>
    <row r="882" spans="1:29" ht="12.75" customHeight="1">
      <c r="A882" s="9"/>
      <c r="B882" s="9"/>
      <c r="C882" s="9"/>
      <c r="D882" s="9"/>
      <c r="E882" s="9"/>
      <c r="F882" s="9"/>
      <c r="G882" s="9"/>
      <c r="H882" s="548"/>
      <c r="I882" s="548"/>
      <c r="J882" s="548"/>
      <c r="K882" s="548"/>
      <c r="L882" s="548"/>
      <c r="M882" s="548"/>
      <c r="N882" s="548"/>
      <c r="O882" s="548"/>
      <c r="P882" s="548"/>
      <c r="Q882" s="548"/>
      <c r="R882" s="548"/>
      <c r="S882" s="548"/>
      <c r="T882" s="548"/>
      <c r="U882" s="9"/>
      <c r="V882" s="9"/>
      <c r="W882" s="9"/>
      <c r="X882" s="9"/>
      <c r="Y882" s="9"/>
      <c r="Z882" s="9"/>
      <c r="AA882" s="9"/>
      <c r="AB882" s="9"/>
      <c r="AC882" s="9"/>
    </row>
    <row r="883" spans="1:29" ht="12.75" customHeight="1">
      <c r="A883" s="9"/>
      <c r="B883" s="9"/>
      <c r="C883" s="9"/>
      <c r="D883" s="9"/>
      <c r="E883" s="9"/>
      <c r="F883" s="9"/>
      <c r="G883" s="9"/>
      <c r="H883" s="548"/>
      <c r="I883" s="548"/>
      <c r="J883" s="548"/>
      <c r="K883" s="548"/>
      <c r="L883" s="548"/>
      <c r="M883" s="548"/>
      <c r="N883" s="548"/>
      <c r="O883" s="548"/>
      <c r="P883" s="548"/>
      <c r="Q883" s="548"/>
      <c r="R883" s="548"/>
      <c r="S883" s="548"/>
      <c r="T883" s="548"/>
      <c r="U883" s="9"/>
      <c r="V883" s="9"/>
      <c r="W883" s="9"/>
      <c r="X883" s="9"/>
      <c r="Y883" s="9"/>
      <c r="Z883" s="9"/>
      <c r="AA883" s="9"/>
      <c r="AB883" s="9"/>
      <c r="AC883" s="9"/>
    </row>
    <row r="884" spans="1:29" ht="12.75" customHeight="1">
      <c r="A884" s="9"/>
      <c r="B884" s="9"/>
      <c r="C884" s="9"/>
      <c r="D884" s="9"/>
      <c r="E884" s="9"/>
      <c r="F884" s="9"/>
      <c r="G884" s="9"/>
      <c r="H884" s="548"/>
      <c r="I884" s="548"/>
      <c r="J884" s="548"/>
      <c r="K884" s="548"/>
      <c r="L884" s="548"/>
      <c r="M884" s="548"/>
      <c r="N884" s="548"/>
      <c r="O884" s="548"/>
      <c r="P884" s="548"/>
      <c r="Q884" s="548"/>
      <c r="R884" s="548"/>
      <c r="S884" s="548"/>
      <c r="T884" s="548"/>
      <c r="U884" s="9"/>
      <c r="V884" s="9"/>
      <c r="W884" s="9"/>
      <c r="X884" s="9"/>
      <c r="Y884" s="9"/>
      <c r="Z884" s="9"/>
      <c r="AA884" s="9"/>
      <c r="AB884" s="9"/>
      <c r="AC884" s="9"/>
    </row>
    <row r="885" spans="1:29" ht="12.75" customHeight="1">
      <c r="A885" s="9"/>
      <c r="B885" s="9"/>
      <c r="C885" s="9"/>
      <c r="D885" s="9"/>
      <c r="E885" s="9"/>
      <c r="F885" s="9"/>
      <c r="G885" s="9"/>
      <c r="H885" s="548"/>
      <c r="I885" s="548"/>
      <c r="J885" s="548"/>
      <c r="K885" s="548"/>
      <c r="L885" s="548"/>
      <c r="M885" s="548"/>
      <c r="N885" s="548"/>
      <c r="O885" s="548"/>
      <c r="P885" s="548"/>
      <c r="Q885" s="548"/>
      <c r="R885" s="548"/>
      <c r="S885" s="548"/>
      <c r="T885" s="548"/>
      <c r="U885" s="9"/>
      <c r="V885" s="9"/>
      <c r="W885" s="9"/>
      <c r="X885" s="9"/>
      <c r="Y885" s="9"/>
      <c r="Z885" s="9"/>
      <c r="AA885" s="9"/>
      <c r="AB885" s="9"/>
      <c r="AC885" s="9"/>
    </row>
    <row r="886" spans="1:29" ht="12.75" customHeight="1">
      <c r="A886" s="9"/>
      <c r="B886" s="9"/>
      <c r="C886" s="9"/>
      <c r="D886" s="9"/>
      <c r="E886" s="9"/>
      <c r="F886" s="9"/>
      <c r="G886" s="9"/>
      <c r="H886" s="548"/>
      <c r="I886" s="548"/>
      <c r="J886" s="548"/>
      <c r="K886" s="548"/>
      <c r="L886" s="548"/>
      <c r="M886" s="548"/>
      <c r="N886" s="548"/>
      <c r="O886" s="548"/>
      <c r="P886" s="548"/>
      <c r="Q886" s="548"/>
      <c r="R886" s="548"/>
      <c r="S886" s="548"/>
      <c r="T886" s="548"/>
      <c r="U886" s="9"/>
      <c r="V886" s="9"/>
      <c r="W886" s="9"/>
      <c r="X886" s="9"/>
      <c r="Y886" s="9"/>
      <c r="Z886" s="9"/>
      <c r="AA886" s="9"/>
      <c r="AB886" s="9"/>
      <c r="AC886" s="9"/>
    </row>
    <row r="887" spans="1:29" ht="12.75" customHeight="1">
      <c r="A887" s="9"/>
      <c r="B887" s="9"/>
      <c r="C887" s="9"/>
      <c r="D887" s="9"/>
      <c r="E887" s="9"/>
      <c r="F887" s="9"/>
      <c r="G887" s="9"/>
      <c r="H887" s="548"/>
      <c r="I887" s="548"/>
      <c r="J887" s="548"/>
      <c r="K887" s="548"/>
      <c r="L887" s="548"/>
      <c r="M887" s="548"/>
      <c r="N887" s="548"/>
      <c r="O887" s="548"/>
      <c r="P887" s="548"/>
      <c r="Q887" s="548"/>
      <c r="R887" s="548"/>
      <c r="S887" s="548"/>
      <c r="T887" s="548"/>
      <c r="U887" s="9"/>
      <c r="V887" s="9"/>
      <c r="W887" s="9"/>
      <c r="X887" s="9"/>
      <c r="Y887" s="9"/>
      <c r="Z887" s="9"/>
      <c r="AA887" s="9"/>
      <c r="AB887" s="9"/>
      <c r="AC887" s="9"/>
    </row>
    <row r="888" spans="1:29" ht="12.75" customHeight="1">
      <c r="A888" s="9"/>
      <c r="B888" s="9"/>
      <c r="C888" s="9"/>
      <c r="D888" s="9"/>
      <c r="E888" s="9"/>
      <c r="F888" s="9"/>
      <c r="G888" s="9"/>
      <c r="H888" s="548"/>
      <c r="I888" s="548"/>
      <c r="J888" s="548"/>
      <c r="K888" s="548"/>
      <c r="L888" s="548"/>
      <c r="M888" s="548"/>
      <c r="N888" s="548"/>
      <c r="O888" s="548"/>
      <c r="P888" s="548"/>
      <c r="Q888" s="548"/>
      <c r="R888" s="548"/>
      <c r="S888" s="548"/>
      <c r="T888" s="548"/>
      <c r="U888" s="9"/>
      <c r="V888" s="9"/>
      <c r="W888" s="9"/>
      <c r="X888" s="9"/>
      <c r="Y888" s="9"/>
      <c r="Z888" s="9"/>
      <c r="AA888" s="9"/>
      <c r="AB888" s="9"/>
      <c r="AC888" s="9"/>
    </row>
    <row r="889" spans="1:29" ht="12.75" customHeight="1">
      <c r="A889" s="9"/>
      <c r="B889" s="9"/>
      <c r="C889" s="9"/>
      <c r="D889" s="9"/>
      <c r="E889" s="9"/>
      <c r="F889" s="9"/>
      <c r="G889" s="9"/>
      <c r="H889" s="548"/>
      <c r="I889" s="548"/>
      <c r="J889" s="548"/>
      <c r="K889" s="548"/>
      <c r="L889" s="548"/>
      <c r="M889" s="548"/>
      <c r="N889" s="548"/>
      <c r="O889" s="548"/>
      <c r="P889" s="548"/>
      <c r="Q889" s="548"/>
      <c r="R889" s="548"/>
      <c r="S889" s="548"/>
      <c r="T889" s="548"/>
      <c r="U889" s="9"/>
      <c r="V889" s="9"/>
      <c r="W889" s="9"/>
      <c r="X889" s="9"/>
      <c r="Y889" s="9"/>
      <c r="Z889" s="9"/>
      <c r="AA889" s="9"/>
      <c r="AB889" s="9"/>
      <c r="AC889" s="9"/>
    </row>
    <row r="890" spans="1:29" ht="12.75" customHeight="1">
      <c r="A890" s="9"/>
      <c r="B890" s="9"/>
      <c r="C890" s="9"/>
      <c r="D890" s="9"/>
      <c r="E890" s="9"/>
      <c r="F890" s="9"/>
      <c r="G890" s="9"/>
      <c r="H890" s="548"/>
      <c r="I890" s="548"/>
      <c r="J890" s="548"/>
      <c r="K890" s="548"/>
      <c r="L890" s="548"/>
      <c r="M890" s="548"/>
      <c r="N890" s="548"/>
      <c r="O890" s="548"/>
      <c r="P890" s="548"/>
      <c r="Q890" s="548"/>
      <c r="R890" s="548"/>
      <c r="S890" s="548"/>
      <c r="T890" s="548"/>
      <c r="U890" s="9"/>
      <c r="V890" s="9"/>
      <c r="W890" s="9"/>
      <c r="X890" s="9"/>
      <c r="Y890" s="9"/>
      <c r="Z890" s="9"/>
      <c r="AA890" s="9"/>
      <c r="AB890" s="9"/>
      <c r="AC890" s="9"/>
    </row>
    <row r="891" spans="1:29" ht="12.75" customHeight="1">
      <c r="A891" s="9"/>
      <c r="B891" s="9"/>
      <c r="C891" s="9"/>
      <c r="D891" s="9"/>
      <c r="E891" s="9"/>
      <c r="F891" s="9"/>
      <c r="G891" s="9"/>
      <c r="H891" s="548"/>
      <c r="I891" s="548"/>
      <c r="J891" s="548"/>
      <c r="K891" s="548"/>
      <c r="L891" s="548"/>
      <c r="M891" s="548"/>
      <c r="N891" s="548"/>
      <c r="O891" s="548"/>
      <c r="P891" s="548"/>
      <c r="Q891" s="548"/>
      <c r="R891" s="548"/>
      <c r="S891" s="548"/>
      <c r="T891" s="548"/>
      <c r="U891" s="9"/>
      <c r="V891" s="9"/>
      <c r="W891" s="9"/>
      <c r="X891" s="9"/>
      <c r="Y891" s="9"/>
      <c r="Z891" s="9"/>
      <c r="AA891" s="9"/>
      <c r="AB891" s="9"/>
      <c r="AC891" s="9"/>
    </row>
    <row r="892" spans="1:29" ht="12.75" customHeight="1">
      <c r="A892" s="9"/>
      <c r="B892" s="9"/>
      <c r="C892" s="9"/>
      <c r="D892" s="9"/>
      <c r="E892" s="9"/>
      <c r="F892" s="9"/>
      <c r="G892" s="9"/>
      <c r="H892" s="548"/>
      <c r="I892" s="548"/>
      <c r="J892" s="548"/>
      <c r="K892" s="548"/>
      <c r="L892" s="548"/>
      <c r="M892" s="548"/>
      <c r="N892" s="548"/>
      <c r="O892" s="548"/>
      <c r="P892" s="548"/>
      <c r="Q892" s="548"/>
      <c r="R892" s="548"/>
      <c r="S892" s="548"/>
      <c r="T892" s="548"/>
      <c r="U892" s="9"/>
      <c r="V892" s="9"/>
      <c r="W892" s="9"/>
      <c r="X892" s="9"/>
      <c r="Y892" s="9"/>
      <c r="Z892" s="9"/>
      <c r="AA892" s="9"/>
      <c r="AB892" s="9"/>
      <c r="AC892" s="9"/>
    </row>
    <row r="893" spans="1:29" ht="12.75" customHeight="1">
      <c r="A893" s="9"/>
      <c r="B893" s="9"/>
      <c r="C893" s="9"/>
      <c r="D893" s="9"/>
      <c r="E893" s="9"/>
      <c r="F893" s="9"/>
      <c r="G893" s="9"/>
      <c r="H893" s="548"/>
      <c r="I893" s="548"/>
      <c r="J893" s="548"/>
      <c r="K893" s="548"/>
      <c r="L893" s="548"/>
      <c r="M893" s="548"/>
      <c r="N893" s="548"/>
      <c r="O893" s="548"/>
      <c r="P893" s="548"/>
      <c r="Q893" s="548"/>
      <c r="R893" s="548"/>
      <c r="S893" s="548"/>
      <c r="T893" s="548"/>
      <c r="U893" s="9"/>
      <c r="V893" s="9"/>
      <c r="W893" s="9"/>
      <c r="X893" s="9"/>
      <c r="Y893" s="9"/>
      <c r="Z893" s="9"/>
      <c r="AA893" s="9"/>
      <c r="AB893" s="9"/>
      <c r="AC893" s="9"/>
    </row>
    <row r="894" spans="1:29" ht="12.75" customHeight="1">
      <c r="A894" s="9"/>
      <c r="B894" s="9"/>
      <c r="C894" s="9"/>
      <c r="D894" s="9"/>
      <c r="E894" s="9"/>
      <c r="F894" s="9"/>
      <c r="G894" s="9"/>
      <c r="H894" s="548"/>
      <c r="I894" s="548"/>
      <c r="J894" s="548"/>
      <c r="K894" s="548"/>
      <c r="L894" s="548"/>
      <c r="M894" s="548"/>
      <c r="N894" s="548"/>
      <c r="O894" s="548"/>
      <c r="P894" s="548"/>
      <c r="Q894" s="548"/>
      <c r="R894" s="548"/>
      <c r="S894" s="548"/>
      <c r="T894" s="548"/>
      <c r="U894" s="9"/>
      <c r="V894" s="9"/>
      <c r="W894" s="9"/>
      <c r="X894" s="9"/>
      <c r="Y894" s="9"/>
      <c r="Z894" s="9"/>
      <c r="AA894" s="9"/>
      <c r="AB894" s="9"/>
      <c r="AC894" s="9"/>
    </row>
    <row r="895" spans="1:29" ht="12.75" customHeight="1">
      <c r="A895" s="9"/>
      <c r="B895" s="9"/>
      <c r="C895" s="9"/>
      <c r="D895" s="9"/>
      <c r="E895" s="9"/>
      <c r="F895" s="9"/>
      <c r="G895" s="9"/>
      <c r="H895" s="548"/>
      <c r="I895" s="548"/>
      <c r="J895" s="548"/>
      <c r="K895" s="548"/>
      <c r="L895" s="548"/>
      <c r="M895" s="548"/>
      <c r="N895" s="548"/>
      <c r="O895" s="548"/>
      <c r="P895" s="548"/>
      <c r="Q895" s="548"/>
      <c r="R895" s="548"/>
      <c r="S895" s="548"/>
      <c r="T895" s="548"/>
      <c r="U895" s="9"/>
      <c r="V895" s="9"/>
      <c r="W895" s="9"/>
      <c r="X895" s="9"/>
      <c r="Y895" s="9"/>
      <c r="Z895" s="9"/>
      <c r="AA895" s="9"/>
      <c r="AB895" s="9"/>
      <c r="AC895" s="9"/>
    </row>
    <row r="896" spans="1:29" ht="12.75" customHeight="1">
      <c r="A896" s="9"/>
      <c r="B896" s="9"/>
      <c r="C896" s="9"/>
      <c r="D896" s="9"/>
      <c r="E896" s="9"/>
      <c r="F896" s="9"/>
      <c r="G896" s="9"/>
      <c r="H896" s="548"/>
      <c r="I896" s="548"/>
      <c r="J896" s="548"/>
      <c r="K896" s="548"/>
      <c r="L896" s="548"/>
      <c r="M896" s="548"/>
      <c r="N896" s="548"/>
      <c r="O896" s="548"/>
      <c r="P896" s="548"/>
      <c r="Q896" s="548"/>
      <c r="R896" s="548"/>
      <c r="S896" s="548"/>
      <c r="T896" s="548"/>
      <c r="U896" s="9"/>
      <c r="V896" s="9"/>
      <c r="W896" s="9"/>
      <c r="X896" s="9"/>
      <c r="Y896" s="9"/>
      <c r="Z896" s="9"/>
      <c r="AA896" s="9"/>
      <c r="AB896" s="9"/>
      <c r="AC896" s="9"/>
    </row>
    <row r="897" spans="1:29" ht="12.75" customHeight="1">
      <c r="A897" s="9"/>
      <c r="B897" s="9"/>
      <c r="C897" s="9"/>
      <c r="D897" s="9"/>
      <c r="E897" s="9"/>
      <c r="F897" s="9"/>
      <c r="G897" s="9"/>
      <c r="H897" s="548"/>
      <c r="I897" s="548"/>
      <c r="J897" s="548"/>
      <c r="K897" s="548"/>
      <c r="L897" s="548"/>
      <c r="M897" s="548"/>
      <c r="N897" s="548"/>
      <c r="O897" s="548"/>
      <c r="P897" s="548"/>
      <c r="Q897" s="548"/>
      <c r="R897" s="548"/>
      <c r="S897" s="548"/>
      <c r="T897" s="548"/>
      <c r="U897" s="9"/>
      <c r="V897" s="9"/>
      <c r="W897" s="9"/>
      <c r="X897" s="9"/>
      <c r="Y897" s="9"/>
      <c r="Z897" s="9"/>
      <c r="AA897" s="9"/>
      <c r="AB897" s="9"/>
      <c r="AC897" s="9"/>
    </row>
    <row r="898" spans="1:29" ht="12.75" customHeight="1">
      <c r="A898" s="9"/>
      <c r="B898" s="9"/>
      <c r="C898" s="9"/>
      <c r="D898" s="9"/>
      <c r="E898" s="9"/>
      <c r="F898" s="9"/>
      <c r="G898" s="9"/>
      <c r="H898" s="548"/>
      <c r="I898" s="548"/>
      <c r="J898" s="548"/>
      <c r="K898" s="548"/>
      <c r="L898" s="548"/>
      <c r="M898" s="548"/>
      <c r="N898" s="548"/>
      <c r="O898" s="548"/>
      <c r="P898" s="548"/>
      <c r="Q898" s="548"/>
      <c r="R898" s="548"/>
      <c r="S898" s="548"/>
      <c r="T898" s="548"/>
      <c r="U898" s="9"/>
      <c r="V898" s="9"/>
      <c r="W898" s="9"/>
      <c r="X898" s="9"/>
      <c r="Y898" s="9"/>
      <c r="Z898" s="9"/>
      <c r="AA898" s="9"/>
      <c r="AB898" s="9"/>
      <c r="AC898" s="9"/>
    </row>
    <row r="899" spans="1:29" ht="12.75" customHeight="1">
      <c r="A899" s="9"/>
      <c r="B899" s="9"/>
      <c r="C899" s="9"/>
      <c r="D899" s="9"/>
      <c r="E899" s="9"/>
      <c r="F899" s="9"/>
      <c r="G899" s="9"/>
      <c r="H899" s="548"/>
      <c r="I899" s="548"/>
      <c r="J899" s="548"/>
      <c r="K899" s="548"/>
      <c r="L899" s="548"/>
      <c r="M899" s="548"/>
      <c r="N899" s="548"/>
      <c r="O899" s="548"/>
      <c r="P899" s="548"/>
      <c r="Q899" s="548"/>
      <c r="R899" s="548"/>
      <c r="S899" s="548"/>
      <c r="T899" s="548"/>
      <c r="U899" s="9"/>
      <c r="V899" s="9"/>
      <c r="W899" s="9"/>
      <c r="X899" s="9"/>
      <c r="Y899" s="9"/>
      <c r="Z899" s="9"/>
      <c r="AA899" s="9"/>
      <c r="AB899" s="9"/>
      <c r="AC899" s="9"/>
    </row>
    <row r="900" spans="1:29" ht="12.75" customHeight="1">
      <c r="A900" s="9"/>
      <c r="B900" s="9"/>
      <c r="C900" s="9"/>
      <c r="D900" s="9"/>
      <c r="E900" s="9"/>
      <c r="F900" s="9"/>
      <c r="G900" s="9"/>
      <c r="H900" s="548"/>
      <c r="I900" s="548"/>
      <c r="J900" s="548"/>
      <c r="K900" s="548"/>
      <c r="L900" s="548"/>
      <c r="M900" s="548"/>
      <c r="N900" s="548"/>
      <c r="O900" s="548"/>
      <c r="P900" s="548"/>
      <c r="Q900" s="548"/>
      <c r="R900" s="548"/>
      <c r="S900" s="548"/>
      <c r="T900" s="548"/>
      <c r="U900" s="9"/>
      <c r="V900" s="9"/>
      <c r="W900" s="9"/>
      <c r="X900" s="9"/>
      <c r="Y900" s="9"/>
      <c r="Z900" s="9"/>
      <c r="AA900" s="9"/>
      <c r="AB900" s="9"/>
      <c r="AC900" s="9"/>
    </row>
    <row r="901" spans="1:29" ht="12.75" customHeight="1">
      <c r="A901" s="9"/>
      <c r="B901" s="9"/>
      <c r="C901" s="9"/>
      <c r="D901" s="9"/>
      <c r="E901" s="9"/>
      <c r="F901" s="9"/>
      <c r="G901" s="9"/>
      <c r="H901" s="548"/>
      <c r="I901" s="548"/>
      <c r="J901" s="548"/>
      <c r="K901" s="548"/>
      <c r="L901" s="548"/>
      <c r="M901" s="548"/>
      <c r="N901" s="548"/>
      <c r="O901" s="548"/>
      <c r="P901" s="548"/>
      <c r="Q901" s="548"/>
      <c r="R901" s="548"/>
      <c r="S901" s="548"/>
      <c r="T901" s="548"/>
      <c r="U901" s="9"/>
      <c r="V901" s="9"/>
      <c r="W901" s="9"/>
      <c r="X901" s="9"/>
      <c r="Y901" s="9"/>
      <c r="Z901" s="9"/>
      <c r="AA901" s="9"/>
      <c r="AB901" s="9"/>
      <c r="AC901" s="9"/>
    </row>
    <row r="902" spans="1:29" ht="12.75" customHeight="1">
      <c r="A902" s="9"/>
      <c r="B902" s="9"/>
      <c r="C902" s="9"/>
      <c r="D902" s="9"/>
      <c r="E902" s="9"/>
      <c r="F902" s="9"/>
      <c r="G902" s="9"/>
      <c r="H902" s="548"/>
      <c r="I902" s="548"/>
      <c r="J902" s="548"/>
      <c r="K902" s="548"/>
      <c r="L902" s="548"/>
      <c r="M902" s="548"/>
      <c r="N902" s="548"/>
      <c r="O902" s="548"/>
      <c r="P902" s="548"/>
      <c r="Q902" s="548"/>
      <c r="R902" s="548"/>
      <c r="S902" s="548"/>
      <c r="T902" s="548"/>
      <c r="U902" s="9"/>
      <c r="V902" s="9"/>
      <c r="W902" s="9"/>
      <c r="X902" s="9"/>
      <c r="Y902" s="9"/>
      <c r="Z902" s="9"/>
      <c r="AA902" s="9"/>
      <c r="AB902" s="9"/>
      <c r="AC902" s="9"/>
    </row>
    <row r="903" spans="1:29" ht="12.75" customHeight="1">
      <c r="A903" s="9"/>
      <c r="B903" s="9"/>
      <c r="C903" s="9"/>
      <c r="D903" s="9"/>
      <c r="E903" s="9"/>
      <c r="F903" s="9"/>
      <c r="G903" s="9"/>
      <c r="H903" s="548"/>
      <c r="I903" s="548"/>
      <c r="J903" s="548"/>
      <c r="K903" s="548"/>
      <c r="L903" s="548"/>
      <c r="M903" s="548"/>
      <c r="N903" s="548"/>
      <c r="O903" s="548"/>
      <c r="P903" s="548"/>
      <c r="Q903" s="548"/>
      <c r="R903" s="548"/>
      <c r="S903" s="548"/>
      <c r="T903" s="548"/>
      <c r="U903" s="9"/>
      <c r="V903" s="9"/>
      <c r="W903" s="9"/>
      <c r="X903" s="9"/>
      <c r="Y903" s="9"/>
      <c r="Z903" s="9"/>
      <c r="AA903" s="9"/>
      <c r="AB903" s="9"/>
      <c r="AC903" s="9"/>
    </row>
    <row r="904" spans="1:29" ht="12.75" customHeight="1">
      <c r="A904" s="9"/>
      <c r="B904" s="9"/>
      <c r="C904" s="9"/>
      <c r="D904" s="9"/>
      <c r="E904" s="9"/>
      <c r="F904" s="9"/>
      <c r="G904" s="9"/>
      <c r="H904" s="548"/>
      <c r="I904" s="548"/>
      <c r="J904" s="548"/>
      <c r="K904" s="548"/>
      <c r="L904" s="548"/>
      <c r="M904" s="548"/>
      <c r="N904" s="548"/>
      <c r="O904" s="548"/>
      <c r="P904" s="548"/>
      <c r="Q904" s="548"/>
      <c r="R904" s="548"/>
      <c r="S904" s="548"/>
      <c r="T904" s="548"/>
      <c r="U904" s="9"/>
      <c r="V904" s="9"/>
      <c r="W904" s="9"/>
      <c r="X904" s="9"/>
      <c r="Y904" s="9"/>
      <c r="Z904" s="9"/>
      <c r="AA904" s="9"/>
      <c r="AB904" s="9"/>
      <c r="AC904" s="9"/>
    </row>
    <row r="905" spans="1:29" ht="12.75" customHeight="1">
      <c r="A905" s="9"/>
      <c r="B905" s="9"/>
      <c r="C905" s="9"/>
      <c r="D905" s="9"/>
      <c r="E905" s="9"/>
      <c r="F905" s="9"/>
      <c r="G905" s="9"/>
      <c r="H905" s="548"/>
      <c r="I905" s="548"/>
      <c r="J905" s="548"/>
      <c r="K905" s="548"/>
      <c r="L905" s="548"/>
      <c r="M905" s="548"/>
      <c r="N905" s="548"/>
      <c r="O905" s="548"/>
      <c r="P905" s="548"/>
      <c r="Q905" s="548"/>
      <c r="R905" s="548"/>
      <c r="S905" s="548"/>
      <c r="T905" s="548"/>
      <c r="U905" s="9"/>
      <c r="V905" s="9"/>
      <c r="W905" s="9"/>
      <c r="X905" s="9"/>
      <c r="Y905" s="9"/>
      <c r="Z905" s="9"/>
      <c r="AA905" s="9"/>
      <c r="AB905" s="9"/>
      <c r="AC905" s="9"/>
    </row>
    <row r="906" spans="1:29" ht="12.75" customHeight="1">
      <c r="A906" s="9"/>
      <c r="B906" s="9"/>
      <c r="C906" s="9"/>
      <c r="D906" s="9"/>
      <c r="E906" s="9"/>
      <c r="F906" s="9"/>
      <c r="G906" s="9"/>
      <c r="H906" s="548"/>
      <c r="I906" s="548"/>
      <c r="J906" s="548"/>
      <c r="K906" s="548"/>
      <c r="L906" s="548"/>
      <c r="M906" s="548"/>
      <c r="N906" s="548"/>
      <c r="O906" s="548"/>
      <c r="P906" s="548"/>
      <c r="Q906" s="548"/>
      <c r="R906" s="548"/>
      <c r="S906" s="548"/>
      <c r="T906" s="548"/>
      <c r="U906" s="9"/>
      <c r="V906" s="9"/>
      <c r="W906" s="9"/>
      <c r="X906" s="9"/>
      <c r="Y906" s="9"/>
      <c r="Z906" s="9"/>
      <c r="AA906" s="9"/>
      <c r="AB906" s="9"/>
      <c r="AC906" s="9"/>
    </row>
    <row r="907" spans="1:29" ht="12.75" customHeight="1">
      <c r="A907" s="9"/>
      <c r="B907" s="9"/>
      <c r="C907" s="9"/>
      <c r="D907" s="9"/>
      <c r="E907" s="9"/>
      <c r="F907" s="9"/>
      <c r="G907" s="9"/>
      <c r="H907" s="548"/>
      <c r="I907" s="548"/>
      <c r="J907" s="548"/>
      <c r="K907" s="548"/>
      <c r="L907" s="548"/>
      <c r="M907" s="548"/>
      <c r="N907" s="548"/>
      <c r="O907" s="548"/>
      <c r="P907" s="548"/>
      <c r="Q907" s="548"/>
      <c r="R907" s="548"/>
      <c r="S907" s="548"/>
      <c r="T907" s="548"/>
      <c r="U907" s="9"/>
      <c r="V907" s="9"/>
      <c r="W907" s="9"/>
      <c r="X907" s="9"/>
      <c r="Y907" s="9"/>
      <c r="Z907" s="9"/>
      <c r="AA907" s="9"/>
      <c r="AB907" s="9"/>
      <c r="AC907" s="9"/>
    </row>
    <row r="908" spans="1:29" ht="12.75" customHeight="1">
      <c r="A908" s="9"/>
      <c r="B908" s="9"/>
      <c r="C908" s="9"/>
      <c r="D908" s="9"/>
      <c r="E908" s="9"/>
      <c r="F908" s="9"/>
      <c r="G908" s="9"/>
      <c r="H908" s="548"/>
      <c r="I908" s="548"/>
      <c r="J908" s="548"/>
      <c r="K908" s="548"/>
      <c r="L908" s="548"/>
      <c r="M908" s="548"/>
      <c r="N908" s="548"/>
      <c r="O908" s="548"/>
      <c r="P908" s="548"/>
      <c r="Q908" s="548"/>
      <c r="R908" s="548"/>
      <c r="S908" s="548"/>
      <c r="T908" s="548"/>
      <c r="U908" s="9"/>
      <c r="V908" s="9"/>
      <c r="W908" s="9"/>
      <c r="X908" s="9"/>
      <c r="Y908" s="9"/>
      <c r="Z908" s="9"/>
      <c r="AA908" s="9"/>
      <c r="AB908" s="9"/>
      <c r="AC908" s="9"/>
    </row>
    <row r="909" spans="1:29" ht="12.75" customHeight="1">
      <c r="A909" s="9"/>
      <c r="B909" s="9"/>
      <c r="C909" s="9"/>
      <c r="D909" s="9"/>
      <c r="E909" s="9"/>
      <c r="F909" s="9"/>
      <c r="G909" s="9"/>
      <c r="H909" s="548"/>
      <c r="I909" s="548"/>
      <c r="J909" s="548"/>
      <c r="K909" s="548"/>
      <c r="L909" s="548"/>
      <c r="M909" s="548"/>
      <c r="N909" s="548"/>
      <c r="O909" s="548"/>
      <c r="P909" s="548"/>
      <c r="Q909" s="548"/>
      <c r="R909" s="548"/>
      <c r="S909" s="548"/>
      <c r="T909" s="548"/>
      <c r="U909" s="9"/>
      <c r="V909" s="9"/>
      <c r="W909" s="9"/>
      <c r="X909" s="9"/>
      <c r="Y909" s="9"/>
      <c r="Z909" s="9"/>
      <c r="AA909" s="9"/>
      <c r="AB909" s="9"/>
      <c r="AC909" s="9"/>
    </row>
    <row r="910" spans="1:29" ht="12.75" customHeight="1">
      <c r="A910" s="9"/>
      <c r="B910" s="9"/>
      <c r="C910" s="9"/>
      <c r="D910" s="9"/>
      <c r="E910" s="9"/>
      <c r="F910" s="9"/>
      <c r="G910" s="9"/>
      <c r="H910" s="548"/>
      <c r="I910" s="548"/>
      <c r="J910" s="548"/>
      <c r="K910" s="548"/>
      <c r="L910" s="548"/>
      <c r="M910" s="548"/>
      <c r="N910" s="548"/>
      <c r="O910" s="548"/>
      <c r="P910" s="548"/>
      <c r="Q910" s="548"/>
      <c r="R910" s="548"/>
      <c r="S910" s="548"/>
      <c r="T910" s="548"/>
      <c r="U910" s="9"/>
      <c r="V910" s="9"/>
      <c r="W910" s="9"/>
      <c r="X910" s="9"/>
      <c r="Y910" s="9"/>
      <c r="Z910" s="9"/>
      <c r="AA910" s="9"/>
      <c r="AB910" s="9"/>
      <c r="AC910" s="9"/>
    </row>
    <row r="911" spans="1:29" ht="12.75" customHeight="1">
      <c r="A911" s="9"/>
      <c r="B911" s="9"/>
      <c r="C911" s="9"/>
      <c r="D911" s="9"/>
      <c r="E911" s="9"/>
      <c r="F911" s="9"/>
      <c r="G911" s="9"/>
      <c r="H911" s="548"/>
      <c r="I911" s="548"/>
      <c r="J911" s="548"/>
      <c r="K911" s="548"/>
      <c r="L911" s="548"/>
      <c r="M911" s="548"/>
      <c r="N911" s="548"/>
      <c r="O911" s="548"/>
      <c r="P911" s="548"/>
      <c r="Q911" s="548"/>
      <c r="R911" s="548"/>
      <c r="S911" s="548"/>
      <c r="T911" s="548"/>
      <c r="U911" s="9"/>
      <c r="V911" s="9"/>
      <c r="W911" s="9"/>
      <c r="X911" s="9"/>
      <c r="Y911" s="9"/>
      <c r="Z911" s="9"/>
      <c r="AA911" s="9"/>
      <c r="AB911" s="9"/>
      <c r="AC911" s="9"/>
    </row>
    <row r="912" spans="1:29" ht="12.75" customHeight="1">
      <c r="A912" s="9"/>
      <c r="B912" s="9"/>
      <c r="C912" s="9"/>
      <c r="D912" s="9"/>
      <c r="E912" s="9"/>
      <c r="F912" s="9"/>
      <c r="G912" s="9"/>
      <c r="H912" s="548"/>
      <c r="I912" s="548"/>
      <c r="J912" s="548"/>
      <c r="K912" s="548"/>
      <c r="L912" s="548"/>
      <c r="M912" s="548"/>
      <c r="N912" s="548"/>
      <c r="O912" s="548"/>
      <c r="P912" s="548"/>
      <c r="Q912" s="548"/>
      <c r="R912" s="548"/>
      <c r="S912" s="548"/>
      <c r="T912" s="548"/>
      <c r="U912" s="9"/>
      <c r="V912" s="9"/>
      <c r="W912" s="9"/>
      <c r="X912" s="9"/>
      <c r="Y912" s="9"/>
      <c r="Z912" s="9"/>
      <c r="AA912" s="9"/>
      <c r="AB912" s="9"/>
      <c r="AC912" s="9"/>
    </row>
    <row r="913" spans="1:29" ht="12.75" customHeight="1">
      <c r="A913" s="9"/>
      <c r="B913" s="9"/>
      <c r="C913" s="9"/>
      <c r="D913" s="9"/>
      <c r="E913" s="9"/>
      <c r="F913" s="9"/>
      <c r="G913" s="9"/>
      <c r="H913" s="548"/>
      <c r="I913" s="548"/>
      <c r="J913" s="548"/>
      <c r="K913" s="548"/>
      <c r="L913" s="548"/>
      <c r="M913" s="548"/>
      <c r="N913" s="548"/>
      <c r="O913" s="548"/>
      <c r="P913" s="548"/>
      <c r="Q913" s="548"/>
      <c r="R913" s="548"/>
      <c r="S913" s="548"/>
      <c r="T913" s="548"/>
      <c r="U913" s="9"/>
      <c r="V913" s="9"/>
      <c r="W913" s="9"/>
      <c r="X913" s="9"/>
      <c r="Y913" s="9"/>
      <c r="Z913" s="9"/>
      <c r="AA913" s="9"/>
      <c r="AB913" s="9"/>
      <c r="AC913" s="9"/>
    </row>
    <row r="914" spans="1:29" ht="12.75" customHeight="1">
      <c r="A914" s="9"/>
      <c r="B914" s="9"/>
      <c r="C914" s="9"/>
      <c r="D914" s="9"/>
      <c r="E914" s="9"/>
      <c r="F914" s="9"/>
      <c r="G914" s="9"/>
      <c r="H914" s="548"/>
      <c r="I914" s="548"/>
      <c r="J914" s="548"/>
      <c r="K914" s="548"/>
      <c r="L914" s="548"/>
      <c r="M914" s="548"/>
      <c r="N914" s="548"/>
      <c r="O914" s="548"/>
      <c r="P914" s="548"/>
      <c r="Q914" s="548"/>
      <c r="R914" s="548"/>
      <c r="S914" s="548"/>
      <c r="T914" s="548"/>
      <c r="U914" s="9"/>
      <c r="V914" s="9"/>
      <c r="W914" s="9"/>
      <c r="X914" s="9"/>
      <c r="Y914" s="9"/>
      <c r="Z914" s="9"/>
      <c r="AA914" s="9"/>
      <c r="AB914" s="9"/>
      <c r="AC914" s="9"/>
    </row>
    <row r="915" spans="1:29" ht="12.75" customHeight="1">
      <c r="A915" s="9"/>
      <c r="B915" s="9"/>
      <c r="C915" s="9"/>
      <c r="D915" s="9"/>
      <c r="E915" s="9"/>
      <c r="F915" s="9"/>
      <c r="G915" s="9"/>
      <c r="H915" s="548"/>
      <c r="I915" s="548"/>
      <c r="J915" s="548"/>
      <c r="K915" s="548"/>
      <c r="L915" s="548"/>
      <c r="M915" s="548"/>
      <c r="N915" s="548"/>
      <c r="O915" s="548"/>
      <c r="P915" s="548"/>
      <c r="Q915" s="548"/>
      <c r="R915" s="548"/>
      <c r="S915" s="548"/>
      <c r="T915" s="548"/>
      <c r="U915" s="9"/>
      <c r="V915" s="9"/>
      <c r="W915" s="9"/>
      <c r="X915" s="9"/>
      <c r="Y915" s="9"/>
      <c r="Z915" s="9"/>
      <c r="AA915" s="9"/>
      <c r="AB915" s="9"/>
      <c r="AC915" s="9"/>
    </row>
    <row r="916" spans="1:29" ht="12.75" customHeight="1">
      <c r="A916" s="9"/>
      <c r="B916" s="9"/>
      <c r="C916" s="9"/>
      <c r="D916" s="9"/>
      <c r="E916" s="9"/>
      <c r="F916" s="9"/>
      <c r="G916" s="9"/>
      <c r="H916" s="548"/>
      <c r="I916" s="548"/>
      <c r="J916" s="548"/>
      <c r="K916" s="548"/>
      <c r="L916" s="548"/>
      <c r="M916" s="548"/>
      <c r="N916" s="548"/>
      <c r="O916" s="548"/>
      <c r="P916" s="548"/>
      <c r="Q916" s="548"/>
      <c r="R916" s="548"/>
      <c r="S916" s="548"/>
      <c r="T916" s="548"/>
      <c r="U916" s="9"/>
      <c r="V916" s="9"/>
      <c r="W916" s="9"/>
      <c r="X916" s="9"/>
      <c r="Y916" s="9"/>
      <c r="Z916" s="9"/>
      <c r="AA916" s="9"/>
      <c r="AB916" s="9"/>
      <c r="AC916" s="9"/>
    </row>
    <row r="917" spans="1:29" ht="12.75" customHeight="1">
      <c r="A917" s="9"/>
      <c r="B917" s="9"/>
      <c r="C917" s="9"/>
      <c r="D917" s="9"/>
      <c r="E917" s="9"/>
      <c r="F917" s="9"/>
      <c r="G917" s="9"/>
      <c r="H917" s="548"/>
      <c r="I917" s="548"/>
      <c r="J917" s="548"/>
      <c r="K917" s="548"/>
      <c r="L917" s="548"/>
      <c r="M917" s="548"/>
      <c r="N917" s="548"/>
      <c r="O917" s="548"/>
      <c r="P917" s="548"/>
      <c r="Q917" s="548"/>
      <c r="R917" s="548"/>
      <c r="S917" s="548"/>
      <c r="T917" s="548"/>
      <c r="U917" s="9"/>
      <c r="V917" s="9"/>
      <c r="W917" s="9"/>
      <c r="X917" s="9"/>
      <c r="Y917" s="9"/>
      <c r="Z917" s="9"/>
      <c r="AA917" s="9"/>
      <c r="AB917" s="9"/>
      <c r="AC917" s="9"/>
    </row>
    <row r="918" spans="1:29" ht="12.75" customHeight="1">
      <c r="A918" s="9"/>
      <c r="B918" s="9"/>
      <c r="C918" s="9"/>
      <c r="D918" s="9"/>
      <c r="E918" s="9"/>
      <c r="F918" s="9"/>
      <c r="G918" s="9"/>
      <c r="H918" s="548"/>
      <c r="I918" s="548"/>
      <c r="J918" s="548"/>
      <c r="K918" s="548"/>
      <c r="L918" s="548"/>
      <c r="M918" s="548"/>
      <c r="N918" s="548"/>
      <c r="O918" s="548"/>
      <c r="P918" s="548"/>
      <c r="Q918" s="548"/>
      <c r="R918" s="548"/>
      <c r="S918" s="548"/>
      <c r="T918" s="548"/>
      <c r="U918" s="9"/>
      <c r="V918" s="9"/>
      <c r="W918" s="9"/>
      <c r="X918" s="9"/>
      <c r="Y918" s="9"/>
      <c r="Z918" s="9"/>
      <c r="AA918" s="9"/>
      <c r="AB918" s="9"/>
      <c r="AC918" s="9"/>
    </row>
    <row r="919" spans="1:29" ht="12.75" customHeight="1">
      <c r="A919" s="9"/>
      <c r="B919" s="9"/>
      <c r="C919" s="9"/>
      <c r="D919" s="9"/>
      <c r="E919" s="9"/>
      <c r="F919" s="9"/>
      <c r="G919" s="9"/>
      <c r="H919" s="548"/>
      <c r="I919" s="548"/>
      <c r="J919" s="548"/>
      <c r="K919" s="548"/>
      <c r="L919" s="548"/>
      <c r="M919" s="548"/>
      <c r="N919" s="548"/>
      <c r="O919" s="548"/>
      <c r="P919" s="548"/>
      <c r="Q919" s="548"/>
      <c r="R919" s="548"/>
      <c r="S919" s="548"/>
      <c r="T919" s="548"/>
      <c r="U919" s="9"/>
      <c r="V919" s="9"/>
      <c r="W919" s="9"/>
      <c r="X919" s="9"/>
      <c r="Y919" s="9"/>
      <c r="Z919" s="9"/>
      <c r="AA919" s="9"/>
      <c r="AB919" s="9"/>
      <c r="AC919" s="9"/>
    </row>
    <row r="920" spans="1:29" ht="12.75" customHeight="1">
      <c r="A920" s="9"/>
      <c r="B920" s="9"/>
      <c r="C920" s="9"/>
      <c r="D920" s="9"/>
      <c r="E920" s="9"/>
      <c r="F920" s="9"/>
      <c r="G920" s="9"/>
      <c r="H920" s="548"/>
      <c r="I920" s="548"/>
      <c r="J920" s="548"/>
      <c r="K920" s="548"/>
      <c r="L920" s="548"/>
      <c r="M920" s="548"/>
      <c r="N920" s="548"/>
      <c r="O920" s="548"/>
      <c r="P920" s="548"/>
      <c r="Q920" s="548"/>
      <c r="R920" s="548"/>
      <c r="S920" s="548"/>
      <c r="T920" s="548"/>
      <c r="U920" s="9"/>
      <c r="V920" s="9"/>
      <c r="W920" s="9"/>
      <c r="X920" s="9"/>
      <c r="Y920" s="9"/>
      <c r="Z920" s="9"/>
      <c r="AA920" s="9"/>
      <c r="AB920" s="9"/>
      <c r="AC920" s="9"/>
    </row>
    <row r="921" spans="1:29" ht="12.75" customHeight="1">
      <c r="A921" s="9"/>
      <c r="B921" s="9"/>
      <c r="C921" s="9"/>
      <c r="D921" s="9"/>
      <c r="E921" s="9"/>
      <c r="F921" s="9"/>
      <c r="G921" s="9"/>
      <c r="H921" s="548"/>
      <c r="I921" s="548"/>
      <c r="J921" s="548"/>
      <c r="K921" s="548"/>
      <c r="L921" s="548"/>
      <c r="M921" s="548"/>
      <c r="N921" s="548"/>
      <c r="O921" s="548"/>
      <c r="P921" s="548"/>
      <c r="Q921" s="548"/>
      <c r="R921" s="548"/>
      <c r="S921" s="548"/>
      <c r="T921" s="548"/>
      <c r="U921" s="9"/>
      <c r="V921" s="9"/>
      <c r="W921" s="9"/>
      <c r="X921" s="9"/>
      <c r="Y921" s="9"/>
      <c r="Z921" s="9"/>
      <c r="AA921" s="9"/>
      <c r="AB921" s="9"/>
      <c r="AC921" s="9"/>
    </row>
    <row r="922" spans="1:29" ht="12.75" customHeight="1">
      <c r="A922" s="9"/>
      <c r="B922" s="9"/>
      <c r="C922" s="9"/>
      <c r="D922" s="9"/>
      <c r="E922" s="9"/>
      <c r="F922" s="9"/>
      <c r="G922" s="9"/>
      <c r="H922" s="548"/>
      <c r="I922" s="548"/>
      <c r="J922" s="548"/>
      <c r="K922" s="548"/>
      <c r="L922" s="548"/>
      <c r="M922" s="548"/>
      <c r="N922" s="548"/>
      <c r="O922" s="548"/>
      <c r="P922" s="548"/>
      <c r="Q922" s="548"/>
      <c r="R922" s="548"/>
      <c r="S922" s="548"/>
      <c r="T922" s="548"/>
      <c r="U922" s="9"/>
      <c r="V922" s="9"/>
      <c r="W922" s="9"/>
      <c r="X922" s="9"/>
      <c r="Y922" s="9"/>
      <c r="Z922" s="9"/>
      <c r="AA922" s="9"/>
      <c r="AB922" s="9"/>
      <c r="AC922" s="9"/>
    </row>
    <row r="923" spans="1:29" ht="12.75" customHeight="1">
      <c r="A923" s="9"/>
      <c r="B923" s="9"/>
      <c r="C923" s="9"/>
      <c r="D923" s="9"/>
      <c r="E923" s="9"/>
      <c r="F923" s="9"/>
      <c r="G923" s="9"/>
      <c r="H923" s="548"/>
      <c r="I923" s="548"/>
      <c r="J923" s="548"/>
      <c r="K923" s="548"/>
      <c r="L923" s="548"/>
      <c r="M923" s="548"/>
      <c r="N923" s="548"/>
      <c r="O923" s="548"/>
      <c r="P923" s="548"/>
      <c r="Q923" s="548"/>
      <c r="R923" s="548"/>
      <c r="S923" s="548"/>
      <c r="T923" s="548"/>
      <c r="U923" s="9"/>
      <c r="V923" s="9"/>
      <c r="W923" s="9"/>
      <c r="X923" s="9"/>
      <c r="Y923" s="9"/>
      <c r="Z923" s="9"/>
      <c r="AA923" s="9"/>
      <c r="AB923" s="9"/>
      <c r="AC923" s="9"/>
    </row>
    <row r="924" spans="1:29" ht="12.75" customHeight="1">
      <c r="A924" s="9"/>
      <c r="B924" s="9"/>
      <c r="C924" s="9"/>
      <c r="D924" s="9"/>
      <c r="E924" s="9"/>
      <c r="F924" s="9"/>
      <c r="G924" s="9"/>
      <c r="H924" s="548"/>
      <c r="I924" s="548"/>
      <c r="J924" s="548"/>
      <c r="K924" s="548"/>
      <c r="L924" s="548"/>
      <c r="M924" s="548"/>
      <c r="N924" s="548"/>
      <c r="O924" s="548"/>
      <c r="P924" s="548"/>
      <c r="Q924" s="548"/>
      <c r="R924" s="548"/>
      <c r="S924" s="548"/>
      <c r="T924" s="548"/>
      <c r="U924" s="9"/>
      <c r="V924" s="9"/>
      <c r="W924" s="9"/>
      <c r="X924" s="9"/>
      <c r="Y924" s="9"/>
      <c r="Z924" s="9"/>
      <c r="AA924" s="9"/>
      <c r="AB924" s="9"/>
      <c r="AC924" s="9"/>
    </row>
    <row r="925" spans="1:29" ht="12.75" customHeight="1">
      <c r="A925" s="9"/>
      <c r="B925" s="9"/>
      <c r="C925" s="9"/>
      <c r="D925" s="9"/>
      <c r="E925" s="9"/>
      <c r="F925" s="9"/>
      <c r="G925" s="9"/>
      <c r="H925" s="548"/>
      <c r="I925" s="548"/>
      <c r="J925" s="548"/>
      <c r="K925" s="548"/>
      <c r="L925" s="548"/>
      <c r="M925" s="548"/>
      <c r="N925" s="548"/>
      <c r="O925" s="548"/>
      <c r="P925" s="548"/>
      <c r="Q925" s="548"/>
      <c r="R925" s="548"/>
      <c r="S925" s="548"/>
      <c r="T925" s="548"/>
      <c r="U925" s="9"/>
      <c r="V925" s="9"/>
      <c r="W925" s="9"/>
      <c r="X925" s="9"/>
      <c r="Y925" s="9"/>
      <c r="Z925" s="9"/>
      <c r="AA925" s="9"/>
      <c r="AB925" s="9"/>
      <c r="AC925" s="9"/>
    </row>
    <row r="926" spans="1:29" ht="12.75" customHeight="1">
      <c r="A926" s="9"/>
      <c r="B926" s="9"/>
      <c r="C926" s="9"/>
      <c r="D926" s="9"/>
      <c r="E926" s="9"/>
      <c r="F926" s="9"/>
      <c r="G926" s="9"/>
      <c r="H926" s="548"/>
      <c r="I926" s="548"/>
      <c r="J926" s="548"/>
      <c r="K926" s="548"/>
      <c r="L926" s="548"/>
      <c r="M926" s="548"/>
      <c r="N926" s="548"/>
      <c r="O926" s="548"/>
      <c r="P926" s="548"/>
      <c r="Q926" s="548"/>
      <c r="R926" s="548"/>
      <c r="S926" s="548"/>
      <c r="T926" s="548"/>
      <c r="U926" s="9"/>
      <c r="V926" s="9"/>
      <c r="W926" s="9"/>
      <c r="X926" s="9"/>
      <c r="Y926" s="9"/>
      <c r="Z926" s="9"/>
      <c r="AA926" s="9"/>
      <c r="AB926" s="9"/>
      <c r="AC926" s="9"/>
    </row>
    <row r="927" spans="1:29" ht="12.75" customHeight="1">
      <c r="A927" s="9"/>
      <c r="B927" s="9"/>
      <c r="C927" s="9"/>
      <c r="D927" s="9"/>
      <c r="E927" s="9"/>
      <c r="F927" s="9"/>
      <c r="G927" s="9"/>
      <c r="H927" s="548"/>
      <c r="I927" s="548"/>
      <c r="J927" s="548"/>
      <c r="K927" s="548"/>
      <c r="L927" s="548"/>
      <c r="M927" s="548"/>
      <c r="N927" s="548"/>
      <c r="O927" s="548"/>
      <c r="P927" s="548"/>
      <c r="Q927" s="548"/>
      <c r="R927" s="548"/>
      <c r="S927" s="548"/>
      <c r="T927" s="548"/>
      <c r="U927" s="9"/>
      <c r="V927" s="9"/>
      <c r="W927" s="9"/>
      <c r="X927" s="9"/>
      <c r="Y927" s="9"/>
      <c r="Z927" s="9"/>
      <c r="AA927" s="9"/>
      <c r="AB927" s="9"/>
      <c r="AC927" s="9"/>
    </row>
    <row r="928" spans="1:29" ht="12.75" customHeight="1">
      <c r="A928" s="9"/>
      <c r="B928" s="9"/>
      <c r="C928" s="9"/>
      <c r="D928" s="9"/>
      <c r="E928" s="9"/>
      <c r="F928" s="9"/>
      <c r="G928" s="9"/>
      <c r="H928" s="548"/>
      <c r="I928" s="548"/>
      <c r="J928" s="548"/>
      <c r="K928" s="548"/>
      <c r="L928" s="548"/>
      <c r="M928" s="548"/>
      <c r="N928" s="548"/>
      <c r="O928" s="548"/>
      <c r="P928" s="548"/>
      <c r="Q928" s="548"/>
      <c r="R928" s="548"/>
      <c r="S928" s="548"/>
      <c r="T928" s="548"/>
      <c r="U928" s="9"/>
      <c r="V928" s="9"/>
      <c r="W928" s="9"/>
      <c r="X928" s="9"/>
      <c r="Y928" s="9"/>
      <c r="Z928" s="9"/>
      <c r="AA928" s="9"/>
      <c r="AB928" s="9"/>
      <c r="AC928" s="9"/>
    </row>
    <row r="929" spans="1:29" ht="12.75" customHeight="1">
      <c r="A929" s="9"/>
      <c r="B929" s="9"/>
      <c r="C929" s="9"/>
      <c r="D929" s="9"/>
      <c r="E929" s="9"/>
      <c r="F929" s="9"/>
      <c r="G929" s="9"/>
      <c r="H929" s="548"/>
      <c r="I929" s="548"/>
      <c r="J929" s="548"/>
      <c r="K929" s="548"/>
      <c r="L929" s="548"/>
      <c r="M929" s="548"/>
      <c r="N929" s="548"/>
      <c r="O929" s="548"/>
      <c r="P929" s="548"/>
      <c r="Q929" s="548"/>
      <c r="R929" s="548"/>
      <c r="S929" s="548"/>
      <c r="T929" s="548"/>
      <c r="U929" s="9"/>
      <c r="V929" s="9"/>
      <c r="W929" s="9"/>
      <c r="X929" s="9"/>
      <c r="Y929" s="9"/>
      <c r="Z929" s="9"/>
      <c r="AA929" s="9"/>
      <c r="AB929" s="9"/>
      <c r="AC929" s="9"/>
    </row>
    <row r="930" spans="1:29" ht="12.75" customHeight="1">
      <c r="A930" s="9"/>
      <c r="B930" s="9"/>
      <c r="C930" s="9"/>
      <c r="D930" s="9"/>
      <c r="E930" s="9"/>
      <c r="F930" s="9"/>
      <c r="G930" s="9"/>
      <c r="H930" s="548"/>
      <c r="I930" s="548"/>
      <c r="J930" s="548"/>
      <c r="K930" s="548"/>
      <c r="L930" s="548"/>
      <c r="M930" s="548"/>
      <c r="N930" s="548"/>
      <c r="O930" s="548"/>
      <c r="P930" s="548"/>
      <c r="Q930" s="548"/>
      <c r="R930" s="548"/>
      <c r="S930" s="548"/>
      <c r="T930" s="548"/>
      <c r="U930" s="9"/>
      <c r="V930" s="9"/>
      <c r="W930" s="9"/>
      <c r="X930" s="9"/>
      <c r="Y930" s="9"/>
      <c r="Z930" s="9"/>
      <c r="AA930" s="9"/>
      <c r="AB930" s="9"/>
      <c r="AC930" s="9"/>
    </row>
    <row r="931" spans="1:29" ht="12.75" customHeight="1">
      <c r="A931" s="9"/>
      <c r="B931" s="9"/>
      <c r="C931" s="9"/>
      <c r="D931" s="9"/>
      <c r="E931" s="9"/>
      <c r="F931" s="9"/>
      <c r="G931" s="9"/>
      <c r="H931" s="548"/>
      <c r="I931" s="548"/>
      <c r="J931" s="548"/>
      <c r="K931" s="548"/>
      <c r="L931" s="548"/>
      <c r="M931" s="548"/>
      <c r="N931" s="548"/>
      <c r="O931" s="548"/>
      <c r="P931" s="548"/>
      <c r="Q931" s="548"/>
      <c r="R931" s="548"/>
      <c r="S931" s="548"/>
      <c r="T931" s="548"/>
      <c r="U931" s="9"/>
      <c r="V931" s="9"/>
      <c r="W931" s="9"/>
      <c r="X931" s="9"/>
      <c r="Y931" s="9"/>
      <c r="Z931" s="9"/>
      <c r="AA931" s="9"/>
      <c r="AB931" s="9"/>
      <c r="AC931" s="9"/>
    </row>
    <row r="932" spans="1:29" ht="12.75" customHeight="1">
      <c r="A932" s="9"/>
      <c r="B932" s="9"/>
      <c r="C932" s="9"/>
      <c r="D932" s="9"/>
      <c r="E932" s="9"/>
      <c r="F932" s="9"/>
      <c r="G932" s="9"/>
      <c r="H932" s="548"/>
      <c r="I932" s="548"/>
      <c r="J932" s="548"/>
      <c r="K932" s="548"/>
      <c r="L932" s="548"/>
      <c r="M932" s="548"/>
      <c r="N932" s="548"/>
      <c r="O932" s="548"/>
      <c r="P932" s="548"/>
      <c r="Q932" s="548"/>
      <c r="R932" s="548"/>
      <c r="S932" s="548"/>
      <c r="T932" s="548"/>
      <c r="U932" s="9"/>
      <c r="V932" s="9"/>
      <c r="W932" s="9"/>
      <c r="X932" s="9"/>
      <c r="Y932" s="9"/>
      <c r="Z932" s="9"/>
      <c r="AA932" s="9"/>
      <c r="AB932" s="9"/>
      <c r="AC932" s="9"/>
    </row>
    <row r="933" spans="1:29" ht="12.75" customHeight="1">
      <c r="A933" s="9"/>
      <c r="B933" s="9"/>
      <c r="C933" s="9"/>
      <c r="D933" s="9"/>
      <c r="E933" s="9"/>
      <c r="F933" s="9"/>
      <c r="G933" s="9"/>
      <c r="H933" s="548"/>
      <c r="I933" s="548"/>
      <c r="J933" s="548"/>
      <c r="K933" s="548"/>
      <c r="L933" s="548"/>
      <c r="M933" s="548"/>
      <c r="N933" s="548"/>
      <c r="O933" s="548"/>
      <c r="P933" s="548"/>
      <c r="Q933" s="548"/>
      <c r="R933" s="548"/>
      <c r="S933" s="548"/>
      <c r="T933" s="548"/>
      <c r="U933" s="9"/>
      <c r="V933" s="9"/>
      <c r="W933" s="9"/>
      <c r="X933" s="9"/>
      <c r="Y933" s="9"/>
      <c r="Z933" s="9"/>
      <c r="AA933" s="9"/>
      <c r="AB933" s="9"/>
      <c r="AC933" s="9"/>
    </row>
    <row r="934" spans="1:29" ht="12.75" customHeight="1">
      <c r="A934" s="9"/>
      <c r="B934" s="9"/>
      <c r="C934" s="9"/>
      <c r="D934" s="9"/>
      <c r="E934" s="9"/>
      <c r="F934" s="9"/>
      <c r="G934" s="9"/>
      <c r="H934" s="548"/>
      <c r="I934" s="548"/>
      <c r="J934" s="548"/>
      <c r="K934" s="548"/>
      <c r="L934" s="548"/>
      <c r="M934" s="548"/>
      <c r="N934" s="548"/>
      <c r="O934" s="548"/>
      <c r="P934" s="548"/>
      <c r="Q934" s="548"/>
      <c r="R934" s="548"/>
      <c r="S934" s="548"/>
      <c r="T934" s="548"/>
      <c r="U934" s="9"/>
      <c r="V934" s="9"/>
      <c r="W934" s="9"/>
      <c r="X934" s="9"/>
      <c r="Y934" s="9"/>
      <c r="Z934" s="9"/>
      <c r="AA934" s="9"/>
      <c r="AB934" s="9"/>
      <c r="AC934" s="9"/>
    </row>
    <row r="935" spans="1:29" ht="12.75" customHeight="1">
      <c r="A935" s="9"/>
      <c r="B935" s="9"/>
      <c r="C935" s="9"/>
      <c r="D935" s="9"/>
      <c r="E935" s="9"/>
      <c r="F935" s="9"/>
      <c r="G935" s="9"/>
      <c r="H935" s="548"/>
      <c r="I935" s="548"/>
      <c r="J935" s="548"/>
      <c r="K935" s="548"/>
      <c r="L935" s="548"/>
      <c r="M935" s="548"/>
      <c r="N935" s="548"/>
      <c r="O935" s="548"/>
      <c r="P935" s="548"/>
      <c r="Q935" s="548"/>
      <c r="R935" s="548"/>
      <c r="S935" s="548"/>
      <c r="T935" s="548"/>
      <c r="U935" s="9"/>
      <c r="V935" s="9"/>
      <c r="W935" s="9"/>
      <c r="X935" s="9"/>
      <c r="Y935" s="9"/>
      <c r="Z935" s="9"/>
      <c r="AA935" s="9"/>
      <c r="AB935" s="9"/>
      <c r="AC935" s="9"/>
    </row>
    <row r="936" spans="1:29" ht="12.75" customHeight="1">
      <c r="A936" s="9"/>
      <c r="B936" s="9"/>
      <c r="C936" s="9"/>
      <c r="D936" s="9"/>
      <c r="E936" s="9"/>
      <c r="F936" s="9"/>
      <c r="G936" s="9"/>
      <c r="H936" s="548"/>
      <c r="I936" s="548"/>
      <c r="J936" s="548"/>
      <c r="K936" s="548"/>
      <c r="L936" s="548"/>
      <c r="M936" s="548"/>
      <c r="N936" s="548"/>
      <c r="O936" s="548"/>
      <c r="P936" s="548"/>
      <c r="Q936" s="548"/>
      <c r="R936" s="548"/>
      <c r="S936" s="548"/>
      <c r="T936" s="548"/>
      <c r="U936" s="9"/>
      <c r="V936" s="9"/>
      <c r="W936" s="9"/>
      <c r="X936" s="9"/>
      <c r="Y936" s="9"/>
      <c r="Z936" s="9"/>
      <c r="AA936" s="9"/>
      <c r="AB936" s="9"/>
      <c r="AC936" s="9"/>
    </row>
    <row r="937" spans="1:29" ht="12.75" customHeight="1">
      <c r="A937" s="9"/>
      <c r="B937" s="9"/>
      <c r="C937" s="9"/>
      <c r="D937" s="9"/>
      <c r="E937" s="9"/>
      <c r="F937" s="9"/>
      <c r="G937" s="9"/>
      <c r="H937" s="548"/>
      <c r="I937" s="548"/>
      <c r="J937" s="548"/>
      <c r="K937" s="548"/>
      <c r="L937" s="548"/>
      <c r="M937" s="548"/>
      <c r="N937" s="548"/>
      <c r="O937" s="548"/>
      <c r="P937" s="548"/>
      <c r="Q937" s="548"/>
      <c r="R937" s="548"/>
      <c r="S937" s="548"/>
      <c r="T937" s="548"/>
      <c r="U937" s="9"/>
      <c r="V937" s="9"/>
      <c r="W937" s="9"/>
      <c r="X937" s="9"/>
      <c r="Y937" s="9"/>
      <c r="Z937" s="9"/>
      <c r="AA937" s="9"/>
      <c r="AB937" s="9"/>
      <c r="AC937" s="9"/>
    </row>
    <row r="938" spans="1:29" ht="12.75" customHeight="1">
      <c r="A938" s="9"/>
      <c r="B938" s="9"/>
      <c r="C938" s="9"/>
      <c r="D938" s="9"/>
      <c r="E938" s="9"/>
      <c r="F938" s="9"/>
      <c r="G938" s="9"/>
      <c r="H938" s="548"/>
      <c r="I938" s="548"/>
      <c r="J938" s="548"/>
      <c r="K938" s="548"/>
      <c r="L938" s="548"/>
      <c r="M938" s="548"/>
      <c r="N938" s="548"/>
      <c r="O938" s="548"/>
      <c r="P938" s="548"/>
      <c r="Q938" s="548"/>
      <c r="R938" s="548"/>
      <c r="S938" s="548"/>
      <c r="T938" s="548"/>
      <c r="U938" s="9"/>
      <c r="V938" s="9"/>
      <c r="W938" s="9"/>
      <c r="X938" s="9"/>
      <c r="Y938" s="9"/>
      <c r="Z938" s="9"/>
      <c r="AA938" s="9"/>
      <c r="AB938" s="9"/>
      <c r="AC938" s="9"/>
    </row>
    <row r="939" spans="1:29" ht="12.75" customHeight="1">
      <c r="A939" s="9"/>
      <c r="B939" s="9"/>
      <c r="C939" s="9"/>
      <c r="D939" s="9"/>
      <c r="E939" s="9"/>
      <c r="F939" s="9"/>
      <c r="G939" s="9"/>
      <c r="H939" s="548"/>
      <c r="I939" s="548"/>
      <c r="J939" s="548"/>
      <c r="K939" s="548"/>
      <c r="L939" s="548"/>
      <c r="M939" s="548"/>
      <c r="N939" s="548"/>
      <c r="O939" s="548"/>
      <c r="P939" s="548"/>
      <c r="Q939" s="548"/>
      <c r="R939" s="548"/>
      <c r="S939" s="548"/>
      <c r="T939" s="548"/>
      <c r="U939" s="9"/>
      <c r="V939" s="9"/>
      <c r="W939" s="9"/>
      <c r="X939" s="9"/>
      <c r="Y939" s="9"/>
      <c r="Z939" s="9"/>
      <c r="AA939" s="9"/>
      <c r="AB939" s="9"/>
      <c r="AC939" s="9"/>
    </row>
    <row r="940" spans="1:29" ht="12.75" customHeight="1">
      <c r="A940" s="9"/>
      <c r="B940" s="9"/>
      <c r="C940" s="9"/>
      <c r="D940" s="9"/>
      <c r="E940" s="9"/>
      <c r="F940" s="9"/>
      <c r="G940" s="9"/>
      <c r="H940" s="548"/>
      <c r="I940" s="548"/>
      <c r="J940" s="548"/>
      <c r="K940" s="548"/>
      <c r="L940" s="548"/>
      <c r="M940" s="548"/>
      <c r="N940" s="548"/>
      <c r="O940" s="548"/>
      <c r="P940" s="548"/>
      <c r="Q940" s="548"/>
      <c r="R940" s="548"/>
      <c r="S940" s="548"/>
      <c r="T940" s="548"/>
      <c r="U940" s="9"/>
      <c r="V940" s="9"/>
      <c r="W940" s="9"/>
      <c r="X940" s="9"/>
      <c r="Y940" s="9"/>
      <c r="Z940" s="9"/>
      <c r="AA940" s="9"/>
      <c r="AB940" s="9"/>
      <c r="AC940" s="9"/>
    </row>
    <row r="941" spans="1:29" ht="12.75" customHeight="1">
      <c r="A941" s="9"/>
      <c r="B941" s="9"/>
      <c r="C941" s="9"/>
      <c r="D941" s="9"/>
      <c r="E941" s="9"/>
      <c r="F941" s="9"/>
      <c r="G941" s="9"/>
      <c r="H941" s="548"/>
      <c r="I941" s="548"/>
      <c r="J941" s="548"/>
      <c r="K941" s="548"/>
      <c r="L941" s="548"/>
      <c r="M941" s="548"/>
      <c r="N941" s="548"/>
      <c r="O941" s="548"/>
      <c r="P941" s="548"/>
      <c r="Q941" s="548"/>
      <c r="R941" s="548"/>
      <c r="S941" s="548"/>
      <c r="T941" s="548"/>
      <c r="U941" s="9"/>
      <c r="V941" s="9"/>
      <c r="W941" s="9"/>
      <c r="X941" s="9"/>
      <c r="Y941" s="9"/>
      <c r="Z941" s="9"/>
      <c r="AA941" s="9"/>
      <c r="AB941" s="9"/>
      <c r="AC941" s="9"/>
    </row>
    <row r="942" spans="1:29" ht="12.75" customHeight="1">
      <c r="A942" s="9"/>
      <c r="B942" s="9"/>
      <c r="C942" s="9"/>
      <c r="D942" s="9"/>
      <c r="E942" s="9"/>
      <c r="F942" s="9"/>
      <c r="G942" s="9"/>
      <c r="H942" s="548"/>
      <c r="I942" s="548"/>
      <c r="J942" s="548"/>
      <c r="K942" s="548"/>
      <c r="L942" s="548"/>
      <c r="M942" s="548"/>
      <c r="N942" s="548"/>
      <c r="O942" s="548"/>
      <c r="P942" s="548"/>
      <c r="Q942" s="548"/>
      <c r="R942" s="548"/>
      <c r="S942" s="548"/>
      <c r="T942" s="548"/>
      <c r="U942" s="9"/>
      <c r="V942" s="9"/>
      <c r="W942" s="9"/>
      <c r="X942" s="9"/>
      <c r="Y942" s="9"/>
      <c r="Z942" s="9"/>
      <c r="AA942" s="9"/>
      <c r="AB942" s="9"/>
      <c r="AC942" s="9"/>
    </row>
    <row r="943" spans="1:29" ht="12.75" customHeight="1">
      <c r="A943" s="9"/>
      <c r="B943" s="9"/>
      <c r="C943" s="9"/>
      <c r="D943" s="9"/>
      <c r="E943" s="9"/>
      <c r="F943" s="9"/>
      <c r="G943" s="9"/>
      <c r="H943" s="548"/>
      <c r="I943" s="548"/>
      <c r="J943" s="548"/>
      <c r="K943" s="548"/>
      <c r="L943" s="548"/>
      <c r="M943" s="548"/>
      <c r="N943" s="548"/>
      <c r="O943" s="548"/>
      <c r="P943" s="548"/>
      <c r="Q943" s="548"/>
      <c r="R943" s="548"/>
      <c r="S943" s="548"/>
      <c r="T943" s="548"/>
      <c r="U943" s="9"/>
      <c r="V943" s="9"/>
      <c r="W943" s="9"/>
      <c r="X943" s="9"/>
      <c r="Y943" s="9"/>
      <c r="Z943" s="9"/>
      <c r="AA943" s="9"/>
      <c r="AB943" s="9"/>
      <c r="AC943" s="9"/>
    </row>
    <row r="944" spans="1:29" ht="12.75" customHeight="1">
      <c r="A944" s="9"/>
      <c r="B944" s="9"/>
      <c r="C944" s="9"/>
      <c r="D944" s="9"/>
      <c r="E944" s="9"/>
      <c r="F944" s="9"/>
      <c r="G944" s="9"/>
      <c r="H944" s="548"/>
      <c r="I944" s="548"/>
      <c r="J944" s="548"/>
      <c r="K944" s="548"/>
      <c r="L944" s="548"/>
      <c r="M944" s="548"/>
      <c r="N944" s="548"/>
      <c r="O944" s="548"/>
      <c r="P944" s="548"/>
      <c r="Q944" s="548"/>
      <c r="R944" s="548"/>
      <c r="S944" s="548"/>
      <c r="T944" s="548"/>
      <c r="U944" s="9"/>
      <c r="V944" s="9"/>
      <c r="W944" s="9"/>
      <c r="X944" s="9"/>
      <c r="Y944" s="9"/>
      <c r="Z944" s="9"/>
      <c r="AA944" s="9"/>
      <c r="AB944" s="9"/>
      <c r="AC944" s="9"/>
    </row>
    <row r="945" spans="1:29" ht="12.75" customHeight="1">
      <c r="A945" s="9"/>
      <c r="B945" s="9"/>
      <c r="C945" s="9"/>
      <c r="D945" s="9"/>
      <c r="E945" s="9"/>
      <c r="F945" s="9"/>
      <c r="G945" s="9"/>
      <c r="H945" s="548"/>
      <c r="I945" s="548"/>
      <c r="J945" s="548"/>
      <c r="K945" s="548"/>
      <c r="L945" s="548"/>
      <c r="M945" s="548"/>
      <c r="N945" s="548"/>
      <c r="O945" s="548"/>
      <c r="P945" s="548"/>
      <c r="Q945" s="548"/>
      <c r="R945" s="548"/>
      <c r="S945" s="548"/>
      <c r="T945" s="548"/>
      <c r="U945" s="9"/>
      <c r="V945" s="9"/>
      <c r="W945" s="9"/>
      <c r="X945" s="9"/>
      <c r="Y945" s="9"/>
      <c r="Z945" s="9"/>
      <c r="AA945" s="9"/>
      <c r="AB945" s="9"/>
      <c r="AC945" s="9"/>
    </row>
    <row r="946" spans="1:29" ht="12.75" customHeight="1">
      <c r="A946" s="9"/>
      <c r="B946" s="9"/>
      <c r="C946" s="9"/>
      <c r="D946" s="9"/>
      <c r="E946" s="9"/>
      <c r="F946" s="9"/>
      <c r="G946" s="9"/>
      <c r="H946" s="548"/>
      <c r="I946" s="548"/>
      <c r="J946" s="548"/>
      <c r="K946" s="548"/>
      <c r="L946" s="548"/>
      <c r="M946" s="548"/>
      <c r="N946" s="548"/>
      <c r="O946" s="548"/>
      <c r="P946" s="548"/>
      <c r="Q946" s="548"/>
      <c r="R946" s="548"/>
      <c r="S946" s="548"/>
      <c r="T946" s="548"/>
      <c r="U946" s="9"/>
      <c r="V946" s="9"/>
      <c r="W946" s="9"/>
      <c r="X946" s="9"/>
      <c r="Y946" s="9"/>
      <c r="Z946" s="9"/>
      <c r="AA946" s="9"/>
      <c r="AB946" s="9"/>
      <c r="AC946" s="9"/>
    </row>
    <row r="947" spans="1:29" ht="12.75" customHeight="1">
      <c r="A947" s="9"/>
      <c r="B947" s="9"/>
      <c r="C947" s="9"/>
      <c r="D947" s="9"/>
      <c r="E947" s="9"/>
      <c r="F947" s="9"/>
      <c r="G947" s="9"/>
      <c r="H947" s="548"/>
      <c r="I947" s="548"/>
      <c r="J947" s="548"/>
      <c r="K947" s="548"/>
      <c r="L947" s="548"/>
      <c r="M947" s="548"/>
      <c r="N947" s="548"/>
      <c r="O947" s="548"/>
      <c r="P947" s="548"/>
      <c r="Q947" s="548"/>
      <c r="R947" s="548"/>
      <c r="S947" s="548"/>
      <c r="T947" s="548"/>
      <c r="U947" s="9"/>
      <c r="V947" s="9"/>
      <c r="W947" s="9"/>
      <c r="X947" s="9"/>
      <c r="Y947" s="9"/>
      <c r="Z947" s="9"/>
      <c r="AA947" s="9"/>
      <c r="AB947" s="9"/>
      <c r="AC947" s="9"/>
    </row>
    <row r="948" spans="1:29" ht="12.75" customHeight="1">
      <c r="A948" s="9"/>
      <c r="B948" s="9"/>
      <c r="C948" s="9"/>
      <c r="D948" s="9"/>
      <c r="E948" s="9"/>
      <c r="F948" s="9"/>
      <c r="G948" s="9"/>
      <c r="H948" s="548"/>
      <c r="I948" s="548"/>
      <c r="J948" s="548"/>
      <c r="K948" s="548"/>
      <c r="L948" s="548"/>
      <c r="M948" s="548"/>
      <c r="N948" s="548"/>
      <c r="O948" s="548"/>
      <c r="P948" s="548"/>
      <c r="Q948" s="548"/>
      <c r="R948" s="548"/>
      <c r="S948" s="548"/>
      <c r="T948" s="548"/>
      <c r="U948" s="9"/>
      <c r="V948" s="9"/>
      <c r="W948" s="9"/>
      <c r="X948" s="9"/>
      <c r="Y948" s="9"/>
      <c r="Z948" s="9"/>
      <c r="AA948" s="9"/>
      <c r="AB948" s="9"/>
      <c r="AC948" s="9"/>
    </row>
    <row r="949" spans="1:29" ht="12.75" customHeight="1">
      <c r="A949" s="9"/>
      <c r="B949" s="9"/>
      <c r="C949" s="9"/>
      <c r="D949" s="9"/>
      <c r="E949" s="9"/>
      <c r="F949" s="9"/>
      <c r="G949" s="9"/>
      <c r="H949" s="548"/>
      <c r="I949" s="548"/>
      <c r="J949" s="548"/>
      <c r="K949" s="548"/>
      <c r="L949" s="548"/>
      <c r="M949" s="548"/>
      <c r="N949" s="548"/>
      <c r="O949" s="548"/>
      <c r="P949" s="548"/>
      <c r="Q949" s="548"/>
      <c r="R949" s="548"/>
      <c r="S949" s="548"/>
      <c r="T949" s="548"/>
      <c r="U949" s="9"/>
      <c r="V949" s="9"/>
      <c r="W949" s="9"/>
      <c r="X949" s="9"/>
      <c r="Y949" s="9"/>
      <c r="Z949" s="9"/>
      <c r="AA949" s="9"/>
      <c r="AB949" s="9"/>
      <c r="AC949" s="9"/>
    </row>
    <row r="950" spans="1:29" ht="12.75" customHeight="1">
      <c r="A950" s="9"/>
      <c r="B950" s="9"/>
      <c r="C950" s="9"/>
      <c r="D950" s="9"/>
      <c r="E950" s="9"/>
      <c r="F950" s="9"/>
      <c r="G950" s="9"/>
      <c r="H950" s="548"/>
      <c r="I950" s="548"/>
      <c r="J950" s="548"/>
      <c r="K950" s="548"/>
      <c r="L950" s="548"/>
      <c r="M950" s="548"/>
      <c r="N950" s="548"/>
      <c r="O950" s="548"/>
      <c r="P950" s="548"/>
      <c r="Q950" s="548"/>
      <c r="R950" s="548"/>
      <c r="S950" s="548"/>
      <c r="T950" s="548"/>
      <c r="U950" s="9"/>
      <c r="V950" s="9"/>
      <c r="W950" s="9"/>
      <c r="X950" s="9"/>
      <c r="Y950" s="9"/>
      <c r="Z950" s="9"/>
      <c r="AA950" s="9"/>
      <c r="AB950" s="9"/>
      <c r="AC950" s="9"/>
    </row>
    <row r="951" spans="1:29" ht="12.75" customHeight="1">
      <c r="A951" s="9"/>
      <c r="B951" s="9"/>
      <c r="C951" s="9"/>
      <c r="D951" s="9"/>
      <c r="E951" s="9"/>
      <c r="F951" s="9"/>
      <c r="G951" s="9"/>
      <c r="H951" s="548"/>
      <c r="I951" s="548"/>
      <c r="J951" s="548"/>
      <c r="K951" s="548"/>
      <c r="L951" s="548"/>
      <c r="M951" s="548"/>
      <c r="N951" s="548"/>
      <c r="O951" s="548"/>
      <c r="P951" s="548"/>
      <c r="Q951" s="548"/>
      <c r="R951" s="548"/>
      <c r="S951" s="548"/>
      <c r="T951" s="548"/>
      <c r="U951" s="9"/>
      <c r="V951" s="9"/>
      <c r="W951" s="9"/>
      <c r="X951" s="9"/>
      <c r="Y951" s="9"/>
      <c r="Z951" s="9"/>
      <c r="AA951" s="9"/>
      <c r="AB951" s="9"/>
      <c r="AC951" s="9"/>
    </row>
    <row r="952" spans="1:29" ht="12.75" customHeight="1">
      <c r="A952" s="9"/>
      <c r="B952" s="9"/>
      <c r="C952" s="9"/>
      <c r="D952" s="9"/>
      <c r="E952" s="9"/>
      <c r="F952" s="9"/>
      <c r="G952" s="9"/>
      <c r="H952" s="548"/>
      <c r="I952" s="548"/>
      <c r="J952" s="548"/>
      <c r="K952" s="548"/>
      <c r="L952" s="548"/>
      <c r="M952" s="548"/>
      <c r="N952" s="548"/>
      <c r="O952" s="548"/>
      <c r="P952" s="548"/>
      <c r="Q952" s="548"/>
      <c r="R952" s="548"/>
      <c r="S952" s="548"/>
      <c r="T952" s="548"/>
      <c r="U952" s="9"/>
      <c r="V952" s="9"/>
      <c r="W952" s="9"/>
      <c r="X952" s="9"/>
      <c r="Y952" s="9"/>
      <c r="Z952" s="9"/>
      <c r="AA952" s="9"/>
      <c r="AB952" s="9"/>
      <c r="AC952" s="9"/>
    </row>
    <row r="953" spans="1:29" ht="12.75" customHeight="1">
      <c r="A953" s="9"/>
      <c r="B953" s="9"/>
      <c r="C953" s="9"/>
      <c r="D953" s="9"/>
      <c r="E953" s="9"/>
      <c r="F953" s="9"/>
      <c r="G953" s="9"/>
      <c r="H953" s="548"/>
      <c r="I953" s="548"/>
      <c r="J953" s="548"/>
      <c r="K953" s="548"/>
      <c r="L953" s="548"/>
      <c r="M953" s="548"/>
      <c r="N953" s="548"/>
      <c r="O953" s="548"/>
      <c r="P953" s="548"/>
      <c r="Q953" s="548"/>
      <c r="R953" s="548"/>
      <c r="S953" s="548"/>
      <c r="T953" s="548"/>
      <c r="U953" s="9"/>
      <c r="V953" s="9"/>
      <c r="W953" s="9"/>
      <c r="X953" s="9"/>
      <c r="Y953" s="9"/>
      <c r="Z953" s="9"/>
      <c r="AA953" s="9"/>
      <c r="AB953" s="9"/>
      <c r="AC953" s="9"/>
    </row>
    <row r="954" spans="1:29" ht="12.75" customHeight="1">
      <c r="A954" s="9"/>
      <c r="B954" s="9"/>
      <c r="C954" s="9"/>
      <c r="D954" s="9"/>
      <c r="E954" s="9"/>
      <c r="F954" s="9"/>
      <c r="G954" s="9"/>
      <c r="H954" s="548"/>
      <c r="I954" s="548"/>
      <c r="J954" s="548"/>
      <c r="K954" s="548"/>
      <c r="L954" s="548"/>
      <c r="M954" s="548"/>
      <c r="N954" s="548"/>
      <c r="O954" s="548"/>
      <c r="P954" s="548"/>
      <c r="Q954" s="548"/>
      <c r="R954" s="548"/>
      <c r="S954" s="548"/>
      <c r="T954" s="548"/>
      <c r="U954" s="9"/>
      <c r="V954" s="9"/>
      <c r="W954" s="9"/>
      <c r="X954" s="9"/>
      <c r="Y954" s="9"/>
      <c r="Z954" s="9"/>
      <c r="AA954" s="9"/>
      <c r="AB954" s="9"/>
      <c r="AC954" s="9"/>
    </row>
    <row r="955" spans="1:29" ht="12.75" customHeight="1">
      <c r="A955" s="9"/>
      <c r="B955" s="9"/>
      <c r="C955" s="9"/>
      <c r="D955" s="9"/>
      <c r="E955" s="9"/>
      <c r="F955" s="9"/>
      <c r="G955" s="9"/>
      <c r="H955" s="548"/>
      <c r="I955" s="548"/>
      <c r="J955" s="548"/>
      <c r="K955" s="548"/>
      <c r="L955" s="548"/>
      <c r="M955" s="548"/>
      <c r="N955" s="548"/>
      <c r="O955" s="548"/>
      <c r="P955" s="548"/>
      <c r="Q955" s="548"/>
      <c r="R955" s="548"/>
      <c r="S955" s="548"/>
      <c r="T955" s="548"/>
      <c r="U955" s="9"/>
      <c r="V955" s="9"/>
      <c r="W955" s="9"/>
      <c r="X955" s="9"/>
      <c r="Y955" s="9"/>
      <c r="Z955" s="9"/>
      <c r="AA955" s="9"/>
      <c r="AB955" s="9"/>
      <c r="AC955" s="9"/>
    </row>
    <row r="956" spans="1:29" ht="12.75" customHeight="1">
      <c r="A956" s="9"/>
      <c r="B956" s="9"/>
      <c r="C956" s="9"/>
      <c r="D956" s="9"/>
      <c r="E956" s="9"/>
      <c r="F956" s="9"/>
      <c r="G956" s="9"/>
      <c r="H956" s="548"/>
      <c r="I956" s="548"/>
      <c r="J956" s="548"/>
      <c r="K956" s="548"/>
      <c r="L956" s="548"/>
      <c r="M956" s="548"/>
      <c r="N956" s="548"/>
      <c r="O956" s="548"/>
      <c r="P956" s="548"/>
      <c r="Q956" s="548"/>
      <c r="R956" s="548"/>
      <c r="S956" s="548"/>
      <c r="T956" s="548"/>
      <c r="U956" s="9"/>
      <c r="V956" s="9"/>
      <c r="W956" s="9"/>
      <c r="X956" s="9"/>
      <c r="Y956" s="9"/>
      <c r="Z956" s="9"/>
      <c r="AA956" s="9"/>
      <c r="AB956" s="9"/>
      <c r="AC956" s="9"/>
    </row>
    <row r="957" spans="1:29" ht="12.75" customHeight="1">
      <c r="A957" s="9"/>
      <c r="B957" s="9"/>
      <c r="C957" s="9"/>
      <c r="D957" s="9"/>
      <c r="E957" s="9"/>
      <c r="F957" s="9"/>
      <c r="G957" s="9"/>
      <c r="H957" s="548"/>
      <c r="I957" s="548"/>
      <c r="J957" s="548"/>
      <c r="K957" s="548"/>
      <c r="L957" s="548"/>
      <c r="M957" s="548"/>
      <c r="N957" s="548"/>
      <c r="O957" s="548"/>
      <c r="P957" s="548"/>
      <c r="Q957" s="548"/>
      <c r="R957" s="548"/>
      <c r="S957" s="548"/>
      <c r="T957" s="548"/>
      <c r="U957" s="9"/>
      <c r="V957" s="9"/>
      <c r="W957" s="9"/>
      <c r="X957" s="9"/>
      <c r="Y957" s="9"/>
      <c r="Z957" s="9"/>
      <c r="AA957" s="9"/>
      <c r="AB957" s="9"/>
      <c r="AC957" s="9"/>
    </row>
    <row r="958" spans="1:29" ht="12.75" customHeight="1">
      <c r="A958" s="9"/>
      <c r="B958" s="9"/>
      <c r="C958" s="9"/>
      <c r="D958" s="9"/>
      <c r="E958" s="9"/>
      <c r="F958" s="9"/>
      <c r="G958" s="9"/>
      <c r="H958" s="548"/>
      <c r="I958" s="548"/>
      <c r="J958" s="548"/>
      <c r="K958" s="548"/>
      <c r="L958" s="548"/>
      <c r="M958" s="548"/>
      <c r="N958" s="548"/>
      <c r="O958" s="548"/>
      <c r="P958" s="548"/>
      <c r="Q958" s="548"/>
      <c r="R958" s="548"/>
      <c r="S958" s="548"/>
      <c r="T958" s="548"/>
      <c r="U958" s="9"/>
      <c r="V958" s="9"/>
      <c r="W958" s="9"/>
      <c r="X958" s="9"/>
      <c r="Y958" s="9"/>
      <c r="Z958" s="9"/>
      <c r="AA958" s="9"/>
      <c r="AB958" s="9"/>
      <c r="AC958" s="9"/>
    </row>
    <row r="959" spans="1:29" ht="12.75" customHeight="1">
      <c r="A959" s="9"/>
      <c r="B959" s="9"/>
      <c r="C959" s="9"/>
      <c r="D959" s="9"/>
      <c r="E959" s="9"/>
      <c r="F959" s="9"/>
      <c r="G959" s="9"/>
      <c r="H959" s="548"/>
      <c r="I959" s="548"/>
      <c r="J959" s="548"/>
      <c r="K959" s="548"/>
      <c r="L959" s="548"/>
      <c r="M959" s="548"/>
      <c r="N959" s="548"/>
      <c r="O959" s="548"/>
      <c r="P959" s="548"/>
      <c r="Q959" s="548"/>
      <c r="R959" s="548"/>
      <c r="S959" s="548"/>
      <c r="T959" s="548"/>
      <c r="U959" s="9"/>
      <c r="V959" s="9"/>
      <c r="W959" s="9"/>
      <c r="X959" s="9"/>
      <c r="Y959" s="9"/>
      <c r="Z959" s="9"/>
      <c r="AA959" s="9"/>
      <c r="AB959" s="9"/>
      <c r="AC959" s="9"/>
    </row>
    <row r="960" spans="1:29" ht="12.75" customHeight="1">
      <c r="A960" s="9"/>
      <c r="B960" s="9"/>
      <c r="C960" s="9"/>
      <c r="D960" s="9"/>
      <c r="E960" s="9"/>
      <c r="F960" s="9"/>
      <c r="G960" s="9"/>
      <c r="H960" s="548"/>
      <c r="I960" s="548"/>
      <c r="J960" s="548"/>
      <c r="K960" s="548"/>
      <c r="L960" s="548"/>
      <c r="M960" s="548"/>
      <c r="N960" s="548"/>
      <c r="O960" s="548"/>
      <c r="P960" s="548"/>
      <c r="Q960" s="548"/>
      <c r="R960" s="548"/>
      <c r="S960" s="548"/>
      <c r="T960" s="548"/>
      <c r="U960" s="9"/>
      <c r="V960" s="9"/>
      <c r="W960" s="9"/>
      <c r="X960" s="9"/>
      <c r="Y960" s="9"/>
      <c r="Z960" s="9"/>
      <c r="AA960" s="9"/>
      <c r="AB960" s="9"/>
      <c r="AC960" s="9"/>
    </row>
    <row r="961" spans="1:29" ht="12.75" customHeight="1">
      <c r="A961" s="9"/>
      <c r="B961" s="9"/>
      <c r="C961" s="9"/>
      <c r="D961" s="9"/>
      <c r="E961" s="9"/>
      <c r="F961" s="9"/>
      <c r="G961" s="9"/>
      <c r="H961" s="548"/>
      <c r="I961" s="548"/>
      <c r="J961" s="548"/>
      <c r="K961" s="548"/>
      <c r="L961" s="548"/>
      <c r="M961" s="548"/>
      <c r="N961" s="548"/>
      <c r="O961" s="548"/>
      <c r="P961" s="548"/>
      <c r="Q961" s="548"/>
      <c r="R961" s="548"/>
      <c r="S961" s="548"/>
      <c r="T961" s="548"/>
      <c r="U961" s="9"/>
      <c r="V961" s="9"/>
      <c r="W961" s="9"/>
      <c r="X961" s="9"/>
      <c r="Y961" s="9"/>
      <c r="Z961" s="9"/>
      <c r="AA961" s="9"/>
      <c r="AB961" s="9"/>
      <c r="AC961" s="9"/>
    </row>
    <row r="962" spans="1:29" ht="12.75" customHeight="1">
      <c r="A962" s="9"/>
      <c r="B962" s="9"/>
      <c r="C962" s="9"/>
      <c r="D962" s="9"/>
      <c r="E962" s="9"/>
      <c r="F962" s="9"/>
      <c r="G962" s="9"/>
      <c r="H962" s="548"/>
      <c r="I962" s="548"/>
      <c r="J962" s="548"/>
      <c r="K962" s="548"/>
      <c r="L962" s="548"/>
      <c r="M962" s="548"/>
      <c r="N962" s="548"/>
      <c r="O962" s="548"/>
      <c r="P962" s="548"/>
      <c r="Q962" s="548"/>
      <c r="R962" s="548"/>
      <c r="S962" s="548"/>
      <c r="T962" s="548"/>
      <c r="U962" s="9"/>
      <c r="V962" s="9"/>
      <c r="W962" s="9"/>
      <c r="X962" s="9"/>
      <c r="Y962" s="9"/>
      <c r="Z962" s="9"/>
      <c r="AA962" s="9"/>
      <c r="AB962" s="9"/>
      <c r="AC962" s="9"/>
    </row>
    <row r="963" spans="1:29" ht="12.75" customHeight="1">
      <c r="A963" s="9"/>
      <c r="B963" s="9"/>
      <c r="C963" s="9"/>
      <c r="D963" s="9"/>
      <c r="E963" s="9"/>
      <c r="F963" s="9"/>
      <c r="G963" s="9"/>
      <c r="H963" s="548"/>
      <c r="I963" s="548"/>
      <c r="J963" s="548"/>
      <c r="K963" s="548"/>
      <c r="L963" s="548"/>
      <c r="M963" s="548"/>
      <c r="N963" s="548"/>
      <c r="O963" s="548"/>
      <c r="P963" s="548"/>
      <c r="Q963" s="548"/>
      <c r="R963" s="548"/>
      <c r="S963" s="548"/>
      <c r="T963" s="548"/>
      <c r="U963" s="9"/>
      <c r="V963" s="9"/>
      <c r="W963" s="9"/>
      <c r="X963" s="9"/>
      <c r="Y963" s="9"/>
      <c r="Z963" s="9"/>
      <c r="AA963" s="9"/>
      <c r="AB963" s="9"/>
      <c r="AC963" s="9"/>
    </row>
    <row r="964" spans="1:29" ht="12.75" customHeight="1">
      <c r="A964" s="9"/>
      <c r="B964" s="9"/>
      <c r="C964" s="9"/>
      <c r="D964" s="9"/>
      <c r="E964" s="9"/>
      <c r="F964" s="9"/>
      <c r="G964" s="9"/>
      <c r="H964" s="548"/>
      <c r="I964" s="548"/>
      <c r="J964" s="548"/>
      <c r="K964" s="548"/>
      <c r="L964" s="548"/>
      <c r="M964" s="548"/>
      <c r="N964" s="548"/>
      <c r="O964" s="548"/>
      <c r="P964" s="548"/>
      <c r="Q964" s="548"/>
      <c r="R964" s="548"/>
      <c r="S964" s="548"/>
      <c r="T964" s="548"/>
      <c r="U964" s="9"/>
      <c r="V964" s="9"/>
      <c r="W964" s="9"/>
      <c r="X964" s="9"/>
      <c r="Y964" s="9"/>
      <c r="Z964" s="9"/>
      <c r="AA964" s="9"/>
      <c r="AB964" s="9"/>
      <c r="AC964" s="9"/>
    </row>
    <row r="965" spans="1:29" ht="12.75" customHeight="1">
      <c r="A965" s="9"/>
      <c r="B965" s="9"/>
      <c r="C965" s="9"/>
      <c r="D965" s="9"/>
      <c r="E965" s="9"/>
      <c r="F965" s="9"/>
      <c r="G965" s="9"/>
      <c r="H965" s="548"/>
      <c r="I965" s="548"/>
      <c r="J965" s="548"/>
      <c r="K965" s="548"/>
      <c r="L965" s="548"/>
      <c r="M965" s="548"/>
      <c r="N965" s="548"/>
      <c r="O965" s="548"/>
      <c r="P965" s="548"/>
      <c r="Q965" s="548"/>
      <c r="R965" s="548"/>
      <c r="S965" s="548"/>
      <c r="T965" s="548"/>
      <c r="U965" s="9"/>
      <c r="V965" s="9"/>
      <c r="W965" s="9"/>
      <c r="X965" s="9"/>
      <c r="Y965" s="9"/>
      <c r="Z965" s="9"/>
      <c r="AA965" s="9"/>
      <c r="AB965" s="9"/>
      <c r="AC965" s="9"/>
    </row>
    <row r="966" spans="1:29" ht="12.75" customHeight="1">
      <c r="A966" s="9"/>
      <c r="B966" s="9"/>
      <c r="C966" s="9"/>
      <c r="D966" s="9"/>
      <c r="E966" s="9"/>
      <c r="F966" s="9"/>
      <c r="G966" s="9"/>
      <c r="H966" s="548"/>
      <c r="I966" s="548"/>
      <c r="J966" s="548"/>
      <c r="K966" s="548"/>
      <c r="L966" s="548"/>
      <c r="M966" s="548"/>
      <c r="N966" s="548"/>
      <c r="O966" s="548"/>
      <c r="P966" s="548"/>
      <c r="Q966" s="548"/>
      <c r="R966" s="548"/>
      <c r="S966" s="548"/>
      <c r="T966" s="548"/>
      <c r="U966" s="9"/>
      <c r="V966" s="9"/>
      <c r="W966" s="9"/>
      <c r="X966" s="9"/>
      <c r="Y966" s="9"/>
      <c r="Z966" s="9"/>
      <c r="AA966" s="9"/>
      <c r="AB966" s="9"/>
      <c r="AC966" s="9"/>
    </row>
    <row r="967" spans="1:29" ht="12.75" customHeight="1">
      <c r="A967" s="9"/>
      <c r="B967" s="9"/>
      <c r="C967" s="9"/>
      <c r="D967" s="9"/>
      <c r="E967" s="9"/>
      <c r="F967" s="9"/>
      <c r="G967" s="9"/>
      <c r="H967" s="548"/>
      <c r="I967" s="548"/>
      <c r="J967" s="548"/>
      <c r="K967" s="548"/>
      <c r="L967" s="548"/>
      <c r="M967" s="548"/>
      <c r="N967" s="548"/>
      <c r="O967" s="548"/>
      <c r="P967" s="548"/>
      <c r="Q967" s="548"/>
      <c r="R967" s="548"/>
      <c r="S967" s="548"/>
      <c r="T967" s="548"/>
      <c r="U967" s="9"/>
      <c r="V967" s="9"/>
      <c r="W967" s="9"/>
      <c r="X967" s="9"/>
      <c r="Y967" s="9"/>
      <c r="Z967" s="9"/>
      <c r="AA967" s="9"/>
      <c r="AB967" s="9"/>
      <c r="AC967" s="9"/>
    </row>
    <row r="968" spans="1:29" ht="12.75" customHeight="1">
      <c r="A968" s="9"/>
      <c r="B968" s="9"/>
      <c r="C968" s="9"/>
      <c r="D968" s="9"/>
      <c r="E968" s="9"/>
      <c r="F968" s="9"/>
      <c r="G968" s="9"/>
      <c r="H968" s="548"/>
      <c r="I968" s="548"/>
      <c r="J968" s="548"/>
      <c r="K968" s="548"/>
      <c r="L968" s="548"/>
      <c r="M968" s="548"/>
      <c r="N968" s="548"/>
      <c r="O968" s="548"/>
      <c r="P968" s="548"/>
      <c r="Q968" s="548"/>
      <c r="R968" s="548"/>
      <c r="S968" s="548"/>
      <c r="T968" s="548"/>
      <c r="U968" s="9"/>
      <c r="V968" s="9"/>
      <c r="W968" s="9"/>
      <c r="X968" s="9"/>
      <c r="Y968" s="9"/>
      <c r="Z968" s="9"/>
      <c r="AA968" s="9"/>
      <c r="AB968" s="9"/>
      <c r="AC968" s="9"/>
    </row>
    <row r="969" spans="1:29" ht="12.75" customHeight="1">
      <c r="A969" s="9"/>
      <c r="B969" s="9"/>
      <c r="C969" s="9"/>
      <c r="D969" s="9"/>
      <c r="E969" s="9"/>
      <c r="F969" s="9"/>
      <c r="G969" s="9"/>
      <c r="H969" s="548"/>
      <c r="I969" s="548"/>
      <c r="J969" s="548"/>
      <c r="K969" s="548"/>
      <c r="L969" s="548"/>
      <c r="M969" s="548"/>
      <c r="N969" s="548"/>
      <c r="O969" s="548"/>
      <c r="P969" s="548"/>
      <c r="Q969" s="548"/>
      <c r="R969" s="548"/>
      <c r="S969" s="548"/>
      <c r="T969" s="548"/>
      <c r="U969" s="9"/>
      <c r="V969" s="9"/>
      <c r="W969" s="9"/>
      <c r="X969" s="9"/>
      <c r="Y969" s="9"/>
      <c r="Z969" s="9"/>
      <c r="AA969" s="9"/>
      <c r="AB969" s="9"/>
      <c r="AC969" s="9"/>
    </row>
    <row r="970" spans="1:29" ht="12.75" customHeight="1">
      <c r="A970" s="9"/>
      <c r="B970" s="9"/>
      <c r="C970" s="9"/>
      <c r="D970" s="9"/>
      <c r="E970" s="9"/>
      <c r="F970" s="9"/>
      <c r="G970" s="9"/>
      <c r="H970" s="548"/>
      <c r="I970" s="548"/>
      <c r="J970" s="548"/>
      <c r="K970" s="548"/>
      <c r="L970" s="548"/>
      <c r="M970" s="548"/>
      <c r="N970" s="548"/>
      <c r="O970" s="548"/>
      <c r="P970" s="548"/>
      <c r="Q970" s="548"/>
      <c r="R970" s="548"/>
      <c r="S970" s="548"/>
      <c r="T970" s="548"/>
      <c r="U970" s="9"/>
      <c r="V970" s="9"/>
      <c r="W970" s="9"/>
      <c r="X970" s="9"/>
      <c r="Y970" s="9"/>
      <c r="Z970" s="9"/>
      <c r="AA970" s="9"/>
      <c r="AB970" s="9"/>
      <c r="AC970" s="9"/>
    </row>
    <row r="971" spans="1:29" ht="12.75" customHeight="1">
      <c r="A971" s="9"/>
      <c r="B971" s="9"/>
      <c r="C971" s="9"/>
      <c r="D971" s="9"/>
      <c r="E971" s="9"/>
      <c r="F971" s="9"/>
      <c r="G971" s="9"/>
      <c r="H971" s="548"/>
      <c r="I971" s="548"/>
      <c r="J971" s="548"/>
      <c r="K971" s="548"/>
      <c r="L971" s="548"/>
      <c r="M971" s="548"/>
      <c r="N971" s="548"/>
      <c r="O971" s="548"/>
      <c r="P971" s="548"/>
      <c r="Q971" s="548"/>
      <c r="R971" s="548"/>
      <c r="S971" s="548"/>
      <c r="T971" s="548"/>
      <c r="U971" s="9"/>
      <c r="V971" s="9"/>
      <c r="W971" s="9"/>
      <c r="X971" s="9"/>
      <c r="Y971" s="9"/>
      <c r="Z971" s="9"/>
      <c r="AA971" s="9"/>
      <c r="AB971" s="9"/>
      <c r="AC971" s="9"/>
    </row>
    <row r="972" spans="1:29" ht="12.75" customHeight="1">
      <c r="A972" s="9"/>
      <c r="B972" s="9"/>
      <c r="C972" s="9"/>
      <c r="D972" s="9"/>
      <c r="E972" s="9"/>
      <c r="F972" s="9"/>
      <c r="G972" s="9"/>
      <c r="H972" s="548"/>
      <c r="I972" s="548"/>
      <c r="J972" s="548"/>
      <c r="K972" s="548"/>
      <c r="L972" s="548"/>
      <c r="M972" s="548"/>
      <c r="N972" s="548"/>
      <c r="O972" s="548"/>
      <c r="P972" s="548"/>
      <c r="Q972" s="548"/>
      <c r="R972" s="548"/>
      <c r="S972" s="548"/>
      <c r="T972" s="548"/>
      <c r="U972" s="9"/>
      <c r="V972" s="9"/>
      <c r="W972" s="9"/>
      <c r="X972" s="9"/>
      <c r="Y972" s="9"/>
      <c r="Z972" s="9"/>
      <c r="AA972" s="9"/>
      <c r="AB972" s="9"/>
      <c r="AC972" s="9"/>
    </row>
    <row r="973" spans="1:29" ht="12.75" customHeight="1">
      <c r="A973" s="9"/>
      <c r="B973" s="9"/>
      <c r="C973" s="9"/>
      <c r="D973" s="9"/>
      <c r="E973" s="9"/>
      <c r="F973" s="9"/>
      <c r="G973" s="9"/>
      <c r="H973" s="548"/>
      <c r="I973" s="548"/>
      <c r="J973" s="548"/>
      <c r="K973" s="548"/>
      <c r="L973" s="548"/>
      <c r="M973" s="548"/>
      <c r="N973" s="548"/>
      <c r="O973" s="548"/>
      <c r="P973" s="548"/>
      <c r="Q973" s="548"/>
      <c r="R973" s="548"/>
      <c r="S973" s="548"/>
      <c r="T973" s="548"/>
      <c r="U973" s="9"/>
      <c r="V973" s="9"/>
      <c r="W973" s="9"/>
      <c r="X973" s="9"/>
      <c r="Y973" s="9"/>
      <c r="Z973" s="9"/>
      <c r="AA973" s="9"/>
      <c r="AB973" s="9"/>
      <c r="AC973" s="9"/>
    </row>
    <row r="974" spans="1:29" ht="12.75" customHeight="1">
      <c r="A974" s="9"/>
      <c r="B974" s="9"/>
      <c r="C974" s="9"/>
      <c r="D974" s="9"/>
      <c r="E974" s="9"/>
      <c r="F974" s="9"/>
      <c r="G974" s="9"/>
      <c r="H974" s="548"/>
      <c r="I974" s="548"/>
      <c r="J974" s="548"/>
      <c r="K974" s="548"/>
      <c r="L974" s="548"/>
      <c r="M974" s="548"/>
      <c r="N974" s="548"/>
      <c r="O974" s="548"/>
      <c r="P974" s="548"/>
      <c r="Q974" s="548"/>
      <c r="R974" s="548"/>
      <c r="S974" s="548"/>
      <c r="T974" s="548"/>
      <c r="U974" s="9"/>
      <c r="V974" s="9"/>
      <c r="W974" s="9"/>
      <c r="X974" s="9"/>
      <c r="Y974" s="9"/>
      <c r="Z974" s="9"/>
      <c r="AA974" s="9"/>
      <c r="AB974" s="9"/>
      <c r="AC974" s="9"/>
    </row>
    <row r="975" spans="1:29" ht="12.75" customHeight="1">
      <c r="A975" s="9"/>
      <c r="B975" s="9"/>
      <c r="C975" s="9"/>
      <c r="D975" s="9"/>
      <c r="E975" s="9"/>
      <c r="F975" s="9"/>
      <c r="G975" s="9"/>
      <c r="H975" s="548"/>
      <c r="I975" s="548"/>
      <c r="J975" s="548"/>
      <c r="K975" s="548"/>
      <c r="L975" s="548"/>
      <c r="M975" s="548"/>
      <c r="N975" s="548"/>
      <c r="O975" s="548"/>
      <c r="P975" s="548"/>
      <c r="Q975" s="548"/>
      <c r="R975" s="548"/>
      <c r="S975" s="548"/>
      <c r="T975" s="548"/>
      <c r="U975" s="9"/>
      <c r="V975" s="9"/>
      <c r="W975" s="9"/>
      <c r="X975" s="9"/>
      <c r="Y975" s="9"/>
      <c r="Z975" s="9"/>
      <c r="AA975" s="9"/>
      <c r="AB975" s="9"/>
      <c r="AC975" s="9"/>
    </row>
    <row r="976" spans="1:29" ht="12.75" customHeight="1">
      <c r="A976" s="9"/>
      <c r="B976" s="9"/>
      <c r="C976" s="9"/>
      <c r="D976" s="9"/>
      <c r="E976" s="9"/>
      <c r="F976" s="9"/>
      <c r="G976" s="9"/>
      <c r="H976" s="548"/>
      <c r="I976" s="548"/>
      <c r="J976" s="548"/>
      <c r="K976" s="548"/>
      <c r="L976" s="548"/>
      <c r="M976" s="548"/>
      <c r="N976" s="548"/>
      <c r="O976" s="548"/>
      <c r="P976" s="548"/>
      <c r="Q976" s="548"/>
      <c r="R976" s="548"/>
      <c r="S976" s="548"/>
      <c r="T976" s="548"/>
      <c r="U976" s="9"/>
      <c r="V976" s="9"/>
      <c r="W976" s="9"/>
      <c r="X976" s="9"/>
      <c r="Y976" s="9"/>
      <c r="Z976" s="9"/>
      <c r="AA976" s="9"/>
      <c r="AB976" s="9"/>
      <c r="AC976" s="9"/>
    </row>
    <row r="977" spans="1:29" ht="12.75" customHeight="1">
      <c r="A977" s="9"/>
      <c r="B977" s="9"/>
      <c r="C977" s="9"/>
      <c r="D977" s="9"/>
      <c r="E977" s="9"/>
      <c r="F977" s="9"/>
      <c r="G977" s="9"/>
      <c r="H977" s="548"/>
      <c r="I977" s="548"/>
      <c r="J977" s="548"/>
      <c r="K977" s="548"/>
      <c r="L977" s="548"/>
      <c r="M977" s="548"/>
      <c r="N977" s="548"/>
      <c r="O977" s="548"/>
      <c r="P977" s="548"/>
      <c r="Q977" s="548"/>
      <c r="R977" s="548"/>
      <c r="S977" s="548"/>
      <c r="T977" s="548"/>
      <c r="U977" s="9"/>
      <c r="V977" s="9"/>
      <c r="W977" s="9"/>
      <c r="X977" s="9"/>
      <c r="Y977" s="9"/>
      <c r="Z977" s="9"/>
      <c r="AA977" s="9"/>
      <c r="AB977" s="9"/>
      <c r="AC977" s="9"/>
    </row>
    <row r="978" spans="1:29" ht="12.75" customHeight="1">
      <c r="A978" s="9"/>
      <c r="B978" s="9"/>
      <c r="C978" s="9"/>
      <c r="D978" s="9"/>
      <c r="E978" s="9"/>
      <c r="F978" s="9"/>
      <c r="G978" s="9"/>
      <c r="H978" s="548"/>
      <c r="I978" s="548"/>
      <c r="J978" s="548"/>
      <c r="K978" s="548"/>
      <c r="L978" s="548"/>
      <c r="M978" s="548"/>
      <c r="N978" s="548"/>
      <c r="O978" s="548"/>
      <c r="P978" s="548"/>
      <c r="Q978" s="548"/>
      <c r="R978" s="548"/>
      <c r="S978" s="548"/>
      <c r="T978" s="548"/>
      <c r="U978" s="9"/>
      <c r="V978" s="9"/>
      <c r="W978" s="9"/>
      <c r="X978" s="9"/>
      <c r="Y978" s="9"/>
      <c r="Z978" s="9"/>
      <c r="AA978" s="9"/>
      <c r="AB978" s="9"/>
      <c r="AC978" s="9"/>
    </row>
    <row r="979" spans="1:29" ht="12.75" customHeight="1">
      <c r="A979" s="9"/>
      <c r="B979" s="9"/>
      <c r="C979" s="9"/>
      <c r="D979" s="9"/>
      <c r="E979" s="9"/>
      <c r="F979" s="9"/>
      <c r="G979" s="9"/>
      <c r="H979" s="548"/>
      <c r="I979" s="548"/>
      <c r="J979" s="548"/>
      <c r="K979" s="548"/>
      <c r="L979" s="548"/>
      <c r="M979" s="548"/>
      <c r="N979" s="548"/>
      <c r="O979" s="548"/>
      <c r="P979" s="548"/>
      <c r="Q979" s="548"/>
      <c r="R979" s="548"/>
      <c r="S979" s="548"/>
      <c r="T979" s="548"/>
      <c r="U979" s="9"/>
      <c r="V979" s="9"/>
      <c r="W979" s="9"/>
      <c r="X979" s="9"/>
      <c r="Y979" s="9"/>
      <c r="Z979" s="9"/>
      <c r="AA979" s="9"/>
      <c r="AB979" s="9"/>
      <c r="AC979" s="9"/>
    </row>
    <row r="980" spans="1:29" ht="12.75" customHeight="1">
      <c r="A980" s="9"/>
      <c r="B980" s="9"/>
      <c r="C980" s="9"/>
      <c r="D980" s="9"/>
      <c r="E980" s="9"/>
      <c r="F980" s="9"/>
      <c r="G980" s="9"/>
      <c r="H980" s="548"/>
      <c r="I980" s="548"/>
      <c r="J980" s="548"/>
      <c r="K980" s="548"/>
      <c r="L980" s="548"/>
      <c r="M980" s="548"/>
      <c r="N980" s="548"/>
      <c r="O980" s="548"/>
      <c r="P980" s="548"/>
      <c r="Q980" s="548"/>
      <c r="R980" s="548"/>
      <c r="S980" s="548"/>
      <c r="T980" s="548"/>
      <c r="U980" s="9"/>
      <c r="V980" s="9"/>
      <c r="W980" s="9"/>
      <c r="X980" s="9"/>
      <c r="Y980" s="9"/>
      <c r="Z980" s="9"/>
      <c r="AA980" s="9"/>
      <c r="AB980" s="9"/>
      <c r="AC980" s="9"/>
    </row>
    <row r="981" spans="1:29" ht="12.75" customHeight="1">
      <c r="A981" s="9"/>
      <c r="B981" s="9"/>
      <c r="C981" s="9"/>
      <c r="D981" s="9"/>
      <c r="E981" s="9"/>
      <c r="F981" s="9"/>
      <c r="G981" s="9"/>
      <c r="H981" s="548"/>
      <c r="I981" s="548"/>
      <c r="J981" s="548"/>
      <c r="K981" s="548"/>
      <c r="L981" s="548"/>
      <c r="M981" s="548"/>
      <c r="N981" s="548"/>
      <c r="O981" s="548"/>
      <c r="P981" s="548"/>
      <c r="Q981" s="548"/>
      <c r="R981" s="548"/>
      <c r="S981" s="548"/>
      <c r="T981" s="548"/>
      <c r="U981" s="9"/>
      <c r="V981" s="9"/>
      <c r="W981" s="9"/>
      <c r="X981" s="9"/>
      <c r="Y981" s="9"/>
      <c r="Z981" s="9"/>
      <c r="AA981" s="9"/>
      <c r="AB981" s="9"/>
      <c r="AC981" s="9"/>
    </row>
    <row r="982" spans="1:29" ht="12.75" customHeight="1">
      <c r="A982" s="9"/>
      <c r="B982" s="9"/>
      <c r="C982" s="9"/>
      <c r="D982" s="9"/>
      <c r="E982" s="9"/>
      <c r="F982" s="9"/>
      <c r="G982" s="9"/>
      <c r="H982" s="548"/>
      <c r="I982" s="548"/>
      <c r="J982" s="548"/>
      <c r="K982" s="548"/>
      <c r="L982" s="548"/>
      <c r="M982" s="548"/>
      <c r="N982" s="548"/>
      <c r="O982" s="548"/>
      <c r="P982" s="548"/>
      <c r="Q982" s="548"/>
      <c r="R982" s="548"/>
      <c r="S982" s="548"/>
      <c r="T982" s="548"/>
      <c r="U982" s="9"/>
      <c r="V982" s="9"/>
      <c r="W982" s="9"/>
      <c r="X982" s="9"/>
      <c r="Y982" s="9"/>
      <c r="Z982" s="9"/>
      <c r="AA982" s="9"/>
      <c r="AB982" s="9"/>
      <c r="AC982" s="9"/>
    </row>
    <row r="983" spans="1:29" ht="12.75" customHeight="1">
      <c r="A983" s="9"/>
      <c r="B983" s="9"/>
      <c r="C983" s="9"/>
      <c r="D983" s="9"/>
      <c r="E983" s="9"/>
      <c r="F983" s="9"/>
      <c r="G983" s="9"/>
      <c r="H983" s="548"/>
      <c r="I983" s="548"/>
      <c r="J983" s="548"/>
      <c r="K983" s="548"/>
      <c r="L983" s="548"/>
      <c r="M983" s="548"/>
      <c r="N983" s="548"/>
      <c r="O983" s="548"/>
      <c r="P983" s="548"/>
      <c r="Q983" s="548"/>
      <c r="R983" s="548"/>
      <c r="S983" s="548"/>
      <c r="T983" s="548"/>
      <c r="U983" s="9"/>
      <c r="V983" s="9"/>
      <c r="W983" s="9"/>
      <c r="X983" s="9"/>
      <c r="Y983" s="9"/>
      <c r="Z983" s="9"/>
      <c r="AA983" s="9"/>
      <c r="AB983" s="9"/>
      <c r="AC983" s="9"/>
    </row>
    <row r="984" spans="1:29" ht="12.75" customHeight="1">
      <c r="A984" s="9"/>
      <c r="B984" s="9"/>
      <c r="C984" s="9"/>
      <c r="D984" s="9"/>
      <c r="E984" s="9"/>
      <c r="F984" s="9"/>
      <c r="G984" s="9"/>
      <c r="H984" s="548"/>
      <c r="I984" s="548"/>
      <c r="J984" s="548"/>
      <c r="K984" s="548"/>
      <c r="L984" s="548"/>
      <c r="M984" s="548"/>
      <c r="N984" s="548"/>
      <c r="O984" s="548"/>
      <c r="P984" s="548"/>
      <c r="Q984" s="548"/>
      <c r="R984" s="548"/>
      <c r="S984" s="548"/>
      <c r="T984" s="548"/>
      <c r="U984" s="9"/>
      <c r="V984" s="9"/>
      <c r="W984" s="9"/>
      <c r="X984" s="9"/>
      <c r="Y984" s="9"/>
      <c r="Z984" s="9"/>
      <c r="AA984" s="9"/>
      <c r="AB984" s="9"/>
      <c r="AC984" s="9"/>
    </row>
    <row r="985" spans="1:29" ht="12.75" customHeight="1">
      <c r="A985" s="9"/>
      <c r="B985" s="9"/>
      <c r="C985" s="9"/>
      <c r="D985" s="9"/>
      <c r="E985" s="9"/>
      <c r="F985" s="9"/>
      <c r="G985" s="9"/>
      <c r="H985" s="548"/>
      <c r="I985" s="548"/>
      <c r="J985" s="548"/>
      <c r="K985" s="548"/>
      <c r="L985" s="548"/>
      <c r="M985" s="548"/>
      <c r="N985" s="548"/>
      <c r="O985" s="548"/>
      <c r="P985" s="548"/>
      <c r="Q985" s="548"/>
      <c r="R985" s="548"/>
      <c r="S985" s="548"/>
      <c r="T985" s="548"/>
      <c r="U985" s="9"/>
      <c r="V985" s="9"/>
      <c r="W985" s="9"/>
      <c r="X985" s="9"/>
      <c r="Y985" s="9"/>
      <c r="Z985" s="9"/>
      <c r="AA985" s="9"/>
      <c r="AB985" s="9"/>
      <c r="AC985" s="9"/>
    </row>
    <row r="986" spans="1:29" ht="12.75" customHeight="1">
      <c r="A986" s="9"/>
      <c r="B986" s="9"/>
      <c r="C986" s="9"/>
      <c r="D986" s="9"/>
      <c r="E986" s="9"/>
      <c r="F986" s="9"/>
      <c r="G986" s="9"/>
      <c r="H986" s="548"/>
      <c r="I986" s="548"/>
      <c r="J986" s="548"/>
      <c r="K986" s="548"/>
      <c r="L986" s="548"/>
      <c r="M986" s="548"/>
      <c r="N986" s="548"/>
      <c r="O986" s="548"/>
      <c r="P986" s="548"/>
      <c r="Q986" s="548"/>
      <c r="R986" s="548"/>
      <c r="S986" s="548"/>
      <c r="T986" s="548"/>
      <c r="U986" s="9"/>
      <c r="V986" s="9"/>
      <c r="W986" s="9"/>
      <c r="X986" s="9"/>
      <c r="Y986" s="9"/>
      <c r="Z986" s="9"/>
      <c r="AA986" s="9"/>
      <c r="AB986" s="9"/>
      <c r="AC986" s="9"/>
    </row>
    <row r="987" spans="1:29" ht="12.75" customHeight="1">
      <c r="A987" s="9"/>
      <c r="B987" s="9"/>
      <c r="C987" s="9"/>
      <c r="D987" s="9"/>
      <c r="E987" s="9"/>
      <c r="F987" s="9"/>
      <c r="G987" s="9"/>
      <c r="H987" s="548"/>
      <c r="I987" s="548"/>
      <c r="J987" s="548"/>
      <c r="K987" s="548"/>
      <c r="L987" s="548"/>
      <c r="M987" s="548"/>
      <c r="N987" s="548"/>
      <c r="O987" s="548"/>
      <c r="P987" s="548"/>
      <c r="Q987" s="548"/>
      <c r="R987" s="548"/>
      <c r="S987" s="548"/>
      <c r="T987" s="548"/>
      <c r="U987" s="9"/>
      <c r="V987" s="9"/>
      <c r="W987" s="9"/>
      <c r="X987" s="9"/>
      <c r="Y987" s="9"/>
      <c r="Z987" s="9"/>
      <c r="AA987" s="9"/>
      <c r="AB987" s="9"/>
      <c r="AC987" s="9"/>
    </row>
    <row r="988" spans="1:29" ht="12.75" customHeight="1">
      <c r="A988" s="9"/>
      <c r="B988" s="9"/>
      <c r="C988" s="9"/>
      <c r="D988" s="9"/>
      <c r="E988" s="9"/>
      <c r="F988" s="9"/>
      <c r="G988" s="9"/>
      <c r="H988" s="548"/>
      <c r="I988" s="548"/>
      <c r="J988" s="548"/>
      <c r="K988" s="548"/>
      <c r="L988" s="548"/>
      <c r="M988" s="548"/>
      <c r="N988" s="548"/>
      <c r="O988" s="548"/>
      <c r="P988" s="548"/>
      <c r="Q988" s="548"/>
      <c r="R988" s="548"/>
      <c r="S988" s="548"/>
      <c r="T988" s="548"/>
      <c r="U988" s="9"/>
      <c r="V988" s="9"/>
      <c r="W988" s="9"/>
      <c r="X988" s="9"/>
      <c r="Y988" s="9"/>
      <c r="Z988" s="9"/>
      <c r="AA988" s="9"/>
      <c r="AB988" s="9"/>
      <c r="AC988" s="9"/>
    </row>
    <row r="989" spans="1:29" ht="12.75" customHeight="1">
      <c r="A989" s="9"/>
      <c r="B989" s="9"/>
      <c r="C989" s="9"/>
      <c r="D989" s="9"/>
      <c r="E989" s="9"/>
      <c r="F989" s="9"/>
      <c r="G989" s="9"/>
      <c r="H989" s="548"/>
      <c r="I989" s="548"/>
      <c r="J989" s="548"/>
      <c r="K989" s="548"/>
      <c r="L989" s="548"/>
      <c r="M989" s="548"/>
      <c r="N989" s="548"/>
      <c r="O989" s="548"/>
      <c r="P989" s="548"/>
      <c r="Q989" s="548"/>
      <c r="R989" s="548"/>
      <c r="S989" s="548"/>
      <c r="T989" s="548"/>
      <c r="U989" s="9"/>
      <c r="V989" s="9"/>
      <c r="W989" s="9"/>
      <c r="X989" s="9"/>
      <c r="Y989" s="9"/>
      <c r="Z989" s="9"/>
      <c r="AA989" s="9"/>
      <c r="AB989" s="9"/>
      <c r="AC989" s="9"/>
    </row>
    <row r="990" spans="1:29" ht="12.75" customHeight="1">
      <c r="A990" s="9"/>
      <c r="B990" s="9"/>
      <c r="C990" s="9"/>
      <c r="D990" s="9"/>
      <c r="E990" s="9"/>
      <c r="F990" s="9"/>
      <c r="G990" s="9"/>
      <c r="H990" s="548"/>
      <c r="I990" s="548"/>
      <c r="J990" s="548"/>
      <c r="K990" s="548"/>
      <c r="L990" s="548"/>
      <c r="M990" s="548"/>
      <c r="N990" s="548"/>
      <c r="O990" s="548"/>
      <c r="P990" s="548"/>
      <c r="Q990" s="548"/>
      <c r="R990" s="548"/>
      <c r="S990" s="548"/>
      <c r="T990" s="548"/>
      <c r="U990" s="9"/>
      <c r="V990" s="9"/>
      <c r="W990" s="9"/>
      <c r="X990" s="9"/>
      <c r="Y990" s="9"/>
      <c r="Z990" s="9"/>
      <c r="AA990" s="9"/>
      <c r="AB990" s="9"/>
      <c r="AC990" s="9"/>
    </row>
    <row r="991" spans="1:29" ht="12.75" customHeight="1">
      <c r="A991" s="9"/>
      <c r="B991" s="9"/>
      <c r="C991" s="9"/>
      <c r="D991" s="9"/>
      <c r="E991" s="9"/>
      <c r="F991" s="9"/>
      <c r="G991" s="9"/>
      <c r="H991" s="548"/>
      <c r="I991" s="548"/>
      <c r="J991" s="548"/>
      <c r="K991" s="548"/>
      <c r="L991" s="548"/>
      <c r="M991" s="548"/>
      <c r="N991" s="548"/>
      <c r="O991" s="548"/>
      <c r="P991" s="548"/>
      <c r="Q991" s="548"/>
      <c r="R991" s="548"/>
      <c r="S991" s="548"/>
      <c r="T991" s="548"/>
      <c r="U991" s="9"/>
      <c r="V991" s="9"/>
      <c r="W991" s="9"/>
      <c r="X991" s="9"/>
      <c r="Y991" s="9"/>
      <c r="Z991" s="9"/>
      <c r="AA991" s="9"/>
      <c r="AB991" s="9"/>
      <c r="AC991" s="9"/>
    </row>
    <row r="992" spans="1:29" ht="12.75" customHeight="1">
      <c r="A992" s="9"/>
      <c r="B992" s="9"/>
      <c r="C992" s="9"/>
      <c r="D992" s="9"/>
      <c r="E992" s="9"/>
      <c r="F992" s="9"/>
      <c r="G992" s="9"/>
      <c r="H992" s="548"/>
      <c r="I992" s="548"/>
      <c r="J992" s="548"/>
      <c r="K992" s="548"/>
      <c r="L992" s="548"/>
      <c r="M992" s="548"/>
      <c r="N992" s="548"/>
      <c r="O992" s="548"/>
      <c r="P992" s="548"/>
      <c r="Q992" s="548"/>
      <c r="R992" s="548"/>
      <c r="S992" s="548"/>
      <c r="T992" s="548"/>
      <c r="U992" s="9"/>
      <c r="V992" s="9"/>
      <c r="W992" s="9"/>
      <c r="X992" s="9"/>
      <c r="Y992" s="9"/>
      <c r="Z992" s="9"/>
      <c r="AA992" s="9"/>
      <c r="AB992" s="9"/>
      <c r="AC992" s="9"/>
    </row>
    <row r="993" spans="1:29" ht="12.75" customHeight="1">
      <c r="A993" s="9"/>
      <c r="B993" s="9"/>
      <c r="C993" s="9"/>
      <c r="D993" s="9"/>
      <c r="E993" s="9"/>
      <c r="F993" s="9"/>
      <c r="G993" s="9"/>
      <c r="H993" s="548"/>
      <c r="I993" s="548"/>
      <c r="J993" s="548"/>
      <c r="K993" s="548"/>
      <c r="L993" s="548"/>
      <c r="M993" s="548"/>
      <c r="N993" s="548"/>
      <c r="O993" s="548"/>
      <c r="P993" s="548"/>
      <c r="Q993" s="548"/>
      <c r="R993" s="548"/>
      <c r="S993" s="548"/>
      <c r="T993" s="548"/>
      <c r="U993" s="9"/>
      <c r="V993" s="9"/>
      <c r="W993" s="9"/>
      <c r="X993" s="9"/>
      <c r="Y993" s="9"/>
      <c r="Z993" s="9"/>
      <c r="AA993" s="9"/>
      <c r="AB993" s="9"/>
      <c r="AC993" s="9"/>
    </row>
    <row r="994" spans="1:29" ht="12.75" customHeight="1">
      <c r="A994" s="9"/>
      <c r="B994" s="9"/>
      <c r="C994" s="9"/>
      <c r="D994" s="9"/>
      <c r="E994" s="9"/>
      <c r="F994" s="9"/>
      <c r="G994" s="9"/>
      <c r="H994" s="548"/>
      <c r="I994" s="548"/>
      <c r="J994" s="548"/>
      <c r="K994" s="548"/>
      <c r="L994" s="548"/>
      <c r="M994" s="548"/>
      <c r="N994" s="548"/>
      <c r="O994" s="548"/>
      <c r="P994" s="548"/>
      <c r="Q994" s="548"/>
      <c r="R994" s="548"/>
      <c r="S994" s="548"/>
      <c r="T994" s="548"/>
      <c r="U994" s="9"/>
      <c r="V994" s="9"/>
      <c r="W994" s="9"/>
      <c r="X994" s="9"/>
      <c r="Y994" s="9"/>
      <c r="Z994" s="9"/>
      <c r="AA994" s="9"/>
      <c r="AB994" s="9"/>
      <c r="AC994" s="9"/>
    </row>
    <row r="995" spans="1:29" ht="12.75" customHeight="1">
      <c r="A995" s="9"/>
      <c r="B995" s="9"/>
      <c r="C995" s="9"/>
      <c r="D995" s="9"/>
      <c r="E995" s="9"/>
      <c r="F995" s="9"/>
      <c r="G995" s="9"/>
      <c r="H995" s="548"/>
      <c r="I995" s="548"/>
      <c r="J995" s="548"/>
      <c r="K995" s="548"/>
      <c r="L995" s="548"/>
      <c r="M995" s="548"/>
      <c r="N995" s="548"/>
      <c r="O995" s="548"/>
      <c r="P995" s="548"/>
      <c r="Q995" s="548"/>
      <c r="R995" s="548"/>
      <c r="S995" s="548"/>
      <c r="T995" s="548"/>
      <c r="U995" s="9"/>
      <c r="V995" s="9"/>
      <c r="W995" s="9"/>
      <c r="X995" s="9"/>
      <c r="Y995" s="9"/>
      <c r="Z995" s="9"/>
      <c r="AA995" s="9"/>
      <c r="AB995" s="9"/>
      <c r="AC995" s="9"/>
    </row>
    <row r="996" spans="1:29" ht="12.75" customHeight="1">
      <c r="A996" s="9"/>
      <c r="B996" s="9"/>
      <c r="C996" s="9"/>
      <c r="D996" s="9"/>
      <c r="E996" s="9"/>
      <c r="F996" s="9"/>
      <c r="G996" s="9"/>
      <c r="H996" s="548"/>
      <c r="I996" s="548"/>
      <c r="J996" s="548"/>
      <c r="K996" s="548"/>
      <c r="L996" s="548"/>
      <c r="M996" s="548"/>
      <c r="N996" s="548"/>
      <c r="O996" s="548"/>
      <c r="P996" s="548"/>
      <c r="Q996" s="548"/>
      <c r="R996" s="548"/>
      <c r="S996" s="548"/>
      <c r="T996" s="548"/>
      <c r="U996" s="9"/>
      <c r="V996" s="9"/>
      <c r="W996" s="9"/>
      <c r="X996" s="9"/>
      <c r="Y996" s="9"/>
      <c r="Z996" s="9"/>
      <c r="AA996" s="9"/>
      <c r="AB996" s="9"/>
      <c r="AC996" s="9"/>
    </row>
    <row r="997" spans="1:29" ht="12.75" customHeight="1">
      <c r="A997" s="9"/>
      <c r="B997" s="9"/>
      <c r="C997" s="9"/>
      <c r="D997" s="9"/>
      <c r="E997" s="9"/>
      <c r="F997" s="9"/>
      <c r="G997" s="9"/>
      <c r="H997" s="548"/>
      <c r="I997" s="548"/>
      <c r="J997" s="548"/>
      <c r="K997" s="548"/>
      <c r="L997" s="548"/>
      <c r="M997" s="548"/>
      <c r="N997" s="548"/>
      <c r="O997" s="548"/>
      <c r="P997" s="548"/>
      <c r="Q997" s="548"/>
      <c r="R997" s="548"/>
      <c r="S997" s="548"/>
      <c r="T997" s="548"/>
      <c r="U997" s="9"/>
      <c r="V997" s="9"/>
      <c r="W997" s="9"/>
      <c r="X997" s="9"/>
      <c r="Y997" s="9"/>
      <c r="Z997" s="9"/>
      <c r="AA997" s="9"/>
      <c r="AB997" s="9"/>
      <c r="AC997" s="9"/>
    </row>
    <row r="998" spans="1:29" ht="12.75" customHeight="1">
      <c r="A998" s="9"/>
      <c r="B998" s="9"/>
      <c r="C998" s="9"/>
      <c r="D998" s="9"/>
      <c r="E998" s="9"/>
      <c r="F998" s="9"/>
      <c r="G998" s="9"/>
      <c r="H998" s="548"/>
      <c r="I998" s="548"/>
      <c r="J998" s="548"/>
      <c r="K998" s="548"/>
      <c r="L998" s="548"/>
      <c r="M998" s="548"/>
      <c r="N998" s="548"/>
      <c r="O998" s="548"/>
      <c r="P998" s="548"/>
      <c r="Q998" s="548"/>
      <c r="R998" s="548"/>
      <c r="S998" s="548"/>
      <c r="T998" s="548"/>
      <c r="U998" s="9"/>
      <c r="V998" s="9"/>
      <c r="W998" s="9"/>
      <c r="X998" s="9"/>
      <c r="Y998" s="9"/>
      <c r="Z998" s="9"/>
      <c r="AA998" s="9"/>
      <c r="AB998" s="9"/>
      <c r="AC998" s="9"/>
    </row>
    <row r="999" spans="1:29" ht="12.75" customHeight="1">
      <c r="A999" s="9"/>
      <c r="B999" s="9"/>
      <c r="C999" s="9"/>
      <c r="D999" s="9"/>
      <c r="E999" s="9"/>
      <c r="F999" s="9"/>
      <c r="G999" s="9"/>
      <c r="H999" s="548"/>
      <c r="I999" s="548"/>
      <c r="J999" s="548"/>
      <c r="K999" s="548"/>
      <c r="L999" s="548"/>
      <c r="M999" s="548"/>
      <c r="N999" s="548"/>
      <c r="O999" s="548"/>
      <c r="P999" s="548"/>
      <c r="Q999" s="548"/>
      <c r="R999" s="548"/>
      <c r="S999" s="548"/>
      <c r="T999" s="548"/>
      <c r="U999" s="9"/>
      <c r="V999" s="9"/>
      <c r="W999" s="9"/>
      <c r="X999" s="9"/>
      <c r="Y999" s="9"/>
      <c r="Z999" s="9"/>
      <c r="AA999" s="9"/>
      <c r="AB999" s="9"/>
      <c r="AC999" s="9"/>
    </row>
    <row r="1000" spans="1:29" ht="12.75" customHeight="1">
      <c r="A1000" s="9"/>
      <c r="B1000" s="9"/>
      <c r="C1000" s="9"/>
      <c r="D1000" s="9"/>
      <c r="E1000" s="9"/>
      <c r="F1000" s="9"/>
      <c r="G1000" s="9"/>
      <c r="H1000" s="548"/>
      <c r="I1000" s="548"/>
      <c r="J1000" s="548"/>
      <c r="K1000" s="548"/>
      <c r="L1000" s="548"/>
      <c r="M1000" s="548"/>
      <c r="N1000" s="548"/>
      <c r="O1000" s="548"/>
      <c r="P1000" s="548"/>
      <c r="Q1000" s="548"/>
      <c r="R1000" s="548"/>
      <c r="S1000" s="548"/>
      <c r="T1000" s="548"/>
      <c r="U1000" s="9"/>
      <c r="V1000" s="9"/>
      <c r="W1000" s="9"/>
      <c r="X1000" s="9"/>
      <c r="Y1000" s="9"/>
      <c r="Z1000" s="9"/>
      <c r="AA1000" s="9"/>
      <c r="AB1000" s="9"/>
      <c r="AC1000" s="9"/>
    </row>
  </sheetData>
  <mergeCells count="1">
    <mergeCell ref="B8:G8"/>
  </mergeCells>
  <conditionalFormatting sqref="E13:E30">
    <cfRule type="cellIs" dxfId="124" priority="1" stopIfTrue="1" operator="equal">
      <formula>"No Result"</formula>
    </cfRule>
  </conditionalFormatting>
  <dataValidations count="1">
    <dataValidation type="list" allowBlank="1" showErrorMessage="1" sqref="D13:D30" xr:uid="{00000000-0002-0000-0B00-000000000000}">
      <formula1>$L$2:$L$6</formula1>
    </dataValidation>
  </dataValidations>
  <pageMargins left="0.75" right="0.75" top="1" bottom="1" header="0" footer="0"/>
  <pageSetup orientation="portrait"/>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60000"/>
  </sheetPr>
  <dimension ref="A1:Z1000"/>
  <sheetViews>
    <sheetView showGridLines="0" zoomScale="80" zoomScaleNormal="80" workbookViewId="0">
      <pane ySplit="2" topLeftCell="A10" activePane="bottomLeft" state="frozen"/>
      <selection pane="bottomLeft"/>
    </sheetView>
  </sheetViews>
  <sheetFormatPr defaultColWidth="14.44140625" defaultRowHeight="15" customHeight="1"/>
  <cols>
    <col min="1" max="2" width="1.6640625" customWidth="1"/>
    <col min="3" max="3" width="32.6640625" customWidth="1"/>
    <col min="4" max="12" width="10.5546875" customWidth="1"/>
    <col min="13" max="15" width="12.109375" customWidth="1"/>
    <col min="16" max="17" width="10.5546875" customWidth="1"/>
    <col min="18" max="18" width="11.109375" customWidth="1"/>
    <col min="19" max="19" width="10.5546875" customWidth="1"/>
    <col min="20" max="26" width="8.6640625" customWidth="1"/>
  </cols>
  <sheetData>
    <row r="1" spans="1:26" ht="13.5" customHeight="1">
      <c r="A1" s="4"/>
      <c r="B1" s="4"/>
      <c r="C1" s="5" t="str">
        <f ca="1">Company_Name&amp;" - "&amp;MID(CELL("filename",A1),FIND("]",CELL("filename",A1))+1,255)&amp;": "&amp;Case_Scenario&amp;" Case"</f>
        <v>Hamilton Lane Inc. - WACC: Base Case</v>
      </c>
      <c r="D1" s="4"/>
      <c r="E1" s="4"/>
      <c r="F1" s="4"/>
      <c r="G1" s="4"/>
      <c r="H1" s="4"/>
      <c r="I1" s="4"/>
      <c r="J1" s="4"/>
      <c r="K1" s="4"/>
      <c r="L1" s="4"/>
      <c r="M1" s="4"/>
      <c r="N1" s="4"/>
      <c r="O1" s="4"/>
      <c r="P1" s="4"/>
      <c r="Q1" s="4"/>
      <c r="R1" s="4"/>
      <c r="S1" s="4"/>
      <c r="T1" s="4"/>
      <c r="U1" s="4"/>
      <c r="V1" s="4"/>
      <c r="W1" s="4"/>
      <c r="X1" s="4"/>
      <c r="Y1" s="4"/>
      <c r="Z1" s="4"/>
    </row>
    <row r="2" spans="1:26" ht="13.5" customHeight="1">
      <c r="A2" s="2"/>
      <c r="B2" s="2"/>
      <c r="C2" s="7" t="str">
        <f>Cover!C2</f>
        <v>$ in Millions Except Per Share Data</v>
      </c>
      <c r="D2" s="2"/>
      <c r="E2" s="2"/>
      <c r="F2" s="2"/>
      <c r="G2" s="2"/>
      <c r="H2" s="2"/>
      <c r="I2" s="2"/>
      <c r="J2" s="2"/>
      <c r="K2" s="2"/>
      <c r="L2" s="2"/>
      <c r="M2" s="2"/>
      <c r="N2" s="2"/>
      <c r="O2" s="2"/>
      <c r="P2" s="2"/>
      <c r="Q2" s="2"/>
      <c r="R2" s="2"/>
      <c r="S2" s="2"/>
      <c r="T2" s="2"/>
      <c r="U2" s="2"/>
      <c r="V2" s="2"/>
      <c r="W2" s="2"/>
      <c r="X2" s="2"/>
      <c r="Y2" s="2"/>
      <c r="Z2" s="2"/>
    </row>
    <row r="3" spans="1:26" ht="13.5" customHeight="1">
      <c r="A3" s="3"/>
      <c r="B3" s="9"/>
      <c r="C3" s="9"/>
      <c r="D3" s="9"/>
      <c r="E3" s="9"/>
      <c r="F3" s="9"/>
      <c r="G3" s="9"/>
      <c r="H3" s="9"/>
      <c r="I3" s="9"/>
      <c r="J3" s="9"/>
      <c r="K3" s="9"/>
      <c r="L3" s="9"/>
      <c r="M3" s="9"/>
      <c r="N3" s="9"/>
      <c r="O3" s="9"/>
      <c r="P3" s="9"/>
      <c r="Q3" s="9"/>
      <c r="R3" s="554"/>
      <c r="S3" s="9"/>
      <c r="T3" s="9"/>
      <c r="U3" s="9"/>
      <c r="V3" s="9"/>
      <c r="W3" s="9"/>
      <c r="X3" s="9"/>
      <c r="Y3" s="9"/>
      <c r="Z3" s="9"/>
    </row>
    <row r="4" spans="1:26" ht="13.5" customHeight="1">
      <c r="A4" s="10" t="s">
        <v>0</v>
      </c>
      <c r="B4" s="9"/>
      <c r="C4" s="11" t="s">
        <v>628</v>
      </c>
      <c r="D4" s="12"/>
      <c r="E4" s="12"/>
      <c r="F4" s="12"/>
      <c r="G4" s="13"/>
      <c r="H4" s="9"/>
      <c r="I4" s="9"/>
      <c r="J4" s="11" t="s">
        <v>629</v>
      </c>
      <c r="K4" s="12"/>
      <c r="L4" s="12"/>
      <c r="M4" s="51" t="s">
        <v>630</v>
      </c>
      <c r="N4" s="51" t="s">
        <v>631</v>
      </c>
      <c r="O4" s="52" t="s">
        <v>632</v>
      </c>
      <c r="P4" s="9"/>
      <c r="Q4" s="135"/>
      <c r="R4" s="182" t="s">
        <v>1</v>
      </c>
      <c r="S4" s="134"/>
      <c r="T4" s="9"/>
      <c r="U4" s="9"/>
      <c r="V4" s="9"/>
      <c r="W4" s="9"/>
      <c r="X4" s="9"/>
      <c r="Y4" s="9"/>
      <c r="Z4" s="9"/>
    </row>
    <row r="5" spans="1:26" ht="13.5" customHeight="1">
      <c r="A5" s="10"/>
      <c r="B5" s="9"/>
      <c r="C5" s="9"/>
      <c r="D5" s="9"/>
      <c r="E5" s="9"/>
      <c r="F5" s="9"/>
      <c r="G5" s="9"/>
      <c r="H5" s="9"/>
      <c r="I5" s="9"/>
      <c r="J5" s="9"/>
      <c r="K5" s="9"/>
      <c r="L5" s="9"/>
      <c r="M5" s="64"/>
      <c r="N5" s="64"/>
      <c r="O5" s="64"/>
      <c r="P5" s="9"/>
      <c r="Q5" s="135"/>
      <c r="R5" s="555" t="s">
        <v>1153</v>
      </c>
      <c r="S5" s="9"/>
      <c r="T5" s="9"/>
      <c r="U5" s="9"/>
      <c r="V5" s="9"/>
      <c r="W5" s="9"/>
      <c r="X5" s="9"/>
      <c r="Y5" s="9"/>
      <c r="Z5" s="9"/>
    </row>
    <row r="6" spans="1:26" ht="13.5" customHeight="1">
      <c r="A6" s="10"/>
      <c r="B6" s="9"/>
      <c r="C6" s="9" t="s">
        <v>633</v>
      </c>
      <c r="D6" s="9"/>
      <c r="E6" s="9"/>
      <c r="F6" s="9"/>
      <c r="G6" s="556">
        <v>4.1209999999999997E-2</v>
      </c>
      <c r="H6" s="9"/>
      <c r="I6" s="9"/>
      <c r="J6" s="9" t="s">
        <v>634</v>
      </c>
      <c r="K6" s="9"/>
      <c r="L6" s="9"/>
      <c r="M6" s="557">
        <f ca="1">Model!V141+Model!V142</f>
        <v>287.08199999999999</v>
      </c>
      <c r="N6" s="451">
        <f ca="1">M6/$M$9</f>
        <v>4.2665272757866218E-2</v>
      </c>
      <c r="O6" s="451">
        <f>Cost_of_Debt</f>
        <v>3.2459365734580768E-2</v>
      </c>
      <c r="P6" s="9"/>
      <c r="Q6" s="9"/>
      <c r="R6" s="96"/>
      <c r="S6" s="9"/>
      <c r="T6" s="9"/>
      <c r="U6" s="9"/>
      <c r="V6" s="9"/>
      <c r="W6" s="9"/>
      <c r="X6" s="9"/>
      <c r="Y6" s="9"/>
      <c r="Z6" s="9"/>
    </row>
    <row r="7" spans="1:26" ht="13.5" customHeight="1">
      <c r="A7" s="10"/>
      <c r="B7" s="9"/>
      <c r="C7" s="9" t="s">
        <v>635</v>
      </c>
      <c r="D7" s="9"/>
      <c r="E7" s="9"/>
      <c r="F7" s="9"/>
      <c r="G7" s="556">
        <v>3.7699999999999997E-2</v>
      </c>
      <c r="H7" s="9"/>
      <c r="I7" s="9"/>
      <c r="J7" s="9" t="s">
        <v>636</v>
      </c>
      <c r="K7" s="9"/>
      <c r="L7" s="9"/>
      <c r="M7" s="448">
        <f>Diluted_Shares*Share_Price</f>
        <v>6441.6221999999998</v>
      </c>
      <c r="N7" s="558">
        <f ca="1">1-Weight_of_Debt-Weight_of_Preferred</f>
        <v>0.95733472724213375</v>
      </c>
      <c r="O7" s="451">
        <f>Cost_of_Equity</f>
        <v>8.6987225000000001E-2</v>
      </c>
      <c r="P7" s="9"/>
      <c r="Q7" s="9"/>
      <c r="R7" s="9"/>
      <c r="S7" s="9"/>
      <c r="T7" s="9"/>
      <c r="U7" s="9"/>
      <c r="V7" s="9"/>
      <c r="W7" s="9"/>
      <c r="X7" s="9"/>
      <c r="Y7" s="9"/>
      <c r="Z7" s="9"/>
    </row>
    <row r="8" spans="1:26" ht="13.5" customHeight="1">
      <c r="A8" s="10"/>
      <c r="B8" s="9"/>
      <c r="C8" s="9" t="s">
        <v>637</v>
      </c>
      <c r="D8" s="9"/>
      <c r="E8" s="9"/>
      <c r="F8" s="9"/>
      <c r="G8" s="556">
        <v>4.02E-2</v>
      </c>
      <c r="H8" s="9"/>
      <c r="I8" s="9"/>
      <c r="J8" s="9" t="s">
        <v>638</v>
      </c>
      <c r="K8" s="9"/>
      <c r="L8" s="9"/>
      <c r="M8" s="559">
        <v>0</v>
      </c>
      <c r="N8" s="451">
        <f ca="1">M8/$M$9</f>
        <v>0</v>
      </c>
      <c r="O8" s="451">
        <f>Cost_of_Preferred</f>
        <v>0</v>
      </c>
      <c r="P8" s="9"/>
      <c r="Q8" s="9"/>
      <c r="R8" s="9"/>
      <c r="S8" s="9"/>
      <c r="T8" s="9"/>
      <c r="U8" s="9"/>
      <c r="V8" s="9"/>
      <c r="W8" s="9"/>
      <c r="X8" s="9"/>
      <c r="Y8" s="9"/>
      <c r="Z8" s="9"/>
    </row>
    <row r="9" spans="1:26" ht="13.5" customHeight="1">
      <c r="A9" s="10"/>
      <c r="B9" s="9"/>
      <c r="C9" s="9" t="s">
        <v>639</v>
      </c>
      <c r="D9" s="9"/>
      <c r="E9" s="9"/>
      <c r="F9" s="9"/>
      <c r="G9" s="117">
        <f>Tax_Rate</f>
        <v>0.19255309117958283</v>
      </c>
      <c r="H9" s="9"/>
      <c r="I9" s="9"/>
      <c r="J9" s="96" t="s">
        <v>640</v>
      </c>
      <c r="K9" s="96"/>
      <c r="L9" s="96"/>
      <c r="M9" s="560">
        <f ca="1">SUM(M6:M8)</f>
        <v>6728.7042000000001</v>
      </c>
      <c r="N9" s="561">
        <f ca="1">SUM(N6:N8)</f>
        <v>1</v>
      </c>
      <c r="O9" s="561">
        <f ca="1">SUMPRODUCT(N6:N8,O6:O8)</f>
        <v>8.4660779011538345E-2</v>
      </c>
      <c r="P9" s="9"/>
      <c r="Q9" s="9"/>
      <c r="R9" s="9"/>
      <c r="S9" s="9"/>
      <c r="T9" s="9"/>
      <c r="U9" s="9"/>
      <c r="V9" s="9"/>
      <c r="W9" s="9"/>
      <c r="X9" s="9"/>
      <c r="Y9" s="9"/>
      <c r="Z9" s="9"/>
    </row>
    <row r="10" spans="1:26" ht="13.5" customHeight="1">
      <c r="A10" s="10"/>
      <c r="B10" s="9"/>
      <c r="C10" s="9" t="s">
        <v>641</v>
      </c>
      <c r="D10" s="9"/>
      <c r="E10" s="9"/>
      <c r="F10" s="9"/>
      <c r="G10" s="556">
        <v>0</v>
      </c>
      <c r="H10" s="9"/>
      <c r="I10" s="9"/>
      <c r="J10" s="9"/>
      <c r="K10" s="9"/>
      <c r="L10" s="9"/>
      <c r="M10" s="9"/>
      <c r="N10" s="9"/>
      <c r="O10" s="9"/>
      <c r="P10" s="9"/>
      <c r="Q10" s="9"/>
      <c r="R10" s="9"/>
      <c r="S10" s="9"/>
      <c r="T10" s="9"/>
      <c r="U10" s="9"/>
      <c r="V10" s="9"/>
      <c r="W10" s="9"/>
      <c r="X10" s="9"/>
      <c r="Y10" s="9"/>
      <c r="Z10" s="9"/>
    </row>
    <row r="11" spans="1:26" ht="13.5" customHeight="1">
      <c r="A11" s="10"/>
      <c r="B11" s="9"/>
      <c r="C11" s="9"/>
      <c r="D11" s="9"/>
      <c r="E11" s="9"/>
      <c r="F11" s="9"/>
      <c r="G11" s="9"/>
      <c r="H11" s="9"/>
      <c r="I11" s="9"/>
      <c r="J11" s="9"/>
      <c r="K11" s="9"/>
      <c r="L11" s="9"/>
      <c r="M11" s="9"/>
      <c r="N11" s="9"/>
      <c r="O11" s="9"/>
      <c r="P11" s="9"/>
      <c r="Q11" s="9"/>
      <c r="R11" s="9"/>
      <c r="S11" s="9"/>
      <c r="T11" s="9"/>
      <c r="U11" s="9"/>
      <c r="V11" s="9"/>
      <c r="W11" s="9"/>
      <c r="X11" s="9"/>
      <c r="Y11" s="9"/>
      <c r="Z11" s="9"/>
    </row>
    <row r="12" spans="1:26" ht="13.5" customHeight="1">
      <c r="A12" s="10"/>
      <c r="B12" s="9"/>
      <c r="C12" s="9"/>
      <c r="D12" s="9"/>
      <c r="E12" s="9"/>
      <c r="F12" s="9"/>
      <c r="G12" s="562"/>
      <c r="H12" s="9"/>
      <c r="I12" s="9"/>
      <c r="J12" s="9"/>
      <c r="K12" s="9"/>
      <c r="L12" s="9"/>
      <c r="M12" s="9"/>
      <c r="N12" s="9"/>
      <c r="O12" s="9"/>
      <c r="P12" s="9"/>
      <c r="Q12" s="9"/>
      <c r="R12" s="9"/>
      <c r="S12" s="9"/>
      <c r="T12" s="9"/>
      <c r="U12" s="9"/>
      <c r="V12" s="9"/>
      <c r="W12" s="9"/>
      <c r="X12" s="9"/>
      <c r="Y12" s="9"/>
      <c r="Z12" s="9"/>
    </row>
    <row r="13" spans="1:26" ht="13.5" customHeight="1">
      <c r="A13" s="10" t="s">
        <v>0</v>
      </c>
      <c r="B13" s="9"/>
      <c r="C13" s="11" t="s">
        <v>642</v>
      </c>
      <c r="D13" s="12"/>
      <c r="E13" s="12"/>
      <c r="F13" s="12"/>
      <c r="G13" s="13"/>
      <c r="H13" s="9"/>
      <c r="I13" s="9"/>
      <c r="J13" s="563" t="s">
        <v>643</v>
      </c>
      <c r="K13" s="564"/>
      <c r="L13" s="564"/>
      <c r="M13" s="564"/>
      <c r="N13" s="564"/>
      <c r="O13" s="565">
        <f ca="1">SUMPRODUCT($N$6:$N$8,$O$6:$O$8)</f>
        <v>8.4660779011538345E-2</v>
      </c>
      <c r="P13" s="9"/>
      <c r="Q13" s="9"/>
      <c r="R13" s="9"/>
      <c r="S13" s="9"/>
      <c r="T13" s="9"/>
      <c r="U13" s="9"/>
      <c r="V13" s="9"/>
      <c r="W13" s="9"/>
      <c r="X13" s="9"/>
      <c r="Y13" s="9"/>
      <c r="Z13" s="9"/>
    </row>
    <row r="14" spans="1:26" ht="13.5" customHeight="1">
      <c r="A14" s="10"/>
      <c r="B14" s="9"/>
      <c r="C14" s="9"/>
      <c r="D14" s="9"/>
      <c r="E14" s="9"/>
      <c r="F14" s="9"/>
      <c r="G14" s="9"/>
      <c r="H14" s="9"/>
      <c r="I14" s="9"/>
      <c r="J14" s="9"/>
      <c r="K14" s="9"/>
      <c r="L14" s="9"/>
      <c r="M14" s="9"/>
      <c r="N14" s="9"/>
      <c r="O14" s="9"/>
      <c r="P14" s="9"/>
      <c r="Q14" s="9"/>
      <c r="R14" s="9"/>
      <c r="S14" s="9"/>
      <c r="T14" s="9"/>
      <c r="U14" s="9"/>
      <c r="V14" s="9"/>
      <c r="W14" s="9"/>
      <c r="X14" s="9"/>
      <c r="Y14" s="9"/>
      <c r="Z14" s="9"/>
    </row>
    <row r="15" spans="1:26" ht="13.5" customHeight="1">
      <c r="A15" s="10"/>
      <c r="B15" s="9"/>
      <c r="C15" s="9" t="s">
        <v>637</v>
      </c>
      <c r="D15" s="9"/>
      <c r="E15" s="9"/>
      <c r="F15" s="9"/>
      <c r="G15" s="556">
        <f>G8</f>
        <v>4.02E-2</v>
      </c>
      <c r="H15" s="9"/>
      <c r="I15" s="9"/>
      <c r="J15" s="9"/>
      <c r="K15" s="9"/>
      <c r="L15" s="9"/>
      <c r="M15" s="9"/>
      <c r="N15" s="9"/>
      <c r="O15" s="9"/>
      <c r="P15" s="9"/>
      <c r="Q15" s="9"/>
      <c r="R15" s="9"/>
      <c r="S15" s="9"/>
      <c r="T15" s="9"/>
      <c r="U15" s="9"/>
      <c r="V15" s="9"/>
      <c r="W15" s="9"/>
      <c r="X15" s="9"/>
      <c r="Y15" s="9"/>
      <c r="Z15" s="9"/>
    </row>
    <row r="16" spans="1:26" ht="13.5" customHeight="1">
      <c r="A16" s="10"/>
      <c r="B16" s="9"/>
      <c r="C16" s="9" t="s">
        <v>644</v>
      </c>
      <c r="D16" s="9"/>
      <c r="E16" s="9"/>
      <c r="F16" s="9"/>
      <c r="G16" s="117">
        <f>Tax_Rate</f>
        <v>0.19255309117958283</v>
      </c>
      <c r="H16" s="9"/>
      <c r="I16" s="9"/>
      <c r="J16" s="9"/>
      <c r="K16" s="9"/>
      <c r="L16" s="9"/>
      <c r="M16" s="9"/>
      <c r="N16" s="9"/>
      <c r="O16" s="9"/>
      <c r="P16" s="9"/>
      <c r="Q16" s="9"/>
      <c r="R16" s="9"/>
      <c r="S16" s="9"/>
      <c r="T16" s="9"/>
      <c r="U16" s="9"/>
      <c r="V16" s="9"/>
      <c r="W16" s="9"/>
      <c r="X16" s="9"/>
      <c r="Y16" s="9"/>
      <c r="Z16" s="9"/>
    </row>
    <row r="17" spans="1:26" ht="13.5" customHeight="1">
      <c r="A17" s="10"/>
      <c r="B17" s="9"/>
      <c r="C17" s="96" t="s">
        <v>645</v>
      </c>
      <c r="D17" s="96"/>
      <c r="E17" s="96"/>
      <c r="F17" s="96"/>
      <c r="G17" s="566">
        <f>G15*(1-G16)</f>
        <v>3.2459365734580768E-2</v>
      </c>
      <c r="H17" s="9"/>
      <c r="I17" s="9"/>
      <c r="J17" s="9"/>
      <c r="K17" s="9"/>
      <c r="L17" s="9"/>
      <c r="M17" s="9"/>
      <c r="N17" s="9"/>
      <c r="O17" s="9"/>
      <c r="P17" s="9"/>
      <c r="Q17" s="9"/>
      <c r="R17" s="9"/>
      <c r="S17" s="9"/>
      <c r="T17" s="9"/>
      <c r="U17" s="9"/>
      <c r="V17" s="9"/>
      <c r="W17" s="9"/>
      <c r="X17" s="9"/>
      <c r="Y17" s="9"/>
      <c r="Z17" s="9"/>
    </row>
    <row r="18" spans="1:26" ht="13.5" customHeight="1">
      <c r="A18" s="10"/>
      <c r="B18" s="9"/>
      <c r="C18" s="9"/>
      <c r="D18" s="9"/>
      <c r="E18" s="9"/>
      <c r="F18" s="9"/>
      <c r="G18" s="9"/>
      <c r="H18" s="9"/>
      <c r="I18" s="9"/>
      <c r="J18" s="9"/>
      <c r="K18" s="9"/>
      <c r="L18" s="9"/>
      <c r="M18" s="9"/>
      <c r="N18" s="9"/>
      <c r="O18" s="9"/>
      <c r="P18" s="9"/>
      <c r="Q18" s="9"/>
      <c r="R18" s="9"/>
      <c r="S18" s="9"/>
      <c r="T18" s="9"/>
      <c r="U18" s="9"/>
      <c r="V18" s="9"/>
      <c r="W18" s="9"/>
      <c r="X18" s="9"/>
      <c r="Y18" s="9"/>
      <c r="Z18" s="9"/>
    </row>
    <row r="19" spans="1:26" ht="13.5" customHeight="1">
      <c r="A19" s="10"/>
      <c r="B19" s="9"/>
      <c r="C19" s="9"/>
      <c r="D19" s="9"/>
      <c r="E19" s="9"/>
      <c r="F19" s="9"/>
      <c r="G19" s="9"/>
      <c r="H19" s="9"/>
      <c r="I19" s="9"/>
      <c r="J19" s="9"/>
      <c r="K19" s="9"/>
      <c r="L19" s="9"/>
      <c r="M19" s="9"/>
      <c r="N19" s="9"/>
      <c r="O19" s="9"/>
      <c r="P19" s="9"/>
      <c r="Q19" s="9"/>
      <c r="R19" s="9"/>
      <c r="S19" s="9"/>
      <c r="T19" s="9"/>
      <c r="U19" s="9"/>
      <c r="V19" s="9"/>
      <c r="W19" s="9"/>
      <c r="X19" s="9"/>
      <c r="Y19" s="9"/>
      <c r="Z19" s="9"/>
    </row>
    <row r="20" spans="1:26" ht="13.5" customHeight="1">
      <c r="A20" s="10" t="s">
        <v>0</v>
      </c>
      <c r="B20" s="9"/>
      <c r="C20" s="11" t="s">
        <v>646</v>
      </c>
      <c r="D20" s="12"/>
      <c r="E20" s="12"/>
      <c r="F20" s="12"/>
      <c r="G20" s="13"/>
      <c r="H20" s="9"/>
      <c r="I20" s="9"/>
      <c r="J20" s="11" t="s">
        <v>647</v>
      </c>
      <c r="K20" s="12"/>
      <c r="L20" s="12"/>
      <c r="M20" s="12"/>
      <c r="N20" s="12"/>
      <c r="O20" s="12"/>
      <c r="P20" s="13"/>
      <c r="Q20" s="567">
        <f ca="1">N26-Discount_Rate</f>
        <v>0</v>
      </c>
      <c r="R20" s="9"/>
      <c r="S20" s="9"/>
      <c r="T20" s="9"/>
      <c r="U20" s="9"/>
      <c r="V20" s="9"/>
      <c r="W20" s="9"/>
      <c r="X20" s="9"/>
      <c r="Y20" s="9"/>
      <c r="Z20" s="9"/>
    </row>
    <row r="21" spans="1:26" ht="13.5" customHeight="1">
      <c r="A21" s="10"/>
      <c r="B21" s="9"/>
      <c r="C21" s="9"/>
      <c r="D21" s="9"/>
      <c r="E21" s="9"/>
      <c r="F21" s="9"/>
      <c r="G21" s="9"/>
      <c r="H21" s="9"/>
      <c r="I21" s="9"/>
      <c r="J21" s="37"/>
      <c r="K21" s="139"/>
      <c r="L21" s="64"/>
      <c r="M21" s="64"/>
      <c r="N21" s="64"/>
      <c r="O21" s="64"/>
      <c r="P21" s="64"/>
      <c r="Q21" s="9"/>
      <c r="R21" s="9"/>
      <c r="S21" s="9"/>
      <c r="T21" s="9"/>
      <c r="U21" s="9"/>
      <c r="V21" s="9"/>
      <c r="W21" s="9"/>
      <c r="X21" s="9"/>
      <c r="Y21" s="9"/>
      <c r="Z21" s="9"/>
    </row>
    <row r="22" spans="1:26" ht="13.5" customHeight="1">
      <c r="A22" s="10"/>
      <c r="B22" s="9"/>
      <c r="C22" s="9" t="str">
        <f>C6</f>
        <v>Risk-Free Rate:</v>
      </c>
      <c r="D22" s="9"/>
      <c r="E22" s="9"/>
      <c r="F22" s="9"/>
      <c r="G22" s="556">
        <f>Risk_Free_Rate</f>
        <v>4.1209999999999997E-2</v>
      </c>
      <c r="H22" s="9"/>
      <c r="I22" s="9"/>
      <c r="J22" s="489"/>
      <c r="K22" s="491"/>
      <c r="L22" s="1029" t="s">
        <v>648</v>
      </c>
      <c r="M22" s="1030"/>
      <c r="N22" s="1030"/>
      <c r="O22" s="1030"/>
      <c r="P22" s="1030"/>
      <c r="Q22" s="9"/>
      <c r="R22" s="9"/>
      <c r="S22" s="9"/>
      <c r="T22" s="9"/>
      <c r="U22" s="9"/>
      <c r="V22" s="9"/>
      <c r="W22" s="9"/>
      <c r="X22" s="9"/>
      <c r="Y22" s="9"/>
      <c r="Z22" s="9"/>
    </row>
    <row r="23" spans="1:26" ht="14.25" customHeight="1">
      <c r="A23" s="10"/>
      <c r="B23" s="9"/>
      <c r="C23" s="9" t="str">
        <f>C7</f>
        <v>Equity Risk Premium (ERP):</v>
      </c>
      <c r="D23" s="9"/>
      <c r="E23" s="9"/>
      <c r="F23" s="9"/>
      <c r="G23" s="556">
        <f>ERP</f>
        <v>3.7699999999999997E-2</v>
      </c>
      <c r="H23" s="9"/>
      <c r="I23" s="9"/>
      <c r="J23" s="9"/>
      <c r="K23" s="568">
        <f ca="1">Discount_Rate</f>
        <v>8.4660779011538345E-2</v>
      </c>
      <c r="L23" s="569">
        <f>M23-$M$34</f>
        <v>3.0200000000000001E-2</v>
      </c>
      <c r="M23" s="569">
        <f>N23-$M$34</f>
        <v>3.5200000000000002E-2</v>
      </c>
      <c r="N23" s="570">
        <v>4.02E-2</v>
      </c>
      <c r="O23" s="569">
        <f>N23+$M$34</f>
        <v>4.5199999999999997E-2</v>
      </c>
      <c r="P23" s="569">
        <f>O23+$M$34</f>
        <v>5.0199999999999995E-2</v>
      </c>
      <c r="Q23" s="9"/>
      <c r="R23" s="9"/>
      <c r="S23" s="9"/>
      <c r="T23" s="9"/>
      <c r="U23" s="9"/>
      <c r="V23" s="9"/>
      <c r="W23" s="9"/>
      <c r="X23" s="9"/>
      <c r="Y23" s="9"/>
      <c r="Z23" s="9"/>
    </row>
    <row r="24" spans="1:26" ht="14.25" customHeight="1">
      <c r="A24" s="10"/>
      <c r="B24" s="9"/>
      <c r="C24" s="95" t="s">
        <v>649</v>
      </c>
      <c r="D24" s="95"/>
      <c r="E24" s="95"/>
      <c r="F24" s="95"/>
      <c r="G24" s="571">
        <f>IF(J44="Comps Relevered Beta",G47,G49)</f>
        <v>1.2142500000000001</v>
      </c>
      <c r="H24" s="9"/>
      <c r="I24" s="9"/>
      <c r="J24" s="1031" t="s">
        <v>650</v>
      </c>
      <c r="K24" s="572">
        <f>K25-$M$37</f>
        <v>2.6652727578662175E-3</v>
      </c>
      <c r="L24" s="573">
        <f t="dataTable" ref="L24:P28" dt2D="1" dtr="1" r1="M33" r2="M36" ca="1"/>
        <v>8.4660779011538345E-2</v>
      </c>
      <c r="M24" s="574">
        <v>8.4660779011538345E-2</v>
      </c>
      <c r="N24" s="574">
        <v>8.4660779011538345E-2</v>
      </c>
      <c r="O24" s="574">
        <v>8.4660779011538345E-2</v>
      </c>
      <c r="P24" s="575">
        <v>8.4660779011538345E-2</v>
      </c>
      <c r="Q24" s="9"/>
      <c r="R24" s="9"/>
      <c r="S24" s="9"/>
      <c r="T24" s="9"/>
      <c r="U24" s="9"/>
      <c r="V24" s="9"/>
      <c r="W24" s="9"/>
      <c r="X24" s="9"/>
      <c r="Y24" s="9"/>
      <c r="Z24" s="9"/>
    </row>
    <row r="25" spans="1:26" ht="13.5" customHeight="1">
      <c r="A25" s="10"/>
      <c r="B25" s="9"/>
      <c r="C25" s="9" t="s">
        <v>646</v>
      </c>
      <c r="D25" s="9"/>
      <c r="E25" s="9"/>
      <c r="F25" s="9"/>
      <c r="G25" s="556">
        <f>G22+G24*G23</f>
        <v>8.6987225000000001E-2</v>
      </c>
      <c r="H25" s="9"/>
      <c r="I25" s="9"/>
      <c r="J25" s="1032"/>
      <c r="K25" s="572">
        <f>K26-$M$37</f>
        <v>2.2665272757866218E-2</v>
      </c>
      <c r="L25" s="576">
        <v>8.4660779011538345E-2</v>
      </c>
      <c r="M25" s="577">
        <v>8.4660779011538345E-2</v>
      </c>
      <c r="N25" s="577">
        <v>8.4660779011538345E-2</v>
      </c>
      <c r="O25" s="577">
        <v>8.4660779011538345E-2</v>
      </c>
      <c r="P25" s="578">
        <v>8.4660779011538345E-2</v>
      </c>
      <c r="Q25" s="9"/>
      <c r="R25" s="9"/>
      <c r="S25" s="9"/>
      <c r="T25" s="9"/>
      <c r="U25" s="9"/>
      <c r="V25" s="9"/>
      <c r="W25" s="9"/>
      <c r="X25" s="9"/>
      <c r="Y25" s="9"/>
      <c r="Z25" s="9"/>
    </row>
    <row r="26" spans="1:26" ht="13.5" customHeight="1">
      <c r="A26" s="10"/>
      <c r="B26" s="9"/>
      <c r="C26" s="9"/>
      <c r="D26" s="9"/>
      <c r="E26" s="9"/>
      <c r="F26" s="9"/>
      <c r="G26" s="9"/>
      <c r="H26" s="9"/>
      <c r="I26" s="9"/>
      <c r="J26" s="1032"/>
      <c r="K26" s="579">
        <v>4.2665272757866218E-2</v>
      </c>
      <c r="L26" s="576">
        <v>8.4660779011538345E-2</v>
      </c>
      <c r="M26" s="577">
        <v>8.4660779011538345E-2</v>
      </c>
      <c r="N26" s="577">
        <v>8.4660779011538345E-2</v>
      </c>
      <c r="O26" s="577">
        <v>8.4660779011538345E-2</v>
      </c>
      <c r="P26" s="578">
        <v>8.4660779011538345E-2</v>
      </c>
      <c r="Q26" s="9"/>
      <c r="R26" s="9"/>
      <c r="S26" s="9"/>
      <c r="T26" s="9"/>
      <c r="U26" s="9"/>
      <c r="V26" s="9"/>
      <c r="W26" s="9"/>
      <c r="X26" s="9"/>
      <c r="Y26" s="9"/>
      <c r="Z26" s="9"/>
    </row>
    <row r="27" spans="1:26" ht="13.5" customHeight="1">
      <c r="A27" s="10"/>
      <c r="B27" s="9"/>
      <c r="C27" s="9"/>
      <c r="D27" s="9"/>
      <c r="E27" s="9"/>
      <c r="F27" s="9"/>
      <c r="G27" s="9"/>
      <c r="H27" s="9"/>
      <c r="I27" s="9"/>
      <c r="J27" s="1032"/>
      <c r="K27" s="572">
        <f>K26+$M$37</f>
        <v>6.2665272757866222E-2</v>
      </c>
      <c r="L27" s="576">
        <v>8.4660779011538345E-2</v>
      </c>
      <c r="M27" s="577">
        <v>8.4660779011538345E-2</v>
      </c>
      <c r="N27" s="577">
        <v>8.4660779011538345E-2</v>
      </c>
      <c r="O27" s="577">
        <v>8.4660779011538345E-2</v>
      </c>
      <c r="P27" s="578">
        <v>8.4660779011538345E-2</v>
      </c>
      <c r="Q27" s="9"/>
      <c r="R27" s="9"/>
      <c r="S27" s="9"/>
      <c r="T27" s="9"/>
      <c r="U27" s="9"/>
      <c r="V27" s="9"/>
      <c r="W27" s="9"/>
      <c r="X27" s="9"/>
      <c r="Y27" s="9"/>
      <c r="Z27" s="9"/>
    </row>
    <row r="28" spans="1:26" ht="13.5" customHeight="1">
      <c r="A28" s="10" t="s">
        <v>0</v>
      </c>
      <c r="B28" s="9"/>
      <c r="C28" s="11" t="str">
        <f>Company_Name&amp;" - Peer Group Unlevered Beta:"</f>
        <v>Hamilton Lane Inc. - Peer Group Unlevered Beta:</v>
      </c>
      <c r="D28" s="12"/>
      <c r="E28" s="12"/>
      <c r="F28" s="12"/>
      <c r="G28" s="13"/>
      <c r="H28" s="9"/>
      <c r="I28" s="9"/>
      <c r="J28" s="1033"/>
      <c r="K28" s="572">
        <f>K27+$M$37</f>
        <v>8.2665272757866226E-2</v>
      </c>
      <c r="L28" s="580">
        <v>8.4660779011538345E-2</v>
      </c>
      <c r="M28" s="581">
        <v>8.4660779011538345E-2</v>
      </c>
      <c r="N28" s="581">
        <v>8.4660779011538345E-2</v>
      </c>
      <c r="O28" s="581">
        <v>8.4660779011538345E-2</v>
      </c>
      <c r="P28" s="582">
        <v>8.4660779011538345E-2</v>
      </c>
      <c r="Q28" s="9"/>
      <c r="R28" s="9"/>
      <c r="S28" s="9"/>
      <c r="T28" s="9"/>
      <c r="U28" s="9"/>
      <c r="V28" s="9"/>
      <c r="W28" s="9"/>
      <c r="X28" s="9"/>
      <c r="Y28" s="9"/>
      <c r="Z28" s="9"/>
    </row>
    <row r="29" spans="1:26" ht="13.5" customHeight="1">
      <c r="A29" s="10"/>
      <c r="B29" s="9"/>
      <c r="C29" s="9"/>
      <c r="D29" s="9"/>
      <c r="E29" s="9"/>
      <c r="F29" s="9"/>
      <c r="G29" s="9"/>
      <c r="H29" s="9"/>
      <c r="I29" s="9"/>
      <c r="J29" s="9"/>
      <c r="K29" s="9"/>
      <c r="L29" s="9"/>
      <c r="M29" s="9"/>
      <c r="N29" s="9"/>
      <c r="O29" s="9"/>
      <c r="P29" s="9"/>
      <c r="Q29" s="9"/>
      <c r="R29" s="9"/>
      <c r="S29" s="9"/>
      <c r="T29" s="9"/>
      <c r="U29" s="9"/>
      <c r="V29" s="9"/>
      <c r="W29" s="9"/>
      <c r="X29" s="9"/>
      <c r="Y29" s="9"/>
      <c r="Z29" s="9"/>
    </row>
    <row r="30" spans="1:26" ht="13.5" customHeight="1">
      <c r="A30" s="10"/>
      <c r="B30" s="9"/>
      <c r="C30" s="9"/>
      <c r="D30" s="64" t="s">
        <v>651</v>
      </c>
      <c r="E30" s="64" t="s">
        <v>652</v>
      </c>
      <c r="F30" s="64" t="s">
        <v>653</v>
      </c>
      <c r="G30" s="64" t="s">
        <v>654</v>
      </c>
      <c r="H30" s="9"/>
      <c r="I30" s="9"/>
      <c r="J30" s="9"/>
      <c r="K30" s="9"/>
      <c r="L30" s="9"/>
      <c r="M30" s="9"/>
      <c r="N30" s="9"/>
      <c r="O30" s="9"/>
      <c r="P30" s="9"/>
      <c r="Q30" s="9"/>
      <c r="R30" s="9"/>
      <c r="S30" s="9"/>
      <c r="T30" s="9"/>
      <c r="U30" s="9"/>
      <c r="V30" s="9"/>
      <c r="W30" s="9"/>
      <c r="X30" s="9"/>
      <c r="Y30" s="9"/>
      <c r="Z30" s="9"/>
    </row>
    <row r="31" spans="1:26" ht="13.5" customHeight="1">
      <c r="A31" s="10"/>
      <c r="B31" s="9"/>
      <c r="C31" s="95" t="s">
        <v>485</v>
      </c>
      <c r="D31" s="145" t="s">
        <v>497</v>
      </c>
      <c r="E31" s="145" t="s">
        <v>502</v>
      </c>
      <c r="F31" s="145" t="s">
        <v>655</v>
      </c>
      <c r="G31" s="145" t="s">
        <v>497</v>
      </c>
      <c r="H31" s="9"/>
      <c r="I31" s="9"/>
      <c r="J31" s="995" t="s">
        <v>656</v>
      </c>
      <c r="K31" s="974"/>
      <c r="L31" s="974"/>
      <c r="M31" s="975"/>
      <c r="N31" s="9"/>
      <c r="O31" s="9"/>
      <c r="P31" s="9"/>
      <c r="Q31" s="9"/>
      <c r="R31" s="9"/>
      <c r="S31" s="9"/>
      <c r="T31" s="9"/>
      <c r="U31" s="9"/>
      <c r="V31" s="9"/>
      <c r="W31" s="9"/>
      <c r="X31" s="9"/>
      <c r="Y31" s="9"/>
      <c r="Z31" s="9"/>
    </row>
    <row r="32" spans="1:26" ht="13.5" customHeight="1">
      <c r="A32" s="10"/>
      <c r="B32" s="9"/>
      <c r="C32" s="9"/>
      <c r="D32" s="154"/>
      <c r="E32" s="583"/>
      <c r="F32" s="583"/>
      <c r="G32" s="584"/>
      <c r="H32" s="9"/>
      <c r="I32" s="9"/>
      <c r="J32" s="9"/>
      <c r="K32" s="9"/>
      <c r="L32" s="9"/>
      <c r="M32" s="9"/>
      <c r="N32" s="9"/>
      <c r="O32" s="9"/>
      <c r="P32" s="9"/>
      <c r="Q32" s="9"/>
      <c r="R32" s="9"/>
      <c r="S32" s="9"/>
      <c r="T32" s="9"/>
      <c r="U32" s="9"/>
      <c r="V32" s="9"/>
      <c r="W32" s="9"/>
      <c r="X32" s="9"/>
      <c r="Y32" s="9"/>
      <c r="Z32" s="9"/>
    </row>
    <row r="33" spans="1:26" ht="13.5" customHeight="1">
      <c r="A33" s="10"/>
      <c r="B33" s="9"/>
      <c r="C33" s="364" t="str">
        <f>Comparables!D12</f>
        <v>StepStone Group Inc.</v>
      </c>
      <c r="D33" s="585">
        <f>Comparables!H30</f>
        <v>1.3614599999999999</v>
      </c>
      <c r="E33" s="586">
        <f>Comparables!O30</f>
        <v>0.21573000000000001</v>
      </c>
      <c r="F33" s="587">
        <f>Comparables!G30</f>
        <v>0.14099999999999999</v>
      </c>
      <c r="G33" s="588">
        <f>IF(ISERROR(D33/(1+(1-F33)*E33)),"NA",(D33/(1+(1-F33)*E33)))</f>
        <v>1.1486089060073437</v>
      </c>
      <c r="H33" s="9"/>
      <c r="I33" s="9"/>
      <c r="J33" s="9" t="s">
        <v>657</v>
      </c>
      <c r="K33" s="9"/>
      <c r="L33" s="9"/>
      <c r="M33" s="589">
        <f>G8</f>
        <v>4.02E-2</v>
      </c>
      <c r="N33" s="567">
        <f>M33-N23</f>
        <v>0</v>
      </c>
      <c r="O33" s="9"/>
      <c r="P33" s="9"/>
      <c r="Q33" s="9"/>
      <c r="R33" s="9"/>
      <c r="S33" s="9"/>
      <c r="T33" s="9"/>
      <c r="U33" s="9"/>
      <c r="V33" s="9"/>
      <c r="W33" s="9"/>
      <c r="X33" s="9"/>
      <c r="Y33" s="9"/>
      <c r="Z33" s="9"/>
    </row>
    <row r="34" spans="1:26" ht="13.5" customHeight="1">
      <c r="A34" s="10"/>
      <c r="B34" s="9"/>
      <c r="C34" s="364" t="str">
        <f>Comparables!D14</f>
        <v>The Carlyle Group Inc.</v>
      </c>
      <c r="D34" s="585">
        <f>Comparables!H31</f>
        <v>1.4472799999999999</v>
      </c>
      <c r="E34" s="586">
        <f>Comparables!O31</f>
        <v>1.777139</v>
      </c>
      <c r="F34" s="587">
        <f>Comparables!G31</f>
        <v>0.129075</v>
      </c>
      <c r="G34" s="588">
        <f>IF(ISERROR(D34/(1+(1-F34)*E34)),"NA",(D34/(1+(1-F34)*E34)))</f>
        <v>0.56806094893056469</v>
      </c>
      <c r="H34" s="9"/>
      <c r="I34" s="9"/>
      <c r="J34" s="9" t="s">
        <v>658</v>
      </c>
      <c r="K34" s="9"/>
      <c r="L34" s="9"/>
      <c r="M34" s="590">
        <v>5.0000000000000001E-3</v>
      </c>
      <c r="N34" s="9"/>
      <c r="O34" s="9"/>
      <c r="P34" s="9"/>
      <c r="Q34" s="9"/>
      <c r="R34" s="9"/>
      <c r="S34" s="9"/>
      <c r="T34" s="9"/>
      <c r="U34" s="9"/>
      <c r="V34" s="9"/>
      <c r="W34" s="9"/>
      <c r="X34" s="9"/>
      <c r="Y34" s="9"/>
      <c r="Z34" s="9"/>
    </row>
    <row r="35" spans="1:26" ht="13.5" customHeight="1">
      <c r="A35" s="10"/>
      <c r="B35" s="9"/>
      <c r="C35" s="364" t="str">
        <f>Comparables!D15</f>
        <v>TPG Inc.</v>
      </c>
      <c r="D35" s="585">
        <f>Comparables!H33</f>
        <v>1.51884</v>
      </c>
      <c r="E35" s="586">
        <f>Comparables!O33</f>
        <v>0.44078899999999999</v>
      </c>
      <c r="F35" s="587">
        <f>Comparables!G33</f>
        <v>-2.0979999999999999</v>
      </c>
      <c r="G35" s="588">
        <f>IF(ISERROR(D35/(1+(1-F35)*E35)),"NA",(D35/(1+(1-F35)*E35)))</f>
        <v>0.64206243976315769</v>
      </c>
      <c r="H35" s="9"/>
      <c r="I35" s="9"/>
      <c r="J35" s="9"/>
      <c r="K35" s="9"/>
      <c r="L35" s="9"/>
      <c r="M35" s="64"/>
      <c r="N35" s="9"/>
      <c r="O35" s="9"/>
      <c r="P35" s="9"/>
      <c r="Q35" s="9"/>
      <c r="R35" s="9"/>
      <c r="S35" s="9"/>
      <c r="T35" s="9"/>
      <c r="U35" s="9"/>
      <c r="V35" s="9"/>
      <c r="W35" s="9"/>
      <c r="X35" s="9"/>
      <c r="Y35" s="9"/>
      <c r="Z35" s="9"/>
    </row>
    <row r="36" spans="1:26" ht="13.5" customHeight="1">
      <c r="A36" s="10"/>
      <c r="B36" s="9"/>
      <c r="C36" s="364" t="str">
        <f>Comparables!D16</f>
        <v>Affiliated Managers Group, Inc.</v>
      </c>
      <c r="D36" s="585">
        <f>Comparables!H34</f>
        <v>1.20726</v>
      </c>
      <c r="E36" s="586">
        <f>Comparables!O34</f>
        <v>0.60188799999999998</v>
      </c>
      <c r="F36" s="587">
        <f>Comparables!G34</f>
        <v>0.19778999999999999</v>
      </c>
      <c r="G36" s="588">
        <f>IF(ISERROR(D36/(1+(1-F36)*E36)),"NA",(D36/(1+(1-F36)*E36)))</f>
        <v>0.81415360653431479</v>
      </c>
      <c r="H36" s="9"/>
      <c r="I36" s="9"/>
      <c r="J36" s="9" t="s">
        <v>659</v>
      </c>
      <c r="K36" s="9"/>
      <c r="L36" s="9"/>
      <c r="M36" s="591">
        <f ca="1">Weight_of_Debt</f>
        <v>4.2665272757866218E-2</v>
      </c>
      <c r="N36" s="567">
        <f ca="1">M36-K26</f>
        <v>0</v>
      </c>
      <c r="O36" s="9"/>
      <c r="P36" s="9"/>
      <c r="Q36" s="9"/>
      <c r="R36" s="9"/>
      <c r="S36" s="9"/>
      <c r="T36" s="9"/>
      <c r="U36" s="9"/>
      <c r="V36" s="9"/>
      <c r="W36" s="9"/>
      <c r="X36" s="9"/>
      <c r="Y36" s="9"/>
      <c r="Z36" s="9"/>
    </row>
    <row r="37" spans="1:26" ht="13.5" customHeight="1">
      <c r="A37" s="10"/>
      <c r="B37" s="9"/>
      <c r="C37" s="364" t="e">
        <f>Comparables!#REF!</f>
        <v>#REF!</v>
      </c>
      <c r="D37" s="585" t="e">
        <f>Comparables!#REF!</f>
        <v>#REF!</v>
      </c>
      <c r="E37" s="586" t="e">
        <f>Comparables!#REF!</f>
        <v>#REF!</v>
      </c>
      <c r="F37" s="587" t="e">
        <f>Comparables!#REF!</f>
        <v>#REF!</v>
      </c>
      <c r="G37" s="588" t="str">
        <f>IF(ISERROR(D37/(1+(1-F37)*E37)),"NA",(D37/(1+(1-F37)*E37)))</f>
        <v>NA</v>
      </c>
      <c r="H37" s="9"/>
      <c r="I37" s="9"/>
      <c r="J37" s="9" t="s">
        <v>660</v>
      </c>
      <c r="K37" s="9"/>
      <c r="L37" s="9"/>
      <c r="M37" s="590">
        <v>0.02</v>
      </c>
      <c r="N37" s="9"/>
      <c r="O37" s="9"/>
      <c r="P37" s="9"/>
      <c r="Q37" s="9"/>
      <c r="R37" s="9"/>
      <c r="S37" s="9"/>
      <c r="T37" s="9"/>
      <c r="U37" s="9"/>
      <c r="V37" s="9"/>
      <c r="W37" s="9"/>
      <c r="X37" s="9"/>
      <c r="Y37" s="9"/>
      <c r="Z37" s="9"/>
    </row>
    <row r="38" spans="1:26" ht="13.5" customHeight="1">
      <c r="A38" s="10"/>
      <c r="B38" s="9"/>
      <c r="C38" s="95"/>
      <c r="D38" s="592"/>
      <c r="E38" s="593"/>
      <c r="F38" s="594"/>
      <c r="G38" s="595"/>
      <c r="H38" s="9"/>
      <c r="I38" s="9"/>
      <c r="J38" s="9"/>
      <c r="K38" s="9"/>
      <c r="L38" s="9"/>
      <c r="M38" s="9"/>
      <c r="N38" s="9"/>
      <c r="O38" s="9"/>
      <c r="P38" s="9"/>
      <c r="Q38" s="9"/>
      <c r="R38" s="9"/>
      <c r="S38" s="9"/>
      <c r="T38" s="9"/>
      <c r="U38" s="9"/>
      <c r="V38" s="9"/>
      <c r="W38" s="9"/>
      <c r="X38" s="9"/>
      <c r="Y38" s="9"/>
      <c r="Z38" s="9"/>
    </row>
    <row r="39" spans="1:26" ht="13.5" customHeight="1">
      <c r="A39" s="10"/>
      <c r="B39" s="9"/>
      <c r="C39" s="9" t="s">
        <v>661</v>
      </c>
      <c r="D39" s="588" t="e">
        <f>AVERAGE(D32:D38)</f>
        <v>#REF!</v>
      </c>
      <c r="E39" s="447" t="e">
        <f>AVERAGE(E32:E38)</f>
        <v>#REF!</v>
      </c>
      <c r="F39" s="451" t="e">
        <f>AVERAGE(F32:F38)</f>
        <v>#REF!</v>
      </c>
      <c r="G39" s="588">
        <f>AVERAGE(G32:G38)</f>
        <v>0.79322147530884524</v>
      </c>
      <c r="H39" s="9"/>
      <c r="I39" s="9"/>
      <c r="J39" s="9"/>
      <c r="K39" s="9"/>
      <c r="L39" s="9"/>
      <c r="M39" s="9"/>
      <c r="N39" s="9"/>
      <c r="O39" s="9"/>
      <c r="P39" s="9"/>
      <c r="Q39" s="9"/>
      <c r="R39" s="9"/>
      <c r="S39" s="9"/>
      <c r="T39" s="9"/>
      <c r="U39" s="9"/>
      <c r="V39" s="9"/>
      <c r="W39" s="9"/>
      <c r="X39" s="9"/>
      <c r="Y39" s="9"/>
      <c r="Z39" s="9"/>
    </row>
    <row r="40" spans="1:26" ht="13.5" customHeight="1">
      <c r="A40" s="10"/>
      <c r="B40" s="9"/>
      <c r="C40" s="9" t="s">
        <v>662</v>
      </c>
      <c r="D40" s="588" t="e">
        <f>MEDIAN(D32:D38)</f>
        <v>#REF!</v>
      </c>
      <c r="E40" s="447" t="e">
        <f>MEDIAN(E32:E38)</f>
        <v>#REF!</v>
      </c>
      <c r="F40" s="451" t="e">
        <f>MEDIAN(F32:F38)</f>
        <v>#REF!</v>
      </c>
      <c r="G40" s="588">
        <f>MEDIAN(G32:G38)</f>
        <v>0.72810802314873624</v>
      </c>
      <c r="H40" s="9"/>
      <c r="I40" s="9"/>
      <c r="J40" s="9"/>
      <c r="K40" s="9"/>
      <c r="L40" s="9"/>
      <c r="M40" s="9"/>
      <c r="N40" s="9"/>
      <c r="O40" s="9"/>
      <c r="P40" s="9"/>
      <c r="Q40" s="9"/>
      <c r="R40" s="9"/>
      <c r="S40" s="9"/>
      <c r="T40" s="9"/>
      <c r="U40" s="9"/>
      <c r="V40" s="9"/>
      <c r="W40" s="9"/>
      <c r="X40" s="9"/>
      <c r="Y40" s="9"/>
      <c r="Z40" s="9"/>
    </row>
    <row r="41" spans="1:26" ht="13.5" customHeight="1">
      <c r="A41" s="10"/>
      <c r="B41" s="9"/>
      <c r="C41" s="9"/>
      <c r="D41" s="9"/>
      <c r="E41" s="9"/>
      <c r="F41" s="9"/>
      <c r="G41" s="9"/>
      <c r="H41" s="9"/>
      <c r="I41" s="9"/>
      <c r="J41" s="9"/>
      <c r="K41" s="9"/>
      <c r="L41" s="9"/>
      <c r="M41" s="9"/>
      <c r="N41" s="9"/>
      <c r="O41" s="9"/>
      <c r="P41" s="9"/>
      <c r="Q41" s="9"/>
      <c r="R41" s="9"/>
      <c r="S41" s="9"/>
      <c r="T41" s="9"/>
      <c r="U41" s="9"/>
      <c r="V41" s="9"/>
      <c r="W41" s="9"/>
      <c r="X41" s="9"/>
      <c r="Y41" s="9"/>
      <c r="Z41" s="9"/>
    </row>
    <row r="42" spans="1:26" ht="13.5" customHeight="1">
      <c r="A42" s="10"/>
      <c r="B42" s="9"/>
      <c r="C42" s="9"/>
      <c r="D42" s="9"/>
      <c r="E42" s="9"/>
      <c r="F42" s="9"/>
      <c r="G42" s="9"/>
      <c r="H42" s="9"/>
      <c r="I42" s="9"/>
      <c r="J42" s="9"/>
      <c r="K42" s="9"/>
      <c r="L42" s="9"/>
      <c r="M42" s="9"/>
      <c r="N42" s="9"/>
      <c r="O42" s="9"/>
      <c r="P42" s="9"/>
      <c r="Q42" s="9"/>
      <c r="R42" s="9"/>
      <c r="S42" s="9"/>
      <c r="T42" s="9"/>
      <c r="U42" s="9"/>
      <c r="V42" s="9"/>
      <c r="W42" s="9"/>
      <c r="X42" s="9"/>
      <c r="Y42" s="9"/>
      <c r="Z42" s="9"/>
    </row>
    <row r="43" spans="1:26" ht="13.5" customHeight="1">
      <c r="A43" s="10" t="s">
        <v>0</v>
      </c>
      <c r="B43" s="9"/>
      <c r="C43" s="11" t="str">
        <f>Company_Name&amp;" - Relevered Beta"</f>
        <v>Hamilton Lane Inc. - Relevered Beta</v>
      </c>
      <c r="D43" s="12"/>
      <c r="E43" s="12"/>
      <c r="F43" s="12"/>
      <c r="G43" s="13"/>
      <c r="H43" s="9"/>
      <c r="I43" s="9"/>
      <c r="J43" s="993" t="s">
        <v>663</v>
      </c>
      <c r="K43" s="986"/>
      <c r="L43" s="9"/>
      <c r="M43" s="9"/>
      <c r="N43" s="9"/>
      <c r="O43" s="9"/>
      <c r="P43" s="9"/>
      <c r="Q43" s="9"/>
      <c r="R43" s="9"/>
      <c r="S43" s="9"/>
      <c r="T43" s="9"/>
      <c r="U43" s="9"/>
      <c r="V43" s="9"/>
      <c r="W43" s="9"/>
      <c r="X43" s="9"/>
      <c r="Y43" s="9"/>
      <c r="Z43" s="9"/>
    </row>
    <row r="44" spans="1:26" ht="13.5" customHeight="1">
      <c r="A44" s="10"/>
      <c r="B44" s="9"/>
      <c r="C44" s="9"/>
      <c r="D44" s="9"/>
      <c r="E44" s="9"/>
      <c r="F44" s="9"/>
      <c r="G44" s="9"/>
      <c r="H44" s="9"/>
      <c r="I44" s="9"/>
      <c r="J44" s="1034" t="s">
        <v>664</v>
      </c>
      <c r="K44" s="975"/>
      <c r="L44" s="9"/>
      <c r="M44" s="9"/>
      <c r="N44" s="9"/>
      <c r="O44" s="9"/>
      <c r="P44" s="9"/>
      <c r="Q44" s="9"/>
      <c r="R44" s="9"/>
      <c r="S44" s="9"/>
      <c r="T44" s="9"/>
      <c r="U44" s="9"/>
      <c r="V44" s="9"/>
      <c r="W44" s="9"/>
      <c r="X44" s="9"/>
      <c r="Y44" s="9"/>
      <c r="Z44" s="9"/>
    </row>
    <row r="45" spans="1:26" ht="13.5" customHeight="1">
      <c r="A45" s="10"/>
      <c r="B45" s="9"/>
      <c r="C45" s="9"/>
      <c r="D45" s="64" t="s">
        <v>665</v>
      </c>
      <c r="E45" s="64" t="s">
        <v>666</v>
      </c>
      <c r="F45" s="64" t="s">
        <v>653</v>
      </c>
      <c r="G45" s="64" t="s">
        <v>667</v>
      </c>
      <c r="H45" s="9"/>
      <c r="I45" s="9"/>
      <c r="J45" s="9"/>
      <c r="K45" s="9"/>
      <c r="L45" s="9"/>
      <c r="M45" s="9"/>
      <c r="N45" s="9"/>
      <c r="O45" s="9"/>
      <c r="P45" s="9"/>
      <c r="Q45" s="9"/>
      <c r="R45" s="9"/>
      <c r="S45" s="9"/>
      <c r="T45" s="9"/>
      <c r="U45" s="9"/>
      <c r="V45" s="9"/>
      <c r="W45" s="9"/>
      <c r="X45" s="9"/>
      <c r="Y45" s="9"/>
      <c r="Z45" s="9"/>
    </row>
    <row r="46" spans="1:26" ht="13.5" customHeight="1">
      <c r="A46" s="10"/>
      <c r="B46" s="9"/>
      <c r="C46" s="9"/>
      <c r="D46" s="64" t="s">
        <v>497</v>
      </c>
      <c r="E46" s="64" t="s">
        <v>502</v>
      </c>
      <c r="F46" s="64" t="s">
        <v>655</v>
      </c>
      <c r="G46" s="64" t="s">
        <v>497</v>
      </c>
      <c r="H46" s="9"/>
      <c r="I46" s="9"/>
      <c r="J46" s="9"/>
      <c r="K46" s="9"/>
      <c r="L46" s="9"/>
      <c r="M46" s="9"/>
      <c r="N46" s="9"/>
      <c r="O46" s="9"/>
      <c r="P46" s="9"/>
      <c r="Q46" s="9"/>
      <c r="R46" s="9"/>
      <c r="S46" s="9"/>
      <c r="T46" s="9"/>
      <c r="U46" s="9"/>
      <c r="V46" s="9"/>
      <c r="W46" s="9"/>
      <c r="X46" s="9"/>
      <c r="Y46" s="9"/>
      <c r="Z46" s="9"/>
    </row>
    <row r="47" spans="1:26" ht="13.5" customHeight="1">
      <c r="A47" s="10"/>
      <c r="B47" s="9"/>
      <c r="C47" s="157" t="s">
        <v>668</v>
      </c>
      <c r="D47" s="596">
        <f>G39</f>
        <v>0.79322147530884524</v>
      </c>
      <c r="E47" s="597">
        <f>Comparables!O28</f>
        <v>0.411854</v>
      </c>
      <c r="F47" s="598">
        <f>Tax_Rate</f>
        <v>0.19255309117958283</v>
      </c>
      <c r="G47" s="599">
        <f>IF(ISERROR(D47*(1+(1-F47)*E47)),"NA",(D47*(1+(1-F47)*E47)))</f>
        <v>1.0570074666497373</v>
      </c>
      <c r="H47" s="9"/>
      <c r="I47" s="9"/>
      <c r="J47" s="9"/>
      <c r="K47" s="9"/>
      <c r="L47" s="9"/>
      <c r="M47" s="9"/>
      <c r="N47" s="9"/>
      <c r="O47" s="9"/>
      <c r="P47" s="9"/>
      <c r="Q47" s="9"/>
      <c r="R47" s="9"/>
      <c r="S47" s="9"/>
      <c r="T47" s="9"/>
      <c r="U47" s="9"/>
      <c r="V47" s="9"/>
      <c r="W47" s="9"/>
      <c r="X47" s="9"/>
      <c r="Y47" s="9"/>
      <c r="Z47" s="9"/>
    </row>
    <row r="48" spans="1:26" ht="13.5" customHeight="1">
      <c r="A48" s="10"/>
      <c r="B48" s="9"/>
      <c r="C48" s="9"/>
      <c r="D48" s="9"/>
      <c r="E48" s="9"/>
      <c r="F48" s="9"/>
      <c r="G48" s="9"/>
      <c r="H48" s="9"/>
      <c r="I48" s="9"/>
      <c r="J48" s="9"/>
      <c r="K48" s="9"/>
      <c r="L48" s="9"/>
      <c r="M48" s="9"/>
      <c r="N48" s="9"/>
      <c r="O48" s="9"/>
      <c r="P48" s="9"/>
      <c r="Q48" s="9"/>
      <c r="R48" s="9"/>
      <c r="S48" s="9"/>
      <c r="T48" s="9"/>
      <c r="U48" s="9"/>
      <c r="V48" s="9"/>
      <c r="W48" s="9"/>
      <c r="X48" s="9"/>
      <c r="Y48" s="9"/>
      <c r="Z48" s="9"/>
    </row>
    <row r="49" spans="1:26" ht="13.5" customHeight="1">
      <c r="A49" s="10"/>
      <c r="B49" s="9"/>
      <c r="C49" s="157" t="str">
        <f>Company_Name&amp;" Levered Beta"</f>
        <v>Hamilton Lane Inc. Levered Beta</v>
      </c>
      <c r="D49" s="600"/>
      <c r="E49" s="601"/>
      <c r="F49" s="601"/>
      <c r="G49" s="602">
        <f>Comparables!H28</f>
        <v>1.2142500000000001</v>
      </c>
      <c r="H49" s="9"/>
      <c r="I49" s="9"/>
      <c r="J49" s="9"/>
      <c r="K49" s="9"/>
      <c r="L49" s="9"/>
      <c r="M49" s="9"/>
      <c r="N49" s="9"/>
      <c r="O49" s="9"/>
      <c r="P49" s="9"/>
      <c r="Q49" s="9"/>
      <c r="R49" s="9"/>
      <c r="S49" s="9"/>
      <c r="T49" s="9"/>
      <c r="U49" s="9"/>
      <c r="V49" s="9"/>
      <c r="W49" s="9"/>
      <c r="X49" s="9"/>
      <c r="Y49" s="9"/>
      <c r="Z49" s="9"/>
    </row>
    <row r="50" spans="1:26" ht="13.5" customHeight="1">
      <c r="A50" s="10"/>
      <c r="B50" s="9"/>
      <c r="C50" s="9"/>
      <c r="D50" s="9"/>
      <c r="E50" s="9"/>
      <c r="F50" s="9"/>
      <c r="G50" s="9"/>
      <c r="H50" s="9"/>
      <c r="I50" s="9"/>
      <c r="J50" s="9"/>
      <c r="K50" s="9"/>
      <c r="L50" s="9"/>
      <c r="M50" s="9"/>
      <c r="N50" s="9"/>
      <c r="O50" s="9"/>
      <c r="P50" s="9"/>
      <c r="Q50" s="9"/>
      <c r="R50" s="9"/>
      <c r="S50" s="9"/>
      <c r="T50" s="9"/>
      <c r="U50" s="9"/>
      <c r="V50" s="9"/>
      <c r="W50" s="9"/>
      <c r="X50" s="9"/>
      <c r="Y50" s="9"/>
      <c r="Z50" s="9"/>
    </row>
    <row r="51" spans="1:26" ht="13.5" customHeight="1">
      <c r="A51" s="10" t="s">
        <v>0</v>
      </c>
      <c r="B51" s="9"/>
      <c r="C51" s="9"/>
      <c r="D51" s="9"/>
      <c r="E51" s="9"/>
      <c r="F51" s="9"/>
      <c r="G51" s="9"/>
      <c r="H51" s="9"/>
      <c r="I51" s="9"/>
      <c r="J51" s="9"/>
      <c r="K51" s="9"/>
      <c r="L51" s="9"/>
      <c r="M51" s="9"/>
      <c r="N51" s="9"/>
      <c r="O51" s="9"/>
      <c r="P51" s="9"/>
      <c r="Q51" s="9"/>
      <c r="R51" s="10" t="s">
        <v>0</v>
      </c>
      <c r="S51" s="9"/>
      <c r="T51" s="9"/>
      <c r="U51" s="9"/>
      <c r="V51" s="9"/>
      <c r="W51" s="9"/>
      <c r="X51" s="9"/>
      <c r="Y51" s="9"/>
      <c r="Z51" s="9"/>
    </row>
    <row r="52" spans="1:26"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L22:P22"/>
    <mergeCell ref="J24:J28"/>
    <mergeCell ref="J31:M31"/>
    <mergeCell ref="J43:K43"/>
    <mergeCell ref="J44:K44"/>
  </mergeCells>
  <conditionalFormatting sqref="C33:F37">
    <cfRule type="expression" dxfId="123" priority="1">
      <formula>$R$5="Report"</formula>
    </cfRule>
  </conditionalFormatting>
  <conditionalFormatting sqref="E47 G49">
    <cfRule type="expression" dxfId="122" priority="2">
      <formula>$R$5="Report"</formula>
    </cfRule>
  </conditionalFormatting>
  <conditionalFormatting sqref="G6:G8 G10">
    <cfRule type="expression" dxfId="121" priority="3">
      <formula>$R$5="Working"</formula>
    </cfRule>
  </conditionalFormatting>
  <conditionalFormatting sqref="G6:G10">
    <cfRule type="expression" dxfId="120" priority="4">
      <formula>$R$5="Report"</formula>
    </cfRule>
  </conditionalFormatting>
  <conditionalFormatting sqref="G9">
    <cfRule type="expression" dxfId="119" priority="5">
      <formula>$R$5="Working"</formula>
    </cfRule>
  </conditionalFormatting>
  <conditionalFormatting sqref="M33:M34 M36:M37">
    <cfRule type="expression" dxfId="118" priority="6">
      <formula>$R$5="Report"</formula>
    </cfRule>
    <cfRule type="expression" dxfId="117" priority="7">
      <formula>$R$5="Working"</formula>
    </cfRule>
  </conditionalFormatting>
  <conditionalFormatting sqref="N33">
    <cfRule type="expression" dxfId="116" priority="8">
      <formula>$R$2="Report"</formula>
    </cfRule>
    <cfRule type="expression" dxfId="115" priority="9">
      <formula>N33&lt;&gt;0</formula>
    </cfRule>
    <cfRule type="expression" dxfId="114" priority="10">
      <formula>$AQ$2="Report"</formula>
    </cfRule>
  </conditionalFormatting>
  <conditionalFormatting sqref="N36">
    <cfRule type="expression" dxfId="113" priority="11">
      <formula>$R$2="Report"</formula>
    </cfRule>
    <cfRule type="expression" dxfId="112" priority="12">
      <formula>N36&lt;&gt;0</formula>
    </cfRule>
    <cfRule type="expression" dxfId="111" priority="13">
      <formula>$AQ$2="Report"</formula>
    </cfRule>
  </conditionalFormatting>
  <conditionalFormatting sqref="Q20">
    <cfRule type="expression" dxfId="110" priority="14">
      <formula>$R$2="Report"</formula>
    </cfRule>
    <cfRule type="expression" dxfId="109" priority="15">
      <formula>Q20&lt;&gt;0</formula>
    </cfRule>
    <cfRule type="expression" dxfId="108" priority="16">
      <formula>$AQ$2="Report"</formula>
    </cfRule>
  </conditionalFormatting>
  <dataValidations count="2">
    <dataValidation type="list" allowBlank="1" showErrorMessage="1" sqref="R5" xr:uid="{00000000-0002-0000-0C00-000000000000}">
      <formula1>"Report,Working"</formula1>
    </dataValidation>
    <dataValidation type="list" allowBlank="1" showErrorMessage="1" sqref="J44" xr:uid="{00000000-0002-0000-0C00-000001000000}">
      <formula1>"Comps Relevered Beta,Target Company Beta"</formula1>
    </dataValidation>
  </dataValidation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60000"/>
  </sheetPr>
  <dimension ref="A1:AC1000"/>
  <sheetViews>
    <sheetView showGridLines="0" zoomScale="80" zoomScaleNormal="80" workbookViewId="0">
      <pane ySplit="2" topLeftCell="A3" activePane="bottomLeft" state="frozen"/>
      <selection pane="bottomLeft"/>
    </sheetView>
  </sheetViews>
  <sheetFormatPr defaultColWidth="14.44140625" defaultRowHeight="15" customHeight="1" outlineLevelRow="1" outlineLevelCol="1"/>
  <cols>
    <col min="1" max="2" width="1.6640625" customWidth="1"/>
    <col min="3" max="3" width="22.6640625" customWidth="1"/>
    <col min="4" max="5" width="16.33203125" customWidth="1"/>
    <col min="6" max="6" width="19.5546875" customWidth="1"/>
    <col min="7" max="18" width="16.33203125" customWidth="1"/>
    <col min="19" max="20" width="1.6640625" customWidth="1"/>
    <col min="21" max="21" width="12.6640625" customWidth="1"/>
    <col min="22" max="22" width="15.6640625" customWidth="1"/>
    <col min="23" max="23" width="12.6640625" customWidth="1"/>
    <col min="24" max="28" width="12.6640625" hidden="1" customWidth="1" outlineLevel="1"/>
    <col min="29" max="29" width="14.44140625" collapsed="1"/>
  </cols>
  <sheetData>
    <row r="1" spans="1:28" ht="13.5" customHeight="1">
      <c r="A1" s="256"/>
      <c r="B1" s="4"/>
      <c r="C1" s="5" t="str">
        <f ca="1">Company_Name&amp;" - "&amp;MID(CELL("filename",A1),FIND("]",CELL("filename",A1))+1,255)&amp;": "&amp;Case_Scenario&amp;" Case"</f>
        <v>Hamilton Lane Inc. - Valuation: Base Case</v>
      </c>
      <c r="D1" s="4"/>
      <c r="E1" s="4"/>
      <c r="F1" s="4"/>
      <c r="G1" s="4"/>
      <c r="H1" s="4"/>
      <c r="I1" s="4"/>
      <c r="J1" s="4"/>
      <c r="K1" s="4"/>
      <c r="L1" s="4"/>
      <c r="M1" s="4"/>
      <c r="N1" s="4"/>
      <c r="O1" s="4"/>
      <c r="P1" s="4"/>
      <c r="Q1" s="4"/>
      <c r="R1" s="6" t="s">
        <v>1</v>
      </c>
      <c r="S1" s="4"/>
      <c r="T1" s="4"/>
      <c r="U1" s="4"/>
      <c r="V1" s="4"/>
      <c r="W1" s="4"/>
      <c r="X1" s="4"/>
      <c r="Y1" s="4"/>
      <c r="Z1" s="4"/>
      <c r="AA1" s="4"/>
      <c r="AB1" s="4"/>
    </row>
    <row r="2" spans="1:28" ht="13.5" customHeight="1">
      <c r="A2" s="257"/>
      <c r="B2" s="2"/>
      <c r="C2" s="7" t="str">
        <f>Cover!C2</f>
        <v>$ in Millions Except Per Share Data</v>
      </c>
      <c r="D2" s="2"/>
      <c r="E2" s="2"/>
      <c r="F2" s="2"/>
      <c r="G2" s="2"/>
      <c r="H2" s="2"/>
      <c r="I2" s="2"/>
      <c r="J2" s="2"/>
      <c r="K2" s="2"/>
      <c r="L2" s="2"/>
      <c r="M2" s="2"/>
      <c r="N2" s="2"/>
      <c r="O2" s="2"/>
      <c r="P2" s="2"/>
      <c r="Q2" s="2"/>
      <c r="R2" s="8" t="s">
        <v>1153</v>
      </c>
      <c r="S2" s="2"/>
      <c r="T2" s="2"/>
      <c r="U2" s="2"/>
      <c r="V2" s="2"/>
      <c r="W2" s="2"/>
      <c r="X2" s="2"/>
      <c r="Y2" s="2"/>
      <c r="Z2" s="2"/>
      <c r="AA2" s="2"/>
      <c r="AB2" s="2"/>
    </row>
    <row r="3" spans="1:28" ht="13.5" customHeight="1">
      <c r="A3" s="3"/>
      <c r="B3" s="9"/>
      <c r="C3" s="9"/>
      <c r="D3" s="9"/>
      <c r="E3" s="9"/>
      <c r="F3" s="9"/>
      <c r="G3" s="9"/>
      <c r="H3" s="9"/>
      <c r="I3" s="9"/>
      <c r="J3" s="9"/>
      <c r="K3" s="9"/>
      <c r="L3" s="9"/>
      <c r="M3" s="9"/>
      <c r="N3" s="9"/>
      <c r="O3" s="9"/>
      <c r="P3" s="9"/>
      <c r="Q3" s="9"/>
      <c r="R3" s="9"/>
      <c r="S3" s="9"/>
      <c r="T3" s="9"/>
      <c r="U3" s="9"/>
      <c r="V3" s="9"/>
      <c r="W3" s="9"/>
      <c r="X3" s="9"/>
      <c r="Y3" s="9"/>
      <c r="Z3" s="9"/>
      <c r="AA3" s="9"/>
      <c r="AB3" s="9"/>
    </row>
    <row r="4" spans="1:28" ht="13.5" customHeight="1">
      <c r="A4" s="180" t="s">
        <v>0</v>
      </c>
      <c r="B4" s="9"/>
      <c r="C4" s="999" t="s">
        <v>30</v>
      </c>
      <c r="D4" s="1000"/>
      <c r="E4" s="1000"/>
      <c r="F4" s="1000"/>
      <c r="G4" s="1000"/>
      <c r="H4" s="1000"/>
      <c r="I4" s="1000"/>
      <c r="J4" s="1000"/>
      <c r="K4" s="1000"/>
      <c r="L4" s="1000"/>
      <c r="M4" s="1000"/>
      <c r="N4" s="1000"/>
      <c r="O4" s="1000"/>
      <c r="P4" s="1000"/>
      <c r="Q4" s="1000"/>
      <c r="R4" s="1001"/>
      <c r="S4" s="180" t="s">
        <v>0</v>
      </c>
      <c r="T4" s="9"/>
      <c r="U4" s="9"/>
      <c r="V4" s="603" t="s">
        <v>669</v>
      </c>
      <c r="W4" s="604" t="str">
        <f>IF(SUM(L9:L22)=100%,"Good", "Check")</f>
        <v>Good</v>
      </c>
      <c r="X4" s="9"/>
      <c r="Y4" s="9"/>
      <c r="Z4" s="9"/>
      <c r="AA4" s="9"/>
      <c r="AB4" s="9"/>
    </row>
    <row r="5" spans="1:28" ht="4.5" customHeight="1">
      <c r="A5" s="9"/>
      <c r="B5" s="9"/>
      <c r="C5" s="9"/>
      <c r="D5" s="9"/>
      <c r="E5" s="9"/>
      <c r="F5" s="9"/>
      <c r="G5" s="9"/>
      <c r="H5" s="9"/>
      <c r="I5" s="9"/>
      <c r="J5" s="9"/>
      <c r="K5" s="9"/>
      <c r="L5" s="9"/>
      <c r="M5" s="9"/>
      <c r="N5" s="9"/>
      <c r="O5" s="9"/>
      <c r="P5" s="9"/>
      <c r="Q5" s="9"/>
      <c r="R5" s="9"/>
      <c r="S5" s="9"/>
      <c r="T5" s="9"/>
      <c r="U5" s="9"/>
      <c r="V5" s="9"/>
      <c r="W5" s="9"/>
      <c r="X5" s="9"/>
      <c r="Y5" s="9"/>
      <c r="Z5" s="9"/>
      <c r="AA5" s="9"/>
      <c r="AB5" s="9"/>
    </row>
    <row r="6" spans="1:28" ht="14.25" customHeight="1">
      <c r="A6" s="9"/>
      <c r="B6" s="9"/>
      <c r="C6" s="605" t="s">
        <v>393</v>
      </c>
      <c r="D6" s="75" t="s">
        <v>670</v>
      </c>
      <c r="E6" s="75" t="s">
        <v>671</v>
      </c>
      <c r="F6" s="606" t="s">
        <v>672</v>
      </c>
      <c r="G6" s="607" t="s">
        <v>673</v>
      </c>
      <c r="H6" s="9"/>
      <c r="I6" s="9"/>
      <c r="J6" s="9"/>
      <c r="K6" s="9"/>
      <c r="L6" s="1038" t="s">
        <v>674</v>
      </c>
      <c r="M6" s="1039"/>
      <c r="N6" s="1039"/>
      <c r="O6" s="1039"/>
      <c r="P6" s="1039"/>
      <c r="Q6" s="1039"/>
      <c r="R6" s="1025"/>
      <c r="S6" s="9"/>
      <c r="T6" s="9"/>
      <c r="U6" s="9"/>
      <c r="V6" s="9"/>
      <c r="W6" s="9"/>
      <c r="X6" s="9"/>
      <c r="Y6" s="9"/>
      <c r="Z6" s="9"/>
      <c r="AA6" s="9"/>
      <c r="AB6" s="9"/>
    </row>
    <row r="7" spans="1:28" ht="14.25" customHeight="1">
      <c r="A7" s="9"/>
      <c r="B7" s="9"/>
      <c r="C7" s="608">
        <f>Diluted_Shares</f>
        <v>54.47</v>
      </c>
      <c r="D7" s="609">
        <f>Share_Price</f>
        <v>118.26</v>
      </c>
      <c r="E7" s="610">
        <f>C7*D7</f>
        <v>6441.6221999999998</v>
      </c>
      <c r="F7" s="610">
        <f ca="1">Model!V142-Model!V122</f>
        <v>25.912130756537465</v>
      </c>
      <c r="G7" s="610">
        <f ca="1">SUM(E7:F7)</f>
        <v>6467.5343307565372</v>
      </c>
      <c r="H7" s="9"/>
      <c r="I7" s="9"/>
      <c r="J7" s="9"/>
      <c r="K7" s="9"/>
      <c r="L7" s="605"/>
      <c r="M7" s="75" t="s">
        <v>675</v>
      </c>
      <c r="N7" s="75"/>
      <c r="O7" s="75"/>
      <c r="P7" s="75"/>
      <c r="Q7" s="75" t="s">
        <v>676</v>
      </c>
      <c r="R7" s="35" t="s">
        <v>677</v>
      </c>
      <c r="S7" s="9"/>
      <c r="T7" s="9"/>
      <c r="U7" s="9"/>
      <c r="V7" s="9"/>
      <c r="W7" s="9"/>
      <c r="X7" s="9"/>
      <c r="Y7" s="9"/>
      <c r="Z7" s="9"/>
      <c r="AA7" s="9"/>
      <c r="AB7" s="9"/>
    </row>
    <row r="8" spans="1:28" ht="14.25" hidden="1" customHeight="1">
      <c r="A8" s="9"/>
      <c r="B8" s="9"/>
      <c r="C8" s="9"/>
      <c r="D8" s="9"/>
      <c r="E8" s="9"/>
      <c r="F8" s="9"/>
      <c r="G8" s="9"/>
      <c r="H8" s="9"/>
      <c r="I8" s="9"/>
      <c r="J8" s="9"/>
      <c r="K8" s="9"/>
      <c r="L8" s="9"/>
      <c r="M8" s="179" t="s">
        <v>678</v>
      </c>
      <c r="N8" s="9"/>
      <c r="O8" s="9"/>
      <c r="P8" s="9"/>
      <c r="Q8" s="611"/>
      <c r="R8" s="144"/>
      <c r="S8" s="9"/>
      <c r="T8" s="9"/>
      <c r="U8" s="9"/>
      <c r="V8" s="9"/>
      <c r="W8" s="9"/>
      <c r="X8" s="9"/>
      <c r="Y8" s="9"/>
      <c r="Z8" s="9"/>
      <c r="AA8" s="9"/>
      <c r="AB8" s="9"/>
    </row>
    <row r="9" spans="1:28" ht="14.25" hidden="1" customHeight="1">
      <c r="A9" s="9"/>
      <c r="B9" s="612" t="str">
        <f>C9</f>
        <v>Primary Peer Group</v>
      </c>
      <c r="C9" s="1038" t="str">
        <f>'Multiples Data'!L4</f>
        <v>Primary Peer Group</v>
      </c>
      <c r="D9" s="1039"/>
      <c r="E9" s="1039"/>
      <c r="F9" s="1039"/>
      <c r="G9" s="1039"/>
      <c r="H9" s="1039"/>
      <c r="I9" s="1039"/>
      <c r="J9" s="1040"/>
      <c r="K9" s="9"/>
      <c r="L9" s="948">
        <v>0</v>
      </c>
      <c r="M9" s="84" t="s">
        <v>142</v>
      </c>
      <c r="N9" s="9"/>
      <c r="O9" s="9"/>
      <c r="P9" s="9"/>
      <c r="Q9" s="611">
        <f ca="1">$AB$76</f>
        <v>144.83224414933585</v>
      </c>
      <c r="R9" s="144">
        <f ca="1">Q9/Share_Price-1</f>
        <v>0.22469342253793201</v>
      </c>
      <c r="S9" s="9"/>
      <c r="T9" s="9"/>
      <c r="U9" s="9"/>
      <c r="V9" s="9"/>
      <c r="W9" s="9"/>
      <c r="X9" s="9"/>
      <c r="Y9" s="9"/>
      <c r="Z9" s="9"/>
      <c r="AA9" s="9"/>
      <c r="AB9" s="9"/>
    </row>
    <row r="10" spans="1:28" ht="14.25" hidden="1" customHeight="1">
      <c r="A10" s="9"/>
      <c r="B10" s="612" t="str">
        <f>C14</f>
        <v>Defense Peer Group</v>
      </c>
      <c r="C10" s="287"/>
      <c r="D10" s="614" t="str">
        <f>Ticker</f>
        <v>HLNE</v>
      </c>
      <c r="E10" s="614" t="s">
        <v>146</v>
      </c>
      <c r="F10" s="615" t="str">
        <f>'Multiples Data'!M$6</f>
        <v>StepStone Group Inc.</v>
      </c>
      <c r="G10" s="615" t="str">
        <f>'Multiples Data'!N$6</f>
        <v>Ares Management Corporation</v>
      </c>
      <c r="H10" s="615" t="str">
        <f>'Multiples Data'!O$6</f>
        <v>Blackstone Inc.</v>
      </c>
      <c r="I10" s="615" t="str">
        <f>'Multiples Data'!P$6</f>
        <v>TPG Inc.</v>
      </c>
      <c r="J10" s="615" t="str">
        <f>'Multiples Data'!Q$6</f>
        <v>Disney</v>
      </c>
      <c r="K10" s="9"/>
      <c r="L10" s="948">
        <v>0</v>
      </c>
      <c r="M10" s="84" t="s">
        <v>679</v>
      </c>
      <c r="N10" s="9"/>
      <c r="O10" s="9"/>
      <c r="P10" s="9"/>
      <c r="Q10" s="611">
        <f ca="1">$R$76</f>
        <v>87.242613936488283</v>
      </c>
      <c r="R10" s="144">
        <f ca="1">Q10/Share_Price-1</f>
        <v>-0.2622812959877534</v>
      </c>
      <c r="S10" s="9"/>
      <c r="T10" s="9"/>
      <c r="U10" s="9"/>
      <c r="V10" s="9"/>
      <c r="W10" s="9"/>
      <c r="X10" s="9"/>
      <c r="Y10" s="9"/>
      <c r="Z10" s="9"/>
      <c r="AA10" s="9"/>
      <c r="AB10" s="9"/>
    </row>
    <row r="11" spans="1:28" ht="14.25" customHeight="1">
      <c r="A11" s="9"/>
      <c r="B11" s="612" t="str">
        <f>C19</f>
        <v>Cap. Goods Peer Group</v>
      </c>
      <c r="C11" s="64" t="s">
        <v>132</v>
      </c>
      <c r="D11" s="616">
        <f>IF($D$24="LTM",'Multiples Data'!L$86,IF($D$24="NTM",'Multiples Data'!R$86,"N/A"))</f>
        <v>25.0589159465829</v>
      </c>
      <c r="E11" s="617">
        <f>AVERAGE(F11:H11)</f>
        <v>26.451680056205003</v>
      </c>
      <c r="F11" s="618">
        <f>IF($D$24="LTM",'Multiples Data'!M$86,IF($D$24="NTM",'Multiples Data'!S$86,"N/A"))</f>
        <v>34.730290456431497</v>
      </c>
      <c r="G11" s="618">
        <f>IF($D$24="LTM",'Multiples Data'!N$86,IF($D$24="NTM",'Multiples Data'!T$86,"N/A"))</f>
        <v>30.310262529832901</v>
      </c>
      <c r="H11" s="618">
        <f>IF($D$24="LTM",'Multiples Data'!O$86,IF($D$24="NTM",'Multiples Data'!U$86,"N/A"))</f>
        <v>14.3144871823506</v>
      </c>
      <c r="I11" s="618">
        <f>IF($D$24="LTM",'Multiples Data'!P$86,IF($D$24="NTM",'Multiples Data'!V$86,"N/A"))</f>
        <v>23.627611322023998</v>
      </c>
      <c r="J11" s="618">
        <f>IF($D$24="LTM",'Multiples Data'!Q$86,IF($D$24="NTM",'Multiples Data'!W$86,"N/A"))</f>
        <v>9.8573672895650706</v>
      </c>
      <c r="K11" s="9"/>
      <c r="L11" s="9"/>
      <c r="M11" s="179" t="s">
        <v>680</v>
      </c>
      <c r="N11" s="9"/>
      <c r="O11" s="9"/>
      <c r="P11" s="9"/>
      <c r="Q11" s="611"/>
      <c r="R11" s="144"/>
      <c r="S11" s="9"/>
      <c r="T11" s="9"/>
      <c r="U11" s="9"/>
      <c r="V11" s="9"/>
      <c r="W11" s="9"/>
      <c r="X11" s="9"/>
      <c r="Y11" s="9"/>
      <c r="Z11" s="9"/>
      <c r="AA11" s="9"/>
      <c r="AB11" s="9"/>
    </row>
    <row r="12" spans="1:28" ht="14.25" customHeight="1">
      <c r="A12" s="9"/>
      <c r="B12" s="612" t="str">
        <f>Company_Name</f>
        <v>Hamilton Lane Inc.</v>
      </c>
      <c r="C12" s="64" t="s">
        <v>134</v>
      </c>
      <c r="D12" s="962">
        <f>IF($D$24="LTM",'Multiples Data'!X$86,IF($D$24="NTM",'Multiples Data'!AD$86,"N/A"))</f>
        <v>22.107788881681699</v>
      </c>
      <c r="E12" s="963">
        <f>AVERAGE(F12:H12)</f>
        <v>27.144908763636632</v>
      </c>
      <c r="F12" s="618">
        <f>IF($D$24="LTM",'Multiples Data'!Y$86,IF($D$24="NTM",'Multiples Data'!AE$86,"N/A"))</f>
        <v>30.316948102655999</v>
      </c>
      <c r="G12" s="618">
        <f>IF($D$24="LTM",'Multiples Data'!Z$86,IF($D$24="NTM",'Multiples Data'!AF$86,"N/A"))</f>
        <v>41.4549620811379</v>
      </c>
      <c r="H12" s="618">
        <f>IF($D$24="LTM",'Multiples Data'!AA$86,IF($D$24="NTM",'Multiples Data'!AG$86,"N/A"))</f>
        <v>9.6628161071160008</v>
      </c>
      <c r="I12" s="618">
        <f>IF($D$24="LTM",'Multiples Data'!AB$86,IF($D$24="NTM",'Multiples Data'!AH$86,"N/A"))</f>
        <v>23.846190238203</v>
      </c>
      <c r="J12" s="618">
        <f>IF($D$24="LTM",'Multiples Data'!AC$86,IF($D$24="NTM",'Multiples Data'!AI$86,"N/A"))</f>
        <v>10.559998391445999</v>
      </c>
      <c r="K12" s="9"/>
      <c r="L12" s="958">
        <v>1</v>
      </c>
      <c r="M12" s="959" t="str">
        <f>$G$144&amp;" P/E"</f>
        <v>NTM P/E</v>
      </c>
      <c r="N12" s="884"/>
      <c r="O12" s="884"/>
      <c r="P12" s="884"/>
      <c r="Q12" s="960">
        <f ca="1">$F$126</f>
        <v>144.3834594553249</v>
      </c>
      <c r="R12" s="961">
        <f ca="1">Q12/Share_Price-1</f>
        <v>0.22089852405990951</v>
      </c>
      <c r="S12" s="9"/>
      <c r="T12" s="9"/>
      <c r="U12" s="9"/>
      <c r="V12" s="9"/>
      <c r="W12" s="9"/>
      <c r="X12" s="9"/>
      <c r="Y12" s="9"/>
      <c r="Z12" s="9"/>
      <c r="AA12" s="9"/>
      <c r="AB12" s="9"/>
    </row>
    <row r="13" spans="1:28" ht="14.25" hidden="1" customHeight="1">
      <c r="A13" s="9"/>
      <c r="B13" s="9"/>
      <c r="C13" s="9"/>
      <c r="D13" s="9"/>
      <c r="E13" s="9"/>
      <c r="F13" s="9"/>
      <c r="G13" s="9"/>
      <c r="H13" s="9"/>
      <c r="I13" s="9"/>
      <c r="J13" s="9"/>
      <c r="K13" s="9"/>
      <c r="L13" s="948">
        <v>0</v>
      </c>
      <c r="M13" s="84" t="str">
        <f>$G$144&amp;" P/E Spread to Comps"</f>
        <v>NTM P/E Spread to Comps</v>
      </c>
      <c r="N13" s="9"/>
      <c r="O13" s="9"/>
      <c r="P13" s="9"/>
      <c r="Q13" s="611">
        <f ca="1">$J$126</f>
        <v>177.40782121315181</v>
      </c>
      <c r="R13" s="144">
        <f ca="1">Q13/Share_Price-1</f>
        <v>0.50015069518985111</v>
      </c>
      <c r="S13" s="9"/>
      <c r="T13" s="9"/>
      <c r="U13" s="9"/>
      <c r="V13" s="9"/>
      <c r="W13" s="9"/>
      <c r="X13" s="9"/>
      <c r="Y13" s="9"/>
      <c r="Z13" s="9"/>
      <c r="AA13" s="9"/>
      <c r="AB13" s="9"/>
    </row>
    <row r="14" spans="1:28" ht="14.25" hidden="1" customHeight="1">
      <c r="A14" s="9"/>
      <c r="B14" s="9"/>
      <c r="C14" s="1038" t="str">
        <f>'Multiples Data'!AL4</f>
        <v>Defense Peer Group</v>
      </c>
      <c r="D14" s="1039"/>
      <c r="E14" s="1039"/>
      <c r="F14" s="1039"/>
      <c r="G14" s="1039"/>
      <c r="H14" s="1039"/>
      <c r="I14" s="1039"/>
      <c r="J14" s="1025"/>
      <c r="K14" s="9"/>
      <c r="L14" s="948">
        <v>0</v>
      </c>
      <c r="M14" s="84" t="str">
        <f>$G$144&amp;" EV/EBITDA"</f>
        <v>NTM EV/EBITDA</v>
      </c>
      <c r="N14" s="9"/>
      <c r="O14" s="9"/>
      <c r="P14" s="9"/>
      <c r="Q14" s="611">
        <f ca="1">$N$137</f>
        <v>104.36318203640977</v>
      </c>
      <c r="R14" s="144">
        <f ca="1">Q14/Share_Price-1</f>
        <v>-0.11751072182978384</v>
      </c>
      <c r="S14" s="9"/>
      <c r="T14" s="9"/>
      <c r="U14" s="9"/>
      <c r="V14" s="9"/>
      <c r="W14" s="9"/>
      <c r="X14" s="9"/>
      <c r="Y14" s="9"/>
      <c r="Z14" s="9"/>
      <c r="AA14" s="9"/>
      <c r="AB14" s="9"/>
    </row>
    <row r="15" spans="1:28" ht="14.25" hidden="1" customHeight="1">
      <c r="A15" s="9"/>
      <c r="B15" s="9"/>
      <c r="C15" s="287"/>
      <c r="D15" s="614" t="str">
        <f>Ticker</f>
        <v>HLNE</v>
      </c>
      <c r="E15" s="614" t="s">
        <v>146</v>
      </c>
      <c r="F15" s="615" t="str">
        <f>'Multiples Data'!AM$6</f>
        <v>Raytheon</v>
      </c>
      <c r="G15" s="614" t="str">
        <f>'Multiples Data'!AN$6</f>
        <v>Boeing</v>
      </c>
      <c r="H15" s="614" t="str">
        <f>'Multiples Data'!AO$6</f>
        <v>Huntington Ingalls</v>
      </c>
      <c r="I15" s="614" t="str">
        <f>'Multiples Data'!AP$6</f>
        <v>Lockheed Martin</v>
      </c>
      <c r="J15" s="621" t="str">
        <f>'Multiples Data'!AQ$6</f>
        <v>Northrop Grumman</v>
      </c>
      <c r="K15" s="9"/>
      <c r="L15" s="948">
        <v>0</v>
      </c>
      <c r="M15" s="84" t="str">
        <f>$G$144&amp;" EV/EBITDA Spread to Comps"</f>
        <v>NTM EV/EBITDA Spread to Comps</v>
      </c>
      <c r="N15" s="9"/>
      <c r="O15" s="9"/>
      <c r="P15" s="9"/>
      <c r="Q15" s="611">
        <f ca="1">$R$137</f>
        <v>141.85365517393575</v>
      </c>
      <c r="R15" s="144">
        <f ca="1">Q15/Share_Price-1</f>
        <v>0.19950663938724622</v>
      </c>
      <c r="S15" s="9"/>
      <c r="T15" s="9"/>
      <c r="U15" s="9"/>
      <c r="V15" s="9"/>
      <c r="W15" s="9"/>
      <c r="X15" s="9"/>
      <c r="Y15" s="9"/>
      <c r="Z15" s="9"/>
      <c r="AA15" s="9"/>
      <c r="AB15" s="9"/>
    </row>
    <row r="16" spans="1:28" ht="14.25" hidden="1" customHeight="1">
      <c r="A16" s="9"/>
      <c r="B16" s="9"/>
      <c r="C16" s="64" t="s">
        <v>132</v>
      </c>
      <c r="D16" s="616">
        <f>D$11</f>
        <v>25.0589159465829</v>
      </c>
      <c r="E16" s="617">
        <f>AVERAGE(F16:J16)</f>
        <v>16.207046180263621</v>
      </c>
      <c r="F16" s="618">
        <f>IF($D$24="LTM",'Multiples Data'!AM$86,IF($D$24="NTM",'Multiples Data'!AS$86,"N/A"))</f>
        <v>18.0372200865908</v>
      </c>
      <c r="G16" s="618">
        <f>IF($D$24="LTM",'Multiples Data'!AN$86,IF($D$24="NTM",'Multiples Data'!AT$86,"N/A"))</f>
        <v>18.548904045644001</v>
      </c>
      <c r="H16" s="618">
        <f>IF($D$24="LTM",'Multiples Data'!AO$86,IF($D$24="NTM",'Multiples Data'!AU$86,"N/A"))</f>
        <v>17.3009847075473</v>
      </c>
      <c r="I16" s="618">
        <f>IF($D$24="LTM",'Multiples Data'!AP$86,IF($D$24="NTM",'Multiples Data'!AV$86,"N/A"))</f>
        <v>15.0214839738927</v>
      </c>
      <c r="J16" s="618">
        <f>IF($D$24="LTM",'Multiples Data'!AQ$86,IF($D$24="NTM",'Multiples Data'!AW$86,"N/A"))</f>
        <v>12.1266380876433</v>
      </c>
      <c r="K16" s="9"/>
      <c r="L16" s="9"/>
      <c r="M16" s="179" t="s">
        <v>681</v>
      </c>
      <c r="N16" s="9"/>
      <c r="O16" s="9"/>
      <c r="P16" s="9"/>
      <c r="Q16" s="611"/>
      <c r="R16" s="144"/>
      <c r="S16" s="9"/>
      <c r="T16" s="9"/>
      <c r="U16" s="9"/>
      <c r="V16" s="9"/>
      <c r="W16" s="9"/>
      <c r="X16" s="9"/>
      <c r="Y16" s="9"/>
      <c r="Z16" s="9"/>
      <c r="AA16" s="9"/>
      <c r="AB16" s="9"/>
    </row>
    <row r="17" spans="1:28" ht="14.25" hidden="1" customHeight="1">
      <c r="A17" s="9"/>
      <c r="B17" s="9"/>
      <c r="C17" s="64" t="s">
        <v>134</v>
      </c>
      <c r="D17" s="619">
        <f>D$12</f>
        <v>22.107788881681699</v>
      </c>
      <c r="E17" s="620">
        <f>AVERAGE(F17:J17)</f>
        <v>12.189450395723323</v>
      </c>
      <c r="F17" s="618">
        <f>IF($D$24="LTM",'Multiples Data'!AY$86,IF($D$24="NTM",'Multiples Data'!BE$86,"N/A"))</f>
        <v>12.783834567162399</v>
      </c>
      <c r="G17" s="618">
        <f>IF($D$24="LTM",'Multiples Data'!AZ$86,IF($D$24="NTM",'Multiples Data'!BF$86,"N/A"))</f>
        <v>15.506245752162901</v>
      </c>
      <c r="H17" s="618">
        <f>IF($D$24="LTM",'Multiples Data'!BA$86,IF($D$24="NTM",'Multiples Data'!BG$86,"N/A"))</f>
        <v>11.493190886357301</v>
      </c>
      <c r="I17" s="618">
        <f>IF($D$24="LTM",'Multiples Data'!BB$86,IF($D$24="NTM",'Multiples Data'!BH$86,"N/A"))</f>
        <v>12.2156576237082</v>
      </c>
      <c r="J17" s="618">
        <f>IF($D$24="LTM",'Multiples Data'!BC$86,IF($D$24="NTM",'Multiples Data'!BI$86,"N/A"))</f>
        <v>8.9483231492258302</v>
      </c>
      <c r="K17" s="9"/>
      <c r="L17" s="613">
        <v>0</v>
      </c>
      <c r="M17" s="84" t="str">
        <f>$G$222&amp;" P/E"</f>
        <v>NTM P/E</v>
      </c>
      <c r="N17" s="9"/>
      <c r="O17" s="9"/>
      <c r="P17" s="9"/>
      <c r="Q17" s="611">
        <f ca="1">$F$204</f>
        <v>107.29421648505365</v>
      </c>
      <c r="R17" s="144">
        <f ca="1">Q17/Share_Price-1</f>
        <v>-9.2726057119451699E-2</v>
      </c>
      <c r="S17" s="9"/>
      <c r="T17" s="9"/>
      <c r="U17" s="9"/>
      <c r="V17" s="9"/>
      <c r="W17" s="9"/>
      <c r="X17" s="9"/>
      <c r="Y17" s="9"/>
      <c r="Z17" s="9"/>
      <c r="AA17" s="9"/>
      <c r="AB17" s="9"/>
    </row>
    <row r="18" spans="1:28" ht="14.25" hidden="1" customHeight="1">
      <c r="A18" s="9"/>
      <c r="B18" s="9"/>
      <c r="C18" s="9"/>
      <c r="D18" s="9"/>
      <c r="E18" s="9"/>
      <c r="F18" s="9"/>
      <c r="G18" s="9"/>
      <c r="H18" s="9"/>
      <c r="I18" s="9"/>
      <c r="J18" s="9"/>
      <c r="K18" s="9"/>
      <c r="L18" s="613">
        <v>0</v>
      </c>
      <c r="M18" s="84" t="str">
        <f>$G$222&amp;" P/E Spread to Comps"</f>
        <v>NTM P/E Spread to Comps</v>
      </c>
      <c r="N18" s="9"/>
      <c r="O18" s="9"/>
      <c r="P18" s="9"/>
      <c r="Q18" s="611">
        <f ca="1">$J$204</f>
        <v>227.38231638400916</v>
      </c>
      <c r="R18" s="144">
        <f ca="1">Q18/Share_Price-1</f>
        <v>0.92273225421959371</v>
      </c>
      <c r="S18" s="9"/>
      <c r="T18" s="9"/>
      <c r="U18" s="9"/>
      <c r="V18" s="9"/>
      <c r="W18" s="9"/>
      <c r="X18" s="9"/>
      <c r="Y18" s="9"/>
      <c r="Z18" s="9"/>
      <c r="AA18" s="9"/>
      <c r="AB18" s="9"/>
    </row>
    <row r="19" spans="1:28" ht="14.25" hidden="1" customHeight="1">
      <c r="A19" s="9"/>
      <c r="B19" s="9"/>
      <c r="C19" s="1038" t="str">
        <f>'Multiples Data'!BL4</f>
        <v>Cap. Goods Peer Group</v>
      </c>
      <c r="D19" s="1039"/>
      <c r="E19" s="1039"/>
      <c r="F19" s="1039"/>
      <c r="G19" s="1039"/>
      <c r="H19" s="1039"/>
      <c r="I19" s="1039"/>
      <c r="J19" s="1025"/>
      <c r="K19" s="9"/>
      <c r="L19" s="613">
        <v>0</v>
      </c>
      <c r="M19" s="84" t="str">
        <f>$G$222&amp;" EV/EBITDA"</f>
        <v>NTM EV/EBITDA</v>
      </c>
      <c r="N19" s="9"/>
      <c r="O19" s="9"/>
      <c r="P19" s="9"/>
      <c r="Q19" s="611">
        <f ca="1">$N$215</f>
        <v>52.268601532603888</v>
      </c>
      <c r="R19" s="144">
        <f ca="1">Q19/Share_Price-1</f>
        <v>-0.55801960483169388</v>
      </c>
      <c r="S19" s="9"/>
      <c r="T19" s="9"/>
      <c r="U19" s="9"/>
      <c r="V19" s="9"/>
      <c r="W19" s="9"/>
      <c r="X19" s="9"/>
      <c r="Y19" s="9"/>
      <c r="Z19" s="9"/>
      <c r="AA19" s="9"/>
      <c r="AB19" s="9"/>
    </row>
    <row r="20" spans="1:28" ht="14.25" hidden="1" customHeight="1">
      <c r="A20" s="9"/>
      <c r="B20" s="9"/>
      <c r="C20" s="287"/>
      <c r="D20" s="614" t="str">
        <f>Ticker</f>
        <v>HLNE</v>
      </c>
      <c r="E20" s="614" t="s">
        <v>146</v>
      </c>
      <c r="F20" s="615" t="str">
        <f>'Multiples Data'!BM$6</f>
        <v>3M Company</v>
      </c>
      <c r="G20" s="614" t="str">
        <f>'Multiples Data'!BN$6</f>
        <v>General Electric</v>
      </c>
      <c r="H20" s="614" t="str">
        <f>'Multiples Data'!BO$6</f>
        <v>Honeywell</v>
      </c>
      <c r="I20" s="614" t="str">
        <f>'Multiples Data'!BP$6</f>
        <v>Roper Technologies</v>
      </c>
      <c r="J20" s="621" t="str">
        <f>'Multiples Data'!BQ$6</f>
        <v>Emerson Electric</v>
      </c>
      <c r="K20" s="9"/>
      <c r="L20" s="613">
        <v>0</v>
      </c>
      <c r="M20" s="84" t="str">
        <f>$G$222&amp;" EV/EBITDA Spread to Comps"</f>
        <v>NTM EV/EBITDA Spread to Comps</v>
      </c>
      <c r="N20" s="9"/>
      <c r="O20" s="9"/>
      <c r="P20" s="9"/>
      <c r="Q20" s="611">
        <f ca="1">$R$215</f>
        <v>85.93512510168982</v>
      </c>
      <c r="R20" s="144">
        <f ca="1">Q20/Share_Price-1</f>
        <v>-0.27333734904710116</v>
      </c>
      <c r="S20" s="9"/>
      <c r="T20" s="9"/>
      <c r="U20" s="9"/>
      <c r="V20" s="9"/>
      <c r="W20" s="9"/>
      <c r="X20" s="9"/>
      <c r="Y20" s="9"/>
      <c r="Z20" s="9"/>
      <c r="AA20" s="9"/>
      <c r="AB20" s="9"/>
    </row>
    <row r="21" spans="1:28" ht="14.25" hidden="1" customHeight="1">
      <c r="A21" s="9"/>
      <c r="B21" s="9"/>
      <c r="C21" s="64" t="s">
        <v>132</v>
      </c>
      <c r="D21" s="616">
        <f>D$11</f>
        <v>25.0589159465829</v>
      </c>
      <c r="E21" s="617">
        <f>AVERAGE(F21:J21)</f>
        <v>16.16874562323472</v>
      </c>
      <c r="F21" s="618">
        <f>IF($D$24="LTM",'Multiples Data'!BM$86,IF($D$24="NTM",'Multiples Data'!BS$86,"N/A"))</f>
        <v>11.098891938738801</v>
      </c>
      <c r="G21" s="618">
        <f>IF($D$24="LTM",'Multiples Data'!BN$86,IF($D$24="NTM",'Multiples Data'!BT$86,"N/A"))</f>
        <v>17.1678038497184</v>
      </c>
      <c r="H21" s="618">
        <f>IF($D$24="LTM",'Multiples Data'!BO$86,IF($D$24="NTM",'Multiples Data'!BU$86,"N/A"))</f>
        <v>15.3184158666614</v>
      </c>
      <c r="I21" s="618">
        <f>IF($D$24="LTM",'Multiples Data'!BP$86,IF($D$24="NTM",'Multiples Data'!BV$86,"N/A"))</f>
        <v>20.233709024707899</v>
      </c>
      <c r="J21" s="618">
        <f>IF($D$24="LTM",'Multiples Data'!BQ$86,IF($D$24="NTM",'Multiples Data'!BW$86,"N/A"))</f>
        <v>17.0249074363471</v>
      </c>
      <c r="K21" s="9"/>
      <c r="L21" s="9"/>
      <c r="M21" s="179" t="s">
        <v>682</v>
      </c>
      <c r="N21" s="9"/>
      <c r="O21" s="9"/>
      <c r="P21" s="9"/>
      <c r="Q21" s="611"/>
      <c r="R21" s="144"/>
      <c r="S21" s="9"/>
      <c r="T21" s="9"/>
      <c r="U21" s="9"/>
      <c r="V21" s="9"/>
      <c r="W21" s="9"/>
      <c r="X21" s="9"/>
      <c r="Y21" s="9"/>
      <c r="Z21" s="9"/>
      <c r="AA21" s="9"/>
      <c r="AB21" s="9"/>
    </row>
    <row r="22" spans="1:28" ht="14.25" hidden="1" customHeight="1">
      <c r="A22" s="9"/>
      <c r="B22" s="9"/>
      <c r="C22" s="64" t="s">
        <v>134</v>
      </c>
      <c r="D22" s="619">
        <f>D$12</f>
        <v>22.107788881681699</v>
      </c>
      <c r="E22" s="620">
        <f>AVERAGE(F22:J22)</f>
        <v>11.620890184734099</v>
      </c>
      <c r="F22" s="618">
        <f>IF($D$24="LTM",'Multiples Data'!BY$86,IF($D$24="NTM",'Multiples Data'!CE$86,"N/A"))</f>
        <v>6.6876218938895002</v>
      </c>
      <c r="G22" s="618">
        <f>IF($D$24="LTM",'Multiples Data'!BZ$86,IF($D$24="NTM",'Multiples Data'!CF$86,"N/A"))</f>
        <v>13.011960831629301</v>
      </c>
      <c r="H22" s="618">
        <f>IF($D$24="LTM",'Multiples Data'!CA$86,IF($D$24="NTM",'Multiples Data'!CG$86,"N/A"))</f>
        <v>12.452113855824701</v>
      </c>
      <c r="I22" s="618">
        <f>IF($D$24="LTM",'Multiples Data'!CB$86,IF($D$24="NTM",'Multiples Data'!CH$86,"N/A"))</f>
        <v>14.1638045774507</v>
      </c>
      <c r="J22" s="618">
        <f>IF($D$24="LTM",'Multiples Data'!CC$86,IF($D$24="NTM",'Multiples Data'!CI$86,"N/A"))</f>
        <v>11.7889497648763</v>
      </c>
      <c r="K22" s="9"/>
      <c r="L22" s="613">
        <v>0</v>
      </c>
      <c r="M22" s="622" t="str">
        <f>D24&amp;" EV/EBITDA"</f>
        <v>NTM EV/EBITDA</v>
      </c>
      <c r="N22" s="95"/>
      <c r="O22" s="95"/>
      <c r="P22" s="95"/>
      <c r="Q22" s="623">
        <f>$R$284</f>
        <v>327.06240319034669</v>
      </c>
      <c r="R22" s="624">
        <f>Q22/Share_Price-1</f>
        <v>1.7656215389002763</v>
      </c>
      <c r="S22" s="9"/>
      <c r="T22" s="9"/>
      <c r="U22" s="9"/>
      <c r="V22" s="9"/>
      <c r="W22" s="9"/>
      <c r="X22" s="9"/>
      <c r="Y22" s="9"/>
      <c r="Z22" s="9"/>
      <c r="AA22" s="9"/>
      <c r="AB22" s="9"/>
    </row>
    <row r="23" spans="1:28" ht="14.25" hidden="1" customHeight="1">
      <c r="A23" s="9"/>
      <c r="B23" s="9"/>
      <c r="C23" s="64"/>
      <c r="D23" s="618"/>
      <c r="E23" s="618"/>
      <c r="F23" s="618"/>
      <c r="G23" s="618"/>
      <c r="H23" s="618"/>
      <c r="I23" s="618"/>
      <c r="J23" s="618"/>
      <c r="K23" s="9"/>
      <c r="L23" s="144"/>
      <c r="M23" s="9" t="s">
        <v>683</v>
      </c>
      <c r="N23" s="9"/>
      <c r="O23" s="9"/>
      <c r="P23" s="9"/>
      <c r="Q23" s="611">
        <f ca="1">AVERAGE(Q9:Q22)</f>
        <v>145.45687624166814</v>
      </c>
      <c r="R23" s="144">
        <f ca="1">Q23/Share_Price-1</f>
        <v>0.22997527686172958</v>
      </c>
      <c r="S23" s="9"/>
      <c r="T23" s="9"/>
      <c r="U23" s="9"/>
      <c r="V23" s="9"/>
      <c r="W23" s="9"/>
      <c r="X23" s="9"/>
      <c r="Y23" s="9"/>
      <c r="Z23" s="9"/>
      <c r="AA23" s="9"/>
      <c r="AB23" s="9"/>
    </row>
    <row r="24" spans="1:28" ht="14.25" customHeight="1">
      <c r="A24" s="9"/>
      <c r="B24" s="9"/>
      <c r="C24" s="9" t="s">
        <v>684</v>
      </c>
      <c r="D24" s="183" t="s">
        <v>685</v>
      </c>
      <c r="E24" s="9"/>
      <c r="F24" s="9"/>
      <c r="G24" s="9"/>
      <c r="H24" s="618"/>
      <c r="I24" s="618"/>
      <c r="J24" s="618"/>
      <c r="K24" s="9"/>
      <c r="L24" s="216"/>
      <c r="M24" s="9" t="s">
        <v>686</v>
      </c>
      <c r="N24" s="9"/>
      <c r="O24" s="625"/>
      <c r="P24" s="9"/>
      <c r="Q24" s="611">
        <f ca="1">SUMPRODUCT(L9:L22,Q9:Q22)</f>
        <v>144.3834594553249</v>
      </c>
      <c r="R24" s="144">
        <f ca="1">Q24/Share_Price-1</f>
        <v>0.22089852405990951</v>
      </c>
      <c r="S24" s="9"/>
      <c r="T24" s="9"/>
      <c r="U24" s="9"/>
      <c r="V24" s="9"/>
      <c r="W24" s="9"/>
      <c r="X24" s="9"/>
      <c r="Y24" s="9"/>
      <c r="Z24" s="9"/>
      <c r="AA24" s="9"/>
      <c r="AB24" s="9"/>
    </row>
    <row r="25" spans="1:28" ht="14.25" customHeight="1">
      <c r="A25" s="9"/>
      <c r="B25" s="9"/>
      <c r="C25" s="9"/>
      <c r="E25" s="9"/>
      <c r="F25" s="9"/>
      <c r="G25" s="9"/>
      <c r="H25" s="618"/>
      <c r="I25" s="618"/>
      <c r="J25" s="618"/>
      <c r="K25" s="9"/>
      <c r="L25" s="216"/>
      <c r="M25" s="9"/>
      <c r="N25" s="9"/>
      <c r="O25" s="625"/>
      <c r="P25" s="9"/>
      <c r="Q25" s="611"/>
      <c r="R25" s="144"/>
      <c r="S25" s="9"/>
      <c r="T25" s="9"/>
      <c r="U25" s="9"/>
      <c r="V25" s="9"/>
      <c r="W25" s="9"/>
      <c r="X25" s="9"/>
      <c r="Y25" s="9"/>
      <c r="Z25" s="9"/>
      <c r="AA25" s="9"/>
      <c r="AB25" s="9"/>
    </row>
    <row r="26" spans="1:28" ht="13.5" hidden="1" customHeight="1" outlineLevel="1">
      <c r="A26" s="9"/>
      <c r="B26" s="9"/>
      <c r="C26" s="9"/>
      <c r="D26" s="9"/>
      <c r="E26" s="9"/>
      <c r="F26" s="9"/>
      <c r="G26" s="9"/>
      <c r="H26" s="9"/>
      <c r="I26" s="9"/>
      <c r="J26" s="9"/>
      <c r="K26" s="9"/>
      <c r="L26" s="9"/>
      <c r="M26" s="9"/>
      <c r="N26" s="626">
        <v>1</v>
      </c>
      <c r="O26" s="626">
        <f>N26+1</f>
        <v>2</v>
      </c>
      <c r="P26" s="626">
        <f>O26+1</f>
        <v>3</v>
      </c>
      <c r="Q26" s="626">
        <f>P26+1</f>
        <v>4</v>
      </c>
      <c r="R26" s="626">
        <f>Q26+1</f>
        <v>5</v>
      </c>
      <c r="S26" s="9"/>
      <c r="T26" s="9"/>
      <c r="U26" s="9"/>
      <c r="V26" s="9"/>
      <c r="W26" s="9"/>
      <c r="X26" s="9"/>
      <c r="Y26" s="9"/>
      <c r="Z26" s="9"/>
      <c r="AA26" s="9"/>
      <c r="AB26" s="9"/>
    </row>
    <row r="27" spans="1:28" ht="6.75" customHeight="1" collapsed="1">
      <c r="A27" s="9"/>
      <c r="B27" s="9"/>
      <c r="C27" s="9"/>
      <c r="D27" s="9"/>
      <c r="E27" s="9"/>
      <c r="F27" s="9"/>
      <c r="G27" s="9"/>
      <c r="H27" s="9"/>
      <c r="I27" s="9"/>
      <c r="J27" s="37">
        <f>LEN(J28)</f>
        <v>4</v>
      </c>
      <c r="K27" s="37">
        <f>LEN(K28)</f>
        <v>5</v>
      </c>
      <c r="L27" s="37">
        <f>LEN(L28)</f>
        <v>5</v>
      </c>
      <c r="M27" s="37">
        <f>LEN(M28)</f>
        <v>5</v>
      </c>
      <c r="N27" s="626"/>
      <c r="O27" s="626"/>
      <c r="P27" s="626"/>
      <c r="Q27" s="626"/>
      <c r="R27" s="626"/>
      <c r="S27" s="9"/>
      <c r="T27" s="9"/>
      <c r="U27" s="9"/>
      <c r="V27" s="9"/>
      <c r="W27" s="9"/>
      <c r="X27" s="9"/>
      <c r="Y27" s="9"/>
      <c r="Z27" s="9"/>
      <c r="AA27" s="9"/>
      <c r="AB27" s="9"/>
    </row>
    <row r="28" spans="1:28" ht="13.5" customHeight="1">
      <c r="A28" s="180" t="s">
        <v>0</v>
      </c>
      <c r="B28" s="9"/>
      <c r="C28" s="263" t="s">
        <v>687</v>
      </c>
      <c r="D28" s="286"/>
      <c r="E28" s="286"/>
      <c r="F28" s="286"/>
      <c r="G28" s="138">
        <f>G29</f>
        <v>2023</v>
      </c>
      <c r="H28" s="138">
        <f>H29</f>
        <v>2024</v>
      </c>
      <c r="I28" s="138">
        <f>I29</f>
        <v>2025</v>
      </c>
      <c r="J28" s="627" t="str">
        <f>IF(Last_FQR="4Q","1Q"&amp;RIGHT(J29,2)&amp;"e","1Q"&amp;RIGHT(J29,2))</f>
        <v>1Q26</v>
      </c>
      <c r="K28" s="138" t="str">
        <f>IF(Last_FQR="4Q","2Q"&amp;RIGHT(K29,2)&amp;"e",IF(Last_FQR="1Q","2Q"&amp;RIGHT(K29,2)&amp;"e","2Q"&amp;RIGHT(K29,2)))</f>
        <v>2Q26e</v>
      </c>
      <c r="L28" s="138" t="str">
        <f>IF(Last_FQR="4Q","3Q"&amp;RIGHT(L29,2)&amp;"e",IF(Last_FQR="1Q","3Q"&amp;RIGHT(L29,2)&amp;"e",IF(Last_FQR="2Q","3Q"&amp;RIGHT(L29,2)&amp;"e","3Q"&amp;RIGHT(L29,2))))</f>
        <v>3Q26e</v>
      </c>
      <c r="M28" s="628" t="str">
        <f>"4Q"&amp;RIGHT(M29,2)&amp;"e"</f>
        <v>4Q26e</v>
      </c>
      <c r="N28" s="138" t="str">
        <f>N29&amp;"e"</f>
        <v>2026e</v>
      </c>
      <c r="O28" s="138" t="str">
        <f>O29&amp;"e"</f>
        <v>2027e</v>
      </c>
      <c r="P28" s="138" t="str">
        <f>P29&amp;"e"</f>
        <v>2028e</v>
      </c>
      <c r="Q28" s="138" t="str">
        <f>Q29&amp;"e"</f>
        <v>2029e</v>
      </c>
      <c r="R28" s="265" t="str">
        <f>R29&amp;"e"</f>
        <v>2030e</v>
      </c>
      <c r="S28" s="139" t="s">
        <v>0</v>
      </c>
      <c r="T28" s="9"/>
      <c r="U28" s="9"/>
      <c r="V28" s="9"/>
      <c r="W28" s="9"/>
      <c r="X28" s="9"/>
      <c r="Y28" s="9"/>
      <c r="Z28" s="9"/>
      <c r="AA28" s="9"/>
      <c r="AB28" s="9"/>
    </row>
    <row r="29" spans="1:28" ht="13.5" customHeight="1">
      <c r="A29" s="629"/>
      <c r="B29" s="630"/>
      <c r="C29" s="631"/>
      <c r="D29" s="632"/>
      <c r="E29" s="632"/>
      <c r="F29" s="632"/>
      <c r="G29" s="633">
        <f>H29-1</f>
        <v>2023</v>
      </c>
      <c r="H29" s="633">
        <f>I29-1</f>
        <v>2024</v>
      </c>
      <c r="I29" s="633">
        <f>YEAR(Last_FYE)</f>
        <v>2025</v>
      </c>
      <c r="J29" s="633">
        <f>I29+1</f>
        <v>2026</v>
      </c>
      <c r="K29" s="633">
        <f>J29</f>
        <v>2026</v>
      </c>
      <c r="L29" s="633">
        <f>K29</f>
        <v>2026</v>
      </c>
      <c r="M29" s="633">
        <f>L29</f>
        <v>2026</v>
      </c>
      <c r="N29" s="633">
        <f>M29</f>
        <v>2026</v>
      </c>
      <c r="O29" s="633">
        <f>N29+1</f>
        <v>2027</v>
      </c>
      <c r="P29" s="633">
        <f>O29+1</f>
        <v>2028</v>
      </c>
      <c r="Q29" s="633">
        <f>P29+1</f>
        <v>2029</v>
      </c>
      <c r="R29" s="634">
        <f>Q29+1</f>
        <v>2030</v>
      </c>
      <c r="S29" s="629"/>
      <c r="T29" s="9"/>
      <c r="U29" s="9"/>
      <c r="V29" s="9"/>
      <c r="W29" s="9"/>
      <c r="X29" s="9"/>
      <c r="Y29" s="9"/>
      <c r="Z29" s="9"/>
      <c r="AA29" s="9"/>
      <c r="AB29" s="9"/>
    </row>
    <row r="30" spans="1:28" ht="4.5" customHeight="1">
      <c r="A30" s="9"/>
      <c r="B30" s="9"/>
      <c r="C30" s="9"/>
      <c r="D30" s="9"/>
      <c r="E30" s="9"/>
      <c r="F30" s="9"/>
      <c r="G30" s="9"/>
      <c r="H30" s="9"/>
      <c r="I30" s="9"/>
      <c r="J30" s="635"/>
      <c r="K30" s="636"/>
      <c r="L30" s="636"/>
      <c r="M30" s="637"/>
      <c r="N30" s="9"/>
      <c r="O30" s="9"/>
      <c r="P30" s="9"/>
      <c r="Q30" s="9"/>
      <c r="R30" s="9"/>
      <c r="S30" s="9"/>
      <c r="T30" s="9"/>
      <c r="U30" s="9"/>
      <c r="V30" s="9"/>
      <c r="W30" s="9"/>
      <c r="X30" s="9"/>
      <c r="Y30" s="9"/>
      <c r="Z30" s="9"/>
      <c r="AA30" s="9"/>
      <c r="AB30" s="9"/>
    </row>
    <row r="31" spans="1:28" ht="13.5" customHeight="1">
      <c r="A31" s="9"/>
      <c r="B31" s="9"/>
      <c r="C31" s="9" t="str">
        <f>Model!C28</f>
        <v>Revenue</v>
      </c>
      <c r="D31" s="9"/>
      <c r="E31" s="9"/>
      <c r="F31" s="9"/>
      <c r="G31" s="197">
        <f>Model!J28</f>
        <v>528.75300000000004</v>
      </c>
      <c r="H31" s="197">
        <f>Model!O28</f>
        <v>553.84199999999998</v>
      </c>
      <c r="I31" s="197">
        <f>Model!T28</f>
        <v>712.96399999999994</v>
      </c>
      <c r="J31" s="638">
        <f>Model!U28</f>
        <v>175.958</v>
      </c>
      <c r="K31" s="639">
        <f>Model!V28</f>
        <v>183.91066000000001</v>
      </c>
      <c r="L31" s="639">
        <f>Model!W28</f>
        <v>195.211905</v>
      </c>
      <c r="M31" s="640">
        <f>Model!X28</f>
        <v>211.57638516</v>
      </c>
      <c r="N31" s="197">
        <f>Model!Y28</f>
        <v>766.65695015999995</v>
      </c>
      <c r="O31" s="197">
        <f>Model!AD28</f>
        <v>972.52829778227476</v>
      </c>
      <c r="P31" s="197">
        <f>Model!AE28</f>
        <v>1040.6052786270343</v>
      </c>
      <c r="Q31" s="197">
        <f>Model!AF28</f>
        <v>1097.838568951521</v>
      </c>
      <c r="R31" s="197">
        <f>Model!AG28</f>
        <v>1169.5212445076716</v>
      </c>
      <c r="S31" s="9"/>
      <c r="T31" s="9"/>
      <c r="U31" s="9"/>
      <c r="V31" s="9"/>
      <c r="W31" s="9"/>
      <c r="X31" s="9"/>
      <c r="Y31" s="9"/>
      <c r="Z31" s="9"/>
      <c r="AA31" s="9"/>
      <c r="AB31" s="9"/>
    </row>
    <row r="32" spans="1:28" ht="13.5" customHeight="1">
      <c r="A32" s="9"/>
      <c r="B32" s="9"/>
      <c r="C32" s="103" t="str">
        <f>Model!C61</f>
        <v>EBITDA</v>
      </c>
      <c r="D32" s="9"/>
      <c r="E32" s="9"/>
      <c r="F32" s="9"/>
      <c r="G32" s="242">
        <f>Model!J61</f>
        <v>161.84799999999998</v>
      </c>
      <c r="H32" s="242">
        <f>Model!O61</f>
        <v>159.471</v>
      </c>
      <c r="I32" s="242">
        <f>Model!T61</f>
        <v>220.20200000000003</v>
      </c>
      <c r="J32" s="641">
        <f>Model!U61</f>
        <v>53.65</v>
      </c>
      <c r="K32" s="642">
        <f ca="1">Model!V61</f>
        <v>59.403143179999994</v>
      </c>
      <c r="L32" s="642">
        <f ca="1">Model!W61</f>
        <v>63.053445314999991</v>
      </c>
      <c r="M32" s="643">
        <f ca="1">Model!X61</f>
        <v>68.339172406680007</v>
      </c>
      <c r="N32" s="242">
        <f ca="1">Model!Y61</f>
        <v>244.44576090167999</v>
      </c>
      <c r="O32" s="242">
        <f ca="1">Model!AD61</f>
        <v>318.98056384009209</v>
      </c>
      <c r="P32" s="242">
        <f ca="1">Model!AE61</f>
        <v>346.72967883852772</v>
      </c>
      <c r="Q32" s="242">
        <f ca="1">Model!AF61</f>
        <v>362.39651161089711</v>
      </c>
      <c r="R32" s="242">
        <f ca="1">Model!AG61</f>
        <v>386.05896281198233</v>
      </c>
      <c r="S32" s="9"/>
      <c r="T32" s="9"/>
      <c r="U32" s="9"/>
      <c r="V32" s="9"/>
      <c r="W32" s="9"/>
      <c r="X32" s="9"/>
      <c r="Y32" s="9"/>
      <c r="Z32" s="9"/>
      <c r="AA32" s="9"/>
      <c r="AB32" s="9"/>
    </row>
    <row r="33" spans="1:28" ht="13.5" customHeight="1">
      <c r="A33" s="9"/>
      <c r="B33" s="9"/>
      <c r="C33" s="9" t="str">
        <f>Model!C59</f>
        <v>EBIT</v>
      </c>
      <c r="D33" s="9"/>
      <c r="E33" s="9"/>
      <c r="F33" s="9"/>
      <c r="G33" s="242">
        <f>Model!J36</f>
        <v>239.91200000000003</v>
      </c>
      <c r="H33" s="242">
        <f>Model!O36</f>
        <v>245.81700000000001</v>
      </c>
      <c r="I33" s="242">
        <f>Model!T36</f>
        <v>316.553</v>
      </c>
      <c r="J33" s="641">
        <f>Model!U36</f>
        <v>76.974999999999994</v>
      </c>
      <c r="K33" s="642">
        <f>Model!V36</f>
        <v>79.633315780000004</v>
      </c>
      <c r="L33" s="642">
        <f>Model!W36</f>
        <v>84.526754865000001</v>
      </c>
      <c r="M33" s="643">
        <f>Model!X36</f>
        <v>91.612574774280006</v>
      </c>
      <c r="N33" s="242">
        <f>Model!Y36</f>
        <v>332.74764541927999</v>
      </c>
      <c r="O33" s="242">
        <f>Model!AD36</f>
        <v>418.18716804637825</v>
      </c>
      <c r="P33" s="242">
        <f>Model!AE36</f>
        <v>437.05421702335434</v>
      </c>
      <c r="Q33" s="242">
        <f>Model!AF36</f>
        <v>461.09219895963884</v>
      </c>
      <c r="R33" s="242">
        <f>Model!AG36</f>
        <v>491.19892269322202</v>
      </c>
      <c r="S33" s="9"/>
      <c r="T33" s="9"/>
      <c r="U33" s="9"/>
      <c r="V33" s="9"/>
      <c r="W33" s="9"/>
      <c r="X33" s="9"/>
      <c r="Y33" s="9"/>
      <c r="Z33" s="9"/>
      <c r="AA33" s="9"/>
      <c r="AB33" s="9"/>
    </row>
    <row r="34" spans="1:28" ht="13.5" customHeight="1">
      <c r="A34" s="9"/>
      <c r="B34" s="9"/>
      <c r="C34" s="103" t="str">
        <f>Model!C44</f>
        <v>Income Tax Benefit (Expense)</v>
      </c>
      <c r="D34" s="9"/>
      <c r="E34" s="9"/>
      <c r="F34" s="9"/>
      <c r="G34" s="327">
        <f>Model!J44</f>
        <v>-55.423999999999999</v>
      </c>
      <c r="H34" s="327">
        <f>Model!O44</f>
        <v>-54.454999999999998</v>
      </c>
      <c r="I34" s="327">
        <f>Model!T44</f>
        <v>-48.509</v>
      </c>
      <c r="J34" s="644">
        <f>Model!U44</f>
        <v>-18.379000000000001</v>
      </c>
      <c r="K34" s="645">
        <f ca="1">Model!V44</f>
        <v>-20.838905052501335</v>
      </c>
      <c r="L34" s="645">
        <f ca="1">Model!W44</f>
        <v>-22.140491331781611</v>
      </c>
      <c r="M34" s="646">
        <f ca="1">Model!X44</f>
        <v>-24.000621844630217</v>
      </c>
      <c r="N34" s="327">
        <f ca="1">Model!Y44</f>
        <v>-85.359018228913158</v>
      </c>
      <c r="O34" s="327">
        <f ca="1">Model!AD44</f>
        <v>-113.08329857777835</v>
      </c>
      <c r="P34" s="327">
        <f ca="1">Model!AE44</f>
        <v>-118.26800712632181</v>
      </c>
      <c r="Q34" s="327">
        <f ca="1">Model!AF44</f>
        <v>-125.00602637886742</v>
      </c>
      <c r="R34" s="327">
        <f ca="1">Model!AG44</f>
        <v>-133.30811388772534</v>
      </c>
      <c r="S34" s="9"/>
      <c r="T34" s="9"/>
      <c r="U34" s="9"/>
      <c r="V34" s="9"/>
      <c r="W34" s="9"/>
      <c r="X34" s="9"/>
      <c r="Y34" s="9"/>
      <c r="Z34" s="9"/>
      <c r="AA34" s="9"/>
      <c r="AB34" s="9"/>
    </row>
    <row r="35" spans="1:28" ht="13.5" customHeight="1">
      <c r="A35" s="9"/>
      <c r="B35" s="9"/>
      <c r="C35" s="9" t="s">
        <v>688</v>
      </c>
      <c r="D35" s="9"/>
      <c r="E35" s="9"/>
      <c r="F35" s="9"/>
      <c r="G35" s="197">
        <f t="shared" ref="G35:R35" si="0">SUM(G33:G34)</f>
        <v>184.48800000000003</v>
      </c>
      <c r="H35" s="197">
        <f t="shared" si="0"/>
        <v>191.36200000000002</v>
      </c>
      <c r="I35" s="197">
        <f t="shared" si="0"/>
        <v>268.04399999999998</v>
      </c>
      <c r="J35" s="638">
        <f t="shared" si="0"/>
        <v>58.595999999999989</v>
      </c>
      <c r="K35" s="639">
        <f t="shared" ca="1" si="0"/>
        <v>58.794410727498672</v>
      </c>
      <c r="L35" s="639">
        <f t="shared" ca="1" si="0"/>
        <v>62.38626353321839</v>
      </c>
      <c r="M35" s="640">
        <f t="shared" ca="1" si="0"/>
        <v>67.611952929649789</v>
      </c>
      <c r="N35" s="197">
        <f t="shared" ca="1" si="0"/>
        <v>247.38862719036683</v>
      </c>
      <c r="O35" s="197">
        <f t="shared" ca="1" si="0"/>
        <v>305.1038694685999</v>
      </c>
      <c r="P35" s="197">
        <f t="shared" ca="1" si="0"/>
        <v>318.78620989703256</v>
      </c>
      <c r="Q35" s="197">
        <f t="shared" ca="1" si="0"/>
        <v>336.0861725807714</v>
      </c>
      <c r="R35" s="197">
        <f t="shared" ca="1" si="0"/>
        <v>357.8908088054967</v>
      </c>
      <c r="S35" s="9"/>
      <c r="T35" s="9"/>
      <c r="U35" s="9"/>
      <c r="V35" s="9"/>
      <c r="W35" s="9"/>
      <c r="X35" s="9"/>
      <c r="Y35" s="9"/>
      <c r="Z35" s="9"/>
      <c r="AA35" s="9"/>
      <c r="AB35" s="9"/>
    </row>
    <row r="36" spans="1:28" ht="13.5" customHeight="1">
      <c r="A36" s="9"/>
      <c r="B36" s="9"/>
      <c r="C36" s="216" t="s">
        <v>689</v>
      </c>
      <c r="D36" s="9"/>
      <c r="E36" s="9"/>
      <c r="F36" s="9"/>
      <c r="G36" s="197"/>
      <c r="H36" s="367">
        <f>H35/G35-1</f>
        <v>3.7259875981093593E-2</v>
      </c>
      <c r="I36" s="367">
        <f>I35/H35-1</f>
        <v>0.40071696575077587</v>
      </c>
      <c r="J36" s="647"/>
      <c r="K36" s="648"/>
      <c r="L36" s="648"/>
      <c r="M36" s="649"/>
      <c r="N36" s="367">
        <f ca="1">N35/I35-1</f>
        <v>-7.7059635021239581E-2</v>
      </c>
      <c r="O36" s="367">
        <f ca="1">O35/N35-1</f>
        <v>0.23329788007522634</v>
      </c>
      <c r="P36" s="367">
        <f ca="1">P35/O35-1</f>
        <v>4.4844860382345253E-2</v>
      </c>
      <c r="Q36" s="367">
        <f ca="1">Q35/P35-1</f>
        <v>5.4268227880141628E-2</v>
      </c>
      <c r="R36" s="367">
        <f ca="1">R35/Q35-1</f>
        <v>6.4878111638124514E-2</v>
      </c>
      <c r="S36" s="9"/>
      <c r="T36" s="9"/>
      <c r="U36" s="9"/>
      <c r="V36" s="9"/>
      <c r="W36" s="9"/>
      <c r="X36" s="9"/>
      <c r="Y36" s="9"/>
      <c r="Z36" s="9"/>
      <c r="AA36" s="9"/>
      <c r="AB36" s="9"/>
    </row>
    <row r="37" spans="1:28" ht="13.5" customHeight="1">
      <c r="A37" s="9"/>
      <c r="B37" s="9"/>
      <c r="C37" s="9"/>
      <c r="D37" s="9"/>
      <c r="E37" s="9"/>
      <c r="F37" s="9"/>
      <c r="G37" s="9"/>
      <c r="H37" s="9"/>
      <c r="I37" s="9"/>
      <c r="J37" s="635"/>
      <c r="K37" s="636"/>
      <c r="L37" s="636"/>
      <c r="M37" s="637"/>
      <c r="N37" s="9"/>
      <c r="O37" s="9"/>
      <c r="P37" s="9"/>
      <c r="Q37" s="9"/>
      <c r="R37" s="9"/>
      <c r="S37" s="9"/>
      <c r="T37" s="9"/>
      <c r="U37" s="9"/>
      <c r="V37" s="9"/>
      <c r="W37" s="9"/>
      <c r="X37" s="9"/>
      <c r="Y37" s="9"/>
      <c r="Z37" s="9"/>
      <c r="AA37" s="9"/>
      <c r="AB37" s="9"/>
    </row>
    <row r="38" spans="1:28" ht="13.5" customHeight="1">
      <c r="A38" s="9"/>
      <c r="B38" s="9"/>
      <c r="C38" s="103" t="str">
        <f>Model!C77</f>
        <v>Depreciation &amp; Amortization</v>
      </c>
      <c r="D38" s="9"/>
      <c r="E38" s="9"/>
      <c r="F38" s="9"/>
      <c r="G38" s="242"/>
      <c r="H38" s="242"/>
      <c r="I38" s="242"/>
      <c r="J38" s="641">
        <f>-Model!U34</f>
        <v>0</v>
      </c>
      <c r="K38" s="642">
        <f>-Model!V34</f>
        <v>0</v>
      </c>
      <c r="L38" s="642">
        <f>-Model!W34</f>
        <v>0</v>
      </c>
      <c r="M38" s="643">
        <f>-Model!X34</f>
        <v>0</v>
      </c>
      <c r="N38" s="242">
        <f>-Model!Y34</f>
        <v>0</v>
      </c>
      <c r="O38" s="242">
        <f>-Model!AD34</f>
        <v>0</v>
      </c>
      <c r="P38" s="242">
        <f>-Model!AE34</f>
        <v>0</v>
      </c>
      <c r="Q38" s="242">
        <f>-Model!AF34</f>
        <v>0</v>
      </c>
      <c r="R38" s="242">
        <f>-Model!AG34</f>
        <v>0</v>
      </c>
      <c r="S38" s="9"/>
      <c r="T38" s="9"/>
      <c r="U38" s="9"/>
      <c r="V38" s="9"/>
      <c r="W38" s="9"/>
      <c r="X38" s="9"/>
      <c r="Y38" s="9"/>
      <c r="Z38" s="9"/>
      <c r="AA38" s="9"/>
      <c r="AB38" s="9"/>
    </row>
    <row r="39" spans="1:28" ht="13.5" customHeight="1">
      <c r="A39" s="9"/>
      <c r="B39" s="9"/>
      <c r="C39" s="103" t="str">
        <f>Model!C79</f>
        <v>Stock-Based Compensation</v>
      </c>
      <c r="D39" s="9"/>
      <c r="E39" s="9"/>
      <c r="F39" s="9"/>
      <c r="G39" s="242"/>
      <c r="H39" s="242"/>
      <c r="I39" s="242"/>
      <c r="J39" s="641">
        <f>Model!U247</f>
        <v>3.2229999999999999</v>
      </c>
      <c r="K39" s="642">
        <f>Model!V247</f>
        <v>3.3686678478955203</v>
      </c>
      <c r="L39" s="642">
        <f>Model!W247</f>
        <v>3.5756712955080188</v>
      </c>
      <c r="M39" s="643">
        <f>Model!X247</f>
        <v>3.8754173687509517</v>
      </c>
      <c r="N39" s="242">
        <f>Model!Y247</f>
        <v>14.04275651215449</v>
      </c>
      <c r="O39" s="242">
        <f>Model!AD247</f>
        <v>17.813675443868828</v>
      </c>
      <c r="P39" s="242">
        <f>Model!AE247</f>
        <v>19.060632724939651</v>
      </c>
      <c r="Q39" s="242">
        <f>Model!AF247</f>
        <v>20.10896752481133</v>
      </c>
      <c r="R39" s="242">
        <f>Model!AG247</f>
        <v>21.421969851033914</v>
      </c>
      <c r="S39" s="9"/>
      <c r="T39" s="9"/>
      <c r="U39" s="9"/>
      <c r="V39" s="9"/>
      <c r="W39" s="9"/>
      <c r="X39" s="9"/>
      <c r="Y39" s="9"/>
      <c r="Z39" s="9"/>
      <c r="AA39" s="9"/>
      <c r="AB39" s="9"/>
    </row>
    <row r="40" spans="1:28" ht="13.5" customHeight="1">
      <c r="A40" s="9"/>
      <c r="B40" s="9"/>
      <c r="C40" s="103" t="str">
        <f>Model!C84</f>
        <v>Capital Expenditures</v>
      </c>
      <c r="D40" s="9"/>
      <c r="E40" s="9"/>
      <c r="F40" s="9"/>
      <c r="G40" s="242"/>
      <c r="H40" s="242"/>
      <c r="I40" s="242"/>
      <c r="J40" s="641">
        <f>-Model!U194</f>
        <v>2.3220000000000027</v>
      </c>
      <c r="K40" s="642">
        <f>-Model!V194</f>
        <v>-2.20692792</v>
      </c>
      <c r="L40" s="642">
        <f>-Model!W194</f>
        <v>-2.34254286</v>
      </c>
      <c r="M40" s="643">
        <f>-Model!X194</f>
        <v>-2.1157638516000001</v>
      </c>
      <c r="N40" s="242">
        <f>-Model!Y194</f>
        <v>-4.3432346315999979</v>
      </c>
      <c r="O40" s="242">
        <f>-Model!AD194</f>
        <v>-7.7802263822581992</v>
      </c>
      <c r="P40" s="242">
        <f>-Model!AE194</f>
        <v>-8.3248422290162747</v>
      </c>
      <c r="Q40" s="242">
        <f>-Model!AF194</f>
        <v>-8.7827085516121688</v>
      </c>
      <c r="R40" s="242">
        <f>-Model!AG194</f>
        <v>-9.3561699560613718</v>
      </c>
      <c r="S40" s="9"/>
      <c r="T40" s="9"/>
      <c r="U40" s="9"/>
      <c r="V40" s="9"/>
      <c r="W40" s="9"/>
      <c r="X40" s="9"/>
      <c r="Y40" s="9"/>
      <c r="Z40" s="9"/>
      <c r="AA40" s="9"/>
      <c r="AB40" s="9"/>
    </row>
    <row r="41" spans="1:28" ht="13.5" hidden="1" customHeight="1">
      <c r="A41" s="808"/>
      <c r="B41" s="808"/>
      <c r="C41" s="810" t="e">
        <f>Drivers!#REF!</f>
        <v>#REF!</v>
      </c>
      <c r="D41" s="9"/>
      <c r="E41" s="9"/>
      <c r="F41" s="9"/>
      <c r="G41" s="242"/>
      <c r="H41" s="242"/>
      <c r="I41" s="242"/>
      <c r="J41" s="641">
        <f>Model!U40</f>
        <v>0</v>
      </c>
      <c r="K41" s="642">
        <f>Model!V40</f>
        <v>0</v>
      </c>
      <c r="L41" s="642">
        <f>Model!W40</f>
        <v>0</v>
      </c>
      <c r="M41" s="643">
        <f>Model!X40</f>
        <v>0</v>
      </c>
      <c r="N41" s="242">
        <f>Model!Y40</f>
        <v>0</v>
      </c>
      <c r="O41" s="242">
        <f>Model!AD40</f>
        <v>0</v>
      </c>
      <c r="P41" s="242">
        <f>Model!AE40</f>
        <v>0</v>
      </c>
      <c r="Q41" s="242">
        <f>Model!AF40</f>
        <v>0</v>
      </c>
      <c r="R41" s="242">
        <f>Model!AG40</f>
        <v>0</v>
      </c>
      <c r="S41" s="9"/>
      <c r="T41" s="9"/>
      <c r="U41" s="9"/>
      <c r="V41" s="9"/>
      <c r="W41" s="9"/>
      <c r="X41" s="9"/>
      <c r="Y41" s="9"/>
      <c r="Z41" s="9"/>
      <c r="AA41" s="9"/>
      <c r="AB41" s="9"/>
    </row>
    <row r="42" spans="1:28" ht="13.5" customHeight="1">
      <c r="A42" s="9"/>
      <c r="B42" s="9"/>
      <c r="C42" s="103" t="str">
        <f>Model!C80</f>
        <v>(Increase)/Decrease in Working Capital</v>
      </c>
      <c r="D42" s="9"/>
      <c r="E42" s="9"/>
      <c r="F42" s="9"/>
      <c r="G42" s="242"/>
      <c r="H42" s="242"/>
      <c r="I42" s="242"/>
      <c r="J42" s="641">
        <f>Model!U112</f>
        <v>24.38900000000001</v>
      </c>
      <c r="K42" s="642">
        <f>Model!V112</f>
        <v>-1.8032279867033196</v>
      </c>
      <c r="L42" s="642">
        <f>Model!W112</f>
        <v>-7.6543390704434273</v>
      </c>
      <c r="M42" s="643">
        <f>Model!X112</f>
        <v>-13.497405448489559</v>
      </c>
      <c r="N42" s="242">
        <f>Model!Y112</f>
        <v>1.4340274943637041</v>
      </c>
      <c r="O42" s="242">
        <f>Model!AD112</f>
        <v>-60.36571890372565</v>
      </c>
      <c r="P42" s="242">
        <f>Model!AE112</f>
        <v>21.592373891311439</v>
      </c>
      <c r="Q42" s="242">
        <f>Model!AF112</f>
        <v>-17.746026265966805</v>
      </c>
      <c r="R42" s="242">
        <f>Model!AG112</f>
        <v>-15.08478440950114</v>
      </c>
      <c r="S42" s="9"/>
      <c r="T42" s="9"/>
      <c r="U42" s="9"/>
      <c r="V42" s="9"/>
      <c r="W42" s="9"/>
      <c r="X42" s="9"/>
      <c r="Y42" s="9"/>
      <c r="Z42" s="9"/>
      <c r="AA42" s="9"/>
      <c r="AB42" s="9"/>
    </row>
    <row r="43" spans="1:28" ht="13.5" customHeight="1">
      <c r="A43" s="9"/>
      <c r="B43" s="9"/>
      <c r="C43" s="103" t="str">
        <f>Model!C81</f>
        <v>(Increase)/Decrease in LT Items</v>
      </c>
      <c r="D43" s="9"/>
      <c r="E43" s="9"/>
      <c r="F43" s="9"/>
      <c r="G43" s="242"/>
      <c r="H43" s="242"/>
      <c r="I43" s="242"/>
      <c r="J43" s="641">
        <f>Model!U81</f>
        <v>0</v>
      </c>
      <c r="K43" s="642">
        <f>Model!V81</f>
        <v>12.373537999999996</v>
      </c>
      <c r="L43" s="642">
        <f>Model!W81</f>
        <v>-7.9108714999999847</v>
      </c>
      <c r="M43" s="643">
        <f>Model!X81</f>
        <v>-11.455136112000019</v>
      </c>
      <c r="N43" s="242">
        <f>Model!Y81</f>
        <v>-6.9924696120000078</v>
      </c>
      <c r="O43" s="242">
        <f>Model!AD81</f>
        <v>-34.432772791462355</v>
      </c>
      <c r="P43" s="242">
        <f>Model!AE81</f>
        <v>-33.389352911647222</v>
      </c>
      <c r="Q43" s="242">
        <f>Model!AF81</f>
        <v>-11.87590774233098</v>
      </c>
      <c r="R43" s="242">
        <f>Model!AG81</f>
        <v>-14.87415517790123</v>
      </c>
      <c r="S43" s="9"/>
      <c r="T43" s="9"/>
      <c r="U43" s="9"/>
      <c r="V43" s="9"/>
      <c r="W43" s="9"/>
      <c r="X43" s="9"/>
      <c r="Y43" s="9"/>
      <c r="Z43" s="9"/>
      <c r="AA43" s="9"/>
      <c r="AB43" s="9"/>
    </row>
    <row r="44" spans="1:28" ht="13.5" customHeight="1">
      <c r="A44" s="9"/>
      <c r="B44" s="9"/>
      <c r="C44" s="9"/>
      <c r="D44" s="9"/>
      <c r="E44" s="9"/>
      <c r="F44" s="9"/>
      <c r="G44" s="9"/>
      <c r="H44" s="9"/>
      <c r="I44" s="9"/>
      <c r="J44" s="635"/>
      <c r="K44" s="636"/>
      <c r="L44" s="636"/>
      <c r="M44" s="637"/>
      <c r="N44" s="9"/>
      <c r="O44" s="9"/>
      <c r="P44" s="9"/>
      <c r="Q44" s="9"/>
      <c r="R44" s="9"/>
      <c r="S44" s="9"/>
      <c r="T44" s="9"/>
      <c r="U44" s="9"/>
      <c r="V44" s="9"/>
      <c r="W44" s="9"/>
      <c r="X44" s="9"/>
      <c r="Y44" s="9"/>
      <c r="Z44" s="9"/>
      <c r="AA44" s="9"/>
      <c r="AB44" s="9"/>
    </row>
    <row r="45" spans="1:28" ht="13.5" customHeight="1">
      <c r="A45" s="9"/>
      <c r="B45" s="299"/>
      <c r="C45" s="70" t="s">
        <v>690</v>
      </c>
      <c r="D45" s="70"/>
      <c r="E45" s="70"/>
      <c r="F45" s="70"/>
      <c r="G45" s="70"/>
      <c r="H45" s="70"/>
      <c r="I45" s="70"/>
      <c r="J45" s="650">
        <f t="shared" ref="J45:R45" si="1">SUM(J35:J43)</f>
        <v>88.53</v>
      </c>
      <c r="K45" s="651">
        <f t="shared" ca="1" si="1"/>
        <v>70.526460668690873</v>
      </c>
      <c r="L45" s="651">
        <f t="shared" ca="1" si="1"/>
        <v>48.054181398282999</v>
      </c>
      <c r="M45" s="652">
        <f t="shared" ca="1" si="1"/>
        <v>44.419064886311162</v>
      </c>
      <c r="N45" s="302">
        <f t="shared" ca="1" si="1"/>
        <v>251.45264731826379</v>
      </c>
      <c r="O45" s="302">
        <f t="shared" ca="1" si="1"/>
        <v>220.57212471509771</v>
      </c>
      <c r="P45" s="302">
        <f t="shared" ca="1" si="1"/>
        <v>317.76986623300246</v>
      </c>
      <c r="Q45" s="302">
        <f t="shared" ca="1" si="1"/>
        <v>317.84476577355287</v>
      </c>
      <c r="R45" s="320">
        <f t="shared" ca="1" si="1"/>
        <v>340.06254722470499</v>
      </c>
      <c r="S45" s="9"/>
      <c r="T45" s="9"/>
      <c r="U45" s="9"/>
      <c r="V45" s="9"/>
      <c r="W45" s="9"/>
      <c r="X45" s="9"/>
      <c r="Y45" s="9"/>
      <c r="Z45" s="9"/>
      <c r="AA45" s="9"/>
      <c r="AB45" s="9"/>
    </row>
    <row r="46" spans="1:28" ht="13.5" customHeight="1">
      <c r="A46" s="9"/>
      <c r="B46" s="9"/>
      <c r="C46" s="216" t="s">
        <v>689</v>
      </c>
      <c r="D46" s="9"/>
      <c r="E46" s="9"/>
      <c r="F46" s="9"/>
      <c r="G46" s="9"/>
      <c r="H46" s="367"/>
      <c r="I46" s="367"/>
      <c r="J46" s="647"/>
      <c r="K46" s="648"/>
      <c r="L46" s="648"/>
      <c r="M46" s="649"/>
      <c r="N46" s="367"/>
      <c r="O46" s="367">
        <f ca="1">O45/N45-1</f>
        <v>-0.12280850065611193</v>
      </c>
      <c r="P46" s="367">
        <f ca="1">P45/O45-1</f>
        <v>0.44066194512770074</v>
      </c>
      <c r="Q46" s="367">
        <f ca="1">Q45/P45-1</f>
        <v>2.3570372306935816E-4</v>
      </c>
      <c r="R46" s="367">
        <f ca="1">R45/Q45-1</f>
        <v>6.9901360172094362E-2</v>
      </c>
      <c r="S46" s="9"/>
      <c r="T46" s="9"/>
      <c r="U46" s="9"/>
      <c r="V46" s="9"/>
      <c r="W46" s="9"/>
      <c r="X46" s="9"/>
      <c r="Y46" s="9"/>
      <c r="Z46" s="9"/>
      <c r="AA46" s="9"/>
      <c r="AB46" s="9"/>
    </row>
    <row r="47" spans="1:28" ht="13.5" customHeight="1">
      <c r="A47" s="9"/>
      <c r="B47" s="9"/>
      <c r="C47" s="9"/>
      <c r="D47" s="9"/>
      <c r="E47" s="9"/>
      <c r="F47" s="9"/>
      <c r="G47" s="9"/>
      <c r="H47" s="9"/>
      <c r="I47" s="9"/>
      <c r="J47" s="635"/>
      <c r="K47" s="636"/>
      <c r="L47" s="636"/>
      <c r="M47" s="637"/>
      <c r="N47" s="9"/>
      <c r="O47" s="9"/>
      <c r="P47" s="9"/>
      <c r="Q47" s="9"/>
      <c r="R47" s="9"/>
      <c r="S47" s="9"/>
      <c r="T47" s="9"/>
      <c r="U47" s="9"/>
      <c r="V47" s="9"/>
      <c r="W47" s="9"/>
      <c r="X47" s="9"/>
      <c r="Y47" s="9"/>
      <c r="Z47" s="9"/>
      <c r="AA47" s="9"/>
      <c r="AB47" s="9"/>
    </row>
    <row r="48" spans="1:28" ht="13.5" customHeight="1">
      <c r="A48" s="9"/>
      <c r="B48" s="299"/>
      <c r="C48" s="70" t="s">
        <v>691</v>
      </c>
      <c r="D48" s="70"/>
      <c r="E48" s="70"/>
      <c r="F48" s="70"/>
      <c r="G48" s="70"/>
      <c r="H48" s="70"/>
      <c r="I48" s="70"/>
      <c r="J48" s="650">
        <f>IF(J27=4,0,J45)</f>
        <v>0</v>
      </c>
      <c r="K48" s="651">
        <f ca="1">IF(K27=4,0,K45)</f>
        <v>70.526460668690873</v>
      </c>
      <c r="L48" s="651">
        <f ca="1">IF(L27=4,0,L45)</f>
        <v>48.054181398282999</v>
      </c>
      <c r="M48" s="652">
        <f ca="1">IF(M27=4,0,M45)</f>
        <v>44.419064886311162</v>
      </c>
      <c r="N48" s="302">
        <f ca="1">SUM(J48:M48)</f>
        <v>162.99970695328503</v>
      </c>
      <c r="O48" s="302">
        <f ca="1">SUM(O35:O43)</f>
        <v>220.57212471509771</v>
      </c>
      <c r="P48" s="302">
        <f ca="1">SUM(P35:P43)</f>
        <v>317.76986623300246</v>
      </c>
      <c r="Q48" s="302">
        <f ca="1">SUM(Q35:Q43)</f>
        <v>317.84476577355287</v>
      </c>
      <c r="R48" s="320">
        <f ca="1">SUM(R35:R43)</f>
        <v>340.06254722470499</v>
      </c>
      <c r="S48" s="9"/>
      <c r="T48" s="9"/>
      <c r="U48" s="9"/>
      <c r="V48" s="9"/>
      <c r="W48" s="9"/>
      <c r="X48" s="9"/>
      <c r="Y48" s="9"/>
      <c r="Z48" s="9"/>
      <c r="AA48" s="9"/>
      <c r="AB48" s="9"/>
    </row>
    <row r="49" spans="1:28" ht="13.5" customHeight="1">
      <c r="A49" s="9"/>
      <c r="B49" s="9"/>
      <c r="C49" s="9"/>
      <c r="D49" s="9"/>
      <c r="E49" s="9"/>
      <c r="F49" s="9"/>
      <c r="G49" s="9"/>
      <c r="H49" s="9"/>
      <c r="I49" s="9"/>
      <c r="J49" s="635"/>
      <c r="K49" s="636"/>
      <c r="L49" s="636"/>
      <c r="M49" s="637"/>
      <c r="N49" s="9"/>
      <c r="O49" s="9"/>
      <c r="P49" s="9"/>
      <c r="Q49" s="9"/>
      <c r="R49" s="9"/>
      <c r="S49" s="9"/>
      <c r="T49" s="9"/>
      <c r="U49" s="9"/>
      <c r="V49" s="9"/>
      <c r="W49" s="9"/>
      <c r="X49" s="9"/>
      <c r="Y49" s="9"/>
      <c r="Z49" s="9"/>
      <c r="AA49" s="9"/>
      <c r="AB49" s="9"/>
    </row>
    <row r="50" spans="1:28" ht="13.5" customHeight="1">
      <c r="A50" s="9"/>
      <c r="B50" s="9"/>
      <c r="C50" s="216" t="s">
        <v>692</v>
      </c>
      <c r="D50" s="9"/>
      <c r="E50" s="9"/>
      <c r="F50" s="9"/>
      <c r="G50" s="9"/>
      <c r="H50" s="9"/>
      <c r="I50" s="9"/>
      <c r="J50" s="635"/>
      <c r="K50" s="636"/>
      <c r="L50" s="636"/>
      <c r="M50" s="637"/>
      <c r="N50" s="653">
        <f>YEARFRAC(Current_Date,Next_FYE)</f>
        <v>0.47499999999999998</v>
      </c>
      <c r="O50" s="653">
        <f>N50+1</f>
        <v>1.4750000000000001</v>
      </c>
      <c r="P50" s="653">
        <f>O50+1</f>
        <v>2.4750000000000001</v>
      </c>
      <c r="Q50" s="653">
        <f>P50+1</f>
        <v>3.4750000000000001</v>
      </c>
      <c r="R50" s="653">
        <f>Q50+1</f>
        <v>4.4749999999999996</v>
      </c>
      <c r="S50" s="9"/>
      <c r="T50" s="9"/>
      <c r="U50" s="9"/>
      <c r="V50" s="9"/>
      <c r="W50" s="9"/>
      <c r="X50" s="9"/>
      <c r="Y50" s="9"/>
      <c r="Z50" s="9"/>
      <c r="AA50" s="9"/>
      <c r="AB50" s="9"/>
    </row>
    <row r="51" spans="1:28" ht="13.5" customHeight="1">
      <c r="A51" s="9"/>
      <c r="B51" s="9"/>
      <c r="C51" s="216" t="s">
        <v>693</v>
      </c>
      <c r="D51" s="9"/>
      <c r="E51" s="9"/>
      <c r="F51" s="9"/>
      <c r="G51" s="9"/>
      <c r="H51" s="9"/>
      <c r="I51" s="9"/>
      <c r="J51" s="635"/>
      <c r="K51" s="636"/>
      <c r="L51" s="636"/>
      <c r="M51" s="637"/>
      <c r="N51" s="653">
        <f>N50/2</f>
        <v>0.23749999999999999</v>
      </c>
      <c r="O51" s="653">
        <f>O50-0.5</f>
        <v>0.97500000000000009</v>
      </c>
      <c r="P51" s="653">
        <f>P50-0.5</f>
        <v>1.9750000000000001</v>
      </c>
      <c r="Q51" s="653">
        <f>Q50-0.5</f>
        <v>2.9750000000000001</v>
      </c>
      <c r="R51" s="653">
        <f>R50-0.5</f>
        <v>3.9749999999999996</v>
      </c>
      <c r="S51" s="9"/>
      <c r="T51" s="9"/>
      <c r="U51" s="9"/>
      <c r="V51" s="9"/>
      <c r="W51" s="9"/>
      <c r="X51" s="9"/>
      <c r="Y51" s="9"/>
      <c r="Z51" s="9"/>
      <c r="AA51" s="9"/>
      <c r="AB51" s="9"/>
    </row>
    <row r="52" spans="1:28" ht="13.5" customHeight="1">
      <c r="A52" s="9"/>
      <c r="B52" s="9"/>
      <c r="C52" s="216" t="s">
        <v>694</v>
      </c>
      <c r="D52" s="9"/>
      <c r="E52" s="9"/>
      <c r="F52" s="9"/>
      <c r="G52" s="9"/>
      <c r="H52" s="9"/>
      <c r="I52" s="9"/>
      <c r="J52" s="635"/>
      <c r="K52" s="636"/>
      <c r="L52" s="636"/>
      <c r="M52" s="637"/>
      <c r="N52" s="653">
        <f ca="1">IF($G$83="Yes",1/(1+$G$84)^N51,1/(1+$G$84)^N50)</f>
        <v>0.98088408949285522</v>
      </c>
      <c r="O52" s="653">
        <f ca="1">IF($G$83="Yes",1/(1+$G$84)^O51,1/(1+$G$84)^O50)</f>
        <v>0.92382223728875812</v>
      </c>
      <c r="P52" s="653">
        <f ca="1">IF($G$83="Yes",1/(1+$G$84)^P51,1/(1+$G$84)^P50)</f>
        <v>0.85171535208514315</v>
      </c>
      <c r="Q52" s="653">
        <f ca="1">IF($G$83="Yes",1/(1+$G$84)^Q51,1/(1+$G$84)^Q50)</f>
        <v>0.78523660905423309</v>
      </c>
      <c r="R52" s="653">
        <f ca="1">IF($G$83="Yes",1/(1+$G$84)^R51,1/(1+$G$84)^R50)</f>
        <v>0.72394671610586547</v>
      </c>
      <c r="S52" s="9"/>
      <c r="T52" s="9"/>
      <c r="U52" s="9"/>
      <c r="V52" s="9"/>
      <c r="W52" s="9"/>
      <c r="X52" s="9"/>
      <c r="Y52" s="9"/>
      <c r="Z52" s="9"/>
      <c r="AA52" s="9"/>
      <c r="AB52" s="9"/>
    </row>
    <row r="53" spans="1:28" ht="13.5" customHeight="1">
      <c r="A53" s="9"/>
      <c r="B53" s="9"/>
      <c r="C53" s="9"/>
      <c r="D53" s="9"/>
      <c r="E53" s="9"/>
      <c r="F53" s="9"/>
      <c r="G53" s="9"/>
      <c r="H53" s="9"/>
      <c r="I53" s="9"/>
      <c r="J53" s="635"/>
      <c r="K53" s="636"/>
      <c r="L53" s="636"/>
      <c r="M53" s="637"/>
      <c r="N53" s="9"/>
      <c r="O53" s="9"/>
      <c r="P53" s="9"/>
      <c r="Q53" s="9"/>
      <c r="R53" s="9"/>
      <c r="S53" s="9"/>
      <c r="T53" s="9"/>
      <c r="U53" s="9"/>
      <c r="V53" s="9"/>
      <c r="W53" s="9"/>
      <c r="X53" s="9"/>
      <c r="Y53" s="9"/>
      <c r="Z53" s="9"/>
      <c r="AA53" s="9"/>
      <c r="AB53" s="9"/>
    </row>
    <row r="54" spans="1:28" ht="13.5" customHeight="1">
      <c r="A54" s="9"/>
      <c r="B54" s="299"/>
      <c r="C54" s="70" t="s">
        <v>695</v>
      </c>
      <c r="D54" s="70"/>
      <c r="E54" s="70"/>
      <c r="F54" s="70"/>
      <c r="G54" s="70"/>
      <c r="H54" s="70"/>
      <c r="I54" s="70"/>
      <c r="J54" s="650"/>
      <c r="K54" s="651"/>
      <c r="L54" s="651"/>
      <c r="M54" s="652"/>
      <c r="N54" s="302">
        <f ca="1">N48*N52</f>
        <v>159.8838191424752</v>
      </c>
      <c r="O54" s="302">
        <f ca="1">O48*O52</f>
        <v>203.76943373783655</v>
      </c>
      <c r="P54" s="302">
        <f ca="1">P48*P52</f>
        <v>270.64947350069053</v>
      </c>
      <c r="Q54" s="302">
        <f ca="1">Q48*Q52</f>
        <v>249.58334608166163</v>
      </c>
      <c r="R54" s="320">
        <f ca="1">R48*R52</f>
        <v>246.18716433392098</v>
      </c>
      <c r="S54" s="9"/>
      <c r="T54" s="9"/>
      <c r="U54" s="9"/>
      <c r="V54" s="9"/>
      <c r="W54" s="9"/>
      <c r="X54" s="9"/>
      <c r="Y54" s="9"/>
      <c r="Z54" s="9"/>
      <c r="AA54" s="9"/>
      <c r="AB54" s="9"/>
    </row>
    <row r="55" spans="1:28" ht="13.5" customHeight="1">
      <c r="A55" s="9"/>
      <c r="B55" s="9"/>
      <c r="C55" s="84" t="s">
        <v>243</v>
      </c>
      <c r="D55" s="9"/>
      <c r="E55" s="9"/>
      <c r="F55" s="9"/>
      <c r="G55" s="9"/>
      <c r="H55" s="9"/>
      <c r="I55" s="9"/>
      <c r="J55" s="635"/>
      <c r="K55" s="636"/>
      <c r="L55" s="636"/>
      <c r="M55" s="637"/>
      <c r="N55" s="9"/>
      <c r="O55" s="367">
        <f ca="1">O54/N54-1</f>
        <v>0.2744844026790112</v>
      </c>
      <c r="P55" s="367">
        <f ca="1">P54/O54-1</f>
        <v>0.32821428874803549</v>
      </c>
      <c r="Q55" s="367">
        <f ca="1">Q54/P54-1</f>
        <v>-7.7835464250312514E-2</v>
      </c>
      <c r="R55" s="367">
        <f ca="1">R54/Q54-1</f>
        <v>-1.3607405305919085E-2</v>
      </c>
      <c r="S55" s="9"/>
      <c r="T55" s="9"/>
      <c r="U55" s="9"/>
      <c r="V55" s="9"/>
      <c r="W55" s="9"/>
      <c r="X55" s="9" t="s">
        <v>696</v>
      </c>
      <c r="Y55" s="9"/>
      <c r="Z55" s="9"/>
      <c r="AA55" s="9"/>
      <c r="AB55" s="9"/>
    </row>
    <row r="56" spans="1:28" ht="13.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row>
    <row r="57" spans="1:28" ht="13.5" customHeight="1">
      <c r="A57" s="9"/>
      <c r="B57" s="9"/>
      <c r="C57" s="9"/>
      <c r="D57" s="9"/>
      <c r="E57" s="9"/>
      <c r="F57" s="9"/>
      <c r="G57" s="995" t="s">
        <v>697</v>
      </c>
      <c r="H57" s="974"/>
      <c r="I57" s="974"/>
      <c r="J57" s="974"/>
      <c r="K57" s="975"/>
      <c r="L57" s="9"/>
      <c r="M57" s="9"/>
      <c r="N57" s="995" t="s">
        <v>698</v>
      </c>
      <c r="O57" s="974"/>
      <c r="P57" s="974"/>
      <c r="Q57" s="974"/>
      <c r="R57" s="975"/>
      <c r="S57" s="9"/>
      <c r="T57" s="9"/>
      <c r="U57" s="9"/>
      <c r="V57" s="9"/>
      <c r="W57" s="9"/>
      <c r="X57" s="995" t="s">
        <v>697</v>
      </c>
      <c r="Y57" s="974"/>
      <c r="Z57" s="974"/>
      <c r="AA57" s="974"/>
      <c r="AB57" s="975"/>
    </row>
    <row r="58" spans="1:28" ht="4.5" customHeight="1">
      <c r="A58" s="9"/>
      <c r="B58" s="9"/>
      <c r="C58" s="9"/>
      <c r="D58" s="9"/>
      <c r="E58" s="9"/>
      <c r="F58" s="9"/>
      <c r="G58" s="136"/>
      <c r="H58" s="96"/>
      <c r="I58" s="96"/>
      <c r="J58" s="96"/>
      <c r="K58" s="198"/>
      <c r="L58" s="9"/>
      <c r="M58" s="9"/>
      <c r="N58" s="136"/>
      <c r="O58" s="96"/>
      <c r="P58" s="96"/>
      <c r="Q58" s="96"/>
      <c r="R58" s="198"/>
      <c r="S58" s="9"/>
      <c r="T58" s="9"/>
      <c r="U58" s="9"/>
      <c r="V58" s="9"/>
      <c r="W58" s="135"/>
      <c r="X58" s="96"/>
      <c r="Y58" s="96"/>
      <c r="Z58" s="96"/>
      <c r="AA58" s="96"/>
      <c r="AB58" s="198"/>
    </row>
    <row r="59" spans="1:28" ht="13.5" customHeight="1">
      <c r="A59" s="9"/>
      <c r="B59" s="9"/>
      <c r="C59" s="9"/>
      <c r="D59" s="9"/>
      <c r="E59" s="9"/>
      <c r="F59" s="135"/>
      <c r="G59" s="9" t="s">
        <v>699</v>
      </c>
      <c r="H59" s="9"/>
      <c r="I59" s="9"/>
      <c r="J59" s="9"/>
      <c r="K59" s="654">
        <f ca="1">R32</f>
        <v>386.05896281198233</v>
      </c>
      <c r="L59" s="9"/>
      <c r="M59" s="9"/>
      <c r="N59" s="134" t="s">
        <v>700</v>
      </c>
      <c r="O59" s="9"/>
      <c r="P59" s="9"/>
      <c r="Q59" s="9"/>
      <c r="R59" s="655">
        <f ca="1">R48</f>
        <v>340.06254722470499</v>
      </c>
      <c r="S59" s="9"/>
      <c r="T59" s="9"/>
      <c r="U59" s="9"/>
      <c r="V59" s="9"/>
      <c r="W59" s="135"/>
      <c r="X59" s="9" t="s">
        <v>699</v>
      </c>
      <c r="Y59" s="9"/>
      <c r="Z59" s="9"/>
      <c r="AA59" s="9"/>
      <c r="AB59" s="654">
        <f ca="1">R32</f>
        <v>386.05896281198233</v>
      </c>
    </row>
    <row r="60" spans="1:28" ht="15" customHeight="1">
      <c r="A60" s="9"/>
      <c r="B60" s="9"/>
      <c r="C60" s="9"/>
      <c r="D60" s="9"/>
      <c r="E60" s="9"/>
      <c r="F60" s="135"/>
      <c r="G60" s="9" t="s">
        <v>701</v>
      </c>
      <c r="H60" s="9"/>
      <c r="I60" s="9"/>
      <c r="J60" s="9"/>
      <c r="K60" s="656">
        <f>IF(Case_Scenario="Bear",Valuation!J84,IF(Case_Scenario="Base",Valuation!J85,IF(Case_Scenario="Bull",Valuation!J86,"Error")))</f>
        <v>25</v>
      </c>
      <c r="L60" s="9"/>
      <c r="M60" s="9"/>
      <c r="N60" s="134" t="s">
        <v>702</v>
      </c>
      <c r="O60" s="9"/>
      <c r="P60" s="9"/>
      <c r="Q60" s="9"/>
      <c r="R60" s="657">
        <f>G86</f>
        <v>0.02</v>
      </c>
      <c r="S60" s="9"/>
      <c r="T60" s="9"/>
      <c r="U60" s="9"/>
      <c r="V60" s="9"/>
      <c r="W60" s="135"/>
      <c r="X60" s="9" t="s">
        <v>701</v>
      </c>
      <c r="Y60" s="9"/>
      <c r="Z60" s="9"/>
      <c r="AA60" s="9"/>
      <c r="AB60" s="656" cm="1">
        <f t="array" ref="AB60">_xlfn.IFS(Case_Scenario="Base",Valuation!J85,Case_Scenario="Bull",Valuation!J86,Case_Scenario="Bear",Valuation!J84)</f>
        <v>25</v>
      </c>
    </row>
    <row r="61" spans="1:28" ht="13.5" customHeight="1">
      <c r="A61" s="9"/>
      <c r="B61" s="9"/>
      <c r="C61" s="9"/>
      <c r="D61" s="9"/>
      <c r="E61" s="9"/>
      <c r="F61" s="135"/>
      <c r="G61" s="9" t="s">
        <v>703</v>
      </c>
      <c r="H61" s="9"/>
      <c r="I61" s="9"/>
      <c r="J61" s="9"/>
      <c r="K61" s="658">
        <f ca="1">K59*K60</f>
        <v>9651.4740702995587</v>
      </c>
      <c r="L61" s="9"/>
      <c r="M61" s="9"/>
      <c r="N61" s="134" t="s">
        <v>703</v>
      </c>
      <c r="O61" s="9"/>
      <c r="P61" s="9"/>
      <c r="Q61" s="9"/>
      <c r="R61" s="658">
        <f ca="1">(R59*(1+R60))/(Discount_Rate-R60)</f>
        <v>5364.3615723730027</v>
      </c>
      <c r="S61" s="9"/>
      <c r="T61" s="9"/>
      <c r="U61" s="9"/>
      <c r="V61" s="9"/>
      <c r="W61" s="135"/>
      <c r="X61" s="9" t="s">
        <v>703</v>
      </c>
      <c r="Y61" s="9"/>
      <c r="Z61" s="9"/>
      <c r="AA61" s="9"/>
      <c r="AB61" s="658">
        <f ca="1">AB59*AB60</f>
        <v>9651.4740702995587</v>
      </c>
    </row>
    <row r="62" spans="1:28" ht="13.5" customHeight="1">
      <c r="A62" s="9"/>
      <c r="B62" s="9"/>
      <c r="C62" s="9"/>
      <c r="D62" s="9"/>
      <c r="E62" s="9"/>
      <c r="F62" s="135"/>
      <c r="G62" s="9" t="s">
        <v>704</v>
      </c>
      <c r="H62" s="9"/>
      <c r="I62" s="9"/>
      <c r="J62" s="9"/>
      <c r="K62" s="658">
        <f ca="1">K61*R52</f>
        <v>6987.1529587742762</v>
      </c>
      <c r="L62" s="9"/>
      <c r="M62" s="9"/>
      <c r="N62" s="134" t="s">
        <v>704</v>
      </c>
      <c r="O62" s="9"/>
      <c r="P62" s="9"/>
      <c r="Q62" s="9"/>
      <c r="R62" s="658">
        <f ca="1">R61*R52</f>
        <v>3883.5119443239323</v>
      </c>
      <c r="S62" s="9"/>
      <c r="T62" s="9"/>
      <c r="U62" s="9"/>
      <c r="V62" s="9"/>
      <c r="W62" s="135"/>
      <c r="X62" s="9" t="s">
        <v>704</v>
      </c>
      <c r="Y62" s="9"/>
      <c r="Z62" s="9"/>
      <c r="AA62" s="9"/>
      <c r="AB62" s="658">
        <f ca="1">AB61*R52</f>
        <v>6987.1529587742762</v>
      </c>
    </row>
    <row r="63" spans="1:28" ht="13.5" customHeight="1">
      <c r="A63" s="9"/>
      <c r="B63" s="9"/>
      <c r="C63" s="9"/>
      <c r="D63" s="9"/>
      <c r="E63" s="9"/>
      <c r="F63" s="135"/>
      <c r="G63" s="9" t="s">
        <v>705</v>
      </c>
      <c r="H63" s="9"/>
      <c r="I63" s="9"/>
      <c r="J63" s="9"/>
      <c r="K63" s="658">
        <f ca="1">SUM(N54:R54)</f>
        <v>1130.0732367965848</v>
      </c>
      <c r="L63" s="9"/>
      <c r="M63" s="9"/>
      <c r="N63" s="134" t="s">
        <v>705</v>
      </c>
      <c r="O63" s="9"/>
      <c r="P63" s="9"/>
      <c r="Q63" s="9"/>
      <c r="R63" s="658">
        <f ca="1">SUM(N54:R54)</f>
        <v>1130.0732367965848</v>
      </c>
      <c r="S63" s="9"/>
      <c r="T63" s="9"/>
      <c r="U63" s="9"/>
      <c r="V63" s="9"/>
      <c r="W63" s="135"/>
      <c r="X63" s="9" t="s">
        <v>705</v>
      </c>
      <c r="Y63" s="9"/>
      <c r="Z63" s="9"/>
      <c r="AA63" s="9"/>
      <c r="AB63" s="658">
        <f ca="1">SUM(N54:R54)</f>
        <v>1130.0732367965848</v>
      </c>
    </row>
    <row r="64" spans="1:28" ht="13.5" customHeight="1">
      <c r="A64" s="9"/>
      <c r="B64" s="9"/>
      <c r="C64" s="9"/>
      <c r="D64" s="9"/>
      <c r="E64" s="9"/>
      <c r="F64" s="135"/>
      <c r="G64" s="9"/>
      <c r="H64" s="9"/>
      <c r="I64" s="9"/>
      <c r="J64" s="9"/>
      <c r="K64" s="135"/>
      <c r="L64" s="9"/>
      <c r="M64" s="9"/>
      <c r="N64" s="134"/>
      <c r="O64" s="9"/>
      <c r="P64" s="9"/>
      <c r="Q64" s="9"/>
      <c r="R64" s="135"/>
      <c r="S64" s="9"/>
      <c r="T64" s="9"/>
      <c r="U64" s="9"/>
      <c r="V64" s="9"/>
      <c r="W64" s="135"/>
      <c r="X64" s="9"/>
      <c r="Y64" s="9"/>
      <c r="Z64" s="9"/>
      <c r="AA64" s="9"/>
      <c r="AB64" s="135"/>
    </row>
    <row r="65" spans="1:28" ht="13.5" customHeight="1">
      <c r="A65" s="9"/>
      <c r="B65" s="9"/>
      <c r="C65" s="9"/>
      <c r="D65" s="9"/>
      <c r="E65" s="9"/>
      <c r="F65" s="135"/>
      <c r="G65" s="96" t="s">
        <v>9</v>
      </c>
      <c r="H65" s="96"/>
      <c r="I65" s="96"/>
      <c r="J65" s="96"/>
      <c r="K65" s="659">
        <f ca="1">K62+K63</f>
        <v>8117.2261955708609</v>
      </c>
      <c r="L65" s="9"/>
      <c r="M65" s="9"/>
      <c r="N65" s="136" t="s">
        <v>9</v>
      </c>
      <c r="O65" s="96"/>
      <c r="P65" s="96"/>
      <c r="Q65" s="96"/>
      <c r="R65" s="659">
        <f ca="1">R62+R63</f>
        <v>5013.5851811205175</v>
      </c>
      <c r="S65" s="9"/>
      <c r="T65" s="9"/>
      <c r="U65" s="9"/>
      <c r="V65" s="9"/>
      <c r="W65" s="135"/>
      <c r="X65" s="96" t="s">
        <v>9</v>
      </c>
      <c r="Y65" s="96"/>
      <c r="Z65" s="96"/>
      <c r="AA65" s="96"/>
      <c r="AB65" s="659">
        <f ca="1">AB62+AB63</f>
        <v>8117.2261955708609</v>
      </c>
    </row>
    <row r="66" spans="1:28" ht="13.5" customHeight="1">
      <c r="A66" s="9"/>
      <c r="B66" s="9"/>
      <c r="C66" s="9"/>
      <c r="D66" s="9"/>
      <c r="E66" s="9"/>
      <c r="F66" s="135"/>
      <c r="G66" s="9" t="s">
        <v>706</v>
      </c>
      <c r="H66" s="9"/>
      <c r="I66" s="9"/>
      <c r="J66" s="9"/>
      <c r="K66" s="660">
        <f>IF(Last_FQR="1Q",Model!$U$122,IF(Last_FQR="2Q",Model!$V$122,IF(Last_FQR="3Q",Model!$W$122,Model!$X$122)))</f>
        <v>263.34699999999998</v>
      </c>
      <c r="L66" s="9"/>
      <c r="M66" s="9"/>
      <c r="N66" s="134" t="s">
        <v>706</v>
      </c>
      <c r="O66" s="9"/>
      <c r="P66" s="9"/>
      <c r="Q66" s="9"/>
      <c r="R66" s="658">
        <f t="shared" ref="R66:R71" si="2">K66</f>
        <v>263.34699999999998</v>
      </c>
      <c r="S66" s="9"/>
      <c r="T66" s="9"/>
      <c r="U66" s="9"/>
      <c r="V66" s="9"/>
      <c r="W66" s="135"/>
      <c r="X66" s="9" t="s">
        <v>706</v>
      </c>
      <c r="Y66" s="9"/>
      <c r="Z66" s="9"/>
      <c r="AA66" s="9"/>
      <c r="AB66" s="660">
        <f ca="1">Model!$V$122</f>
        <v>261.16986924346253</v>
      </c>
    </row>
    <row r="67" spans="1:28" ht="13.5" customHeight="1">
      <c r="A67" s="9"/>
      <c r="B67" s="9"/>
      <c r="C67" s="9"/>
      <c r="D67" s="9"/>
      <c r="E67" s="9"/>
      <c r="F67" s="135"/>
      <c r="G67" s="9" t="s">
        <v>707</v>
      </c>
      <c r="H67" s="9"/>
      <c r="I67" s="9"/>
      <c r="J67" s="9"/>
      <c r="K67" s="660">
        <f>WACC!$M$8</f>
        <v>0</v>
      </c>
      <c r="L67" s="9"/>
      <c r="M67" s="9"/>
      <c r="N67" s="134" t="s">
        <v>707</v>
      </c>
      <c r="O67" s="9"/>
      <c r="P67" s="9"/>
      <c r="Q67" s="9"/>
      <c r="R67" s="658">
        <f t="shared" si="2"/>
        <v>0</v>
      </c>
      <c r="S67" s="9"/>
      <c r="T67" s="9"/>
      <c r="U67" s="9"/>
      <c r="V67" s="9"/>
      <c r="W67" s="135"/>
      <c r="X67" s="9" t="s">
        <v>707</v>
      </c>
      <c r="Y67" s="9"/>
      <c r="Z67" s="9"/>
      <c r="AA67" s="9"/>
      <c r="AB67" s="660">
        <f>WACC!$M$8</f>
        <v>0</v>
      </c>
    </row>
    <row r="68" spans="1:28" ht="13.5" customHeight="1">
      <c r="A68" s="9"/>
      <c r="B68" s="9"/>
      <c r="C68" s="9"/>
      <c r="D68" s="9"/>
      <c r="E68" s="9"/>
      <c r="F68" s="135"/>
      <c r="G68" s="9" t="s">
        <v>708</v>
      </c>
      <c r="H68" s="9"/>
      <c r="I68" s="9"/>
      <c r="J68" s="9"/>
      <c r="K68" s="660">
        <f>-IF(Last_FQR="1Q",Model!$U$141+Model!$U$142,IF(Last_FQR="2Q",Model!$V$141+Model!$V$142,IF(Last_FQR="3Q",Model!$W$141+Model!$W$142,Model!$X$141+Model!$X$142)))</f>
        <v>-288.58199999999999</v>
      </c>
      <c r="L68" s="9"/>
      <c r="M68" s="9"/>
      <c r="N68" s="134" t="s">
        <v>708</v>
      </c>
      <c r="O68" s="9"/>
      <c r="P68" s="9"/>
      <c r="Q68" s="9"/>
      <c r="R68" s="658">
        <f t="shared" si="2"/>
        <v>-288.58199999999999</v>
      </c>
      <c r="S68" s="9"/>
      <c r="T68" s="9"/>
      <c r="U68" s="9"/>
      <c r="V68" s="9"/>
      <c r="W68" s="135"/>
      <c r="X68" s="9" t="s">
        <v>708</v>
      </c>
      <c r="Y68" s="9"/>
      <c r="Z68" s="9"/>
      <c r="AA68" s="9"/>
      <c r="AB68" s="660">
        <f ca="1">-(Model!$V$141+Model!$V$142)</f>
        <v>-287.08199999999999</v>
      </c>
    </row>
    <row r="69" spans="1:28" ht="13.5" customHeight="1">
      <c r="A69" s="9"/>
      <c r="B69" s="9"/>
      <c r="C69" s="9"/>
      <c r="D69" s="9"/>
      <c r="E69" s="9"/>
      <c r="F69" s="135"/>
      <c r="G69" s="9" t="s">
        <v>709</v>
      </c>
      <c r="H69" s="9"/>
      <c r="I69" s="9"/>
      <c r="J69" s="9"/>
      <c r="K69" s="661">
        <v>0</v>
      </c>
      <c r="L69" s="9"/>
      <c r="M69" s="9"/>
      <c r="N69" s="134" t="s">
        <v>709</v>
      </c>
      <c r="O69" s="9"/>
      <c r="P69" s="9"/>
      <c r="Q69" s="9"/>
      <c r="R69" s="658">
        <f t="shared" si="2"/>
        <v>0</v>
      </c>
      <c r="S69" s="9"/>
      <c r="T69" s="9"/>
      <c r="U69" s="9"/>
      <c r="V69" s="9"/>
      <c r="W69" s="135"/>
      <c r="X69" s="9" t="s">
        <v>709</v>
      </c>
      <c r="Y69" s="9"/>
      <c r="Z69" s="9"/>
      <c r="AA69" s="9"/>
      <c r="AB69" s="661">
        <v>0</v>
      </c>
    </row>
    <row r="70" spans="1:28" ht="13.5" customHeight="1">
      <c r="A70" s="9"/>
      <c r="B70" s="9"/>
      <c r="C70" s="9"/>
      <c r="D70" s="9"/>
      <c r="E70" s="9"/>
      <c r="F70" s="135"/>
      <c r="G70" s="9" t="s">
        <v>710</v>
      </c>
      <c r="H70" s="9"/>
      <c r="I70" s="9"/>
      <c r="J70" s="9"/>
      <c r="K70" s="660">
        <f>-IF(Last_FQR="1Q",Model!$U$154,IF(Last_FQR="2Q",Model!$V$154,IF(Last_FQR="3Q",Model!$W$154,Model!$X$154)))</f>
        <v>-236.245</v>
      </c>
      <c r="L70" s="9"/>
      <c r="M70" s="9"/>
      <c r="N70" s="134" t="s">
        <v>710</v>
      </c>
      <c r="O70" s="9"/>
      <c r="P70" s="9"/>
      <c r="Q70" s="9"/>
      <c r="R70" s="658">
        <f t="shared" si="2"/>
        <v>-236.245</v>
      </c>
      <c r="S70" s="9"/>
      <c r="T70" s="9"/>
      <c r="U70" s="9"/>
      <c r="V70" s="9"/>
      <c r="W70" s="135"/>
      <c r="X70" s="9" t="s">
        <v>710</v>
      </c>
      <c r="Y70" s="9"/>
      <c r="Z70" s="9"/>
      <c r="AA70" s="9"/>
      <c r="AB70" s="660">
        <f>-Model!$V$154</f>
        <v>-202.30172600000003</v>
      </c>
    </row>
    <row r="71" spans="1:28" ht="13.5" customHeight="1">
      <c r="A71" s="9"/>
      <c r="B71" s="9"/>
      <c r="C71" s="9"/>
      <c r="D71" s="9"/>
      <c r="E71" s="9"/>
      <c r="F71" s="135"/>
      <c r="G71" s="9" t="s">
        <v>711</v>
      </c>
      <c r="H71" s="9"/>
      <c r="I71" s="9"/>
      <c r="J71" s="9"/>
      <c r="K71" s="661">
        <v>0</v>
      </c>
      <c r="L71" s="9"/>
      <c r="M71" s="9"/>
      <c r="N71" s="134" t="s">
        <v>711</v>
      </c>
      <c r="O71" s="9"/>
      <c r="P71" s="9"/>
      <c r="Q71" s="9"/>
      <c r="R71" s="658">
        <f t="shared" si="2"/>
        <v>0</v>
      </c>
      <c r="S71" s="9"/>
      <c r="T71" s="9"/>
      <c r="U71" s="9"/>
      <c r="V71" s="9"/>
      <c r="W71" s="135"/>
      <c r="X71" s="9" t="s">
        <v>711</v>
      </c>
      <c r="Y71" s="9"/>
      <c r="Z71" s="9"/>
      <c r="AA71" s="9"/>
      <c r="AB71" s="661">
        <v>0</v>
      </c>
    </row>
    <row r="72" spans="1:28" ht="13.5" customHeight="1">
      <c r="A72" s="9"/>
      <c r="B72" s="9"/>
      <c r="C72" s="9"/>
      <c r="D72" s="9"/>
      <c r="E72" s="9"/>
      <c r="F72" s="135"/>
      <c r="G72" s="96" t="s">
        <v>12</v>
      </c>
      <c r="H72" s="96"/>
      <c r="I72" s="96"/>
      <c r="J72" s="96"/>
      <c r="K72" s="659">
        <f ca="1">SUM(K65:K71)</f>
        <v>7855.7461955708613</v>
      </c>
      <c r="L72" s="9"/>
      <c r="M72" s="9"/>
      <c r="N72" s="136" t="s">
        <v>12</v>
      </c>
      <c r="O72" s="96"/>
      <c r="P72" s="96"/>
      <c r="Q72" s="96"/>
      <c r="R72" s="659">
        <f ca="1">SUM(R65:R71)</f>
        <v>4752.105181120517</v>
      </c>
      <c r="S72" s="9"/>
      <c r="T72" s="9"/>
      <c r="U72" s="9"/>
      <c r="V72" s="9"/>
      <c r="W72" s="135"/>
      <c r="X72" s="96" t="s">
        <v>12</v>
      </c>
      <c r="Y72" s="96"/>
      <c r="Z72" s="96"/>
      <c r="AA72" s="96"/>
      <c r="AB72" s="659">
        <f ca="1">SUM(AB65:AB71)</f>
        <v>7889.0123388143238</v>
      </c>
    </row>
    <row r="73" spans="1:28" ht="13.5" customHeight="1">
      <c r="A73" s="9"/>
      <c r="B73" s="9"/>
      <c r="C73" s="9"/>
      <c r="D73" s="9"/>
      <c r="E73" s="9"/>
      <c r="F73" s="135"/>
      <c r="G73" s="9"/>
      <c r="H73" s="9"/>
      <c r="I73" s="9"/>
      <c r="J73" s="9"/>
      <c r="K73" s="135"/>
      <c r="L73" s="9"/>
      <c r="M73" s="9"/>
      <c r="N73" s="134"/>
      <c r="O73" s="9"/>
      <c r="P73" s="9"/>
      <c r="Q73" s="9"/>
      <c r="R73" s="135"/>
      <c r="S73" s="9"/>
      <c r="T73" s="9"/>
      <c r="U73" s="9"/>
      <c r="V73" s="9"/>
      <c r="W73" s="135"/>
      <c r="X73" s="9"/>
      <c r="Y73" s="9"/>
      <c r="Z73" s="9"/>
      <c r="AA73" s="9"/>
      <c r="AB73" s="135"/>
    </row>
    <row r="74" spans="1:28" ht="13.5" customHeight="1">
      <c r="A74" s="9"/>
      <c r="B74" s="9"/>
      <c r="C74" s="9"/>
      <c r="D74" s="9"/>
      <c r="E74" s="9"/>
      <c r="F74" s="135"/>
      <c r="G74" s="9" t="s">
        <v>712</v>
      </c>
      <c r="H74" s="9"/>
      <c r="I74" s="9"/>
      <c r="J74" s="9"/>
      <c r="K74" s="662">
        <f>Diluted_Shares</f>
        <v>54.47</v>
      </c>
      <c r="L74" s="9"/>
      <c r="M74" s="9"/>
      <c r="N74" s="134" t="s">
        <v>712</v>
      </c>
      <c r="O74" s="9"/>
      <c r="P74" s="9"/>
      <c r="Q74" s="9"/>
      <c r="R74" s="663">
        <f>K74</f>
        <v>54.47</v>
      </c>
      <c r="S74" s="9"/>
      <c r="T74" s="9"/>
      <c r="U74" s="9"/>
      <c r="V74" s="9"/>
      <c r="W74" s="135"/>
      <c r="X74" s="9" t="s">
        <v>712</v>
      </c>
      <c r="Y74" s="9"/>
      <c r="Z74" s="9"/>
      <c r="AA74" s="9"/>
      <c r="AB74" s="662">
        <f>Diluted_Shares</f>
        <v>54.47</v>
      </c>
    </row>
    <row r="75" spans="1:28" ht="13.5" customHeight="1">
      <c r="A75" s="9"/>
      <c r="B75" s="9"/>
      <c r="C75" s="9"/>
      <c r="D75" s="9"/>
      <c r="E75" s="9"/>
      <c r="F75" s="9"/>
      <c r="G75" s="134"/>
      <c r="H75" s="9"/>
      <c r="I75" s="9"/>
      <c r="J75" s="9"/>
      <c r="K75" s="135"/>
      <c r="L75" s="9"/>
      <c r="M75" s="9"/>
      <c r="N75" s="134"/>
      <c r="O75" s="9"/>
      <c r="P75" s="9"/>
      <c r="Q75" s="9"/>
      <c r="R75" s="135"/>
      <c r="S75" s="9"/>
      <c r="T75" s="9"/>
      <c r="U75" s="9"/>
      <c r="V75" s="9"/>
      <c r="W75" s="135"/>
      <c r="X75" s="9"/>
      <c r="Y75" s="9"/>
      <c r="Z75" s="9"/>
      <c r="AA75" s="9"/>
      <c r="AB75" s="135"/>
    </row>
    <row r="76" spans="1:28" ht="13.5" customHeight="1">
      <c r="A76" s="9"/>
      <c r="B76" s="9"/>
      <c r="C76" s="9"/>
      <c r="D76" s="9"/>
      <c r="E76" s="9"/>
      <c r="F76" s="9"/>
      <c r="G76" s="136" t="s">
        <v>14</v>
      </c>
      <c r="H76" s="96"/>
      <c r="I76" s="96"/>
      <c r="J76" s="96"/>
      <c r="K76" s="664">
        <f ca="1">K72/K74</f>
        <v>144.22152002149554</v>
      </c>
      <c r="L76" s="9"/>
      <c r="M76" s="9"/>
      <c r="N76" s="136" t="s">
        <v>14</v>
      </c>
      <c r="O76" s="96"/>
      <c r="P76" s="96"/>
      <c r="Q76" s="96"/>
      <c r="R76" s="664">
        <f ca="1">R72/R74</f>
        <v>87.242613936488283</v>
      </c>
      <c r="S76" s="9"/>
      <c r="T76" s="9"/>
      <c r="U76" s="9"/>
      <c r="V76" s="9"/>
      <c r="W76" s="135"/>
      <c r="X76" s="96" t="s">
        <v>14</v>
      </c>
      <c r="Y76" s="96"/>
      <c r="Z76" s="96"/>
      <c r="AA76" s="96"/>
      <c r="AB76" s="664">
        <f ca="1">AB72/AB74</f>
        <v>144.83224414933585</v>
      </c>
    </row>
    <row r="77" spans="1:28" ht="13.5" customHeight="1">
      <c r="A77" s="9"/>
      <c r="B77" s="9"/>
      <c r="C77" s="9"/>
      <c r="D77" s="9"/>
      <c r="E77" s="9"/>
      <c r="F77" s="9"/>
      <c r="G77" s="665" t="s">
        <v>11</v>
      </c>
      <c r="H77" s="95"/>
      <c r="I77" s="95"/>
      <c r="J77" s="95"/>
      <c r="K77" s="666">
        <f ca="1">K76/Share_Price-1</f>
        <v>0.21952917319039011</v>
      </c>
      <c r="L77" s="9"/>
      <c r="M77" s="9"/>
      <c r="N77" s="665" t="s">
        <v>11</v>
      </c>
      <c r="O77" s="95"/>
      <c r="P77" s="95"/>
      <c r="Q77" s="95"/>
      <c r="R77" s="666">
        <f ca="1">R76/Share_Price-1</f>
        <v>-0.2622812959877534</v>
      </c>
      <c r="S77" s="9"/>
      <c r="T77" s="9"/>
      <c r="U77" s="9"/>
      <c r="V77" s="9"/>
      <c r="W77" s="9"/>
      <c r="X77" s="665" t="s">
        <v>11</v>
      </c>
      <c r="Y77" s="95"/>
      <c r="Z77" s="95"/>
      <c r="AA77" s="95"/>
      <c r="AB77" s="666">
        <f ca="1">AB76/Share_Price-1</f>
        <v>0.22469342253793201</v>
      </c>
    </row>
    <row r="78" spans="1:28" ht="13.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row>
    <row r="79" spans="1:28" ht="13.5" customHeight="1">
      <c r="A79" s="9"/>
      <c r="B79" s="9"/>
      <c r="C79" s="9"/>
      <c r="D79" s="9"/>
      <c r="E79" s="9"/>
      <c r="F79" s="9"/>
      <c r="G79" s="9" t="s">
        <v>713</v>
      </c>
      <c r="H79" s="9"/>
      <c r="I79" s="9"/>
      <c r="J79" s="9"/>
      <c r="K79" s="667">
        <f ca="1">R61/K59</f>
        <v>13.895187235908168</v>
      </c>
      <c r="L79" s="9"/>
      <c r="M79" s="9"/>
      <c r="N79" s="9" t="s">
        <v>714</v>
      </c>
      <c r="O79" s="9"/>
      <c r="P79" s="9"/>
      <c r="Q79" s="9"/>
      <c r="R79" s="668">
        <f ca="1">(K61*Discount_Rate-R59)/(R59+K61)</f>
        <v>4.7744284431669406E-2</v>
      </c>
      <c r="S79" s="9"/>
      <c r="T79" s="9"/>
      <c r="U79" s="9"/>
      <c r="V79" s="9"/>
      <c r="W79" s="9"/>
      <c r="X79" s="9" t="s">
        <v>713</v>
      </c>
      <c r="Y79" s="9"/>
      <c r="Z79" s="9"/>
      <c r="AA79" s="9"/>
      <c r="AB79" s="667">
        <f ca="1">R61/AB59</f>
        <v>13.895187235908168</v>
      </c>
    </row>
    <row r="80" spans="1:28" ht="13.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row>
    <row r="81" spans="1:28" ht="13.5" customHeight="1">
      <c r="A81" s="180" t="s">
        <v>0</v>
      </c>
      <c r="B81" s="9"/>
      <c r="C81" s="1034" t="s">
        <v>41</v>
      </c>
      <c r="D81" s="974"/>
      <c r="E81" s="974"/>
      <c r="F81" s="974"/>
      <c r="G81" s="974"/>
      <c r="H81" s="974"/>
      <c r="I81" s="974"/>
      <c r="J81" s="974"/>
      <c r="K81" s="974"/>
      <c r="L81" s="974"/>
      <c r="M81" s="974"/>
      <c r="N81" s="974"/>
      <c r="O81" s="974"/>
      <c r="P81" s="974"/>
      <c r="Q81" s="974"/>
      <c r="R81" s="975"/>
      <c r="S81" s="180" t="s">
        <v>0</v>
      </c>
      <c r="T81" s="9"/>
      <c r="U81" s="9"/>
      <c r="V81" s="9"/>
      <c r="W81" s="9"/>
      <c r="X81" s="9"/>
      <c r="Y81" s="9"/>
      <c r="Z81" s="9"/>
      <c r="AA81" s="9"/>
      <c r="AB81" s="9"/>
    </row>
    <row r="82" spans="1:28" ht="4.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row>
    <row r="83" spans="1:28" ht="13.5" customHeight="1">
      <c r="A83" s="9"/>
      <c r="B83" s="9"/>
      <c r="C83" s="103" t="s">
        <v>693</v>
      </c>
      <c r="D83" s="9"/>
      <c r="E83" s="9"/>
      <c r="F83" s="9"/>
      <c r="G83" s="32" t="s">
        <v>715</v>
      </c>
      <c r="H83" s="9"/>
      <c r="I83" s="1041" t="s">
        <v>142</v>
      </c>
      <c r="J83" s="1042"/>
      <c r="K83" s="9"/>
      <c r="L83" s="9"/>
      <c r="M83" s="9"/>
      <c r="N83" s="9"/>
      <c r="O83" s="9"/>
      <c r="P83" s="9"/>
      <c r="Q83" s="9"/>
      <c r="R83" s="9"/>
      <c r="S83" s="9"/>
      <c r="T83" s="9"/>
      <c r="U83" s="9"/>
      <c r="V83" s="9"/>
      <c r="W83" s="9"/>
      <c r="X83" s="9"/>
      <c r="Y83" s="9"/>
      <c r="Z83" s="9"/>
      <c r="AA83" s="9"/>
      <c r="AB83" s="9"/>
    </row>
    <row r="84" spans="1:28" ht="13.5" customHeight="1">
      <c r="A84" s="9"/>
      <c r="B84" s="9"/>
      <c r="C84" s="9" t="s">
        <v>716</v>
      </c>
      <c r="D84" s="9"/>
      <c r="E84" s="9"/>
      <c r="F84" s="9"/>
      <c r="G84" s="669">
        <f ca="1">Discount_Rate</f>
        <v>8.4660779011538345E-2</v>
      </c>
      <c r="H84" s="9"/>
      <c r="I84" s="9" t="s">
        <v>717</v>
      </c>
      <c r="J84" s="670">
        <v>18.5</v>
      </c>
      <c r="K84" s="9"/>
      <c r="L84" s="9"/>
      <c r="M84" s="9"/>
      <c r="N84" s="9"/>
      <c r="O84" s="9"/>
      <c r="P84" s="9"/>
      <c r="Q84" s="9"/>
      <c r="R84" s="9"/>
      <c r="S84" s="9"/>
      <c r="T84" s="9"/>
      <c r="U84" s="9"/>
      <c r="V84" s="9"/>
      <c r="W84" s="9"/>
      <c r="X84" s="9"/>
      <c r="Y84" s="9"/>
      <c r="Z84" s="9"/>
      <c r="AA84" s="9"/>
      <c r="AB84" s="9"/>
    </row>
    <row r="85" spans="1:28" ht="13.5" customHeight="1">
      <c r="A85" s="9"/>
      <c r="B85" s="9"/>
      <c r="C85" s="9" t="s">
        <v>290</v>
      </c>
      <c r="D85" s="9"/>
      <c r="E85" s="9"/>
      <c r="F85" s="9"/>
      <c r="G85" s="671">
        <f>Tax_Rate</f>
        <v>0.19255309117958283</v>
      </c>
      <c r="H85" s="9"/>
      <c r="I85" s="9" t="s">
        <v>25</v>
      </c>
      <c r="J85" s="670">
        <v>25</v>
      </c>
      <c r="K85" s="9"/>
      <c r="L85" s="9"/>
      <c r="M85" s="9"/>
      <c r="N85" s="9"/>
      <c r="O85" s="9"/>
      <c r="P85" s="9"/>
      <c r="Q85" s="9"/>
      <c r="R85" s="9"/>
      <c r="S85" s="9"/>
      <c r="T85" s="9"/>
      <c r="U85" s="9"/>
      <c r="V85" s="9"/>
      <c r="W85" s="9"/>
      <c r="X85" s="9"/>
      <c r="Y85" s="9"/>
      <c r="Z85" s="9"/>
      <c r="AA85" s="9"/>
      <c r="AB85" s="9"/>
    </row>
    <row r="86" spans="1:28" ht="13.5" customHeight="1">
      <c r="A86" s="9"/>
      <c r="B86" s="9"/>
      <c r="C86" s="9" t="s">
        <v>679</v>
      </c>
      <c r="D86" s="9"/>
      <c r="E86" s="9"/>
      <c r="F86" s="9"/>
      <c r="G86" s="672">
        <v>0.02</v>
      </c>
      <c r="H86" s="9"/>
      <c r="I86" s="9" t="s">
        <v>718</v>
      </c>
      <c r="J86" s="670">
        <v>26</v>
      </c>
      <c r="K86" s="9"/>
      <c r="L86" s="9"/>
      <c r="M86" s="9"/>
      <c r="N86" s="9"/>
      <c r="O86" s="9"/>
      <c r="P86" s="9"/>
      <c r="Q86" s="9"/>
      <c r="R86" s="9"/>
      <c r="S86" s="9"/>
      <c r="T86" s="9"/>
      <c r="U86" s="9"/>
      <c r="V86" s="9"/>
      <c r="W86" s="9"/>
      <c r="X86" s="9"/>
      <c r="Y86" s="9"/>
      <c r="Z86" s="9"/>
      <c r="AA86" s="9"/>
      <c r="AB86" s="9"/>
    </row>
    <row r="87" spans="1:28" ht="13.5" customHeight="1">
      <c r="A87" s="9"/>
      <c r="B87" s="9"/>
      <c r="C87" s="9" t="s">
        <v>142</v>
      </c>
      <c r="D87" s="9"/>
      <c r="E87" s="9"/>
      <c r="F87" s="9"/>
      <c r="G87" s="670" cm="1">
        <f t="array" ref="G87">_xlfn.IFS(Case_Scenario="Base",Valuation!J85,Case_Scenario="Bull",Valuation!J86,Case_Scenario="Bear",Valuation!J84)</f>
        <v>25</v>
      </c>
      <c r="H87" s="9"/>
      <c r="I87" s="9"/>
      <c r="J87" s="670"/>
      <c r="K87" s="9"/>
      <c r="L87" s="9"/>
      <c r="M87" s="9"/>
      <c r="N87" s="9"/>
      <c r="O87" s="9"/>
      <c r="P87" s="9"/>
      <c r="Q87" s="9"/>
      <c r="R87" s="9"/>
      <c r="S87" s="9"/>
      <c r="T87" s="9"/>
      <c r="U87" s="9"/>
      <c r="V87" s="9"/>
      <c r="W87" s="9"/>
      <c r="X87" s="9"/>
      <c r="Y87" s="9"/>
      <c r="Z87" s="9"/>
      <c r="AA87" s="9"/>
      <c r="AB87" s="9"/>
    </row>
    <row r="88" spans="1:28" ht="13.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row>
    <row r="89" spans="1:28" ht="4.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row>
    <row r="90" spans="1:28" ht="14.25" customHeight="1">
      <c r="A90" s="180" t="s">
        <v>0</v>
      </c>
      <c r="B90" s="9"/>
      <c r="C90" s="1034" t="s">
        <v>719</v>
      </c>
      <c r="D90" s="974"/>
      <c r="E90" s="974"/>
      <c r="F90" s="974"/>
      <c r="G90" s="974"/>
      <c r="H90" s="974"/>
      <c r="I90" s="974"/>
      <c r="J90" s="974"/>
      <c r="K90" s="974"/>
      <c r="L90" s="974"/>
      <c r="M90" s="974"/>
      <c r="N90" s="974"/>
      <c r="O90" s="974"/>
      <c r="P90" s="974"/>
      <c r="Q90" s="974"/>
      <c r="R90" s="975"/>
      <c r="S90" s="180" t="s">
        <v>0</v>
      </c>
      <c r="T90" s="9"/>
      <c r="U90" s="9"/>
      <c r="V90" s="9"/>
      <c r="W90" s="9"/>
      <c r="X90" s="9"/>
      <c r="Y90" s="9"/>
      <c r="Z90" s="9"/>
      <c r="AA90" s="9"/>
      <c r="AB90" s="9"/>
    </row>
    <row r="91" spans="1:28" ht="4.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row>
    <row r="92" spans="1:28" ht="14.25" customHeight="1">
      <c r="A92" s="9"/>
      <c r="B92" s="9"/>
      <c r="C92" s="9" t="s">
        <v>720</v>
      </c>
      <c r="D92" s="9"/>
      <c r="E92" s="667">
        <f>J85</f>
        <v>25</v>
      </c>
      <c r="F92" s="567">
        <f>E92-H98</f>
        <v>0</v>
      </c>
      <c r="G92" s="9"/>
      <c r="H92" s="9" t="s">
        <v>721</v>
      </c>
      <c r="I92" s="9"/>
      <c r="J92" s="673">
        <f>G86</f>
        <v>0.02</v>
      </c>
      <c r="K92" s="567">
        <f>J92-H106</f>
        <v>0</v>
      </c>
      <c r="L92" s="9"/>
      <c r="M92" s="9" t="s">
        <v>722</v>
      </c>
      <c r="N92" s="9"/>
      <c r="O92" s="673">
        <f ca="1">G84</f>
        <v>8.4660779011538345E-2</v>
      </c>
      <c r="P92" s="567">
        <f ca="1">O92-E101</f>
        <v>0</v>
      </c>
      <c r="Q92" s="9"/>
      <c r="R92" s="9"/>
      <c r="S92" s="9"/>
      <c r="T92" s="9"/>
      <c r="U92" s="9"/>
      <c r="V92" s="9"/>
      <c r="W92" s="9"/>
      <c r="X92" s="9"/>
      <c r="Y92" s="9"/>
      <c r="Z92" s="9"/>
      <c r="AA92" s="9"/>
      <c r="AB92" s="9"/>
    </row>
    <row r="93" spans="1:28" ht="14.25" customHeight="1">
      <c r="A93" s="9"/>
      <c r="B93" s="9"/>
      <c r="C93" s="9" t="s">
        <v>723</v>
      </c>
      <c r="D93" s="9"/>
      <c r="E93" s="674">
        <v>1</v>
      </c>
      <c r="F93" s="9"/>
      <c r="G93" s="9"/>
      <c r="H93" s="9" t="s">
        <v>724</v>
      </c>
      <c r="I93" s="9"/>
      <c r="J93" s="675">
        <v>5.0000000000000001E-3</v>
      </c>
      <c r="K93" s="9"/>
      <c r="L93" s="9"/>
      <c r="M93" s="9" t="s">
        <v>725</v>
      </c>
      <c r="N93" s="9"/>
      <c r="O93" s="675">
        <v>5.0000000000000001E-3</v>
      </c>
      <c r="P93" s="9"/>
      <c r="Q93" s="9"/>
      <c r="R93" s="9"/>
      <c r="S93" s="9"/>
      <c r="T93" s="9"/>
      <c r="U93" s="9"/>
      <c r="V93" s="9"/>
      <c r="W93" s="9"/>
      <c r="X93" s="9"/>
      <c r="Y93" s="9"/>
      <c r="Z93" s="9"/>
      <c r="AA93" s="9"/>
      <c r="AB93" s="9"/>
    </row>
    <row r="94" spans="1:28" ht="14.25" customHeight="1">
      <c r="A94" s="9"/>
      <c r="B94" s="9"/>
      <c r="C94" s="9"/>
      <c r="D94" s="9"/>
      <c r="E94" s="32"/>
      <c r="F94" s="9"/>
      <c r="G94" s="9"/>
      <c r="H94" s="9"/>
      <c r="I94" s="9"/>
      <c r="J94" s="9"/>
      <c r="K94" s="9"/>
      <c r="L94" s="9"/>
      <c r="M94" s="9"/>
      <c r="N94" s="9"/>
      <c r="O94" s="9"/>
      <c r="P94" s="9"/>
      <c r="Q94" s="9"/>
      <c r="R94" s="9"/>
      <c r="S94" s="9"/>
      <c r="T94" s="9"/>
      <c r="U94" s="9"/>
      <c r="V94" s="9"/>
      <c r="W94" s="9"/>
      <c r="X94" s="9"/>
      <c r="Y94" s="9"/>
      <c r="Z94" s="9"/>
      <c r="AA94" s="9"/>
      <c r="AB94" s="9"/>
    </row>
    <row r="95" spans="1:28" ht="14.25" customHeight="1">
      <c r="A95" s="9"/>
      <c r="B95" s="9"/>
      <c r="C95" s="9"/>
      <c r="D95" s="1037" t="s">
        <v>726</v>
      </c>
      <c r="E95" s="974"/>
      <c r="F95" s="974"/>
      <c r="G95" s="974"/>
      <c r="H95" s="974"/>
      <c r="I95" s="974"/>
      <c r="J95" s="975"/>
      <c r="K95" s="676"/>
      <c r="L95" s="1037" t="s">
        <v>727</v>
      </c>
      <c r="M95" s="974"/>
      <c r="N95" s="974"/>
      <c r="O95" s="974"/>
      <c r="P95" s="974"/>
      <c r="Q95" s="974"/>
      <c r="R95" s="975"/>
      <c r="S95" s="9"/>
      <c r="T95" s="9"/>
      <c r="U95" s="9"/>
      <c r="V95" s="9"/>
      <c r="W95" s="9"/>
      <c r="X95" s="9"/>
      <c r="Y95" s="9"/>
      <c r="Z95" s="9"/>
      <c r="AA95" s="9"/>
      <c r="AB95" s="9"/>
    </row>
    <row r="96" spans="1:28" ht="14.25" customHeight="1">
      <c r="A96" s="9"/>
      <c r="B96" s="9"/>
      <c r="C96" s="9"/>
      <c r="D96" s="37"/>
      <c r="E96" s="139"/>
      <c r="F96" s="64"/>
      <c r="G96" s="64"/>
      <c r="H96" s="64"/>
      <c r="I96" s="64"/>
      <c r="J96" s="64"/>
      <c r="K96" s="676"/>
      <c r="L96" s="37"/>
      <c r="M96" s="139"/>
      <c r="N96" s="64"/>
      <c r="O96" s="64"/>
      <c r="P96" s="64"/>
      <c r="Q96" s="64"/>
      <c r="R96" s="64"/>
      <c r="S96" s="9"/>
      <c r="T96" s="9"/>
      <c r="U96" s="9"/>
      <c r="V96" s="9"/>
      <c r="W96" s="9"/>
      <c r="X96" s="9"/>
      <c r="Y96" s="9"/>
      <c r="Z96" s="9"/>
      <c r="AA96" s="9"/>
      <c r="AB96" s="9"/>
    </row>
    <row r="97" spans="1:28" ht="14.25" customHeight="1">
      <c r="A97" s="9"/>
      <c r="B97" s="9"/>
      <c r="C97" s="9"/>
      <c r="D97" s="489"/>
      <c r="E97" s="491"/>
      <c r="F97" s="1029" t="s">
        <v>142</v>
      </c>
      <c r="G97" s="1030"/>
      <c r="H97" s="1030"/>
      <c r="I97" s="1030"/>
      <c r="J97" s="1030"/>
      <c r="K97" s="9"/>
      <c r="L97" s="489"/>
      <c r="M97" s="491"/>
      <c r="N97" s="1029" t="s">
        <v>142</v>
      </c>
      <c r="O97" s="1030"/>
      <c r="P97" s="1030"/>
      <c r="Q97" s="1030"/>
      <c r="R97" s="1030"/>
      <c r="S97" s="9"/>
      <c r="T97" s="9"/>
      <c r="U97" s="9"/>
      <c r="V97" s="9"/>
      <c r="W97" s="9"/>
      <c r="X97" s="9"/>
      <c r="Y97" s="9"/>
      <c r="Z97" s="9"/>
      <c r="AA97" s="9"/>
      <c r="AB97" s="9"/>
    </row>
    <row r="98" spans="1:28" ht="14.25" customHeight="1">
      <c r="A98" s="9"/>
      <c r="B98" s="9"/>
      <c r="C98" s="9"/>
      <c r="D98" s="9"/>
      <c r="E98" s="677">
        <f ca="1">K76</f>
        <v>144.22152002149554</v>
      </c>
      <c r="F98" s="678">
        <f>G98-$E$93</f>
        <v>23</v>
      </c>
      <c r="G98" s="678">
        <f>H98-$E$93</f>
        <v>24</v>
      </c>
      <c r="H98" s="679">
        <v>25</v>
      </c>
      <c r="I98" s="678">
        <f>H98+$E$93</f>
        <v>26</v>
      </c>
      <c r="J98" s="678">
        <f>I98+$E$93</f>
        <v>27</v>
      </c>
      <c r="K98" s="9"/>
      <c r="L98" s="9"/>
      <c r="M98" s="680">
        <f>$H$73</f>
        <v>0</v>
      </c>
      <c r="N98" s="678">
        <f>F98</f>
        <v>23</v>
      </c>
      <c r="O98" s="678">
        <f>G98</f>
        <v>24</v>
      </c>
      <c r="P98" s="678">
        <f>H98</f>
        <v>25</v>
      </c>
      <c r="Q98" s="678">
        <f>I98</f>
        <v>26</v>
      </c>
      <c r="R98" s="678">
        <f>J98</f>
        <v>27</v>
      </c>
      <c r="S98" s="9"/>
      <c r="T98" s="9"/>
      <c r="U98" s="9"/>
      <c r="V98" s="9"/>
      <c r="W98" s="9"/>
      <c r="X98" s="9"/>
      <c r="Y98" s="9"/>
      <c r="Z98" s="9"/>
      <c r="AA98" s="9"/>
      <c r="AB98" s="9"/>
    </row>
    <row r="99" spans="1:28" ht="14.25" customHeight="1">
      <c r="A99" s="9"/>
      <c r="B99" s="9"/>
      <c r="C99" s="9"/>
      <c r="D99" s="1031" t="s">
        <v>42</v>
      </c>
      <c r="E99" s="681">
        <f>E100-$O$93</f>
        <v>7.4660779011538336E-2</v>
      </c>
      <c r="F99" s="682">
        <v>236.33583068885625</v>
      </c>
      <c r="G99" s="683">
        <v>255.22340234056509</v>
      </c>
      <c r="H99" s="683">
        <v>274.11097399227401</v>
      </c>
      <c r="I99" s="683">
        <v>292.99854564398288</v>
      </c>
      <c r="J99" s="684">
        <v>311.8861172956918</v>
      </c>
      <c r="K99" s="9"/>
      <c r="L99" s="1031" t="s">
        <v>42</v>
      </c>
      <c r="M99" s="681">
        <f>E99</f>
        <v>7.4660779011538336E-2</v>
      </c>
      <c r="N99" s="685">
        <f t="shared" ref="N99:R103" si="3">F99/Share_Price-1</f>
        <v>0.99844267452102353</v>
      </c>
      <c r="O99" s="561">
        <f t="shared" si="3"/>
        <v>1.1581549326954597</v>
      </c>
      <c r="P99" s="561">
        <f t="shared" si="3"/>
        <v>1.3178671908698969</v>
      </c>
      <c r="Q99" s="561">
        <f t="shared" si="3"/>
        <v>1.4775794490443332</v>
      </c>
      <c r="R99" s="686">
        <f t="shared" si="3"/>
        <v>1.6372917072187705</v>
      </c>
      <c r="S99" s="9"/>
      <c r="T99" s="9"/>
      <c r="U99" s="9"/>
      <c r="V99" s="9"/>
      <c r="W99" s="9"/>
      <c r="X99" s="9"/>
      <c r="Y99" s="9"/>
      <c r="Z99" s="9"/>
      <c r="AA99" s="9"/>
      <c r="AB99" s="9"/>
    </row>
    <row r="100" spans="1:28" ht="14.25" customHeight="1">
      <c r="A100" s="9"/>
      <c r="B100" s="9"/>
      <c r="C100" s="9"/>
      <c r="D100" s="1032"/>
      <c r="E100" s="681">
        <f>E101-$O$93</f>
        <v>7.9660779011538341E-2</v>
      </c>
      <c r="F100" s="687">
        <v>232.22019290427394</v>
      </c>
      <c r="G100" s="688">
        <v>250.78261834058881</v>
      </c>
      <c r="H100" s="688">
        <v>269.34504377690365</v>
      </c>
      <c r="I100" s="688">
        <v>287.90746921321852</v>
      </c>
      <c r="J100" s="689">
        <v>306.46989464953344</v>
      </c>
      <c r="K100" s="9"/>
      <c r="L100" s="1032"/>
      <c r="M100" s="681">
        <f>E100</f>
        <v>7.9660779011538341E-2</v>
      </c>
      <c r="N100" s="690">
        <f t="shared" si="3"/>
        <v>0.96364106971312302</v>
      </c>
      <c r="O100" s="451">
        <f t="shared" si="3"/>
        <v>1.1206039095263725</v>
      </c>
      <c r="P100" s="451">
        <f t="shared" si="3"/>
        <v>1.2775667493396217</v>
      </c>
      <c r="Q100" s="451">
        <f t="shared" si="3"/>
        <v>1.4345295891528709</v>
      </c>
      <c r="R100" s="572">
        <f t="shared" si="3"/>
        <v>1.5914924289661205</v>
      </c>
      <c r="S100" s="9"/>
      <c r="T100" s="9"/>
      <c r="U100" s="9"/>
      <c r="V100" s="9"/>
      <c r="W100" s="9"/>
      <c r="X100" s="9"/>
      <c r="Y100" s="9"/>
      <c r="Z100" s="9"/>
      <c r="AA100" s="9"/>
      <c r="AB100" s="9"/>
    </row>
    <row r="101" spans="1:28" ht="14.25" customHeight="1">
      <c r="A101" s="9"/>
      <c r="B101" s="9"/>
      <c r="C101" s="9"/>
      <c r="D101" s="1032"/>
      <c r="E101" s="691">
        <v>8.4660779011538345E-2</v>
      </c>
      <c r="F101" s="692">
        <v>228.19143454386773</v>
      </c>
      <c r="G101" s="688">
        <v>246.43576913961923</v>
      </c>
      <c r="H101" s="688">
        <v>264.68010373537061</v>
      </c>
      <c r="I101" s="688">
        <v>282.92443833112208</v>
      </c>
      <c r="J101" s="689">
        <v>301.16877292687354</v>
      </c>
      <c r="K101" s="9"/>
      <c r="L101" s="1032"/>
      <c r="M101" s="681">
        <f>E101</f>
        <v>8.4660779011538345E-2</v>
      </c>
      <c r="N101" s="690">
        <f t="shared" si="3"/>
        <v>0.92957411249676736</v>
      </c>
      <c r="O101" s="451">
        <f t="shared" si="3"/>
        <v>1.0838471938070287</v>
      </c>
      <c r="P101" s="451">
        <f t="shared" si="3"/>
        <v>1.2381202751172888</v>
      </c>
      <c r="Q101" s="451">
        <f t="shared" si="3"/>
        <v>1.3923933564275499</v>
      </c>
      <c r="R101" s="572">
        <f t="shared" si="3"/>
        <v>1.546666437737811</v>
      </c>
      <c r="S101" s="9"/>
      <c r="T101" s="9"/>
      <c r="U101" s="9"/>
      <c r="V101" s="9"/>
      <c r="W101" s="9"/>
      <c r="X101" s="9"/>
      <c r="Y101" s="9"/>
      <c r="Z101" s="9"/>
      <c r="AA101" s="9"/>
      <c r="AB101" s="9"/>
    </row>
    <row r="102" spans="1:28" ht="14.25" customHeight="1">
      <c r="A102" s="9"/>
      <c r="B102" s="9"/>
      <c r="C102" s="9"/>
      <c r="D102" s="1032"/>
      <c r="E102" s="681">
        <f>E101+$O$93</f>
        <v>8.966077901153835E-2</v>
      </c>
      <c r="F102" s="687">
        <v>224.24731517247491</v>
      </c>
      <c r="G102" s="688">
        <v>242.1804298569011</v>
      </c>
      <c r="H102" s="688">
        <v>260.11354454132726</v>
      </c>
      <c r="I102" s="688">
        <v>278.04665922575344</v>
      </c>
      <c r="J102" s="689">
        <v>295.97977391017963</v>
      </c>
      <c r="K102" s="9"/>
      <c r="L102" s="1032"/>
      <c r="M102" s="681">
        <f>E102</f>
        <v>8.966077901153835E-2</v>
      </c>
      <c r="N102" s="690">
        <f t="shared" si="3"/>
        <v>0.89622285787650013</v>
      </c>
      <c r="O102" s="451">
        <f t="shared" si="3"/>
        <v>1.0478642808802729</v>
      </c>
      <c r="P102" s="451">
        <f t="shared" si="3"/>
        <v>1.1995057038840455</v>
      </c>
      <c r="Q102" s="451">
        <f t="shared" si="3"/>
        <v>1.3511471268878186</v>
      </c>
      <c r="R102" s="572">
        <f t="shared" si="3"/>
        <v>1.5027885498915916</v>
      </c>
      <c r="S102" s="9"/>
      <c r="T102" s="9"/>
      <c r="U102" s="9"/>
      <c r="V102" s="9"/>
      <c r="W102" s="9"/>
      <c r="X102" s="9"/>
      <c r="Y102" s="9"/>
      <c r="Z102" s="9"/>
      <c r="AA102" s="9"/>
      <c r="AB102" s="9"/>
    </row>
    <row r="103" spans="1:28" ht="14.25" customHeight="1">
      <c r="A103" s="9"/>
      <c r="B103" s="9"/>
      <c r="C103" s="9"/>
      <c r="D103" s="1033"/>
      <c r="E103" s="681">
        <f>E102+$O$93</f>
        <v>9.4660779011538354E-2</v>
      </c>
      <c r="F103" s="693">
        <v>220.38566223253238</v>
      </c>
      <c r="G103" s="694">
        <v>238.01424912332109</v>
      </c>
      <c r="H103" s="694">
        <v>255.64283601410978</v>
      </c>
      <c r="I103" s="694">
        <v>273.27142290489849</v>
      </c>
      <c r="J103" s="695">
        <v>290.90000979568714</v>
      </c>
      <c r="K103" s="9"/>
      <c r="L103" s="1033"/>
      <c r="M103" s="681">
        <f>E103</f>
        <v>9.4660779011538354E-2</v>
      </c>
      <c r="N103" s="696">
        <f t="shared" si="3"/>
        <v>0.86356893482608132</v>
      </c>
      <c r="O103" s="569">
        <f t="shared" si="3"/>
        <v>1.0126352876993159</v>
      </c>
      <c r="P103" s="569">
        <f t="shared" si="3"/>
        <v>1.16170164057255</v>
      </c>
      <c r="Q103" s="569">
        <f t="shared" si="3"/>
        <v>1.3107679934457845</v>
      </c>
      <c r="R103" s="697">
        <f t="shared" si="3"/>
        <v>1.4598343463190186</v>
      </c>
      <c r="S103" s="9"/>
      <c r="T103" s="9"/>
      <c r="U103" s="9"/>
      <c r="V103" s="9"/>
      <c r="W103" s="9"/>
      <c r="X103" s="9"/>
      <c r="Y103" s="9"/>
      <c r="Z103" s="9"/>
      <c r="AA103" s="9"/>
      <c r="AB103" s="9"/>
    </row>
    <row r="104" spans="1:28" ht="14.25" customHeight="1">
      <c r="A104" s="9"/>
      <c r="B104" s="9"/>
      <c r="C104" s="9"/>
      <c r="D104" s="9"/>
      <c r="E104" s="9"/>
      <c r="F104" s="9"/>
      <c r="G104" s="9"/>
      <c r="H104" s="9"/>
      <c r="I104" s="9"/>
      <c r="J104" s="9"/>
      <c r="K104" s="9"/>
      <c r="L104" s="9"/>
      <c r="M104" s="9"/>
      <c r="N104" s="64"/>
      <c r="O104" s="64"/>
      <c r="P104" s="64"/>
      <c r="Q104" s="64"/>
      <c r="R104" s="64"/>
      <c r="S104" s="9"/>
      <c r="T104" s="9"/>
      <c r="U104" s="9"/>
      <c r="V104" s="9"/>
      <c r="W104" s="9"/>
      <c r="X104" s="9"/>
      <c r="Y104" s="9"/>
      <c r="Z104" s="9"/>
      <c r="AA104" s="9"/>
      <c r="AB104" s="9"/>
    </row>
    <row r="105" spans="1:28" ht="14.25" customHeight="1">
      <c r="A105" s="9"/>
      <c r="B105" s="9"/>
      <c r="C105" s="9"/>
      <c r="D105" s="489"/>
      <c r="E105" s="491"/>
      <c r="F105" s="1029" t="s">
        <v>728</v>
      </c>
      <c r="G105" s="1030"/>
      <c r="H105" s="1030"/>
      <c r="I105" s="1030"/>
      <c r="J105" s="1030"/>
      <c r="K105" s="9"/>
      <c r="L105" s="489"/>
      <c r="M105" s="491"/>
      <c r="N105" s="1029" t="s">
        <v>728</v>
      </c>
      <c r="O105" s="1030"/>
      <c r="P105" s="1030"/>
      <c r="Q105" s="1030"/>
      <c r="R105" s="1030"/>
      <c r="S105" s="9"/>
      <c r="T105" s="9"/>
      <c r="U105" s="9"/>
      <c r="V105" s="9"/>
      <c r="W105" s="9"/>
      <c r="X105" s="9"/>
      <c r="Y105" s="9"/>
      <c r="Z105" s="9"/>
      <c r="AA105" s="9"/>
      <c r="AB105" s="9"/>
    </row>
    <row r="106" spans="1:28" ht="14.25" customHeight="1">
      <c r="A106" s="9"/>
      <c r="B106" s="9"/>
      <c r="C106" s="9"/>
      <c r="D106" s="9"/>
      <c r="E106" s="677">
        <f ca="1">$R$76</f>
        <v>87.242613936488283</v>
      </c>
      <c r="F106" s="569">
        <f>G106-$J$93</f>
        <v>9.9999999999999985E-3</v>
      </c>
      <c r="G106" s="569">
        <f>H106-$J$93</f>
        <v>1.4999999999999999E-2</v>
      </c>
      <c r="H106" s="698">
        <v>0.02</v>
      </c>
      <c r="I106" s="569">
        <f>H106+$J$93</f>
        <v>2.5000000000000001E-2</v>
      </c>
      <c r="J106" s="569">
        <f>I106+$J$93</f>
        <v>3.0000000000000002E-2</v>
      </c>
      <c r="K106" s="9"/>
      <c r="L106" s="9"/>
      <c r="M106" s="680">
        <f>$O$73</f>
        <v>0</v>
      </c>
      <c r="N106" s="569">
        <f>F106</f>
        <v>9.9999999999999985E-3</v>
      </c>
      <c r="O106" s="569">
        <f>G106</f>
        <v>1.4999999999999999E-2</v>
      </c>
      <c r="P106" s="569">
        <f>H106</f>
        <v>0.02</v>
      </c>
      <c r="Q106" s="569">
        <f>I106</f>
        <v>2.5000000000000001E-2</v>
      </c>
      <c r="R106" s="569">
        <f>J106</f>
        <v>3.0000000000000002E-2</v>
      </c>
      <c r="S106" s="9"/>
      <c r="T106" s="9"/>
      <c r="U106" s="9"/>
      <c r="V106" s="9"/>
      <c r="W106" s="9"/>
      <c r="X106" s="9"/>
      <c r="Y106" s="9"/>
      <c r="Z106" s="9"/>
      <c r="AA106" s="9"/>
      <c r="AB106" s="9"/>
    </row>
    <row r="107" spans="1:28" ht="14.25" customHeight="1">
      <c r="A107" s="9"/>
      <c r="B107" s="9"/>
      <c r="C107" s="9"/>
      <c r="D107" s="1031" t="s">
        <v>42</v>
      </c>
      <c r="E107" s="681">
        <f>E99</f>
        <v>7.4660779011538336E-2</v>
      </c>
      <c r="F107" s="682">
        <v>186.95744698844035</v>
      </c>
      <c r="G107" s="683">
        <v>198.5140915183207</v>
      </c>
      <c r="H107" s="692">
        <v>211.74860199972466</v>
      </c>
      <c r="I107" s="683">
        <v>227.05498523210753</v>
      </c>
      <c r="J107" s="684">
        <v>244.96108856782928</v>
      </c>
      <c r="K107" s="9"/>
      <c r="L107" s="1031" t="s">
        <v>42</v>
      </c>
      <c r="M107" s="681">
        <f>E107</f>
        <v>7.4660779011538336E-2</v>
      </c>
      <c r="N107" s="685">
        <f t="shared" ref="N107:R111" si="4">F107/Share_Price-1</f>
        <v>0.5809018010184368</v>
      </c>
      <c r="O107" s="561">
        <f t="shared" si="4"/>
        <v>0.67862414610452126</v>
      </c>
      <c r="P107" s="561">
        <f t="shared" si="4"/>
        <v>0.79053443260379375</v>
      </c>
      <c r="Q107" s="561">
        <f t="shared" si="4"/>
        <v>0.91996436015649863</v>
      </c>
      <c r="R107" s="686">
        <f t="shared" si="4"/>
        <v>1.0713773766939734</v>
      </c>
      <c r="S107" s="9"/>
      <c r="T107" s="9"/>
      <c r="U107" s="9"/>
      <c r="V107" s="9"/>
      <c r="W107" s="9"/>
      <c r="X107" s="9"/>
      <c r="Y107" s="9"/>
      <c r="Z107" s="9"/>
      <c r="AA107" s="9"/>
      <c r="AB107" s="9"/>
    </row>
    <row r="108" spans="1:28" ht="14.25" customHeight="1">
      <c r="A108" s="9"/>
      <c r="B108" s="9"/>
      <c r="C108" s="9"/>
      <c r="D108" s="1032"/>
      <c r="E108" s="681">
        <f>E100</f>
        <v>7.9660779011538341E-2</v>
      </c>
      <c r="F108" s="687">
        <v>183.69184937199219</v>
      </c>
      <c r="G108" s="688">
        <v>195.04954830416227</v>
      </c>
      <c r="H108" s="688">
        <v>208.05622902137139</v>
      </c>
      <c r="I108" s="688">
        <v>223.09911556550063</v>
      </c>
      <c r="J108" s="689">
        <v>240.69696848981826</v>
      </c>
      <c r="K108" s="9"/>
      <c r="L108" s="1032"/>
      <c r="M108" s="681">
        <f>E108</f>
        <v>7.9660779011538341E-2</v>
      </c>
      <c r="N108" s="690">
        <f t="shared" si="4"/>
        <v>0.55328808871970381</v>
      </c>
      <c r="O108" s="451">
        <f t="shared" si="4"/>
        <v>0.64932816086726075</v>
      </c>
      <c r="P108" s="451">
        <f t="shared" si="4"/>
        <v>0.75931193151844556</v>
      </c>
      <c r="Q108" s="451">
        <f t="shared" si="4"/>
        <v>0.88651374569170138</v>
      </c>
      <c r="R108" s="572">
        <f t="shared" si="4"/>
        <v>1.0353202138493001</v>
      </c>
      <c r="S108" s="9"/>
      <c r="T108" s="9"/>
      <c r="U108" s="9"/>
      <c r="V108" s="9"/>
      <c r="W108" s="9"/>
      <c r="X108" s="9"/>
      <c r="Y108" s="9"/>
      <c r="Z108" s="9"/>
      <c r="AA108" s="9"/>
      <c r="AB108" s="9"/>
    </row>
    <row r="109" spans="1:28" ht="14.25" customHeight="1">
      <c r="A109" s="9"/>
      <c r="B109" s="9"/>
      <c r="C109" s="9"/>
      <c r="D109" s="1032"/>
      <c r="E109" s="699">
        <v>8.4748651231077346E-2</v>
      </c>
      <c r="F109" s="687">
        <v>180.49468608725613</v>
      </c>
      <c r="G109" s="688">
        <v>191.65775635882392</v>
      </c>
      <c r="H109" s="688">
        <v>204.44155100888241</v>
      </c>
      <c r="I109" s="688">
        <v>219.22665850136025</v>
      </c>
      <c r="J109" s="689">
        <v>236.52294976564528</v>
      </c>
      <c r="K109" s="9"/>
      <c r="L109" s="1032"/>
      <c r="M109" s="681">
        <f>E109</f>
        <v>8.4748651231077346E-2</v>
      </c>
      <c r="N109" s="690">
        <f t="shared" si="4"/>
        <v>0.5262530533338079</v>
      </c>
      <c r="O109" s="451">
        <f t="shared" si="4"/>
        <v>0.6206473563235575</v>
      </c>
      <c r="P109" s="451">
        <f t="shared" si="4"/>
        <v>0.72874641475462876</v>
      </c>
      <c r="Q109" s="451">
        <f t="shared" si="4"/>
        <v>0.85376846356638114</v>
      </c>
      <c r="R109" s="572">
        <f t="shared" si="4"/>
        <v>1.0000249430546702</v>
      </c>
      <c r="S109" s="9"/>
      <c r="T109" s="9"/>
      <c r="U109" s="9"/>
      <c r="V109" s="9"/>
      <c r="W109" s="9"/>
      <c r="X109" s="9"/>
      <c r="Y109" s="9"/>
      <c r="Z109" s="9"/>
      <c r="AA109" s="9"/>
      <c r="AB109" s="9"/>
    </row>
    <row r="110" spans="1:28" ht="14.25" customHeight="1">
      <c r="A110" s="9"/>
      <c r="B110" s="9"/>
      <c r="C110" s="9"/>
      <c r="D110" s="1032"/>
      <c r="E110" s="681">
        <f>E102</f>
        <v>8.966077901153835E-2</v>
      </c>
      <c r="F110" s="687">
        <v>177.36419890109127</v>
      </c>
      <c r="G110" s="688">
        <v>188.33684459335734</v>
      </c>
      <c r="H110" s="688">
        <v>200.90256763238992</v>
      </c>
      <c r="I110" s="688">
        <v>215.43546423613432</v>
      </c>
      <c r="J110" s="689">
        <v>232.43670773064315</v>
      </c>
      <c r="K110" s="9"/>
      <c r="L110" s="1032"/>
      <c r="M110" s="681">
        <f>E110</f>
        <v>8.966077901153835E-2</v>
      </c>
      <c r="N110" s="690">
        <f t="shared" si="4"/>
        <v>0.49978182733884036</v>
      </c>
      <c r="O110" s="451">
        <f t="shared" si="4"/>
        <v>0.59256591064905573</v>
      </c>
      <c r="P110" s="451">
        <f t="shared" si="4"/>
        <v>0.69882096763394141</v>
      </c>
      <c r="Q110" s="451">
        <f t="shared" si="4"/>
        <v>0.82171033516095315</v>
      </c>
      <c r="R110" s="572">
        <f t="shared" si="4"/>
        <v>0.96547190707460806</v>
      </c>
      <c r="S110" s="9"/>
      <c r="T110" s="9"/>
      <c r="U110" s="9"/>
      <c r="V110" s="9"/>
      <c r="W110" s="9"/>
      <c r="X110" s="9"/>
      <c r="Y110" s="9"/>
      <c r="Z110" s="9"/>
      <c r="AA110" s="9"/>
      <c r="AB110" s="9"/>
    </row>
    <row r="111" spans="1:28" ht="14.25" customHeight="1">
      <c r="A111" s="9"/>
      <c r="B111" s="9"/>
      <c r="C111" s="9"/>
      <c r="D111" s="1033"/>
      <c r="E111" s="681">
        <f>E103</f>
        <v>9.4660779011538354E-2</v>
      </c>
      <c r="F111" s="693">
        <v>174.2986827286993</v>
      </c>
      <c r="G111" s="694">
        <v>185.08499851443031</v>
      </c>
      <c r="H111" s="694">
        <v>197.43733910541226</v>
      </c>
      <c r="I111" s="694">
        <v>211.7234480754534</v>
      </c>
      <c r="J111" s="695">
        <v>228.43598817060391</v>
      </c>
      <c r="K111" s="9"/>
      <c r="L111" s="1033"/>
      <c r="M111" s="681">
        <f>E111</f>
        <v>9.4660779011538354E-2</v>
      </c>
      <c r="N111" s="696">
        <f t="shared" si="4"/>
        <v>0.4738599926323297</v>
      </c>
      <c r="O111" s="569">
        <f t="shared" si="4"/>
        <v>0.56506848058879</v>
      </c>
      <c r="P111" s="569">
        <f t="shared" si="4"/>
        <v>0.66951918742949657</v>
      </c>
      <c r="Q111" s="569">
        <f t="shared" si="4"/>
        <v>0.79032173241546921</v>
      </c>
      <c r="R111" s="697">
        <f t="shared" si="4"/>
        <v>0.93164204439881537</v>
      </c>
      <c r="S111" s="9"/>
      <c r="T111" s="9"/>
      <c r="U111" s="9"/>
      <c r="V111" s="9"/>
      <c r="W111" s="9"/>
      <c r="X111" s="9"/>
      <c r="Y111" s="9"/>
      <c r="Z111" s="9"/>
      <c r="AA111" s="9"/>
      <c r="AB111" s="9"/>
    </row>
    <row r="112" spans="1:28" ht="4.5" customHeight="1">
      <c r="A112" s="9"/>
      <c r="B112" s="9"/>
      <c r="C112" s="9"/>
      <c r="D112" s="9"/>
      <c r="E112" s="9"/>
      <c r="F112" s="9"/>
      <c r="G112" s="9"/>
      <c r="H112" s="9"/>
      <c r="I112" s="9"/>
      <c r="J112" s="9"/>
      <c r="K112" s="9"/>
      <c r="L112" s="9"/>
      <c r="M112" s="9"/>
      <c r="N112" s="64"/>
      <c r="O112" s="64"/>
      <c r="P112" s="64"/>
      <c r="Q112" s="64"/>
      <c r="R112" s="64"/>
      <c r="S112" s="9"/>
      <c r="T112" s="9"/>
      <c r="U112" s="9"/>
      <c r="V112" s="9"/>
      <c r="W112" s="9"/>
      <c r="X112" s="9"/>
      <c r="Y112" s="9"/>
      <c r="Z112" s="9"/>
      <c r="AA112" s="9"/>
      <c r="AB112" s="9"/>
    </row>
    <row r="113" spans="1:28" ht="13.5" customHeight="1">
      <c r="A113" s="9"/>
      <c r="B113" s="9"/>
      <c r="C113" s="9"/>
      <c r="D113" s="9"/>
      <c r="E113" s="9"/>
      <c r="F113" s="9"/>
      <c r="G113" s="9"/>
      <c r="H113" s="9"/>
      <c r="I113" s="9"/>
      <c r="J113" s="9"/>
      <c r="K113" s="9"/>
      <c r="L113" s="9"/>
      <c r="M113" s="9"/>
      <c r="N113" s="64"/>
      <c r="O113" s="64"/>
      <c r="P113" s="64"/>
      <c r="Q113" s="64"/>
      <c r="R113" s="64"/>
      <c r="S113" s="9"/>
      <c r="T113" s="9"/>
      <c r="U113" s="9"/>
      <c r="V113" s="9"/>
      <c r="W113" s="9"/>
      <c r="X113" s="9"/>
      <c r="Y113" s="9"/>
      <c r="Z113" s="9"/>
      <c r="AA113" s="9"/>
      <c r="AB113" s="9"/>
    </row>
    <row r="114" spans="1:28" ht="13.5" customHeight="1">
      <c r="A114" s="180" t="s">
        <v>0</v>
      </c>
      <c r="B114" s="9"/>
      <c r="C114" s="999" t="s">
        <v>729</v>
      </c>
      <c r="D114" s="1000"/>
      <c r="E114" s="1000"/>
      <c r="F114" s="1000"/>
      <c r="G114" s="1000"/>
      <c r="H114" s="1000"/>
      <c r="I114" s="1000"/>
      <c r="J114" s="1000"/>
      <c r="K114" s="1000"/>
      <c r="L114" s="1000"/>
      <c r="M114" s="1000"/>
      <c r="N114" s="1000"/>
      <c r="O114" s="1000"/>
      <c r="P114" s="1000"/>
      <c r="Q114" s="1000"/>
      <c r="R114" s="1001"/>
      <c r="S114" s="180" t="s">
        <v>0</v>
      </c>
      <c r="T114" s="9"/>
      <c r="U114" s="9"/>
      <c r="V114" s="9"/>
      <c r="W114" s="9"/>
      <c r="X114" s="9"/>
      <c r="Y114" s="9"/>
      <c r="Z114" s="9"/>
      <c r="AA114" s="9"/>
      <c r="AB114" s="9"/>
    </row>
    <row r="115" spans="1:28" ht="4.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row>
    <row r="116" spans="1:28" ht="13.5" customHeight="1">
      <c r="A116" s="9"/>
      <c r="B116" s="9"/>
      <c r="C116" s="9"/>
      <c r="D116" s="995" t="s">
        <v>730</v>
      </c>
      <c r="E116" s="974"/>
      <c r="F116" s="975"/>
      <c r="G116" s="9"/>
      <c r="H116" s="995" t="s">
        <v>731</v>
      </c>
      <c r="I116" s="974"/>
      <c r="J116" s="975"/>
      <c r="K116" s="9"/>
      <c r="L116" s="995" t="s">
        <v>134</v>
      </c>
      <c r="M116" s="974"/>
      <c r="N116" s="975"/>
      <c r="O116" s="135"/>
      <c r="P116" s="995" t="s">
        <v>732</v>
      </c>
      <c r="Q116" s="974"/>
      <c r="R116" s="975"/>
      <c r="S116" s="9"/>
      <c r="T116" s="9"/>
      <c r="U116" s="9"/>
      <c r="V116" s="9"/>
      <c r="W116" s="9"/>
      <c r="X116" s="9"/>
      <c r="Y116" s="9"/>
      <c r="Z116" s="9"/>
      <c r="AA116" s="9"/>
      <c r="AB116" s="9"/>
    </row>
    <row r="117" spans="1:28" ht="4.5" customHeight="1">
      <c r="A117" s="9"/>
      <c r="B117" s="9"/>
      <c r="C117" s="9"/>
      <c r="D117" s="136"/>
      <c r="E117" s="96"/>
      <c r="F117" s="198"/>
      <c r="G117" s="9"/>
      <c r="H117" s="136"/>
      <c r="I117" s="96"/>
      <c r="J117" s="198"/>
      <c r="K117" s="9"/>
      <c r="L117" s="136"/>
      <c r="M117" s="96"/>
      <c r="N117" s="198"/>
      <c r="O117" s="135"/>
      <c r="P117" s="136"/>
      <c r="Q117" s="96"/>
      <c r="R117" s="198"/>
      <c r="S117" s="9"/>
      <c r="T117" s="9"/>
      <c r="U117" s="9"/>
      <c r="V117" s="9"/>
      <c r="W117" s="9"/>
      <c r="X117" s="9"/>
      <c r="Y117" s="9"/>
      <c r="Z117" s="9"/>
      <c r="AA117" s="9"/>
      <c r="AB117" s="9"/>
    </row>
    <row r="118" spans="1:28" ht="13.5" customHeight="1">
      <c r="A118" s="9"/>
      <c r="B118" s="9"/>
      <c r="C118" s="9"/>
      <c r="D118" s="134" t="s">
        <v>733</v>
      </c>
      <c r="E118" s="9"/>
      <c r="F118" s="700">
        <f>$D$11</f>
        <v>25.0589159465829</v>
      </c>
      <c r="G118" s="9"/>
      <c r="H118" s="134" t="s">
        <v>734</v>
      </c>
      <c r="I118" s="9"/>
      <c r="J118" s="700">
        <f>IF(G144="LTM",IF(G143="1 Year",'Multiples Data'!E9,IF(G143="2 Year", 'Multiples Data'!E10,IF(G143="3 Year",'Multiples Data'!E11, IF(G143="5 Year", 'Multiples Data'!E12,"N/A")))),IF(G144="NTM", IF(G143="1 Year",'Multiples Data'!F9,IF(G143="2 Year", 'Multiples Data'!F10,IF(G143="3 Year",'Multiples Data'!F11, IF(G143="5 Year", 'Multiples Data'!F12,"N/A"))))))</f>
        <v>26.527090072714724</v>
      </c>
      <c r="K118" s="9"/>
      <c r="L118" s="134" t="s">
        <v>733</v>
      </c>
      <c r="M118" s="9"/>
      <c r="N118" s="700">
        <f>$D$12</f>
        <v>22.107788881681699</v>
      </c>
      <c r="O118" s="135"/>
      <c r="P118" s="134" t="s">
        <v>734</v>
      </c>
      <c r="Q118" s="9"/>
      <c r="R118" s="700">
        <f>IF($G$144="LTM",IF($G$143="1 Year",'Multiples Data'!G9,IF($G$143="2 Year", 'Multiples Data'!G10,IF($G$143="3 Year",'Multiples Data'!G11, IF($G$143="5 Year", 'Multiples Data'!G12,"N/A")))),IF($G$144="NTM", IF($G$143="1 Year",'Multiples Data'!H9,IF($G$143="2 Year", 'Multiples Data'!H10,IF($G$143="3 Year",'Multiples Data'!H11, IF($G$143="5 Year", 'Multiples Data'!H12,"N/A"))))))</f>
        <v>22.533825679401108</v>
      </c>
      <c r="S118" s="9"/>
      <c r="T118" s="9"/>
      <c r="U118" s="9"/>
      <c r="V118" s="9"/>
      <c r="W118" s="9"/>
      <c r="X118" s="9"/>
      <c r="Y118" s="9"/>
      <c r="Z118" s="9"/>
      <c r="AA118" s="9"/>
      <c r="AB118" s="9"/>
    </row>
    <row r="119" spans="1:28" ht="13.5" customHeight="1">
      <c r="A119" s="9"/>
      <c r="B119" s="9"/>
      <c r="C119" s="9"/>
      <c r="D119" s="134" t="s">
        <v>735</v>
      </c>
      <c r="E119" s="9"/>
      <c r="F119" s="700">
        <f>IF(G144="LTM",IF(G142="1 Year",'Multiples Data'!E9,IF(G142="2 Year", 'Multiples Data'!E10,IF(G142="3 Year",'Multiples Data'!E11, IF(G142="5 Year", 'Multiples Data'!E12,"N/A")))),IF(G144="NTM", IF(G142="1 Year",'Multiples Data'!F9,IF(G142="2 Year", 'Multiples Data'!F10,IF(G142="3 Year",'Multiples Data'!F11, IF(G142="5 Year", 'Multiples Data'!F12,"N/A"))))))</f>
        <v>26.527090072714724</v>
      </c>
      <c r="G119" s="9"/>
      <c r="H119" s="134" t="s">
        <v>736</v>
      </c>
      <c r="I119" s="9"/>
      <c r="J119" s="700">
        <f>IF(G143="1 Year",J144,IF(G143="2 Year",J145,IF(G143="3 Year",J146,IF(G143="5 Year",J147,"N/A"))))</f>
        <v>20.502586042142706</v>
      </c>
      <c r="K119" s="9"/>
      <c r="L119" s="134" t="s">
        <v>735</v>
      </c>
      <c r="M119" s="9"/>
      <c r="N119" s="700">
        <f>IF($G$144="LTM",IF($G$142="1 Year",'Multiples Data'!G9,IF($G$142="2 Year", 'Multiples Data'!G10,IF($G$142="3 Year",'Multiples Data'!G11, IF($G$142="5 Year", 'Multiples Data'!G12,"N/A")))),IF($G$144="NTM", IF($G$142="1 Year",'Multiples Data'!H9,IF($G$142="2 Year", 'Multiples Data'!H10,IF($G$142="3 Year",'Multiples Data'!H11, IF($G$142="5 Year", 'Multiples Data'!H12,"N/A"))))))</f>
        <v>22.533825679401108</v>
      </c>
      <c r="O119" s="135"/>
      <c r="P119" s="134" t="s">
        <v>736</v>
      </c>
      <c r="Q119" s="9"/>
      <c r="R119" s="700">
        <f>IF(G143="1 Year",K144,IF(G143="2 Year",K145,IF(G143="3 Year",K146,IF(G143="5 Year",K147,"N/A"))))</f>
        <v>20.205617587436233</v>
      </c>
      <c r="S119" s="9"/>
      <c r="T119" s="9"/>
      <c r="U119" s="9"/>
      <c r="V119" s="9"/>
      <c r="W119" s="9"/>
      <c r="X119" s="9"/>
      <c r="Y119" s="9"/>
      <c r="Z119" s="9"/>
      <c r="AA119" s="9"/>
      <c r="AB119" s="9"/>
    </row>
    <row r="120" spans="1:28" ht="13.5" customHeight="1">
      <c r="A120" s="9"/>
      <c r="B120" s="9"/>
      <c r="C120" s="9"/>
      <c r="D120" s="220" t="s">
        <v>737</v>
      </c>
      <c r="E120" s="216"/>
      <c r="F120" s="701">
        <f>F118/F119-1</f>
        <v>-5.534621860548361E-2</v>
      </c>
      <c r="G120" s="9"/>
      <c r="H120" s="220" t="s">
        <v>738</v>
      </c>
      <c r="I120" s="216"/>
      <c r="J120" s="702">
        <f>J118/J119-1</f>
        <v>0.29384117780014463</v>
      </c>
      <c r="K120" s="9"/>
      <c r="L120" s="220" t="s">
        <v>737</v>
      </c>
      <c r="M120" s="216"/>
      <c r="N120" s="701">
        <f>N118/N119-1</f>
        <v>-1.8906545376751627E-2</v>
      </c>
      <c r="O120" s="135"/>
      <c r="P120" s="134" t="s">
        <v>738</v>
      </c>
      <c r="Q120" s="9"/>
      <c r="R120" s="702">
        <f>R118/R119-1</f>
        <v>0.1152257822306082</v>
      </c>
      <c r="S120" s="9"/>
      <c r="T120" s="9"/>
      <c r="U120" s="9"/>
      <c r="V120" s="9"/>
      <c r="W120" s="9"/>
      <c r="X120" s="9"/>
      <c r="Y120" s="9"/>
      <c r="Z120" s="9"/>
      <c r="AA120" s="9"/>
      <c r="AB120" s="9"/>
    </row>
    <row r="121" spans="1:28" ht="13.5" customHeight="1">
      <c r="A121" s="9"/>
      <c r="B121" s="9"/>
      <c r="C121" s="9"/>
      <c r="D121" s="220" t="s">
        <v>739</v>
      </c>
      <c r="E121" s="216"/>
      <c r="F121" s="703">
        <v>0.05</v>
      </c>
      <c r="G121" s="9"/>
      <c r="H121" s="134" t="s">
        <v>740</v>
      </c>
      <c r="I121" s="9"/>
      <c r="J121" s="700">
        <f>IF($G$145=$K$220,$E$11,IF($G$145=$M$220,$E$16,IF($G$145=$O$220,$E$21,"N/A")))</f>
        <v>26.451680056205003</v>
      </c>
      <c r="K121" s="9"/>
      <c r="L121" s="220" t="s">
        <v>739</v>
      </c>
      <c r="M121" s="216"/>
      <c r="N121" s="703">
        <v>0</v>
      </c>
      <c r="O121" s="135"/>
      <c r="P121" s="134" t="s">
        <v>740</v>
      </c>
      <c r="Q121" s="9"/>
      <c r="R121" s="700">
        <f>IF($G$145=$K$220,$E$12,IF($G$145=$M$220,$E$17,IF($G$145=$O$220,$E$22,"N/A")))</f>
        <v>27.144908763636632</v>
      </c>
      <c r="S121" s="9"/>
      <c r="T121" s="9"/>
      <c r="U121" s="9"/>
      <c r="V121" s="9"/>
      <c r="W121" s="9"/>
      <c r="X121" s="9"/>
      <c r="Y121" s="9"/>
      <c r="Z121" s="9"/>
      <c r="AA121" s="9"/>
      <c r="AB121" s="9"/>
    </row>
    <row r="122" spans="1:28" ht="13.5" customHeight="1">
      <c r="A122" s="9"/>
      <c r="B122" s="9"/>
      <c r="C122" s="9"/>
      <c r="D122" s="134"/>
      <c r="E122" s="9"/>
      <c r="F122" s="135"/>
      <c r="G122" s="9"/>
      <c r="H122" s="134"/>
      <c r="I122" s="9"/>
      <c r="J122" s="135"/>
      <c r="K122" s="9"/>
      <c r="L122" s="134"/>
      <c r="M122" s="9"/>
      <c r="N122" s="135"/>
      <c r="O122" s="135"/>
      <c r="P122" s="134"/>
      <c r="Q122" s="9"/>
      <c r="R122" s="135"/>
      <c r="S122" s="9"/>
      <c r="T122" s="9"/>
      <c r="U122" s="9"/>
      <c r="V122" s="9"/>
      <c r="W122" s="9"/>
      <c r="X122" s="9"/>
      <c r="Y122" s="9"/>
      <c r="Z122" s="9"/>
      <c r="AA122" s="9"/>
      <c r="AB122" s="9"/>
    </row>
    <row r="123" spans="1:28" ht="13.5" customHeight="1">
      <c r="A123" s="9"/>
      <c r="B123" s="9"/>
      <c r="C123" s="9"/>
      <c r="D123" s="134" t="s">
        <v>741</v>
      </c>
      <c r="E123" s="9"/>
      <c r="F123" s="700">
        <f>F119*(1+F121)</f>
        <v>27.853444576350462</v>
      </c>
      <c r="G123" s="9"/>
      <c r="H123" s="134" t="s">
        <v>741</v>
      </c>
      <c r="I123" s="9"/>
      <c r="J123" s="700">
        <f>J121*(1+J120)</f>
        <v>34.224272878712874</v>
      </c>
      <c r="K123" s="9"/>
      <c r="L123" s="134" t="s">
        <v>741</v>
      </c>
      <c r="M123" s="9"/>
      <c r="N123" s="700">
        <f>N119*(1+N121)</f>
        <v>22.533825679401108</v>
      </c>
      <c r="O123" s="135"/>
      <c r="P123" s="134" t="s">
        <v>741</v>
      </c>
      <c r="Q123" s="9"/>
      <c r="R123" s="700">
        <f>R121*(1+R120)</f>
        <v>30.272702109505154</v>
      </c>
      <c r="S123" s="9"/>
      <c r="T123" s="9"/>
      <c r="U123" s="9"/>
      <c r="V123" s="9"/>
      <c r="W123" s="9"/>
      <c r="X123" s="9"/>
      <c r="Y123" s="9"/>
      <c r="Z123" s="9"/>
      <c r="AA123" s="9"/>
      <c r="AB123" s="9"/>
    </row>
    <row r="124" spans="1:28" ht="13.5" customHeight="1">
      <c r="A124" s="9"/>
      <c r="B124" s="9"/>
      <c r="C124" s="9"/>
      <c r="D124" s="134" t="s">
        <v>742</v>
      </c>
      <c r="E124" s="9"/>
      <c r="F124" s="704">
        <f ca="1">NTM_EPS</f>
        <v>5.183684160124189</v>
      </c>
      <c r="G124" s="9"/>
      <c r="H124" s="134" t="s">
        <v>742</v>
      </c>
      <c r="I124" s="9"/>
      <c r="J124" s="704">
        <f ca="1">F124</f>
        <v>5.183684160124189</v>
      </c>
      <c r="K124" s="9"/>
      <c r="L124" s="705" t="s">
        <v>743</v>
      </c>
      <c r="M124" s="9"/>
      <c r="N124" s="706">
        <f ca="1">NTM_EBITDA</f>
        <v>263.87629913010289</v>
      </c>
      <c r="O124" s="135"/>
      <c r="P124" s="134" t="s">
        <v>743</v>
      </c>
      <c r="Q124" s="9"/>
      <c r="R124" s="706">
        <f ca="1">NTM_EBITDA</f>
        <v>263.87629913010289</v>
      </c>
      <c r="S124" s="9"/>
      <c r="T124" s="9"/>
      <c r="U124" s="9"/>
      <c r="V124" s="9"/>
      <c r="W124" s="9"/>
      <c r="X124" s="9"/>
      <c r="Y124" s="9"/>
      <c r="Z124" s="9"/>
      <c r="AA124" s="9"/>
      <c r="AB124" s="9"/>
    </row>
    <row r="125" spans="1:28" ht="13.5" customHeight="1">
      <c r="A125" s="9"/>
      <c r="B125" s="9"/>
      <c r="C125" s="9"/>
      <c r="D125" s="134"/>
      <c r="E125" s="9"/>
      <c r="F125" s="707"/>
      <c r="G125" s="9"/>
      <c r="H125" s="134"/>
      <c r="I125" s="9"/>
      <c r="J125" s="707"/>
      <c r="K125" s="9"/>
      <c r="L125" s="134" t="s">
        <v>744</v>
      </c>
      <c r="M125" s="9"/>
      <c r="N125" s="706">
        <f ca="1">N123*N124</f>
        <v>5946.1425255232407</v>
      </c>
      <c r="O125" s="135"/>
      <c r="P125" s="134" t="s">
        <v>744</v>
      </c>
      <c r="Q125" s="9"/>
      <c r="R125" s="706">
        <f ca="1">R123*R124</f>
        <v>7988.2485973242792</v>
      </c>
      <c r="S125" s="9"/>
      <c r="T125" s="9"/>
      <c r="U125" s="9"/>
      <c r="V125" s="9"/>
      <c r="W125" s="9"/>
      <c r="X125" s="9"/>
      <c r="Y125" s="9"/>
      <c r="Z125" s="9"/>
      <c r="AA125" s="9"/>
      <c r="AB125" s="9"/>
    </row>
    <row r="126" spans="1:28" ht="13.5" customHeight="1">
      <c r="A126" s="9"/>
      <c r="B126" s="9"/>
      <c r="C126" s="9"/>
      <c r="D126" s="134" t="s">
        <v>745</v>
      </c>
      <c r="E126" s="9"/>
      <c r="F126" s="706">
        <f ca="1">F123*F124</f>
        <v>144.3834594553249</v>
      </c>
      <c r="G126" s="9"/>
      <c r="H126" s="134" t="s">
        <v>745</v>
      </c>
      <c r="I126" s="9"/>
      <c r="J126" s="706">
        <f ca="1">J123*J124</f>
        <v>177.40782121315181</v>
      </c>
      <c r="K126" s="9"/>
      <c r="L126" s="134"/>
      <c r="M126" s="9"/>
      <c r="N126" s="135"/>
      <c r="O126" s="135"/>
      <c r="P126" s="134"/>
      <c r="Q126" s="9"/>
      <c r="R126" s="135"/>
      <c r="S126" s="9"/>
      <c r="T126" s="9"/>
      <c r="U126" s="9"/>
      <c r="V126" s="9"/>
      <c r="W126" s="9"/>
      <c r="X126" s="9"/>
      <c r="Y126" s="9"/>
      <c r="Z126" s="9"/>
      <c r="AA126" s="9"/>
      <c r="AB126" s="9"/>
    </row>
    <row r="127" spans="1:28" ht="13.5" customHeight="1">
      <c r="A127" s="9"/>
      <c r="B127" s="9"/>
      <c r="C127" s="9"/>
      <c r="D127" s="224" t="s">
        <v>746</v>
      </c>
      <c r="E127" s="95"/>
      <c r="F127" s="666">
        <f ca="1">F126/Share_Price-1</f>
        <v>0.22089852405990951</v>
      </c>
      <c r="G127" s="9"/>
      <c r="H127" s="224" t="s">
        <v>746</v>
      </c>
      <c r="I127" s="95"/>
      <c r="J127" s="666">
        <f ca="1">J126/Share_Price-1</f>
        <v>0.50015069518985111</v>
      </c>
      <c r="K127" s="9"/>
      <c r="L127" s="134" t="s">
        <v>747</v>
      </c>
      <c r="M127" s="9"/>
      <c r="N127" s="708">
        <f t="shared" ref="N127:N132" si="5">K66</f>
        <v>263.34699999999998</v>
      </c>
      <c r="O127" s="135"/>
      <c r="P127" s="134" t="s">
        <v>747</v>
      </c>
      <c r="Q127" s="9"/>
      <c r="R127" s="658">
        <f t="shared" ref="R127:R132" si="6">N127</f>
        <v>263.34699999999998</v>
      </c>
      <c r="S127" s="9"/>
      <c r="T127" s="9"/>
      <c r="U127" s="9"/>
      <c r="V127" s="9"/>
      <c r="W127" s="9"/>
      <c r="X127" s="9"/>
      <c r="Y127" s="9"/>
      <c r="Z127" s="9"/>
      <c r="AA127" s="9"/>
      <c r="AB127" s="9"/>
    </row>
    <row r="128" spans="1:28" ht="13.5" customHeight="1">
      <c r="A128" s="9"/>
      <c r="B128" s="9"/>
      <c r="C128" s="9"/>
      <c r="D128" s="9"/>
      <c r="E128" s="9"/>
      <c r="F128" s="9"/>
      <c r="G128" s="9"/>
      <c r="H128" s="9"/>
      <c r="I128" s="9"/>
      <c r="J128" s="9"/>
      <c r="K128" s="9"/>
      <c r="L128" s="134" t="s">
        <v>748</v>
      </c>
      <c r="M128" s="9"/>
      <c r="N128" s="708">
        <f t="shared" si="5"/>
        <v>0</v>
      </c>
      <c r="O128" s="135"/>
      <c r="P128" s="134" t="s">
        <v>748</v>
      </c>
      <c r="Q128" s="9"/>
      <c r="R128" s="658">
        <f t="shared" si="6"/>
        <v>0</v>
      </c>
      <c r="S128" s="9"/>
      <c r="T128" s="9"/>
      <c r="U128" s="9"/>
      <c r="V128" s="9"/>
      <c r="W128" s="9"/>
      <c r="X128" s="9"/>
      <c r="Y128" s="9"/>
      <c r="Z128" s="9"/>
      <c r="AA128" s="9"/>
      <c r="AB128" s="9"/>
    </row>
    <row r="129" spans="1:28" ht="13.5" customHeight="1">
      <c r="A129" s="9"/>
      <c r="B129" s="9"/>
      <c r="C129" s="9"/>
      <c r="D129" s="9"/>
      <c r="E129" s="9"/>
      <c r="F129" s="9"/>
      <c r="G129" s="9"/>
      <c r="H129" s="9"/>
      <c r="I129" s="9"/>
      <c r="J129" s="9"/>
      <c r="K129" s="9"/>
      <c r="L129" s="134" t="s">
        <v>749</v>
      </c>
      <c r="M129" s="9"/>
      <c r="N129" s="708">
        <f t="shared" si="5"/>
        <v>-288.58199999999999</v>
      </c>
      <c r="O129" s="135"/>
      <c r="P129" s="134" t="s">
        <v>749</v>
      </c>
      <c r="Q129" s="9"/>
      <c r="R129" s="658">
        <f t="shared" si="6"/>
        <v>-288.58199999999999</v>
      </c>
      <c r="S129" s="9"/>
      <c r="T129" s="9"/>
      <c r="U129" s="9"/>
      <c r="V129" s="9"/>
      <c r="W129" s="9"/>
      <c r="X129" s="9"/>
      <c r="Y129" s="9"/>
      <c r="Z129" s="9"/>
      <c r="AA129" s="9"/>
      <c r="AB129" s="9"/>
    </row>
    <row r="130" spans="1:28" ht="13.5" customHeight="1">
      <c r="A130" s="9"/>
      <c r="B130" s="9"/>
      <c r="C130" s="9"/>
      <c r="D130" s="9"/>
      <c r="E130" s="9"/>
      <c r="F130" s="9"/>
      <c r="G130" s="9"/>
      <c r="H130" s="9"/>
      <c r="I130" s="9"/>
      <c r="J130" s="9"/>
      <c r="K130" s="9"/>
      <c r="L130" s="134" t="s">
        <v>750</v>
      </c>
      <c r="M130" s="9"/>
      <c r="N130" s="708">
        <f t="shared" si="5"/>
        <v>0</v>
      </c>
      <c r="O130" s="135"/>
      <c r="P130" s="134" t="s">
        <v>750</v>
      </c>
      <c r="Q130" s="9"/>
      <c r="R130" s="658">
        <f t="shared" si="6"/>
        <v>0</v>
      </c>
      <c r="S130" s="9"/>
      <c r="T130" s="9"/>
      <c r="U130" s="9"/>
      <c r="V130" s="9"/>
      <c r="W130" s="9"/>
      <c r="X130" s="9"/>
      <c r="Y130" s="9"/>
      <c r="Z130" s="9"/>
      <c r="AA130" s="9"/>
      <c r="AB130" s="9"/>
    </row>
    <row r="131" spans="1:28" ht="13.5" customHeight="1">
      <c r="A131" s="9"/>
      <c r="B131" s="9"/>
      <c r="C131" s="9"/>
      <c r="D131" s="136" t="s">
        <v>742</v>
      </c>
      <c r="E131" s="96"/>
      <c r="F131" s="709">
        <f ca="1">IF(Last_FQR="3Q",SUM(Model!X56,Model!Z56:AB56),IF(Last_FQR="2Q",SUM(Model!W56:X56,Model!Z56:AA56),IF(Last_FQR="1Q",SUM(Model!V56:X56,Model!Z56),IF(Last_FQR="4Q",SUM(Model!U56:X56),"Error"))))</f>
        <v>5.183684160124189</v>
      </c>
      <c r="G131" s="9"/>
      <c r="H131" s="9"/>
      <c r="I131" s="9"/>
      <c r="J131" s="9"/>
      <c r="K131" s="9"/>
      <c r="L131" s="134" t="s">
        <v>751</v>
      </c>
      <c r="M131" s="9"/>
      <c r="N131" s="708">
        <f t="shared" si="5"/>
        <v>-236.245</v>
      </c>
      <c r="O131" s="135"/>
      <c r="P131" s="134" t="s">
        <v>751</v>
      </c>
      <c r="Q131" s="9"/>
      <c r="R131" s="658">
        <f t="shared" si="6"/>
        <v>-236.245</v>
      </c>
      <c r="S131" s="9"/>
      <c r="T131" s="9"/>
      <c r="U131" s="9"/>
      <c r="V131" s="9"/>
      <c r="W131" s="9"/>
      <c r="X131" s="9"/>
      <c r="Y131" s="9"/>
      <c r="Z131" s="9"/>
      <c r="AA131" s="9"/>
      <c r="AB131" s="9"/>
    </row>
    <row r="132" spans="1:28" ht="13.5" customHeight="1">
      <c r="A132" s="9"/>
      <c r="B132" s="9"/>
      <c r="C132" s="9"/>
      <c r="D132" s="137" t="s">
        <v>743</v>
      </c>
      <c r="E132" s="95"/>
      <c r="F132" s="710">
        <f ca="1">IF(Last_FQR="3Q",SUM(Model!X61,Model!Z61:AB61),IF(Last_FQR="2Q",SUM(Model!W61:X61,Model!Z61:AA61),IF(Last_FQR="1Q",SUM(Model!V61:X61,Model!Z61),IF(Last_FQR="4Q",SUM(Model!U61:X61),"Error"))))</f>
        <v>263.87629913010289</v>
      </c>
      <c r="G132" s="9"/>
      <c r="H132" s="9"/>
      <c r="I132" s="9"/>
      <c r="J132" s="9"/>
      <c r="K132" s="9"/>
      <c r="L132" s="134" t="s">
        <v>752</v>
      </c>
      <c r="M132" s="95"/>
      <c r="N132" s="711">
        <f t="shared" si="5"/>
        <v>0</v>
      </c>
      <c r="O132" s="135"/>
      <c r="P132" s="137" t="s">
        <v>752</v>
      </c>
      <c r="Q132" s="95"/>
      <c r="R132" s="711">
        <f t="shared" si="6"/>
        <v>0</v>
      </c>
      <c r="S132" s="9"/>
      <c r="T132" s="9"/>
      <c r="U132" s="9"/>
      <c r="V132" s="9"/>
      <c r="W132" s="9"/>
      <c r="X132" s="9"/>
      <c r="Y132" s="9"/>
      <c r="Z132" s="9"/>
      <c r="AA132" s="9"/>
      <c r="AB132" s="9"/>
    </row>
    <row r="133" spans="1:28" ht="13.5" customHeight="1">
      <c r="A133" s="9"/>
      <c r="B133" s="9"/>
      <c r="C133" s="9"/>
      <c r="D133" s="9"/>
      <c r="E133" s="9"/>
      <c r="F133" s="9"/>
      <c r="G133" s="9"/>
      <c r="H133" s="9"/>
      <c r="I133" s="9"/>
      <c r="J133" s="9"/>
      <c r="K133" s="9"/>
      <c r="L133" s="136"/>
      <c r="M133" s="9"/>
      <c r="N133" s="135"/>
      <c r="O133" s="135"/>
      <c r="P133" s="134"/>
      <c r="Q133" s="9"/>
      <c r="R133" s="135"/>
      <c r="S133" s="9"/>
      <c r="T133" s="9"/>
      <c r="U133" s="9"/>
      <c r="V133" s="9"/>
      <c r="W133" s="9"/>
      <c r="X133" s="9"/>
      <c r="Y133" s="9"/>
      <c r="Z133" s="9"/>
      <c r="AA133" s="9"/>
      <c r="AB133" s="9"/>
    </row>
    <row r="134" spans="1:28" ht="13.5" customHeight="1">
      <c r="A134" s="9"/>
      <c r="B134" s="9"/>
      <c r="C134" s="9"/>
      <c r="D134" s="9"/>
      <c r="E134" s="9"/>
      <c r="F134" s="9"/>
      <c r="G134" s="9"/>
      <c r="H134" s="9"/>
      <c r="I134" s="9"/>
      <c r="J134" s="9"/>
      <c r="K134" s="9"/>
      <c r="L134" s="134" t="s">
        <v>753</v>
      </c>
      <c r="M134" s="9"/>
      <c r="N134" s="706">
        <f ca="1">SUM(N125:N132)</f>
        <v>5684.6625255232402</v>
      </c>
      <c r="O134" s="135"/>
      <c r="P134" s="134" t="s">
        <v>753</v>
      </c>
      <c r="Q134" s="9"/>
      <c r="R134" s="706">
        <f ca="1">SUM(R125:R132)</f>
        <v>7726.7685973242797</v>
      </c>
      <c r="S134" s="9"/>
      <c r="T134" s="9"/>
      <c r="U134" s="9"/>
      <c r="V134" s="9"/>
      <c r="W134" s="9"/>
      <c r="X134" s="9"/>
      <c r="Y134" s="9"/>
      <c r="Z134" s="9"/>
      <c r="AA134" s="9"/>
      <c r="AB134" s="9"/>
    </row>
    <row r="135" spans="1:28" ht="13.5" customHeight="1">
      <c r="A135" s="9"/>
      <c r="B135" s="9"/>
      <c r="C135" s="9"/>
      <c r="D135" s="9"/>
      <c r="E135" s="9"/>
      <c r="F135" s="9"/>
      <c r="G135" s="9"/>
      <c r="H135" s="9"/>
      <c r="I135" s="9"/>
      <c r="J135" s="9"/>
      <c r="K135" s="9"/>
      <c r="L135" s="134" t="s">
        <v>393</v>
      </c>
      <c r="M135" s="9"/>
      <c r="N135" s="706">
        <f>Diluted_Shares</f>
        <v>54.47</v>
      </c>
      <c r="O135" s="135"/>
      <c r="P135" s="134" t="s">
        <v>393</v>
      </c>
      <c r="Q135" s="9"/>
      <c r="R135" s="706">
        <f>Diluted_Shares</f>
        <v>54.47</v>
      </c>
      <c r="S135" s="9"/>
      <c r="T135" s="9"/>
      <c r="U135" s="9"/>
      <c r="V135" s="9"/>
      <c r="W135" s="9"/>
      <c r="X135" s="9"/>
      <c r="Y135" s="9"/>
      <c r="Z135" s="9"/>
      <c r="AA135" s="9"/>
      <c r="AB135" s="9"/>
    </row>
    <row r="136" spans="1:28" ht="13.5" customHeight="1">
      <c r="A136" s="9"/>
      <c r="B136" s="9"/>
      <c r="C136" s="9"/>
      <c r="D136" s="9"/>
      <c r="E136" s="9"/>
      <c r="F136" s="9"/>
      <c r="G136" s="9"/>
      <c r="H136" s="9"/>
      <c r="I136" s="9"/>
      <c r="J136" s="9"/>
      <c r="K136" s="9"/>
      <c r="L136" s="134"/>
      <c r="M136" s="9"/>
      <c r="N136" s="135"/>
      <c r="O136" s="135"/>
      <c r="P136" s="134"/>
      <c r="Q136" s="9"/>
      <c r="R136" s="135"/>
      <c r="S136" s="9"/>
      <c r="T136" s="9"/>
      <c r="U136" s="9"/>
      <c r="V136" s="9"/>
      <c r="W136" s="9"/>
      <c r="X136" s="9"/>
      <c r="Y136" s="9"/>
      <c r="Z136" s="9"/>
      <c r="AA136" s="9"/>
      <c r="AB136" s="9"/>
    </row>
    <row r="137" spans="1:28" ht="13.5" customHeight="1">
      <c r="A137" s="9"/>
      <c r="B137" s="9"/>
      <c r="C137" s="9"/>
      <c r="D137" s="9"/>
      <c r="E137" s="9"/>
      <c r="F137" s="9"/>
      <c r="G137" s="9"/>
      <c r="H137" s="9"/>
      <c r="I137" s="9"/>
      <c r="J137" s="9"/>
      <c r="K137" s="9"/>
      <c r="L137" s="134" t="s">
        <v>745</v>
      </c>
      <c r="M137" s="9"/>
      <c r="N137" s="706">
        <f ca="1">N134/N135</f>
        <v>104.36318203640977</v>
      </c>
      <c r="O137" s="135"/>
      <c r="P137" s="134" t="s">
        <v>745</v>
      </c>
      <c r="Q137" s="9"/>
      <c r="R137" s="706">
        <f ca="1">R134/R135</f>
        <v>141.85365517393575</v>
      </c>
      <c r="S137" s="9"/>
      <c r="T137" s="9"/>
      <c r="U137" s="9"/>
      <c r="V137" s="9"/>
      <c r="W137" s="9"/>
      <c r="X137" s="9"/>
      <c r="Y137" s="9"/>
      <c r="Z137" s="9"/>
      <c r="AA137" s="9"/>
      <c r="AB137" s="9"/>
    </row>
    <row r="138" spans="1:28" ht="13.5" customHeight="1">
      <c r="A138" s="9"/>
      <c r="B138" s="9"/>
      <c r="C138" s="9"/>
      <c r="D138" s="9"/>
      <c r="E138" s="9"/>
      <c r="F138" s="9"/>
      <c r="G138" s="9"/>
      <c r="H138" s="9"/>
      <c r="I138" s="9"/>
      <c r="J138" s="9"/>
      <c r="K138" s="9"/>
      <c r="L138" s="224" t="s">
        <v>746</v>
      </c>
      <c r="M138" s="95"/>
      <c r="N138" s="666">
        <f ca="1">N137/Share_Price-1</f>
        <v>-0.11751072182978384</v>
      </c>
      <c r="O138" s="135"/>
      <c r="P138" s="224" t="s">
        <v>746</v>
      </c>
      <c r="Q138" s="95"/>
      <c r="R138" s="666">
        <f ca="1">R137/Share_Price-1</f>
        <v>0.19950663938724622</v>
      </c>
      <c r="S138" s="9"/>
      <c r="T138" s="9"/>
      <c r="U138" s="9"/>
      <c r="V138" s="9"/>
      <c r="W138" s="9"/>
      <c r="X138" s="9"/>
      <c r="Y138" s="9"/>
      <c r="Z138" s="9"/>
      <c r="AA138" s="9"/>
      <c r="AB138" s="9"/>
    </row>
    <row r="139" spans="1:28" ht="4.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row>
    <row r="140" spans="1:28" ht="13.5" customHeight="1">
      <c r="A140" s="180" t="s">
        <v>0</v>
      </c>
      <c r="B140" s="9"/>
      <c r="C140" s="1034" t="s">
        <v>41</v>
      </c>
      <c r="D140" s="974"/>
      <c r="E140" s="974"/>
      <c r="F140" s="974"/>
      <c r="G140" s="974"/>
      <c r="H140" s="974"/>
      <c r="I140" s="974"/>
      <c r="J140" s="974"/>
      <c r="K140" s="974"/>
      <c r="L140" s="974"/>
      <c r="M140" s="974"/>
      <c r="N140" s="974"/>
      <c r="O140" s="974"/>
      <c r="P140" s="974"/>
      <c r="Q140" s="974"/>
      <c r="R140" s="975"/>
      <c r="S140" s="180" t="s">
        <v>0</v>
      </c>
      <c r="T140" s="9"/>
      <c r="U140" s="9"/>
      <c r="V140" s="9"/>
      <c r="W140" s="9"/>
      <c r="X140" s="9"/>
      <c r="Y140" s="9"/>
      <c r="Z140" s="9"/>
      <c r="AA140" s="9"/>
      <c r="AB140" s="9"/>
    </row>
    <row r="141" spans="1:28" ht="4.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row>
    <row r="142" spans="1:28" ht="13.5" customHeight="1">
      <c r="A142" s="9"/>
      <c r="B142" s="9"/>
      <c r="C142" s="9" t="s">
        <v>754</v>
      </c>
      <c r="D142" s="9"/>
      <c r="E142" s="9"/>
      <c r="F142" s="9"/>
      <c r="G142" s="32" t="s">
        <v>755</v>
      </c>
      <c r="H142" s="9"/>
      <c r="I142" s="9"/>
      <c r="J142" s="999" t="s">
        <v>756</v>
      </c>
      <c r="K142" s="1001"/>
      <c r="L142" s="9"/>
      <c r="M142" s="9"/>
      <c r="N142" s="9"/>
      <c r="O142" s="9"/>
      <c r="P142" s="9"/>
      <c r="Q142" s="9"/>
      <c r="R142" s="9"/>
      <c r="S142" s="9"/>
      <c r="T142" s="9"/>
      <c r="U142" s="9"/>
      <c r="V142" s="9"/>
      <c r="W142" s="9"/>
      <c r="X142" s="9"/>
      <c r="Y142" s="9"/>
      <c r="Z142" s="9"/>
      <c r="AA142" s="9"/>
      <c r="AB142" s="9"/>
    </row>
    <row r="143" spans="1:28" ht="13.5" customHeight="1">
      <c r="A143" s="9"/>
      <c r="B143" s="9"/>
      <c r="C143" s="9" t="s">
        <v>757</v>
      </c>
      <c r="D143" s="9"/>
      <c r="E143" s="9"/>
      <c r="F143" s="9"/>
      <c r="G143" s="32" t="s">
        <v>755</v>
      </c>
      <c r="H143" s="9"/>
      <c r="I143" s="9"/>
      <c r="J143" s="64" t="s">
        <v>132</v>
      </c>
      <c r="K143" s="64" t="s">
        <v>134</v>
      </c>
      <c r="L143" s="64"/>
      <c r="M143" s="64"/>
      <c r="N143" s="9"/>
      <c r="O143" s="9"/>
      <c r="P143" s="9"/>
      <c r="Q143" s="9"/>
      <c r="R143" s="9"/>
      <c r="S143" s="9"/>
      <c r="T143" s="9"/>
      <c r="U143" s="9"/>
      <c r="V143" s="9"/>
      <c r="W143" s="9"/>
      <c r="X143" s="9"/>
      <c r="Y143" s="9"/>
      <c r="Z143" s="9"/>
      <c r="AA143" s="9"/>
      <c r="AB143" s="9"/>
    </row>
    <row r="144" spans="1:28" ht="13.5" customHeight="1">
      <c r="A144" s="9"/>
      <c r="B144" s="9"/>
      <c r="C144" s="9" t="s">
        <v>684</v>
      </c>
      <c r="D144" s="9"/>
      <c r="E144" s="9"/>
      <c r="F144" s="9"/>
      <c r="G144" s="32" t="s">
        <v>685</v>
      </c>
      <c r="H144" s="37" t="b">
        <f>G144=$D$24</f>
        <v>1</v>
      </c>
      <c r="I144" s="64" t="s">
        <v>758</v>
      </c>
      <c r="J144" s="618">
        <f>IF($G$145=$C$9,IF($G$144="LTM",'Multiples Data'!E31,IF($G$144="NTM",'Multiples Data'!F31,"N/A")),IF($G$145=Valuation!$C$14,IF(Valuation!$G$144="LTM",'Multiples Data'!E53,IF(Valuation!$G$144="NTM",'Multiples Data'!F53,"N/A")),IF($G$145=Valuation!$C$19,IF(Valuation!$G$144="LTM",'Multiples Data'!E75,IF($G$144="NTM",'Multiples Data'!F75,"N/A")))))</f>
        <v>22.009183907917734</v>
      </c>
      <c r="K144" s="618">
        <f>IF($G$145=$C$9,IF($G$144="LTM",'Multiples Data'!G31,IF($G$144="NTM",'Multiples Data'!H31,"N/A")),IF($G$145=Valuation!$C$14,IF(Valuation!$G$144="LTM",'Multiples Data'!G53,IF(Valuation!$G$144="NTM",'Multiples Data'!H53,"N/A")),IF($G$145=Valuation!$C$19,IF(Valuation!$G$144="LTM",'Multiples Data'!G75,IF($G$144="NTM",'Multiples Data'!H75,"N/A")))))</f>
        <v>21.589467015590195</v>
      </c>
      <c r="L144" s="9"/>
      <c r="M144" s="64"/>
      <c r="N144" s="9"/>
      <c r="O144" s="9"/>
      <c r="P144" s="9"/>
      <c r="Q144" s="9"/>
      <c r="R144" s="9"/>
      <c r="S144" s="9"/>
      <c r="T144" s="9"/>
      <c r="U144" s="9"/>
      <c r="V144" s="9"/>
      <c r="W144" s="9"/>
      <c r="X144" s="9"/>
      <c r="Y144" s="9"/>
      <c r="Z144" s="9"/>
      <c r="AA144" s="9"/>
      <c r="AB144" s="9"/>
    </row>
    <row r="145" spans="1:28" ht="13.5" customHeight="1">
      <c r="A145" s="9"/>
      <c r="B145" s="9"/>
      <c r="C145" s="9" t="s">
        <v>759</v>
      </c>
      <c r="D145" s="9"/>
      <c r="E145" s="9"/>
      <c r="F145" s="9"/>
      <c r="G145" s="32" t="s">
        <v>522</v>
      </c>
      <c r="H145" s="9"/>
      <c r="I145" s="64" t="s">
        <v>760</v>
      </c>
      <c r="J145" s="618">
        <f>IF($G$145=$C$9,IF($G$144="LTM",'Multiples Data'!E32,IF($G$144="NTM",'Multiples Data'!F32,"N/A")),IF($G$145=Valuation!$C$14,IF(Valuation!$G$144="LTM",'Multiples Data'!E54,IF(Valuation!$G$144="NTM",'Multiples Data'!F54,"N/A")),IF($G$145=Valuation!$C$19,IF(Valuation!$G$144="LTM",'Multiples Data'!E76,IF($G$144="NTM",'Multiples Data'!F76,"N/A")))))</f>
        <v>21.927725958893515</v>
      </c>
      <c r="K145" s="618">
        <f>IF($G$145=$C$9,IF($G$144="LTM",'Multiples Data'!G32,IF($G$144="NTM",'Multiples Data'!H32,"N/A")),IF($G$145=Valuation!$C$14,IF(Valuation!$G$144="LTM",'Multiples Data'!G54,IF(Valuation!$G$144="NTM",'Multiples Data'!H54,"N/A")),IF($G$145=Valuation!$C$19,IF(Valuation!$G$144="LTM",'Multiples Data'!G76,IF($G$144="NTM",'Multiples Data'!H76,"N/A")))))</f>
        <v>21.166454340080765</v>
      </c>
      <c r="L145" s="9"/>
      <c r="M145" s="64"/>
      <c r="N145" s="9"/>
      <c r="O145" s="9"/>
      <c r="P145" s="9"/>
      <c r="Q145" s="9"/>
      <c r="R145" s="9"/>
      <c r="S145" s="9"/>
      <c r="T145" s="9"/>
      <c r="U145" s="9"/>
      <c r="V145" s="9"/>
      <c r="W145" s="9"/>
      <c r="X145" s="9"/>
      <c r="Y145" s="9"/>
      <c r="Z145" s="9"/>
      <c r="AA145" s="9"/>
      <c r="AB145" s="9"/>
    </row>
    <row r="146" spans="1:28" ht="13.5" customHeight="1">
      <c r="A146" s="9"/>
      <c r="B146" s="9"/>
      <c r="C146" s="9"/>
      <c r="D146" s="9"/>
      <c r="E146" s="9"/>
      <c r="F146" s="9"/>
      <c r="G146" s="32"/>
      <c r="H146" s="9"/>
      <c r="I146" s="64" t="s">
        <v>755</v>
      </c>
      <c r="J146" s="618">
        <f>IF($G$145=$C$9,IF($G$144="LTM",'Multiples Data'!E33,IF($G$144="NTM",'Multiples Data'!F33,"N/A")),IF($G$145=Valuation!$C$14,IF(Valuation!$G$144="LTM",'Multiples Data'!E55,IF(Valuation!$G$144="NTM",'Multiples Data'!F55,"N/A")),IF($G$145=Valuation!$C$19,IF(Valuation!$G$144="LTM",'Multiples Data'!E77,IF($G$144="NTM",'Multiples Data'!F77,"N/A")))))</f>
        <v>20.502586042142706</v>
      </c>
      <c r="K146" s="618">
        <f>IF($G$145=$C$9,IF($G$144="LTM",'Multiples Data'!G33,IF($G$144="NTM",'Multiples Data'!H33,"N/A")),IF($G$145=Valuation!$C$14,IF(Valuation!$G$144="LTM",'Multiples Data'!G55,IF(Valuation!$G$144="NTM",'Multiples Data'!H55,"N/A")),IF($G$145=Valuation!$C$19,IF(Valuation!$G$144="LTM",'Multiples Data'!G77,IF($G$144="NTM",'Multiples Data'!H77,"N/A")))))</f>
        <v>20.205617587436233</v>
      </c>
      <c r="L146" s="9"/>
      <c r="M146" s="64"/>
      <c r="N146" s="9"/>
      <c r="O146" s="9"/>
      <c r="P146" s="9"/>
      <c r="Q146" s="9"/>
      <c r="R146" s="9"/>
      <c r="S146" s="9"/>
      <c r="T146" s="9"/>
      <c r="U146" s="9"/>
      <c r="V146" s="9"/>
      <c r="W146" s="9"/>
      <c r="X146" s="9"/>
      <c r="Y146" s="9"/>
      <c r="Z146" s="9"/>
      <c r="AA146" s="9"/>
      <c r="AB146" s="9"/>
    </row>
    <row r="147" spans="1:28" ht="14.25" customHeight="1">
      <c r="A147" s="9"/>
      <c r="B147" s="9"/>
      <c r="C147" s="9"/>
      <c r="D147" s="9"/>
      <c r="E147" s="9"/>
      <c r="F147" s="9"/>
      <c r="G147" s="9"/>
      <c r="H147" s="9"/>
      <c r="I147" s="64" t="s">
        <v>761</v>
      </c>
      <c r="J147" s="618">
        <f>IF($G$145=$C$9,IF($G$144="LTM",'Multiples Data'!E34,IF($G$144="NTM",'Multiples Data'!F34,"N/A")),IF($G$145=Valuation!$C$14,IF(Valuation!$G$144="LTM",'Multiples Data'!E56,IF(Valuation!$G$144="NTM",'Multiples Data'!F56,"N/A")),IF($G$145=Valuation!$C$19,IF(Valuation!$G$144="LTM",'Multiples Data'!E78,IF($G$144="NTM",'Multiples Data'!F78,"N/A")))))</f>
        <v>20.003318567550409</v>
      </c>
      <c r="K147" s="618">
        <f>IF($G$145=$C$9,IF($G$144="LTM",'Multiples Data'!G34,IF($G$144="NTM",'Multiples Data'!H34,"N/A")),IF($G$145=Valuation!$C$14,IF(Valuation!$G$144="LTM",'Multiples Data'!G56,IF(Valuation!$G$144="NTM",'Multiples Data'!H56,"N/A")),IF($G$145=Valuation!$C$19,IF(Valuation!$G$144="LTM",'Multiples Data'!G78,IF($G$144="NTM",'Multiples Data'!H78,"N/A")))))</f>
        <v>20.022466554878399</v>
      </c>
      <c r="L147" s="9"/>
      <c r="M147" s="9"/>
      <c r="N147" s="9"/>
      <c r="O147" s="9"/>
      <c r="P147" s="9"/>
      <c r="Q147" s="9"/>
      <c r="R147" s="9"/>
      <c r="S147" s="9"/>
      <c r="T147" s="9"/>
      <c r="U147" s="9"/>
      <c r="V147" s="9"/>
      <c r="W147" s="9"/>
      <c r="X147" s="9"/>
      <c r="Y147" s="9"/>
      <c r="Z147" s="9"/>
      <c r="AA147" s="9"/>
      <c r="AB147" s="9"/>
    </row>
    <row r="148" spans="1:28" ht="4.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row>
    <row r="149" spans="1:28" ht="14.25" customHeight="1">
      <c r="A149" s="180" t="s">
        <v>0</v>
      </c>
      <c r="B149" s="9"/>
      <c r="C149" s="1034" t="s">
        <v>719</v>
      </c>
      <c r="D149" s="974"/>
      <c r="E149" s="974"/>
      <c r="F149" s="974"/>
      <c r="G149" s="974"/>
      <c r="H149" s="974"/>
      <c r="I149" s="974"/>
      <c r="J149" s="974"/>
      <c r="K149" s="974"/>
      <c r="L149" s="974"/>
      <c r="M149" s="974"/>
      <c r="N149" s="974"/>
      <c r="O149" s="974"/>
      <c r="P149" s="974"/>
      <c r="Q149" s="974"/>
      <c r="R149" s="975"/>
      <c r="S149" s="180" t="s">
        <v>0</v>
      </c>
      <c r="T149" s="9"/>
      <c r="U149" s="9"/>
      <c r="V149" s="9"/>
      <c r="W149" s="9"/>
      <c r="X149" s="9"/>
      <c r="Y149" s="9"/>
      <c r="Z149" s="9"/>
      <c r="AA149" s="9"/>
      <c r="AB149" s="9"/>
    </row>
    <row r="150" spans="1:28" ht="4.5" customHeight="1">
      <c r="A150" s="180"/>
      <c r="B150" s="9"/>
      <c r="C150" s="103"/>
      <c r="D150" s="37"/>
      <c r="E150" s="37"/>
      <c r="F150" s="37"/>
      <c r="G150" s="139"/>
      <c r="H150" s="139"/>
      <c r="I150" s="139"/>
      <c r="J150" s="139"/>
      <c r="K150" s="139"/>
      <c r="L150" s="139"/>
      <c r="M150" s="139"/>
      <c r="N150" s="139"/>
      <c r="O150" s="139"/>
      <c r="P150" s="139"/>
      <c r="Q150" s="139"/>
      <c r="R150" s="139"/>
      <c r="S150" s="180"/>
      <c r="T150" s="9"/>
      <c r="U150" s="9"/>
      <c r="V150" s="9"/>
      <c r="W150" s="9"/>
      <c r="X150" s="9"/>
      <c r="Y150" s="9"/>
      <c r="Z150" s="9"/>
      <c r="AA150" s="9"/>
      <c r="AB150" s="9"/>
    </row>
    <row r="151" spans="1:28" ht="14.25" customHeight="1">
      <c r="A151" s="9"/>
      <c r="B151" s="9"/>
      <c r="C151" s="9" t="s">
        <v>762</v>
      </c>
      <c r="D151" s="9"/>
      <c r="E151" s="667">
        <f>$F$123</f>
        <v>27.853444576350462</v>
      </c>
      <c r="F151" s="567">
        <f>E151-H161</f>
        <v>0</v>
      </c>
      <c r="G151" s="9"/>
      <c r="H151" s="9" t="s">
        <v>763</v>
      </c>
      <c r="I151" s="9"/>
      <c r="J151" s="9"/>
      <c r="K151" s="667">
        <f>N123</f>
        <v>22.533825679401108</v>
      </c>
      <c r="L151" s="567">
        <f>K151-H177</f>
        <v>0</v>
      </c>
      <c r="M151" s="9"/>
      <c r="N151" s="3" t="s">
        <v>742</v>
      </c>
      <c r="O151" s="9"/>
      <c r="P151" s="9"/>
      <c r="Q151" s="712">
        <f ca="1">F124</f>
        <v>5.183684160124189</v>
      </c>
      <c r="R151" s="713">
        <f ca="1">Q151-E164</f>
        <v>0</v>
      </c>
      <c r="S151" s="9"/>
      <c r="T151" s="9"/>
      <c r="U151" s="9"/>
      <c r="V151" s="9"/>
      <c r="W151" s="9"/>
      <c r="X151" s="9"/>
      <c r="Y151" s="9"/>
      <c r="Z151" s="9"/>
      <c r="AA151" s="9"/>
      <c r="AB151" s="9"/>
    </row>
    <row r="152" spans="1:28" ht="14.25" customHeight="1">
      <c r="A152" s="9"/>
      <c r="B152" s="9"/>
      <c r="C152" s="9" t="s">
        <v>723</v>
      </c>
      <c r="D152" s="9"/>
      <c r="E152" s="674">
        <v>1</v>
      </c>
      <c r="F152" s="9"/>
      <c r="G152" s="9"/>
      <c r="H152" s="9" t="s">
        <v>723</v>
      </c>
      <c r="I152" s="9"/>
      <c r="J152" s="9"/>
      <c r="K152" s="674">
        <v>1</v>
      </c>
      <c r="L152" s="714"/>
      <c r="M152" s="9"/>
      <c r="N152" s="394" t="s">
        <v>764</v>
      </c>
      <c r="O152" s="9"/>
      <c r="P152" s="9"/>
      <c r="Q152" s="9"/>
      <c r="R152" s="713">
        <f ca="1">Q151-E172</f>
        <v>0</v>
      </c>
      <c r="S152" s="9"/>
      <c r="T152" s="9"/>
      <c r="U152" s="9"/>
      <c r="V152" s="9"/>
      <c r="W152" s="9"/>
      <c r="X152" s="9"/>
      <c r="Y152" s="9"/>
      <c r="Z152" s="9"/>
      <c r="AA152" s="9"/>
      <c r="AB152" s="9"/>
    </row>
    <row r="153" spans="1:28" ht="14.25" customHeight="1">
      <c r="A153" s="9"/>
      <c r="B153" s="9"/>
      <c r="C153" s="9" t="s">
        <v>765</v>
      </c>
      <c r="D153" s="9"/>
      <c r="E153" s="675">
        <v>0.1</v>
      </c>
      <c r="F153" s="9"/>
      <c r="G153" s="9"/>
      <c r="H153" s="9" t="s">
        <v>766</v>
      </c>
      <c r="I153" s="9"/>
      <c r="J153" s="9"/>
      <c r="K153" s="675">
        <v>0.1</v>
      </c>
      <c r="L153" s="714"/>
      <c r="M153" s="9"/>
      <c r="N153" s="3" t="s">
        <v>743</v>
      </c>
      <c r="O153" s="9"/>
      <c r="P153" s="9"/>
      <c r="Q153" s="715">
        <f ca="1">N124</f>
        <v>263.87629913010289</v>
      </c>
      <c r="R153" s="713">
        <f ca="1">Q153-E180</f>
        <v>0</v>
      </c>
      <c r="S153" s="9"/>
      <c r="T153" s="9"/>
      <c r="U153" s="9"/>
      <c r="V153" s="9"/>
      <c r="W153" s="9"/>
      <c r="X153" s="9"/>
      <c r="Y153" s="9"/>
      <c r="Z153" s="9"/>
      <c r="AA153" s="9"/>
      <c r="AB153" s="9"/>
    </row>
    <row r="154" spans="1:28" ht="14.25" customHeight="1">
      <c r="A154" s="9"/>
      <c r="B154" s="9"/>
      <c r="C154" s="9" t="s">
        <v>767</v>
      </c>
      <c r="D154" s="9"/>
      <c r="E154" s="667">
        <f>$J$123</f>
        <v>34.224272878712874</v>
      </c>
      <c r="F154" s="567">
        <f>E154-H169</f>
        <v>0</v>
      </c>
      <c r="G154" s="9"/>
      <c r="H154" s="9" t="s">
        <v>768</v>
      </c>
      <c r="I154" s="9"/>
      <c r="J154" s="9"/>
      <c r="K154" s="667">
        <f>R123</f>
        <v>30.272702109505154</v>
      </c>
      <c r="L154" s="567">
        <f>K154-H185</f>
        <v>0</v>
      </c>
      <c r="M154" s="716"/>
      <c r="N154" s="394" t="s">
        <v>764</v>
      </c>
      <c r="O154" s="717"/>
      <c r="P154" s="9"/>
      <c r="Q154" s="9"/>
      <c r="R154" s="713">
        <f ca="1">Q153-E188</f>
        <v>0</v>
      </c>
      <c r="S154" s="9"/>
      <c r="T154" s="9"/>
      <c r="U154" s="9"/>
      <c r="V154" s="9"/>
      <c r="W154" s="9"/>
      <c r="X154" s="9"/>
      <c r="Y154" s="9"/>
      <c r="Z154" s="9"/>
      <c r="AA154" s="9"/>
      <c r="AB154" s="9"/>
    </row>
    <row r="155" spans="1:28" ht="14.25" customHeight="1">
      <c r="A155" s="9"/>
      <c r="B155" s="9"/>
      <c r="C155" s="9" t="s">
        <v>723</v>
      </c>
      <c r="D155" s="9"/>
      <c r="E155" s="674">
        <v>1</v>
      </c>
      <c r="F155" s="9"/>
      <c r="G155" s="9"/>
      <c r="H155" s="9" t="s">
        <v>723</v>
      </c>
      <c r="I155" s="9"/>
      <c r="J155" s="9"/>
      <c r="K155" s="674">
        <v>1</v>
      </c>
      <c r="L155" s="714"/>
      <c r="M155" s="9"/>
      <c r="N155" s="9"/>
      <c r="O155" s="717"/>
      <c r="P155" s="9"/>
      <c r="Q155" s="9"/>
      <c r="R155" s="9"/>
      <c r="S155" s="9"/>
      <c r="T155" s="9"/>
      <c r="U155" s="9"/>
      <c r="V155" s="9"/>
      <c r="W155" s="9"/>
      <c r="X155" s="9"/>
      <c r="Y155" s="9"/>
      <c r="Z155" s="9"/>
      <c r="AA155" s="9"/>
      <c r="AB155" s="9"/>
    </row>
    <row r="156" spans="1:28" ht="14.25" customHeight="1">
      <c r="A156" s="9"/>
      <c r="B156" s="9"/>
      <c r="C156" s="9"/>
      <c r="D156" s="9"/>
      <c r="E156" s="32"/>
      <c r="F156" s="9"/>
      <c r="G156" s="9"/>
      <c r="H156" s="9"/>
      <c r="I156" s="9"/>
      <c r="J156" s="9"/>
      <c r="K156" s="9"/>
      <c r="L156" s="9"/>
      <c r="M156" s="9"/>
      <c r="N156" s="9"/>
      <c r="O156" s="9"/>
      <c r="P156" s="9"/>
      <c r="Q156" s="9"/>
      <c r="R156" s="9"/>
      <c r="S156" s="9"/>
      <c r="T156" s="9"/>
      <c r="U156" s="9"/>
      <c r="V156" s="9"/>
      <c r="W156" s="9"/>
      <c r="X156" s="9"/>
      <c r="Y156" s="9"/>
      <c r="Z156" s="9"/>
      <c r="AA156" s="9"/>
      <c r="AB156" s="9"/>
    </row>
    <row r="157" spans="1:28" ht="4.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row>
    <row r="158" spans="1:28" ht="14.25" customHeight="1">
      <c r="A158" s="9"/>
      <c r="B158" s="9"/>
      <c r="C158" s="9"/>
      <c r="D158" s="1037" t="s">
        <v>726</v>
      </c>
      <c r="E158" s="974"/>
      <c r="F158" s="974"/>
      <c r="G158" s="974"/>
      <c r="H158" s="974"/>
      <c r="I158" s="974"/>
      <c r="J158" s="975"/>
      <c r="K158" s="676"/>
      <c r="L158" s="1037" t="s">
        <v>727</v>
      </c>
      <c r="M158" s="974"/>
      <c r="N158" s="974"/>
      <c r="O158" s="974"/>
      <c r="P158" s="974"/>
      <c r="Q158" s="974"/>
      <c r="R158" s="975"/>
      <c r="S158" s="9"/>
      <c r="T158" s="9"/>
      <c r="U158" s="9"/>
      <c r="V158" s="9"/>
      <c r="W158" s="9"/>
      <c r="X158" s="9"/>
      <c r="Y158" s="9"/>
      <c r="Z158" s="9"/>
      <c r="AA158" s="9"/>
      <c r="AB158" s="9"/>
    </row>
    <row r="159" spans="1:28" ht="4.5" customHeight="1">
      <c r="A159" s="9"/>
      <c r="B159" s="9"/>
      <c r="C159" s="9"/>
      <c r="D159" s="37"/>
      <c r="E159" s="139"/>
      <c r="F159" s="64"/>
      <c r="G159" s="64"/>
      <c r="H159" s="64"/>
      <c r="I159" s="64"/>
      <c r="J159" s="64"/>
      <c r="K159" s="676"/>
      <c r="L159" s="37"/>
      <c r="M159" s="139"/>
      <c r="N159" s="64"/>
      <c r="O159" s="64"/>
      <c r="P159" s="64"/>
      <c r="Q159" s="64"/>
      <c r="R159" s="64"/>
      <c r="S159" s="9"/>
      <c r="T159" s="9"/>
      <c r="U159" s="9"/>
      <c r="V159" s="9"/>
      <c r="W159" s="9"/>
      <c r="X159" s="9"/>
      <c r="Y159" s="9"/>
      <c r="Z159" s="9"/>
      <c r="AA159" s="9"/>
      <c r="AB159" s="9"/>
    </row>
    <row r="160" spans="1:28" ht="14.25" customHeight="1">
      <c r="A160" s="9"/>
      <c r="B160" s="9"/>
      <c r="C160" s="9"/>
      <c r="D160" s="489"/>
      <c r="E160" s="491"/>
      <c r="F160" s="1029" t="str">
        <f>G144&amp;" P/E"</f>
        <v>NTM P/E</v>
      </c>
      <c r="G160" s="1030"/>
      <c r="H160" s="1030"/>
      <c r="I160" s="1030"/>
      <c r="J160" s="1030"/>
      <c r="K160" s="9"/>
      <c r="L160" s="489"/>
      <c r="M160" s="491"/>
      <c r="N160" s="1029" t="str">
        <f>F160</f>
        <v>NTM P/E</v>
      </c>
      <c r="O160" s="1030"/>
      <c r="P160" s="1030"/>
      <c r="Q160" s="1030"/>
      <c r="R160" s="1030"/>
      <c r="S160" s="9"/>
      <c r="T160" s="9"/>
      <c r="U160" s="9"/>
      <c r="V160" s="9"/>
      <c r="W160" s="9"/>
      <c r="X160" s="9"/>
      <c r="Y160" s="9"/>
      <c r="Z160" s="9"/>
      <c r="AA160" s="9"/>
      <c r="AB160" s="9"/>
    </row>
    <row r="161" spans="1:28" ht="14.25" customHeight="1">
      <c r="A161" s="9"/>
      <c r="B161" s="9"/>
      <c r="C161" s="9"/>
      <c r="D161" s="9"/>
      <c r="E161" s="677">
        <f ca="1">$F$126</f>
        <v>144.3834594553249</v>
      </c>
      <c r="F161" s="678">
        <f>G161-$E$93</f>
        <v>25.853444576350462</v>
      </c>
      <c r="G161" s="678">
        <f>H161-$E$93</f>
        <v>26.853444576350462</v>
      </c>
      <c r="H161" s="679">
        <v>27.853444576350462</v>
      </c>
      <c r="I161" s="678">
        <f>H161+$E$93</f>
        <v>28.853444576350462</v>
      </c>
      <c r="J161" s="678">
        <f>I161+$E$93</f>
        <v>29.853444576350462</v>
      </c>
      <c r="K161" s="9"/>
      <c r="L161" s="9"/>
      <c r="M161" s="680">
        <f>$H$73</f>
        <v>0</v>
      </c>
      <c r="N161" s="678">
        <f>F161</f>
        <v>25.853444576350462</v>
      </c>
      <c r="O161" s="678">
        <f>G161</f>
        <v>26.853444576350462</v>
      </c>
      <c r="P161" s="678">
        <f>H161</f>
        <v>27.853444576350462</v>
      </c>
      <c r="Q161" s="678">
        <f>I161</f>
        <v>28.853444576350462</v>
      </c>
      <c r="R161" s="678">
        <f>J161</f>
        <v>29.853444576350462</v>
      </c>
      <c r="S161" s="9"/>
      <c r="T161" s="9"/>
      <c r="U161" s="9"/>
      <c r="V161" s="9"/>
      <c r="W161" s="9"/>
      <c r="X161" s="9"/>
      <c r="Y161" s="9"/>
      <c r="Z161" s="9"/>
      <c r="AA161" s="9"/>
      <c r="AB161" s="9"/>
    </row>
    <row r="162" spans="1:28" ht="14.25" customHeight="1">
      <c r="A162" s="9"/>
      <c r="B162" s="9"/>
      <c r="C162" s="9"/>
      <c r="D162" s="1031" t="s">
        <v>376</v>
      </c>
      <c r="E162" s="718">
        <f>$E$164*(1-(2*$E$153))</f>
        <v>4.1469473280993512</v>
      </c>
      <c r="F162" s="682">
        <v>196.69715706451626</v>
      </c>
      <c r="G162" s="683">
        <v>208.434179679659</v>
      </c>
      <c r="H162" s="683">
        <v>220.1712022948017</v>
      </c>
      <c r="I162" s="683">
        <v>231.90822490994441</v>
      </c>
      <c r="J162" s="684">
        <v>243.64524752508711</v>
      </c>
      <c r="K162" s="9"/>
      <c r="L162" s="1031" t="s">
        <v>376</v>
      </c>
      <c r="M162" s="718">
        <f>E162</f>
        <v>4.1469473280993512</v>
      </c>
      <c r="N162" s="685">
        <f t="shared" ref="N162:R166" si="7">F162/Share_Price-1</f>
        <v>0.66326024915031501</v>
      </c>
      <c r="O162" s="561">
        <f t="shared" si="7"/>
        <v>0.76250786131962611</v>
      </c>
      <c r="P162" s="561">
        <f t="shared" si="7"/>
        <v>0.861755473488937</v>
      </c>
      <c r="Q162" s="561">
        <f t="shared" si="7"/>
        <v>0.96100308565824788</v>
      </c>
      <c r="R162" s="686">
        <f t="shared" si="7"/>
        <v>1.0602506978275588</v>
      </c>
      <c r="S162" s="9"/>
      <c r="T162" s="9"/>
      <c r="U162" s="9"/>
      <c r="V162" s="9"/>
      <c r="W162" s="9"/>
      <c r="X162" s="9"/>
      <c r="Y162" s="9"/>
      <c r="Z162" s="9"/>
      <c r="AA162" s="9"/>
      <c r="AB162" s="9"/>
    </row>
    <row r="163" spans="1:28" ht="14.25" customHeight="1">
      <c r="A163" s="9"/>
      <c r="B163" s="9"/>
      <c r="C163" s="9"/>
      <c r="D163" s="1032"/>
      <c r="E163" s="718">
        <f>$E$164*(1-$E$153)</f>
        <v>4.6653157441117701</v>
      </c>
      <c r="F163" s="687">
        <v>221.28430169758082</v>
      </c>
      <c r="G163" s="688">
        <v>234.48845213961636</v>
      </c>
      <c r="H163" s="688">
        <v>247.6926025816519</v>
      </c>
      <c r="I163" s="688">
        <v>260.89675302368744</v>
      </c>
      <c r="J163" s="689">
        <v>274.10090346572298</v>
      </c>
      <c r="K163" s="9"/>
      <c r="L163" s="1032"/>
      <c r="M163" s="718">
        <f>E163</f>
        <v>4.6653157441117701</v>
      </c>
      <c r="N163" s="690">
        <f t="shared" si="7"/>
        <v>0.87116778029410447</v>
      </c>
      <c r="O163" s="451">
        <f t="shared" si="7"/>
        <v>0.98282134398457921</v>
      </c>
      <c r="P163" s="451">
        <f t="shared" si="7"/>
        <v>1.0944749076750542</v>
      </c>
      <c r="Q163" s="451">
        <f t="shared" si="7"/>
        <v>1.2061284713655289</v>
      </c>
      <c r="R163" s="572">
        <f t="shared" si="7"/>
        <v>1.3177820350560037</v>
      </c>
      <c r="S163" s="9"/>
      <c r="T163" s="9"/>
      <c r="U163" s="9"/>
      <c r="V163" s="9"/>
      <c r="W163" s="9"/>
      <c r="X163" s="9"/>
      <c r="Y163" s="9"/>
      <c r="Z163" s="9"/>
      <c r="AA163" s="9"/>
      <c r="AB163" s="9"/>
    </row>
    <row r="164" spans="1:28" ht="14.25" customHeight="1">
      <c r="A164" s="9"/>
      <c r="B164" s="9"/>
      <c r="C164" s="9"/>
      <c r="D164" s="1032"/>
      <c r="E164" s="719">
        <v>5.183684160124189</v>
      </c>
      <c r="F164" s="687">
        <v>245.87144633064534</v>
      </c>
      <c r="G164" s="688">
        <v>260.54272459957372</v>
      </c>
      <c r="H164" s="688">
        <v>275.21400286850212</v>
      </c>
      <c r="I164" s="688">
        <v>289.88528113743047</v>
      </c>
      <c r="J164" s="689">
        <v>304.55655940635887</v>
      </c>
      <c r="K164" s="9"/>
      <c r="L164" s="1032"/>
      <c r="M164" s="718">
        <f>E164</f>
        <v>5.183684160124189</v>
      </c>
      <c r="N164" s="690">
        <f t="shared" si="7"/>
        <v>1.0790753114378937</v>
      </c>
      <c r="O164" s="451">
        <f t="shared" si="7"/>
        <v>1.2031348266495323</v>
      </c>
      <c r="P164" s="451">
        <f t="shared" si="7"/>
        <v>1.3271943418611714</v>
      </c>
      <c r="Q164" s="451">
        <f t="shared" si="7"/>
        <v>1.4512538570728095</v>
      </c>
      <c r="R164" s="572">
        <f t="shared" si="7"/>
        <v>1.5753133722844481</v>
      </c>
      <c r="S164" s="9"/>
      <c r="T164" s="9"/>
      <c r="U164" s="9"/>
      <c r="V164" s="9"/>
      <c r="W164" s="9"/>
      <c r="X164" s="9"/>
      <c r="Y164" s="9"/>
      <c r="Z164" s="9"/>
      <c r="AA164" s="9"/>
      <c r="AB164" s="9"/>
    </row>
    <row r="165" spans="1:28" ht="14.25" customHeight="1">
      <c r="A165" s="9"/>
      <c r="B165" s="9"/>
      <c r="C165" s="9"/>
      <c r="D165" s="1032"/>
      <c r="E165" s="718">
        <f>$E$164*(1+$E$153)</f>
        <v>5.7020525761366088</v>
      </c>
      <c r="F165" s="687">
        <v>270.45859096370987</v>
      </c>
      <c r="G165" s="688">
        <v>286.59699705953108</v>
      </c>
      <c r="H165" s="688">
        <v>302.73540315535229</v>
      </c>
      <c r="I165" s="688">
        <v>318.87380925117355</v>
      </c>
      <c r="J165" s="689">
        <v>335.01221534699476</v>
      </c>
      <c r="K165" s="9"/>
      <c r="L165" s="1032"/>
      <c r="M165" s="718">
        <f>E165</f>
        <v>5.7020525761366088</v>
      </c>
      <c r="N165" s="690">
        <f t="shared" si="7"/>
        <v>1.2869828425816832</v>
      </c>
      <c r="O165" s="451">
        <f t="shared" si="7"/>
        <v>1.4234483093144856</v>
      </c>
      <c r="P165" s="451">
        <f t="shared" si="7"/>
        <v>1.5599137760472881</v>
      </c>
      <c r="Q165" s="451">
        <f t="shared" si="7"/>
        <v>1.696379242780091</v>
      </c>
      <c r="R165" s="572">
        <f t="shared" si="7"/>
        <v>1.832844709512893</v>
      </c>
      <c r="S165" s="9"/>
      <c r="T165" s="9"/>
      <c r="U165" s="9"/>
      <c r="V165" s="9"/>
      <c r="W165" s="9"/>
      <c r="X165" s="9"/>
      <c r="Y165" s="9"/>
      <c r="Z165" s="9"/>
      <c r="AA165" s="9"/>
      <c r="AB165" s="9"/>
    </row>
    <row r="166" spans="1:28" ht="14.25" customHeight="1">
      <c r="A166" s="9"/>
      <c r="B166" s="9"/>
      <c r="C166" s="9"/>
      <c r="D166" s="1033"/>
      <c r="E166" s="718">
        <f>$E$164*(1+(2*$E$153))</f>
        <v>6.2204209921490268</v>
      </c>
      <c r="F166" s="693">
        <v>295.04573559677436</v>
      </c>
      <c r="G166" s="694">
        <v>312.65126951948844</v>
      </c>
      <c r="H166" s="694">
        <v>330.25680344220251</v>
      </c>
      <c r="I166" s="694">
        <v>347.86233736491658</v>
      </c>
      <c r="J166" s="695">
        <v>365.46787128763066</v>
      </c>
      <c r="K166" s="9"/>
      <c r="L166" s="1033"/>
      <c r="M166" s="718">
        <f>E166</f>
        <v>6.2204209921490268</v>
      </c>
      <c r="N166" s="696">
        <f t="shared" si="7"/>
        <v>1.4948903737254722</v>
      </c>
      <c r="O166" s="569">
        <f t="shared" si="7"/>
        <v>1.6437617919794389</v>
      </c>
      <c r="P166" s="569">
        <f t="shared" si="7"/>
        <v>1.7926332102334053</v>
      </c>
      <c r="Q166" s="569">
        <f t="shared" si="7"/>
        <v>1.9415046284873716</v>
      </c>
      <c r="R166" s="697">
        <f t="shared" si="7"/>
        <v>2.0903760467413379</v>
      </c>
      <c r="S166" s="9"/>
      <c r="T166" s="9"/>
      <c r="U166" s="9"/>
      <c r="V166" s="9"/>
      <c r="W166" s="9"/>
      <c r="X166" s="9"/>
      <c r="Y166" s="9"/>
      <c r="Z166" s="9"/>
      <c r="AA166" s="9"/>
      <c r="AB166" s="9"/>
    </row>
    <row r="167" spans="1:28" ht="14.2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row>
    <row r="168" spans="1:28" ht="14.25" customHeight="1">
      <c r="A168" s="9"/>
      <c r="B168" s="9"/>
      <c r="C168" s="9"/>
      <c r="D168" s="489"/>
      <c r="E168" s="491"/>
      <c r="F168" s="1029" t="str">
        <f>G144&amp;" P/E Spread to Comps"</f>
        <v>NTM P/E Spread to Comps</v>
      </c>
      <c r="G168" s="1030"/>
      <c r="H168" s="1030"/>
      <c r="I168" s="1030"/>
      <c r="J168" s="1030"/>
      <c r="K168" s="9"/>
      <c r="L168" s="489"/>
      <c r="M168" s="491"/>
      <c r="N168" s="1029" t="str">
        <f>F168</f>
        <v>NTM P/E Spread to Comps</v>
      </c>
      <c r="O168" s="1030"/>
      <c r="P168" s="1030"/>
      <c r="Q168" s="1030"/>
      <c r="R168" s="1030"/>
      <c r="S168" s="9"/>
      <c r="T168" s="9"/>
      <c r="U168" s="9"/>
      <c r="V168" s="9"/>
      <c r="W168" s="9"/>
      <c r="X168" s="9"/>
      <c r="Y168" s="9"/>
      <c r="Z168" s="9"/>
      <c r="AA168" s="9"/>
      <c r="AB168" s="9"/>
    </row>
    <row r="169" spans="1:28" ht="14.25" customHeight="1">
      <c r="A169" s="9"/>
      <c r="B169" s="9"/>
      <c r="C169" s="9"/>
      <c r="D169" s="9"/>
      <c r="E169" s="677">
        <f ca="1">$J$126</f>
        <v>177.40782121315181</v>
      </c>
      <c r="F169" s="678">
        <f>G169-$E$93</f>
        <v>32.224272878712874</v>
      </c>
      <c r="G169" s="678">
        <f>H169-$E$93</f>
        <v>33.224272878712874</v>
      </c>
      <c r="H169" s="679">
        <v>34.224272878712874</v>
      </c>
      <c r="I169" s="678">
        <f>H169+$E$93</f>
        <v>35.224272878712874</v>
      </c>
      <c r="J169" s="678">
        <f>I169+$E$93</f>
        <v>36.224272878712874</v>
      </c>
      <c r="K169" s="9"/>
      <c r="L169" s="9"/>
      <c r="M169" s="677">
        <f>$H$73</f>
        <v>0</v>
      </c>
      <c r="N169" s="678">
        <f>F169</f>
        <v>32.224272878712874</v>
      </c>
      <c r="O169" s="678">
        <f>G169</f>
        <v>33.224272878712874</v>
      </c>
      <c r="P169" s="678">
        <f>H169</f>
        <v>34.224272878712874</v>
      </c>
      <c r="Q169" s="678">
        <f>I169</f>
        <v>35.224272878712874</v>
      </c>
      <c r="R169" s="678">
        <f>J169</f>
        <v>36.224272878712874</v>
      </c>
      <c r="S169" s="9"/>
      <c r="T169" s="9"/>
      <c r="U169" s="9"/>
      <c r="V169" s="9"/>
      <c r="W169" s="9"/>
      <c r="X169" s="9"/>
      <c r="Y169" s="9"/>
      <c r="Z169" s="9"/>
      <c r="AA169" s="9"/>
      <c r="AB169" s="9"/>
    </row>
    <row r="170" spans="1:28" ht="14.25" customHeight="1">
      <c r="A170" s="9"/>
      <c r="B170" s="9"/>
      <c r="C170" s="9"/>
      <c r="D170" s="1031" t="s">
        <v>376</v>
      </c>
      <c r="E170" s="718">
        <f>$E$172*(1-(2*$E$153))</f>
        <v>4.1469473280993512</v>
      </c>
      <c r="F170" s="682">
        <v>202.8619976735001</v>
      </c>
      <c r="G170" s="683">
        <v>214.59902028864283</v>
      </c>
      <c r="H170" s="683">
        <v>226.33604290378554</v>
      </c>
      <c r="I170" s="683">
        <v>238.07306551892825</v>
      </c>
      <c r="J170" s="684">
        <v>249.81008813407095</v>
      </c>
      <c r="K170" s="9"/>
      <c r="L170" s="1031" t="s">
        <v>376</v>
      </c>
      <c r="M170" s="718">
        <f>E170</f>
        <v>4.1469473280993512</v>
      </c>
      <c r="N170" s="685">
        <f t="shared" ref="N170:R174" si="8">F170/Share_Price-1</f>
        <v>0.71538979937003289</v>
      </c>
      <c r="O170" s="561">
        <f t="shared" si="8"/>
        <v>0.81463741153934399</v>
      </c>
      <c r="P170" s="561">
        <f t="shared" si="8"/>
        <v>0.91388502370865488</v>
      </c>
      <c r="Q170" s="561">
        <f t="shared" si="8"/>
        <v>1.013132635877966</v>
      </c>
      <c r="R170" s="686">
        <f t="shared" si="8"/>
        <v>1.1123802480472769</v>
      </c>
      <c r="S170" s="9"/>
      <c r="T170" s="9"/>
      <c r="U170" s="9"/>
      <c r="V170" s="9"/>
      <c r="W170" s="9"/>
      <c r="X170" s="9"/>
      <c r="Y170" s="9"/>
      <c r="Z170" s="9"/>
      <c r="AA170" s="9"/>
      <c r="AB170" s="9"/>
    </row>
    <row r="171" spans="1:28" ht="14.25" customHeight="1">
      <c r="A171" s="9"/>
      <c r="B171" s="9"/>
      <c r="C171" s="9"/>
      <c r="D171" s="1032"/>
      <c r="E171" s="718">
        <f>$E$172*(1-$E$153)</f>
        <v>4.6653157441117701</v>
      </c>
      <c r="F171" s="687">
        <v>228.21974738268761</v>
      </c>
      <c r="G171" s="688">
        <v>241.42389782472316</v>
      </c>
      <c r="H171" s="688">
        <v>254.62804826675873</v>
      </c>
      <c r="I171" s="688">
        <v>267.83219870879424</v>
      </c>
      <c r="J171" s="689">
        <v>281.03634915082984</v>
      </c>
      <c r="K171" s="9"/>
      <c r="L171" s="1032"/>
      <c r="M171" s="718">
        <f>E171</f>
        <v>4.6653157441117701</v>
      </c>
      <c r="N171" s="690">
        <f t="shared" si="8"/>
        <v>0.92981352429128705</v>
      </c>
      <c r="O171" s="451">
        <f t="shared" si="8"/>
        <v>1.0414670879817618</v>
      </c>
      <c r="P171" s="451">
        <f t="shared" si="8"/>
        <v>1.1531206516722365</v>
      </c>
      <c r="Q171" s="451">
        <f t="shared" si="8"/>
        <v>1.2647742153627113</v>
      </c>
      <c r="R171" s="572">
        <f t="shared" si="8"/>
        <v>1.3764277790531865</v>
      </c>
      <c r="S171" s="9"/>
      <c r="T171" s="9"/>
      <c r="U171" s="9"/>
      <c r="V171" s="9"/>
      <c r="W171" s="9"/>
      <c r="X171" s="9"/>
      <c r="Y171" s="9"/>
      <c r="Z171" s="9"/>
      <c r="AA171" s="9"/>
      <c r="AB171" s="9"/>
    </row>
    <row r="172" spans="1:28" ht="14.25" customHeight="1">
      <c r="A172" s="9"/>
      <c r="B172" s="9"/>
      <c r="C172" s="9"/>
      <c r="D172" s="1032"/>
      <c r="E172" s="719">
        <v>5.183684160124189</v>
      </c>
      <c r="F172" s="687">
        <v>253.57749709187513</v>
      </c>
      <c r="G172" s="688">
        <v>268.24877536080351</v>
      </c>
      <c r="H172" s="688">
        <v>282.92005362973191</v>
      </c>
      <c r="I172" s="688">
        <v>297.59133189866026</v>
      </c>
      <c r="J172" s="689">
        <v>312.26261016758866</v>
      </c>
      <c r="K172" s="9"/>
      <c r="L172" s="1032"/>
      <c r="M172" s="718">
        <f>E172</f>
        <v>5.183684160124189</v>
      </c>
      <c r="N172" s="690">
        <f t="shared" si="8"/>
        <v>1.1442372492125412</v>
      </c>
      <c r="O172" s="451">
        <f t="shared" si="8"/>
        <v>1.2682967644241798</v>
      </c>
      <c r="P172" s="451">
        <f t="shared" si="8"/>
        <v>1.3923562796358184</v>
      </c>
      <c r="Q172" s="451">
        <f t="shared" si="8"/>
        <v>1.516415794847457</v>
      </c>
      <c r="R172" s="572">
        <f t="shared" si="8"/>
        <v>1.6404753100590956</v>
      </c>
      <c r="S172" s="9"/>
      <c r="T172" s="9"/>
      <c r="U172" s="9"/>
      <c r="V172" s="9"/>
      <c r="W172" s="9"/>
      <c r="X172" s="9"/>
      <c r="Y172" s="9"/>
      <c r="Z172" s="9"/>
      <c r="AA172" s="9"/>
      <c r="AB172" s="9"/>
    </row>
    <row r="173" spans="1:28" ht="14.25" customHeight="1">
      <c r="A173" s="9"/>
      <c r="B173" s="9"/>
      <c r="C173" s="9"/>
      <c r="D173" s="1032"/>
      <c r="E173" s="718">
        <f>$E$172*(1+$E$153)</f>
        <v>5.7020525761366088</v>
      </c>
      <c r="F173" s="687">
        <v>278.93524680106265</v>
      </c>
      <c r="G173" s="688">
        <v>295.07365289688386</v>
      </c>
      <c r="H173" s="688">
        <v>311.21205899270507</v>
      </c>
      <c r="I173" s="688">
        <v>327.35046508852628</v>
      </c>
      <c r="J173" s="689">
        <v>343.48887118434754</v>
      </c>
      <c r="K173" s="9"/>
      <c r="L173" s="1032"/>
      <c r="M173" s="718">
        <f>E173</f>
        <v>5.7020525761366088</v>
      </c>
      <c r="N173" s="690">
        <f t="shared" si="8"/>
        <v>1.3586609741337954</v>
      </c>
      <c r="O173" s="451">
        <f t="shared" si="8"/>
        <v>1.4951264408665979</v>
      </c>
      <c r="P173" s="451">
        <f t="shared" si="8"/>
        <v>1.6315919075993999</v>
      </c>
      <c r="Q173" s="451">
        <f t="shared" si="8"/>
        <v>1.7680573743322023</v>
      </c>
      <c r="R173" s="572">
        <f t="shared" si="8"/>
        <v>1.9045228410650052</v>
      </c>
      <c r="S173" s="9"/>
      <c r="T173" s="9"/>
      <c r="U173" s="9"/>
      <c r="V173" s="9"/>
      <c r="W173" s="9"/>
      <c r="X173" s="9"/>
      <c r="Y173" s="9"/>
      <c r="Z173" s="9"/>
      <c r="AA173" s="9"/>
      <c r="AB173" s="9"/>
    </row>
    <row r="174" spans="1:28" ht="14.25" customHeight="1">
      <c r="A174" s="9"/>
      <c r="B174" s="9"/>
      <c r="C174" s="9"/>
      <c r="D174" s="1033"/>
      <c r="E174" s="718">
        <f>$E$172*(1+(2*$E$153))</f>
        <v>6.2204209921490268</v>
      </c>
      <c r="F174" s="693">
        <v>304.29299651025013</v>
      </c>
      <c r="G174" s="694">
        <v>321.89853043296421</v>
      </c>
      <c r="H174" s="694">
        <v>339.50406435567828</v>
      </c>
      <c r="I174" s="694">
        <v>357.1095982783923</v>
      </c>
      <c r="J174" s="695">
        <v>374.71513220110637</v>
      </c>
      <c r="K174" s="9"/>
      <c r="L174" s="1033"/>
      <c r="M174" s="718">
        <f>E174</f>
        <v>6.2204209921490268</v>
      </c>
      <c r="N174" s="696">
        <f t="shared" si="8"/>
        <v>1.5730846990550491</v>
      </c>
      <c r="O174" s="569">
        <f t="shared" si="8"/>
        <v>1.7219561173090159</v>
      </c>
      <c r="P174" s="569">
        <f t="shared" si="8"/>
        <v>1.8708275355629822</v>
      </c>
      <c r="Q174" s="569">
        <f t="shared" si="8"/>
        <v>2.0196989538169481</v>
      </c>
      <c r="R174" s="697">
        <f t="shared" si="8"/>
        <v>2.1685703720709144</v>
      </c>
      <c r="S174" s="9"/>
      <c r="T174" s="9"/>
      <c r="U174" s="9"/>
      <c r="V174" s="9"/>
      <c r="W174" s="9"/>
      <c r="X174" s="9"/>
      <c r="Y174" s="9"/>
      <c r="Z174" s="9"/>
      <c r="AA174" s="9"/>
      <c r="AB174" s="9"/>
    </row>
    <row r="175" spans="1:28" ht="14.2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row>
    <row r="176" spans="1:28" ht="14.25" customHeight="1">
      <c r="A176" s="9"/>
      <c r="B176" s="9"/>
      <c r="C176" s="9"/>
      <c r="D176" s="489"/>
      <c r="E176" s="491"/>
      <c r="F176" s="1029" t="str">
        <f>G144&amp;" EV/EBITDA"</f>
        <v>NTM EV/EBITDA</v>
      </c>
      <c r="G176" s="1030"/>
      <c r="H176" s="1030"/>
      <c r="I176" s="1030"/>
      <c r="J176" s="1030"/>
      <c r="K176" s="9"/>
      <c r="L176" s="489"/>
      <c r="M176" s="491"/>
      <c r="N176" s="1029" t="str">
        <f>F176</f>
        <v>NTM EV/EBITDA</v>
      </c>
      <c r="O176" s="1030"/>
      <c r="P176" s="1030"/>
      <c r="Q176" s="1030"/>
      <c r="R176" s="1030"/>
      <c r="S176" s="9"/>
      <c r="T176" s="9"/>
      <c r="U176" s="9"/>
      <c r="V176" s="9"/>
      <c r="W176" s="9"/>
      <c r="X176" s="9"/>
      <c r="Y176" s="9"/>
      <c r="Z176" s="9"/>
      <c r="AA176" s="9"/>
      <c r="AB176" s="9"/>
    </row>
    <row r="177" spans="1:28" ht="14.25" customHeight="1">
      <c r="A177" s="9"/>
      <c r="B177" s="9"/>
      <c r="C177" s="9"/>
      <c r="D177" s="9"/>
      <c r="E177" s="677">
        <f ca="1">$N$137</f>
        <v>104.36318203640977</v>
      </c>
      <c r="F177" s="678">
        <f>G177-$E$93</f>
        <v>20.533825679401108</v>
      </c>
      <c r="G177" s="678">
        <f>H177-$E$93</f>
        <v>21.533825679401108</v>
      </c>
      <c r="H177" s="679">
        <v>22.533825679401108</v>
      </c>
      <c r="I177" s="678">
        <f>H177+$E$93</f>
        <v>23.533825679401108</v>
      </c>
      <c r="J177" s="678">
        <f>I177+$E$93</f>
        <v>24.533825679401108</v>
      </c>
      <c r="K177" s="9"/>
      <c r="L177" s="9"/>
      <c r="M177" s="677">
        <f>$H$73</f>
        <v>0</v>
      </c>
      <c r="N177" s="678">
        <f>F177</f>
        <v>20.533825679401108</v>
      </c>
      <c r="O177" s="678">
        <f>G177</f>
        <v>21.533825679401108</v>
      </c>
      <c r="P177" s="678">
        <f>H177</f>
        <v>22.533825679401108</v>
      </c>
      <c r="Q177" s="678">
        <f>I177</f>
        <v>23.533825679401108</v>
      </c>
      <c r="R177" s="678">
        <f>J177</f>
        <v>24.533825679401108</v>
      </c>
      <c r="S177" s="9"/>
      <c r="T177" s="9"/>
      <c r="U177" s="9"/>
      <c r="V177" s="9"/>
      <c r="W177" s="9"/>
      <c r="X177" s="9"/>
      <c r="Y177" s="9"/>
      <c r="Z177" s="9"/>
      <c r="AA177" s="9"/>
      <c r="AB177" s="9"/>
    </row>
    <row r="178" spans="1:28" ht="14.25" customHeight="1">
      <c r="A178" s="9"/>
      <c r="B178" s="9"/>
      <c r="C178" s="9"/>
      <c r="D178" s="1031" t="s">
        <v>285</v>
      </c>
      <c r="E178" s="655">
        <f>$E$180*(1-(2*$K$153))</f>
        <v>211.10103930408232</v>
      </c>
      <c r="F178" s="682">
        <v>155.53010888594085</v>
      </c>
      <c r="G178" s="683">
        <v>172.99692288561477</v>
      </c>
      <c r="H178" s="683">
        <v>190.46373688528865</v>
      </c>
      <c r="I178" s="683">
        <v>207.93055088496263</v>
      </c>
      <c r="J178" s="684">
        <v>225.39736488463652</v>
      </c>
      <c r="K178" s="9"/>
      <c r="L178" s="1031" t="s">
        <v>285</v>
      </c>
      <c r="M178" s="655">
        <f>E178</f>
        <v>211.10103930408232</v>
      </c>
      <c r="N178" s="685">
        <f t="shared" ref="N178:R182" si="9">F178/Share_Price-1</f>
        <v>0.31515397332945061</v>
      </c>
      <c r="O178" s="561">
        <f t="shared" si="9"/>
        <v>0.46285238360912184</v>
      </c>
      <c r="P178" s="561">
        <f t="shared" si="9"/>
        <v>0.61055079388879285</v>
      </c>
      <c r="Q178" s="561">
        <f t="shared" si="9"/>
        <v>0.75824920416846453</v>
      </c>
      <c r="R178" s="686">
        <f t="shared" si="9"/>
        <v>0.90594761444813554</v>
      </c>
      <c r="S178" s="9"/>
      <c r="T178" s="9"/>
      <c r="U178" s="9"/>
      <c r="V178" s="9"/>
      <c r="W178" s="9"/>
      <c r="X178" s="9"/>
      <c r="Y178" s="9"/>
      <c r="Z178" s="9"/>
      <c r="AA178" s="9"/>
      <c r="AB178" s="9"/>
    </row>
    <row r="179" spans="1:28" ht="14.25" customHeight="1">
      <c r="A179" s="9"/>
      <c r="B179" s="9"/>
      <c r="C179" s="9"/>
      <c r="D179" s="1032"/>
      <c r="E179" s="655">
        <f>$E$180*(1-$K$153)</f>
        <v>237.48866921709262</v>
      </c>
      <c r="F179" s="687">
        <v>178.32397365275278</v>
      </c>
      <c r="G179" s="688">
        <v>197.97413940238593</v>
      </c>
      <c r="H179" s="688">
        <v>217.6243051520191</v>
      </c>
      <c r="I179" s="688">
        <v>237.27447090165225</v>
      </c>
      <c r="J179" s="689">
        <v>256.92463665128543</v>
      </c>
      <c r="K179" s="9"/>
      <c r="L179" s="1032"/>
      <c r="M179" s="655">
        <f>E179</f>
        <v>237.48866921709262</v>
      </c>
      <c r="N179" s="690">
        <f t="shared" si="9"/>
        <v>0.50789762939922856</v>
      </c>
      <c r="O179" s="451">
        <f t="shared" si="9"/>
        <v>0.67405834096385853</v>
      </c>
      <c r="P179" s="451">
        <f t="shared" si="9"/>
        <v>0.84021905252848894</v>
      </c>
      <c r="Q179" s="451">
        <f t="shared" si="9"/>
        <v>1.0063797640931189</v>
      </c>
      <c r="R179" s="572">
        <f t="shared" si="9"/>
        <v>1.1725404756577493</v>
      </c>
      <c r="S179" s="9"/>
      <c r="T179" s="9"/>
      <c r="U179" s="9"/>
      <c r="V179" s="9"/>
      <c r="W179" s="9"/>
      <c r="X179" s="9"/>
      <c r="Y179" s="9"/>
      <c r="Z179" s="9"/>
      <c r="AA179" s="9"/>
      <c r="AB179" s="9"/>
    </row>
    <row r="180" spans="1:28" ht="14.25" customHeight="1">
      <c r="A180" s="9"/>
      <c r="B180" s="9"/>
      <c r="C180" s="9"/>
      <c r="D180" s="1032"/>
      <c r="E180" s="720">
        <v>263.87629913010289</v>
      </c>
      <c r="F180" s="687">
        <v>201.11783841956475</v>
      </c>
      <c r="G180" s="688">
        <v>222.95135591915715</v>
      </c>
      <c r="H180" s="688">
        <v>244.78487341874956</v>
      </c>
      <c r="I180" s="688">
        <v>266.61839091834196</v>
      </c>
      <c r="J180" s="689">
        <v>288.45190841793436</v>
      </c>
      <c r="K180" s="9"/>
      <c r="L180" s="1032"/>
      <c r="M180" s="655">
        <f>E180</f>
        <v>263.87629913010289</v>
      </c>
      <c r="N180" s="690">
        <f t="shared" si="9"/>
        <v>0.70064128546900672</v>
      </c>
      <c r="O180" s="451">
        <f t="shared" si="9"/>
        <v>0.88526429831859588</v>
      </c>
      <c r="P180" s="451">
        <f t="shared" si="9"/>
        <v>1.069887311168185</v>
      </c>
      <c r="Q180" s="451">
        <f t="shared" si="9"/>
        <v>1.2545103240177737</v>
      </c>
      <c r="R180" s="572">
        <f t="shared" si="9"/>
        <v>1.4391333368673629</v>
      </c>
      <c r="S180" s="9"/>
      <c r="T180" s="9"/>
      <c r="U180" s="9"/>
      <c r="V180" s="9"/>
      <c r="W180" s="9"/>
      <c r="X180" s="9"/>
      <c r="Y180" s="9"/>
      <c r="Z180" s="9"/>
      <c r="AA180" s="9"/>
      <c r="AB180" s="9"/>
    </row>
    <row r="181" spans="1:28" ht="14.25" customHeight="1">
      <c r="A181" s="9"/>
      <c r="B181" s="9"/>
      <c r="C181" s="9"/>
      <c r="D181" s="1032"/>
      <c r="E181" s="655">
        <f>$E$180*(1+$K$153)</f>
        <v>290.26392904311319</v>
      </c>
      <c r="F181" s="687">
        <v>223.91170318637674</v>
      </c>
      <c r="G181" s="688">
        <v>247.92857243592837</v>
      </c>
      <c r="H181" s="688">
        <v>271.94544168548003</v>
      </c>
      <c r="I181" s="688">
        <v>295.96231093503167</v>
      </c>
      <c r="J181" s="689">
        <v>319.9791801845833</v>
      </c>
      <c r="K181" s="9"/>
      <c r="L181" s="1032"/>
      <c r="M181" s="655">
        <f>E181</f>
        <v>290.26392904311319</v>
      </c>
      <c r="N181" s="690">
        <f t="shared" si="9"/>
        <v>0.89338494153878512</v>
      </c>
      <c r="O181" s="451">
        <f t="shared" si="9"/>
        <v>1.0964702556733332</v>
      </c>
      <c r="P181" s="451">
        <f t="shared" si="9"/>
        <v>1.2995555698078811</v>
      </c>
      <c r="Q181" s="451">
        <f t="shared" si="9"/>
        <v>1.502640883942429</v>
      </c>
      <c r="R181" s="572">
        <f t="shared" si="9"/>
        <v>1.7057261980769769</v>
      </c>
      <c r="S181" s="9"/>
      <c r="T181" s="9"/>
      <c r="U181" s="9"/>
      <c r="V181" s="9"/>
      <c r="W181" s="9"/>
      <c r="X181" s="9"/>
      <c r="Y181" s="9"/>
      <c r="Z181" s="9"/>
      <c r="AA181" s="9"/>
      <c r="AB181" s="9"/>
    </row>
    <row r="182" spans="1:28" ht="14.25" customHeight="1">
      <c r="A182" s="9"/>
      <c r="B182" s="9"/>
      <c r="C182" s="9"/>
      <c r="D182" s="1033"/>
      <c r="E182" s="655">
        <f>$E$180*(1+(2*$K$153))</f>
        <v>316.65155895612344</v>
      </c>
      <c r="F182" s="693">
        <v>246.70556795318871</v>
      </c>
      <c r="G182" s="694">
        <v>272.90578895269954</v>
      </c>
      <c r="H182" s="694">
        <v>299.10600995221046</v>
      </c>
      <c r="I182" s="694">
        <v>325.30623095172132</v>
      </c>
      <c r="J182" s="695">
        <v>351.50645195123218</v>
      </c>
      <c r="K182" s="9"/>
      <c r="L182" s="1033"/>
      <c r="M182" s="655">
        <f>E182</f>
        <v>316.65155895612344</v>
      </c>
      <c r="N182" s="696">
        <f t="shared" si="9"/>
        <v>1.0861285976085635</v>
      </c>
      <c r="O182" s="569">
        <f t="shared" si="9"/>
        <v>1.3076762130280697</v>
      </c>
      <c r="P182" s="569">
        <f t="shared" si="9"/>
        <v>1.5292238284475768</v>
      </c>
      <c r="Q182" s="569">
        <f t="shared" si="9"/>
        <v>1.7507714438670834</v>
      </c>
      <c r="R182" s="697">
        <f t="shared" si="9"/>
        <v>1.9723190592865905</v>
      </c>
      <c r="S182" s="9"/>
      <c r="T182" s="9"/>
      <c r="U182" s="9"/>
      <c r="V182" s="9"/>
      <c r="W182" s="9"/>
      <c r="X182" s="9"/>
      <c r="Y182" s="9"/>
      <c r="Z182" s="9"/>
      <c r="AA182" s="9"/>
      <c r="AB182" s="9"/>
    </row>
    <row r="183" spans="1:28" ht="14.2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row>
    <row r="184" spans="1:28" ht="14.25" customHeight="1">
      <c r="A184" s="9"/>
      <c r="B184" s="9"/>
      <c r="C184" s="9"/>
      <c r="D184" s="489"/>
      <c r="E184" s="491"/>
      <c r="F184" s="1029" t="str">
        <f>G144&amp;" EV/EBITDA Spread to Comps"</f>
        <v>NTM EV/EBITDA Spread to Comps</v>
      </c>
      <c r="G184" s="1030"/>
      <c r="H184" s="1030"/>
      <c r="I184" s="1030"/>
      <c r="J184" s="1030"/>
      <c r="K184" s="9"/>
      <c r="L184" s="489"/>
      <c r="M184" s="491"/>
      <c r="N184" s="1029" t="str">
        <f>F184</f>
        <v>NTM EV/EBITDA Spread to Comps</v>
      </c>
      <c r="O184" s="1030"/>
      <c r="P184" s="1030"/>
      <c r="Q184" s="1030"/>
      <c r="R184" s="1030"/>
      <c r="S184" s="9"/>
      <c r="T184" s="9"/>
      <c r="U184" s="9"/>
      <c r="V184" s="9"/>
      <c r="W184" s="9"/>
      <c r="X184" s="9"/>
      <c r="Y184" s="9"/>
      <c r="Z184" s="9"/>
      <c r="AA184" s="9"/>
      <c r="AB184" s="9"/>
    </row>
    <row r="185" spans="1:28" ht="14.25" customHeight="1">
      <c r="A185" s="9"/>
      <c r="B185" s="9"/>
      <c r="C185" s="9"/>
      <c r="D185" s="9"/>
      <c r="E185" s="677">
        <f ca="1">$R$137</f>
        <v>141.85365517393575</v>
      </c>
      <c r="F185" s="678">
        <f>G185-$E$93</f>
        <v>28.272702109505154</v>
      </c>
      <c r="G185" s="678">
        <f>H185-$E$93</f>
        <v>29.272702109505154</v>
      </c>
      <c r="H185" s="679">
        <v>30.272702109505154</v>
      </c>
      <c r="I185" s="678">
        <f>H185+$E$93</f>
        <v>31.272702109505154</v>
      </c>
      <c r="J185" s="678">
        <f>I185+$E$93</f>
        <v>32.272702109505154</v>
      </c>
      <c r="K185" s="9"/>
      <c r="L185" s="9"/>
      <c r="M185" s="677">
        <f>$H$73</f>
        <v>0</v>
      </c>
      <c r="N185" s="678">
        <f>F185</f>
        <v>28.272702109505154</v>
      </c>
      <c r="O185" s="678">
        <f>G185</f>
        <v>29.272702109505154</v>
      </c>
      <c r="P185" s="678">
        <f>H185</f>
        <v>30.272702109505154</v>
      </c>
      <c r="Q185" s="678">
        <f>I185</f>
        <v>31.272702109505154</v>
      </c>
      <c r="R185" s="678">
        <f>J185</f>
        <v>32.272702109505154</v>
      </c>
      <c r="S185" s="9"/>
      <c r="T185" s="9"/>
      <c r="U185" s="9"/>
      <c r="V185" s="9"/>
      <c r="W185" s="9"/>
      <c r="X185" s="9"/>
      <c r="Y185" s="9"/>
      <c r="Z185" s="9"/>
      <c r="AA185" s="9"/>
      <c r="AB185" s="9"/>
    </row>
    <row r="186" spans="1:28" ht="14.25" customHeight="1">
      <c r="A186" s="9"/>
      <c r="B186" s="9"/>
      <c r="C186" s="9"/>
      <c r="D186" s="1031" t="s">
        <v>285</v>
      </c>
      <c r="E186" s="655">
        <f>$E$188*(1-(2*$K$153))</f>
        <v>211.10103930408232</v>
      </c>
      <c r="F186" s="682">
        <v>165.53841173923499</v>
      </c>
      <c r="G186" s="683">
        <v>183.0052257389089</v>
      </c>
      <c r="H186" s="683">
        <v>200.47203973858285</v>
      </c>
      <c r="I186" s="683">
        <v>217.93885373825677</v>
      </c>
      <c r="J186" s="684">
        <v>235.40566773793071</v>
      </c>
      <c r="K186" s="9"/>
      <c r="L186" s="1031" t="s">
        <v>285</v>
      </c>
      <c r="M186" s="655">
        <f>E186</f>
        <v>211.10103930408232</v>
      </c>
      <c r="N186" s="685">
        <f t="shared" ref="N186:R190" si="10">F186/Share_Price-1</f>
        <v>0.39978362708637727</v>
      </c>
      <c r="O186" s="561">
        <f t="shared" si="10"/>
        <v>0.5474820373660485</v>
      </c>
      <c r="P186" s="561">
        <f t="shared" si="10"/>
        <v>0.69518044764571996</v>
      </c>
      <c r="Q186" s="561">
        <f t="shared" si="10"/>
        <v>0.84287885792539119</v>
      </c>
      <c r="R186" s="686">
        <f t="shared" si="10"/>
        <v>0.99057726820506264</v>
      </c>
      <c r="S186" s="9"/>
      <c r="T186" s="9"/>
      <c r="U186" s="9"/>
      <c r="V186" s="9"/>
      <c r="W186" s="9"/>
      <c r="X186" s="9"/>
      <c r="Y186" s="9"/>
      <c r="Z186" s="9"/>
      <c r="AA186" s="9"/>
      <c r="AB186" s="9"/>
    </row>
    <row r="187" spans="1:28" ht="14.25" customHeight="1">
      <c r="A187" s="9"/>
      <c r="B187" s="9"/>
      <c r="C187" s="9"/>
      <c r="D187" s="1032"/>
      <c r="E187" s="655">
        <f>$E$188*(1-$K$153)</f>
        <v>237.48866921709262</v>
      </c>
      <c r="F187" s="687">
        <v>189.58331436270871</v>
      </c>
      <c r="G187" s="688">
        <v>209.23348011234188</v>
      </c>
      <c r="H187" s="688">
        <v>228.88364586197503</v>
      </c>
      <c r="I187" s="688">
        <v>248.53381161160817</v>
      </c>
      <c r="J187" s="689">
        <v>268.18397736124132</v>
      </c>
      <c r="K187" s="9"/>
      <c r="L187" s="1032"/>
      <c r="M187" s="655">
        <f>E187</f>
        <v>237.48866921709262</v>
      </c>
      <c r="N187" s="690">
        <f t="shared" si="10"/>
        <v>0.60310598987577113</v>
      </c>
      <c r="O187" s="451">
        <f t="shared" si="10"/>
        <v>0.76926670144040132</v>
      </c>
      <c r="P187" s="451">
        <f t="shared" si="10"/>
        <v>0.93542741300503152</v>
      </c>
      <c r="Q187" s="451">
        <f t="shared" si="10"/>
        <v>1.1015881245696613</v>
      </c>
      <c r="R187" s="572">
        <f t="shared" si="10"/>
        <v>1.2677488361342912</v>
      </c>
      <c r="S187" s="9"/>
      <c r="T187" s="9"/>
      <c r="U187" s="9"/>
      <c r="V187" s="9"/>
      <c r="W187" s="9"/>
      <c r="X187" s="9"/>
      <c r="Y187" s="9"/>
      <c r="Z187" s="9"/>
      <c r="AA187" s="9"/>
      <c r="AB187" s="9"/>
    </row>
    <row r="188" spans="1:28" ht="14.25" customHeight="1">
      <c r="A188" s="9"/>
      <c r="B188" s="9"/>
      <c r="C188" s="9"/>
      <c r="D188" s="1032"/>
      <c r="E188" s="720">
        <v>263.87629913010289</v>
      </c>
      <c r="F188" s="687">
        <v>213.62821698618245</v>
      </c>
      <c r="G188" s="688">
        <v>235.46173448577485</v>
      </c>
      <c r="H188" s="688">
        <v>257.29525198536726</v>
      </c>
      <c r="I188" s="688">
        <v>279.12876948495966</v>
      </c>
      <c r="J188" s="689">
        <v>300.96228698455207</v>
      </c>
      <c r="K188" s="9"/>
      <c r="L188" s="1032"/>
      <c r="M188" s="655">
        <f>E188</f>
        <v>263.87629913010289</v>
      </c>
      <c r="N188" s="690">
        <f t="shared" si="10"/>
        <v>0.80642835266516522</v>
      </c>
      <c r="O188" s="451">
        <f t="shared" si="10"/>
        <v>0.99105136551475437</v>
      </c>
      <c r="P188" s="451">
        <f t="shared" si="10"/>
        <v>1.1756743783643433</v>
      </c>
      <c r="Q188" s="451">
        <f t="shared" si="10"/>
        <v>1.3602973912139324</v>
      </c>
      <c r="R188" s="572">
        <f t="shared" si="10"/>
        <v>1.5449204040635216</v>
      </c>
      <c r="S188" s="9"/>
      <c r="T188" s="9"/>
      <c r="U188" s="9"/>
      <c r="V188" s="9"/>
      <c r="W188" s="9"/>
      <c r="X188" s="9"/>
      <c r="Y188" s="9"/>
      <c r="Z188" s="9"/>
      <c r="AA188" s="9"/>
      <c r="AB188" s="9"/>
    </row>
    <row r="189" spans="1:28" ht="14.25" customHeight="1">
      <c r="A189" s="9"/>
      <c r="B189" s="9"/>
      <c r="C189" s="9"/>
      <c r="D189" s="1032"/>
      <c r="E189" s="655">
        <f>$E$188*(1+$K$153)</f>
        <v>290.26392904311319</v>
      </c>
      <c r="F189" s="687">
        <v>237.6731196096562</v>
      </c>
      <c r="G189" s="688">
        <v>261.68998885920786</v>
      </c>
      <c r="H189" s="688">
        <v>285.70685810875949</v>
      </c>
      <c r="I189" s="688">
        <v>309.72372735831112</v>
      </c>
      <c r="J189" s="689">
        <v>333.74059660786276</v>
      </c>
      <c r="K189" s="9"/>
      <c r="L189" s="1032"/>
      <c r="M189" s="655">
        <f>E189</f>
        <v>290.26392904311319</v>
      </c>
      <c r="N189" s="690">
        <f t="shared" si="10"/>
        <v>1.0097507154545595</v>
      </c>
      <c r="O189" s="451">
        <f t="shared" si="10"/>
        <v>1.2128360295891074</v>
      </c>
      <c r="P189" s="451">
        <f t="shared" si="10"/>
        <v>1.4159213437236553</v>
      </c>
      <c r="Q189" s="451">
        <f t="shared" si="10"/>
        <v>1.6190066578582032</v>
      </c>
      <c r="R189" s="572">
        <f t="shared" si="10"/>
        <v>1.8220919719927511</v>
      </c>
      <c r="S189" s="9"/>
      <c r="T189" s="9"/>
      <c r="U189" s="9"/>
      <c r="V189" s="9"/>
      <c r="W189" s="9"/>
      <c r="X189" s="9"/>
      <c r="Y189" s="9"/>
      <c r="Z189" s="9"/>
      <c r="AA189" s="9"/>
      <c r="AB189" s="9"/>
    </row>
    <row r="190" spans="1:28" ht="14.25" customHeight="1">
      <c r="A190" s="9"/>
      <c r="B190" s="9"/>
      <c r="C190" s="9"/>
      <c r="D190" s="1033"/>
      <c r="E190" s="655">
        <f>$E$188*(1+(2*$K$153))</f>
        <v>316.65155895612344</v>
      </c>
      <c r="F190" s="693">
        <v>261.71802223312994</v>
      </c>
      <c r="G190" s="694">
        <v>287.9182432326408</v>
      </c>
      <c r="H190" s="694">
        <v>314.11846423215167</v>
      </c>
      <c r="I190" s="694">
        <v>340.31868523166253</v>
      </c>
      <c r="J190" s="695">
        <v>366.51890623117345</v>
      </c>
      <c r="K190" s="9"/>
      <c r="L190" s="1033"/>
      <c r="M190" s="655">
        <f>E190</f>
        <v>316.65155895612344</v>
      </c>
      <c r="N190" s="696">
        <f t="shared" si="10"/>
        <v>1.2130730782439536</v>
      </c>
      <c r="O190" s="569">
        <f t="shared" si="10"/>
        <v>1.4346206936634602</v>
      </c>
      <c r="P190" s="569">
        <f t="shared" si="10"/>
        <v>1.6561683090829669</v>
      </c>
      <c r="Q190" s="569">
        <f t="shared" si="10"/>
        <v>1.8777159245024735</v>
      </c>
      <c r="R190" s="697">
        <f t="shared" si="10"/>
        <v>2.0992635399219806</v>
      </c>
      <c r="S190" s="9"/>
      <c r="T190" s="9"/>
      <c r="U190" s="9"/>
      <c r="V190" s="9"/>
      <c r="W190" s="9"/>
      <c r="X190" s="9"/>
      <c r="Y190" s="9"/>
      <c r="Z190" s="9"/>
      <c r="AA190" s="9"/>
      <c r="AB190" s="9"/>
    </row>
    <row r="191" spans="1:28" ht="4.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row>
    <row r="192" spans="1:28" ht="13.5" customHeight="1">
      <c r="A192" s="180" t="s">
        <v>0</v>
      </c>
      <c r="B192" s="9"/>
      <c r="C192" s="999" t="s">
        <v>769</v>
      </c>
      <c r="D192" s="1000"/>
      <c r="E192" s="1000"/>
      <c r="F192" s="1000"/>
      <c r="G192" s="1000"/>
      <c r="H192" s="1000"/>
      <c r="I192" s="1000"/>
      <c r="J192" s="1000"/>
      <c r="K192" s="1000"/>
      <c r="L192" s="1000"/>
      <c r="M192" s="1000"/>
      <c r="N192" s="1000"/>
      <c r="O192" s="1000"/>
      <c r="P192" s="1000"/>
      <c r="Q192" s="1000"/>
      <c r="R192" s="1001"/>
      <c r="S192" s="180" t="s">
        <v>0</v>
      </c>
      <c r="T192" s="9"/>
      <c r="U192" s="9"/>
      <c r="V192" s="9"/>
      <c r="W192" s="9"/>
      <c r="X192" s="9"/>
      <c r="Y192" s="9"/>
      <c r="Z192" s="9"/>
      <c r="AA192" s="9"/>
      <c r="AB192" s="9"/>
    </row>
    <row r="193" spans="1:28" ht="4.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row>
    <row r="194" spans="1:28" ht="13.5" customHeight="1">
      <c r="A194" s="9"/>
      <c r="B194" s="9"/>
      <c r="C194" s="9"/>
      <c r="D194" s="995" t="s">
        <v>730</v>
      </c>
      <c r="E194" s="974"/>
      <c r="F194" s="975"/>
      <c r="G194" s="9"/>
      <c r="H194" s="995" t="s">
        <v>731</v>
      </c>
      <c r="I194" s="974"/>
      <c r="J194" s="975"/>
      <c r="K194" s="9"/>
      <c r="L194" s="995" t="s">
        <v>134</v>
      </c>
      <c r="M194" s="974"/>
      <c r="N194" s="975"/>
      <c r="O194" s="9"/>
      <c r="P194" s="995" t="s">
        <v>732</v>
      </c>
      <c r="Q194" s="974"/>
      <c r="R194" s="1035"/>
      <c r="S194" s="134"/>
      <c r="T194" s="9"/>
      <c r="U194" s="9"/>
      <c r="V194" s="9"/>
      <c r="W194" s="9"/>
      <c r="X194" s="9"/>
      <c r="Y194" s="9"/>
      <c r="Z194" s="9"/>
      <c r="AA194" s="9"/>
      <c r="AB194" s="9"/>
    </row>
    <row r="195" spans="1:28" ht="4.5" customHeight="1">
      <c r="A195" s="9"/>
      <c r="B195" s="9"/>
      <c r="C195" s="9"/>
      <c r="D195" s="136"/>
      <c r="E195" s="96"/>
      <c r="F195" s="198"/>
      <c r="G195" s="9"/>
      <c r="H195" s="136"/>
      <c r="I195" s="96"/>
      <c r="J195" s="198"/>
      <c r="K195" s="9"/>
      <c r="L195" s="136"/>
      <c r="M195" s="96"/>
      <c r="N195" s="198"/>
      <c r="O195" s="9"/>
      <c r="P195" s="136"/>
      <c r="Q195" s="96"/>
      <c r="R195" s="96"/>
      <c r="S195" s="134"/>
      <c r="T195" s="9"/>
      <c r="U195" s="9"/>
      <c r="V195" s="9"/>
      <c r="W195" s="9"/>
      <c r="X195" s="9"/>
      <c r="Y195" s="9"/>
      <c r="Z195" s="9"/>
      <c r="AA195" s="9"/>
      <c r="AB195" s="9"/>
    </row>
    <row r="196" spans="1:28" ht="13.5" customHeight="1">
      <c r="A196" s="9"/>
      <c r="B196" s="9"/>
      <c r="C196" s="9"/>
      <c r="D196" s="134" t="s">
        <v>733</v>
      </c>
      <c r="E196" s="9"/>
      <c r="F196" s="700">
        <f>$D$11</f>
        <v>25.0589159465829</v>
      </c>
      <c r="G196" s="9"/>
      <c r="H196" s="705" t="s">
        <v>770</v>
      </c>
      <c r="I196" s="9"/>
      <c r="J196" s="700">
        <f t="array" ref="J196">INDEX(Company_Cyclical_Multiples_Data,MATCH(CONCATENATE($G$220," ",$G$221),'Multiples Data'!$C$14:$C$26,0),MATCH(CONCATENATE(Valuation!$G$222," P/E"),'Multiples Data'!$C$14:$H$14,0))</f>
        <v>20.698447893569799</v>
      </c>
      <c r="K196" s="9"/>
      <c r="L196" s="134" t="s">
        <v>733</v>
      </c>
      <c r="M196" s="9"/>
      <c r="N196" s="700">
        <f>$D$12</f>
        <v>22.107788881681699</v>
      </c>
      <c r="O196" s="9"/>
      <c r="P196" s="705" t="s">
        <v>770</v>
      </c>
      <c r="Q196" s="9"/>
      <c r="R196" s="700">
        <f t="array" ref="R196">INDEX(Company_Cyclical_Multiples_Data,MATCH(CONCATENATE($G$220," ",$G$221),'Multiples Data'!$C$14:$C$26,0),MATCH(CONCATENATE(Valuation!$G$222," EV/EBITDA"),'Multiples Data'!$C$14:$H$14,0))</f>
        <v>11.7803331929719</v>
      </c>
      <c r="S196" s="134"/>
      <c r="T196" s="9"/>
      <c r="U196" s="9"/>
      <c r="V196" s="9"/>
      <c r="W196" s="9"/>
      <c r="X196" s="9"/>
      <c r="Y196" s="9"/>
      <c r="Z196" s="9"/>
      <c r="AA196" s="9"/>
      <c r="AB196" s="9"/>
    </row>
    <row r="197" spans="1:28" ht="13.5" customHeight="1">
      <c r="A197" s="9"/>
      <c r="B197" s="9"/>
      <c r="C197" s="9"/>
      <c r="D197" s="705" t="s">
        <v>771</v>
      </c>
      <c r="E197" s="9"/>
      <c r="F197" s="700">
        <f t="array" ref="F197">INDEX(Company_Cyclical_Multiples_Data,MATCH(CONCATENATE($G$220," ",$G$221),'Multiples Data'!$C$14:$C$26,0),MATCH(CONCATENATE(Valuation!$G$222," P/E"),'Multiples Data'!$C$14:$H$14,0))</f>
        <v>20.698447893569799</v>
      </c>
      <c r="G197" s="9"/>
      <c r="H197" s="705" t="s">
        <v>772</v>
      </c>
      <c r="I197" s="9"/>
      <c r="J197" s="700">
        <f>INDEX($J$220:$O$222,2,MATCH($G$223,$J$220:$O$220,0))</f>
        <v>12.481675494723865</v>
      </c>
      <c r="K197" s="9"/>
      <c r="L197" s="134" t="s">
        <v>771</v>
      </c>
      <c r="M197" s="9"/>
      <c r="N197" s="700">
        <f t="array" ref="N197">INDEX(Company_Cyclical_Multiples_Data,MATCH(CONCATENATE($G$220," ",$G$221),'Multiples Data'!$C$14:$C$26,0),MATCH(CONCATENATE(Valuation!$G$222," EV/EBITDA"),'Multiples Data'!$C$14:$H$14,0))</f>
        <v>11.7803331929719</v>
      </c>
      <c r="O197" s="9"/>
      <c r="P197" s="705" t="s">
        <v>772</v>
      </c>
      <c r="Q197" s="9"/>
      <c r="R197" s="700">
        <f t="array" ref="R197">INDEX($J$220:$O$222,3,MATCH($G$223,$J$220:$O$220,0))</f>
        <v>17.073062035084643</v>
      </c>
      <c r="S197" s="134"/>
      <c r="T197" s="9"/>
      <c r="U197" s="9"/>
      <c r="V197" s="9"/>
      <c r="W197" s="9"/>
      <c r="X197" s="9"/>
      <c r="Y197" s="9"/>
      <c r="Z197" s="9"/>
      <c r="AA197" s="9"/>
      <c r="AB197" s="9"/>
    </row>
    <row r="198" spans="1:28" ht="13.5" customHeight="1">
      <c r="A198" s="9"/>
      <c r="B198" s="9"/>
      <c r="C198" s="9"/>
      <c r="D198" s="220" t="s">
        <v>737</v>
      </c>
      <c r="E198" s="216"/>
      <c r="F198" s="701">
        <f>F196/F197-1</f>
        <v>0.21066642655692691</v>
      </c>
      <c r="G198" s="9"/>
      <c r="H198" s="220" t="s">
        <v>738</v>
      </c>
      <c r="I198" s="9"/>
      <c r="J198" s="702">
        <f>J196/J197-1</f>
        <v>0.65830684368611014</v>
      </c>
      <c r="K198" s="9"/>
      <c r="L198" s="220" t="s">
        <v>737</v>
      </c>
      <c r="M198" s="216"/>
      <c r="N198" s="701">
        <f>N196/N197-1</f>
        <v>0.87666923503242833</v>
      </c>
      <c r="O198" s="9"/>
      <c r="P198" s="220" t="s">
        <v>738</v>
      </c>
      <c r="Q198" s="9"/>
      <c r="R198" s="701">
        <f>R196/R197-1</f>
        <v>-0.31000466297353924</v>
      </c>
      <c r="S198" s="134"/>
      <c r="T198" s="9"/>
      <c r="U198" s="9"/>
      <c r="V198" s="9"/>
      <c r="W198" s="9"/>
      <c r="X198" s="9"/>
      <c r="Y198" s="9"/>
      <c r="Z198" s="9"/>
      <c r="AA198" s="9"/>
      <c r="AB198" s="9"/>
    </row>
    <row r="199" spans="1:28" ht="13.5" customHeight="1">
      <c r="A199" s="9"/>
      <c r="B199" s="9"/>
      <c r="C199" s="9"/>
      <c r="D199" s="220" t="s">
        <v>739</v>
      </c>
      <c r="E199" s="216"/>
      <c r="F199" s="703">
        <v>0</v>
      </c>
      <c r="G199" s="9"/>
      <c r="H199" s="134" t="s">
        <v>740</v>
      </c>
      <c r="I199" s="9"/>
      <c r="J199" s="700">
        <f>IF($G$223=$K$220,$E$11,IF($G$223=$M$220,$E$16,IF($G$223=$O$220,$E$21,"N/A")))</f>
        <v>26.451680056205003</v>
      </c>
      <c r="K199" s="9"/>
      <c r="L199" s="220" t="s">
        <v>739</v>
      </c>
      <c r="M199" s="216"/>
      <c r="N199" s="703">
        <v>0</v>
      </c>
      <c r="O199" s="9"/>
      <c r="P199" s="134" t="s">
        <v>740</v>
      </c>
      <c r="Q199" s="9"/>
      <c r="R199" s="700">
        <f>IF($G$223=$K$220,$E$12,IF($G$223=$M$220,$E$17,IF($G$223=$O$220,$E$22,"N/A")))</f>
        <v>27.144908763636632</v>
      </c>
      <c r="S199" s="134"/>
      <c r="T199" s="9"/>
      <c r="U199" s="9"/>
      <c r="V199" s="9"/>
      <c r="W199" s="9"/>
      <c r="X199" s="9"/>
      <c r="Y199" s="9"/>
      <c r="Z199" s="9"/>
      <c r="AA199" s="9"/>
      <c r="AB199" s="9"/>
    </row>
    <row r="200" spans="1:28" ht="13.5" customHeight="1">
      <c r="A200" s="9"/>
      <c r="B200" s="9"/>
      <c r="C200" s="9"/>
      <c r="D200" s="134"/>
      <c r="E200" s="9"/>
      <c r="F200" s="135"/>
      <c r="G200" s="9"/>
      <c r="H200" s="134"/>
      <c r="I200" s="9"/>
      <c r="J200" s="135"/>
      <c r="K200" s="9"/>
      <c r="L200" s="134"/>
      <c r="M200" s="9"/>
      <c r="N200" s="135"/>
      <c r="O200" s="9"/>
      <c r="P200" s="134"/>
      <c r="Q200" s="9"/>
      <c r="R200" s="135"/>
      <c r="S200" s="134"/>
      <c r="T200" s="9"/>
      <c r="U200" s="9"/>
      <c r="V200" s="9"/>
      <c r="W200" s="9"/>
      <c r="X200" s="9"/>
      <c r="Y200" s="9"/>
      <c r="Z200" s="9"/>
      <c r="AA200" s="9"/>
      <c r="AB200" s="9"/>
    </row>
    <row r="201" spans="1:28" ht="13.5" customHeight="1">
      <c r="A201" s="9"/>
      <c r="B201" s="9"/>
      <c r="C201" s="9"/>
      <c r="D201" s="134" t="s">
        <v>741</v>
      </c>
      <c r="E201" s="9"/>
      <c r="F201" s="700">
        <f>F197*(1+F199)</f>
        <v>20.698447893569799</v>
      </c>
      <c r="G201" s="9"/>
      <c r="H201" s="134" t="s">
        <v>741</v>
      </c>
      <c r="I201" s="9"/>
      <c r="J201" s="700">
        <f>J199*(1+J198)</f>
        <v>43.865002064200148</v>
      </c>
      <c r="K201" s="9"/>
      <c r="L201" s="134" t="s">
        <v>741</v>
      </c>
      <c r="M201" s="9"/>
      <c r="N201" s="700">
        <f>N197*(1+N199)</f>
        <v>11.7803331929719</v>
      </c>
      <c r="O201" s="9"/>
      <c r="P201" s="134" t="s">
        <v>741</v>
      </c>
      <c r="Q201" s="9"/>
      <c r="R201" s="700">
        <f>R199*(1+R198)</f>
        <v>18.729860470917988</v>
      </c>
      <c r="S201" s="134"/>
      <c r="T201" s="9"/>
      <c r="U201" s="9"/>
      <c r="V201" s="9"/>
      <c r="W201" s="9"/>
      <c r="X201" s="9"/>
      <c r="Y201" s="9"/>
      <c r="Z201" s="9"/>
      <c r="AA201" s="9"/>
      <c r="AB201" s="9"/>
    </row>
    <row r="202" spans="1:28" ht="13.5" customHeight="1">
      <c r="A202" s="9"/>
      <c r="B202" s="9"/>
      <c r="C202" s="9"/>
      <c r="D202" s="134" t="s">
        <v>742</v>
      </c>
      <c r="E202" s="9"/>
      <c r="F202" s="704">
        <f ca="1">SUM(NTM_EPS)</f>
        <v>5.183684160124189</v>
      </c>
      <c r="G202" s="9"/>
      <c r="H202" s="134" t="s">
        <v>742</v>
      </c>
      <c r="I202" s="9"/>
      <c r="J202" s="704">
        <f ca="1">SUM(NTM_EPS)</f>
        <v>5.183684160124189</v>
      </c>
      <c r="K202" s="9"/>
      <c r="L202" s="705" t="s">
        <v>743</v>
      </c>
      <c r="M202" s="9"/>
      <c r="N202" s="706">
        <f ca="1">SUM(NTM_EBITDA)</f>
        <v>263.87629913010289</v>
      </c>
      <c r="O202" s="9"/>
      <c r="P202" s="134" t="s">
        <v>743</v>
      </c>
      <c r="Q202" s="9"/>
      <c r="R202" s="706">
        <f ca="1">SUM(NTM_EBITDA)</f>
        <v>263.87629913010289</v>
      </c>
      <c r="S202" s="134"/>
      <c r="T202" s="9"/>
      <c r="U202" s="9"/>
      <c r="V202" s="9"/>
      <c r="W202" s="9"/>
      <c r="X202" s="9"/>
      <c r="Y202" s="9"/>
      <c r="Z202" s="9"/>
      <c r="AA202" s="9"/>
      <c r="AB202" s="9"/>
    </row>
    <row r="203" spans="1:28" ht="13.5" customHeight="1">
      <c r="A203" s="9"/>
      <c r="B203" s="9"/>
      <c r="C203" s="9"/>
      <c r="D203" s="134"/>
      <c r="E203" s="9"/>
      <c r="F203" s="707"/>
      <c r="G203" s="9"/>
      <c r="H203" s="134"/>
      <c r="I203" s="9"/>
      <c r="J203" s="707"/>
      <c r="K203" s="9"/>
      <c r="L203" s="134" t="s">
        <v>744</v>
      </c>
      <c r="M203" s="9"/>
      <c r="N203" s="706">
        <f ca="1">N201*N202</f>
        <v>3108.5507254809331</v>
      </c>
      <c r="O203" s="9"/>
      <c r="P203" s="134" t="s">
        <v>744</v>
      </c>
      <c r="Q203" s="9"/>
      <c r="R203" s="706">
        <f ca="1">R201*R202</f>
        <v>4942.3662642890449</v>
      </c>
      <c r="S203" s="134"/>
      <c r="T203" s="9"/>
      <c r="U203" s="9"/>
      <c r="V203" s="9"/>
      <c r="W203" s="9"/>
      <c r="X203" s="9"/>
      <c r="Y203" s="9"/>
      <c r="Z203" s="9"/>
      <c r="AA203" s="9"/>
      <c r="AB203" s="9"/>
    </row>
    <row r="204" spans="1:28" ht="13.5" customHeight="1">
      <c r="A204" s="9"/>
      <c r="B204" s="9"/>
      <c r="C204" s="9"/>
      <c r="D204" s="134" t="s">
        <v>745</v>
      </c>
      <c r="E204" s="9"/>
      <c r="F204" s="704">
        <f ca="1">F201*F202</f>
        <v>107.29421648505365</v>
      </c>
      <c r="G204" s="9"/>
      <c r="H204" s="134" t="s">
        <v>745</v>
      </c>
      <c r="I204" s="9"/>
      <c r="J204" s="704">
        <f ca="1">J201*J202</f>
        <v>227.38231638400916</v>
      </c>
      <c r="K204" s="9"/>
      <c r="L204" s="134"/>
      <c r="M204" s="9"/>
      <c r="N204" s="135"/>
      <c r="O204" s="9"/>
      <c r="P204" s="134"/>
      <c r="Q204" s="9"/>
      <c r="R204" s="9"/>
      <c r="S204" s="134"/>
      <c r="T204" s="9"/>
      <c r="U204" s="9"/>
      <c r="V204" s="9"/>
      <c r="W204" s="9"/>
      <c r="X204" s="9"/>
      <c r="Y204" s="9"/>
      <c r="Z204" s="9"/>
      <c r="AA204" s="9"/>
      <c r="AB204" s="9"/>
    </row>
    <row r="205" spans="1:28" ht="13.5" customHeight="1">
      <c r="A205" s="9"/>
      <c r="B205" s="9"/>
      <c r="C205" s="9"/>
      <c r="D205" s="224" t="s">
        <v>746</v>
      </c>
      <c r="E205" s="95"/>
      <c r="F205" s="666">
        <f ca="1">F204/Share_Price-1</f>
        <v>-9.2726057119451699E-2</v>
      </c>
      <c r="G205" s="9"/>
      <c r="H205" s="224" t="s">
        <v>746</v>
      </c>
      <c r="I205" s="95"/>
      <c r="J205" s="666">
        <f ca="1">J204/Share_Price-1</f>
        <v>0.92273225421959371</v>
      </c>
      <c r="K205" s="9"/>
      <c r="L205" s="134" t="s">
        <v>747</v>
      </c>
      <c r="M205" s="9"/>
      <c r="N205" s="658">
        <f t="shared" ref="N205:N210" si="11">N127</f>
        <v>263.34699999999998</v>
      </c>
      <c r="O205" s="9"/>
      <c r="P205" s="134" t="s">
        <v>747</v>
      </c>
      <c r="Q205" s="9"/>
      <c r="R205" s="658">
        <f t="shared" ref="R205:R210" si="12">N205</f>
        <v>263.34699999999998</v>
      </c>
      <c r="S205" s="134"/>
      <c r="T205" s="9"/>
      <c r="U205" s="9"/>
      <c r="V205" s="9"/>
      <c r="W205" s="9"/>
      <c r="X205" s="9"/>
      <c r="Y205" s="9"/>
      <c r="Z205" s="9"/>
      <c r="AA205" s="9"/>
      <c r="AB205" s="9"/>
    </row>
    <row r="206" spans="1:28" ht="13.5" customHeight="1">
      <c r="A206" s="9"/>
      <c r="B206" s="9"/>
      <c r="C206" s="9"/>
      <c r="D206" s="9"/>
      <c r="E206" s="9"/>
      <c r="F206" s="9"/>
      <c r="G206" s="9"/>
      <c r="H206" s="9"/>
      <c r="I206" s="9"/>
      <c r="J206" s="9"/>
      <c r="K206" s="9"/>
      <c r="L206" s="134" t="s">
        <v>748</v>
      </c>
      <c r="M206" s="9"/>
      <c r="N206" s="658">
        <f t="shared" si="11"/>
        <v>0</v>
      </c>
      <c r="O206" s="9"/>
      <c r="P206" s="134" t="s">
        <v>748</v>
      </c>
      <c r="Q206" s="9"/>
      <c r="R206" s="658">
        <f t="shared" si="12"/>
        <v>0</v>
      </c>
      <c r="S206" s="134"/>
      <c r="T206" s="9"/>
      <c r="U206" s="9"/>
      <c r="V206" s="9"/>
      <c r="W206" s="9"/>
      <c r="X206" s="9"/>
      <c r="Y206" s="9"/>
      <c r="Z206" s="9"/>
      <c r="AA206" s="9"/>
      <c r="AB206" s="9"/>
    </row>
    <row r="207" spans="1:28" ht="13.5" customHeight="1">
      <c r="A207" s="9"/>
      <c r="B207" s="9"/>
      <c r="C207" s="9"/>
      <c r="D207" s="9"/>
      <c r="E207" s="9"/>
      <c r="F207" s="9"/>
      <c r="G207" s="9"/>
      <c r="H207" s="9"/>
      <c r="I207" s="9"/>
      <c r="J207" s="9"/>
      <c r="K207" s="9"/>
      <c r="L207" s="134" t="s">
        <v>749</v>
      </c>
      <c r="M207" s="9"/>
      <c r="N207" s="658">
        <f t="shared" si="11"/>
        <v>-288.58199999999999</v>
      </c>
      <c r="O207" s="9"/>
      <c r="P207" s="134" t="s">
        <v>749</v>
      </c>
      <c r="Q207" s="9"/>
      <c r="R207" s="658">
        <f t="shared" si="12"/>
        <v>-288.58199999999999</v>
      </c>
      <c r="S207" s="134"/>
      <c r="T207" s="9"/>
      <c r="U207" s="9"/>
      <c r="V207" s="9"/>
      <c r="W207" s="9"/>
      <c r="X207" s="9"/>
      <c r="Y207" s="9"/>
      <c r="Z207" s="9"/>
      <c r="AA207" s="9"/>
      <c r="AB207" s="9"/>
    </row>
    <row r="208" spans="1:28" ht="13.5" customHeight="1">
      <c r="A208" s="9"/>
      <c r="B208" s="9"/>
      <c r="C208" s="9"/>
      <c r="D208" s="9"/>
      <c r="E208" s="9"/>
      <c r="F208" s="9"/>
      <c r="G208" s="9"/>
      <c r="H208" s="9"/>
      <c r="I208" s="9"/>
      <c r="J208" s="9"/>
      <c r="K208" s="9"/>
      <c r="L208" s="134" t="s">
        <v>750</v>
      </c>
      <c r="M208" s="9"/>
      <c r="N208" s="658">
        <f t="shared" si="11"/>
        <v>0</v>
      </c>
      <c r="O208" s="9"/>
      <c r="P208" s="134" t="s">
        <v>750</v>
      </c>
      <c r="Q208" s="9"/>
      <c r="R208" s="658">
        <f t="shared" si="12"/>
        <v>0</v>
      </c>
      <c r="S208" s="134"/>
      <c r="T208" s="9"/>
      <c r="U208" s="9"/>
      <c r="V208" s="9"/>
      <c r="W208" s="9"/>
      <c r="X208" s="9"/>
      <c r="Y208" s="9"/>
      <c r="Z208" s="9"/>
      <c r="AA208" s="9"/>
      <c r="AB208" s="9"/>
    </row>
    <row r="209" spans="1:28" ht="13.5" customHeight="1">
      <c r="A209" s="9"/>
      <c r="B209" s="612"/>
      <c r="C209" s="548"/>
      <c r="D209" s="9"/>
      <c r="E209" s="9"/>
      <c r="F209" s="9"/>
      <c r="G209" s="9"/>
      <c r="H209" s="9"/>
      <c r="I209" s="9"/>
      <c r="J209" s="9"/>
      <c r="K209" s="9"/>
      <c r="L209" s="134" t="s">
        <v>751</v>
      </c>
      <c r="M209" s="9"/>
      <c r="N209" s="658">
        <f t="shared" si="11"/>
        <v>-236.245</v>
      </c>
      <c r="O209" s="9"/>
      <c r="P209" s="134" t="s">
        <v>751</v>
      </c>
      <c r="Q209" s="9"/>
      <c r="R209" s="658">
        <f t="shared" si="12"/>
        <v>-236.245</v>
      </c>
      <c r="S209" s="134"/>
      <c r="T209" s="9"/>
      <c r="U209" s="9"/>
      <c r="V209" s="9"/>
      <c r="W209" s="9"/>
      <c r="X209" s="9"/>
      <c r="Y209" s="9"/>
      <c r="Z209" s="9"/>
      <c r="AA209" s="9"/>
      <c r="AB209" s="9"/>
    </row>
    <row r="210" spans="1:28" ht="13.5" customHeight="1">
      <c r="A210" s="9"/>
      <c r="B210" s="612"/>
      <c r="C210" s="9"/>
      <c r="D210" s="64"/>
      <c r="E210" s="64"/>
      <c r="F210" s="258"/>
      <c r="G210" s="258"/>
      <c r="H210" s="258"/>
      <c r="I210" s="258"/>
      <c r="J210" s="258"/>
      <c r="K210" s="9"/>
      <c r="L210" s="134" t="s">
        <v>752</v>
      </c>
      <c r="M210" s="95"/>
      <c r="N210" s="711">
        <f t="shared" si="11"/>
        <v>0</v>
      </c>
      <c r="O210" s="9"/>
      <c r="P210" s="137" t="s">
        <v>752</v>
      </c>
      <c r="Q210" s="95"/>
      <c r="R210" s="711">
        <f t="shared" si="12"/>
        <v>0</v>
      </c>
      <c r="S210" s="134"/>
      <c r="T210" s="9"/>
      <c r="U210" s="9"/>
      <c r="V210" s="9"/>
      <c r="W210" s="9"/>
      <c r="X210" s="9"/>
      <c r="Y210" s="9"/>
      <c r="Z210" s="9"/>
      <c r="AA210" s="9"/>
      <c r="AB210" s="9"/>
    </row>
    <row r="211" spans="1:28" ht="13.5" customHeight="1">
      <c r="A211" s="9"/>
      <c r="B211" s="612"/>
      <c r="C211" s="64"/>
      <c r="D211" s="618"/>
      <c r="E211" s="618"/>
      <c r="F211" s="618"/>
      <c r="G211" s="618"/>
      <c r="H211" s="618"/>
      <c r="I211" s="618"/>
      <c r="J211" s="618"/>
      <c r="K211" s="9"/>
      <c r="L211" s="136"/>
      <c r="M211" s="9"/>
      <c r="N211" s="135"/>
      <c r="O211" s="9"/>
      <c r="P211" s="134"/>
      <c r="Q211" s="9"/>
      <c r="R211" s="9"/>
      <c r="S211" s="134"/>
      <c r="T211" s="9"/>
      <c r="U211" s="9"/>
      <c r="V211" s="9"/>
      <c r="W211" s="9"/>
      <c r="X211" s="9"/>
      <c r="Y211" s="9"/>
      <c r="Z211" s="9"/>
      <c r="AA211" s="9"/>
      <c r="AB211" s="9"/>
    </row>
    <row r="212" spans="1:28" ht="13.5" customHeight="1">
      <c r="A212" s="9"/>
      <c r="B212" s="9"/>
      <c r="C212" s="64"/>
      <c r="D212" s="618"/>
      <c r="E212" s="618"/>
      <c r="F212" s="618"/>
      <c r="G212" s="618"/>
      <c r="H212" s="618"/>
      <c r="I212" s="618"/>
      <c r="J212" s="618"/>
      <c r="K212" s="9"/>
      <c r="L212" s="134" t="s">
        <v>753</v>
      </c>
      <c r="M212" s="9"/>
      <c r="N212" s="706">
        <f ca="1">SUM(N203:N210)</f>
        <v>2847.0707254809336</v>
      </c>
      <c r="O212" s="9"/>
      <c r="P212" s="134" t="s">
        <v>753</v>
      </c>
      <c r="Q212" s="9"/>
      <c r="R212" s="706">
        <f ca="1">SUM(R203:R210)</f>
        <v>4680.8862642890444</v>
      </c>
      <c r="S212" s="134"/>
      <c r="T212" s="9"/>
      <c r="U212" s="9"/>
      <c r="V212" s="9"/>
      <c r="W212" s="9"/>
      <c r="X212" s="9"/>
      <c r="Y212" s="9"/>
      <c r="Z212" s="9"/>
      <c r="AA212" s="9"/>
      <c r="AB212" s="9"/>
    </row>
    <row r="213" spans="1:28" ht="13.5" customHeight="1">
      <c r="A213" s="9"/>
      <c r="B213" s="9"/>
      <c r="C213" s="9"/>
      <c r="D213" s="9"/>
      <c r="E213" s="9"/>
      <c r="F213" s="9"/>
      <c r="G213" s="9"/>
      <c r="H213" s="9"/>
      <c r="I213" s="9"/>
      <c r="J213" s="9"/>
      <c r="K213" s="9"/>
      <c r="L213" s="134" t="s">
        <v>393</v>
      </c>
      <c r="M213" s="9"/>
      <c r="N213" s="721">
        <f>Diluted_Shares</f>
        <v>54.47</v>
      </c>
      <c r="O213" s="9"/>
      <c r="P213" s="134" t="s">
        <v>393</v>
      </c>
      <c r="Q213" s="9"/>
      <c r="R213" s="722">
        <f>N213</f>
        <v>54.47</v>
      </c>
      <c r="S213" s="134"/>
      <c r="T213" s="9"/>
      <c r="U213" s="9"/>
      <c r="V213" s="9"/>
      <c r="W213" s="9"/>
      <c r="X213" s="9"/>
      <c r="Y213" s="9"/>
      <c r="Z213" s="9"/>
      <c r="AA213" s="9"/>
      <c r="AB213" s="9"/>
    </row>
    <row r="214" spans="1:28" ht="13.5" customHeight="1">
      <c r="A214" s="9"/>
      <c r="B214" s="9"/>
      <c r="C214" s="548"/>
      <c r="D214" s="9"/>
      <c r="E214" s="9"/>
      <c r="F214" s="9"/>
      <c r="G214" s="9"/>
      <c r="H214" s="9"/>
      <c r="I214" s="9"/>
      <c r="J214" s="9"/>
      <c r="K214" s="9"/>
      <c r="L214" s="134"/>
      <c r="M214" s="9"/>
      <c r="N214" s="135"/>
      <c r="O214" s="9"/>
      <c r="P214" s="134"/>
      <c r="Q214" s="9"/>
      <c r="R214" s="135"/>
      <c r="S214" s="134"/>
      <c r="T214" s="9"/>
      <c r="U214" s="9"/>
      <c r="V214" s="9"/>
      <c r="W214" s="9"/>
      <c r="X214" s="9"/>
      <c r="Y214" s="9"/>
      <c r="Z214" s="9"/>
      <c r="AA214" s="9"/>
      <c r="AB214" s="9"/>
    </row>
    <row r="215" spans="1:28" ht="13.5" customHeight="1">
      <c r="A215" s="9"/>
      <c r="B215" s="9"/>
      <c r="C215" s="9"/>
      <c r="D215" s="64"/>
      <c r="E215" s="64"/>
      <c r="F215" s="64"/>
      <c r="G215" s="64"/>
      <c r="H215" s="64"/>
      <c r="I215" s="64"/>
      <c r="J215" s="64"/>
      <c r="K215" s="9"/>
      <c r="L215" s="134" t="s">
        <v>745</v>
      </c>
      <c r="M215" s="9"/>
      <c r="N215" s="706">
        <f ca="1">N212/N213</f>
        <v>52.268601532603888</v>
      </c>
      <c r="O215" s="9"/>
      <c r="P215" s="134" t="s">
        <v>745</v>
      </c>
      <c r="Q215" s="9"/>
      <c r="R215" s="706">
        <f ca="1">R212/R213</f>
        <v>85.93512510168982</v>
      </c>
      <c r="S215" s="134"/>
      <c r="T215" s="9"/>
      <c r="U215" s="9"/>
      <c r="V215" s="9"/>
      <c r="W215" s="9"/>
      <c r="X215" s="9"/>
      <c r="Y215" s="9"/>
      <c r="Z215" s="9"/>
      <c r="AA215" s="9"/>
      <c r="AB215" s="9"/>
    </row>
    <row r="216" spans="1:28" ht="13.5" customHeight="1">
      <c r="A216" s="9"/>
      <c r="B216" s="9"/>
      <c r="C216" s="64"/>
      <c r="D216" s="618"/>
      <c r="E216" s="618"/>
      <c r="F216" s="618"/>
      <c r="G216" s="618"/>
      <c r="H216" s="618"/>
      <c r="I216" s="618"/>
      <c r="J216" s="618"/>
      <c r="K216" s="9"/>
      <c r="L216" s="224" t="s">
        <v>746</v>
      </c>
      <c r="M216" s="95"/>
      <c r="N216" s="666">
        <f ca="1">N215/Share_Price-1</f>
        <v>-0.55801960483169388</v>
      </c>
      <c r="O216" s="9"/>
      <c r="P216" s="224" t="s">
        <v>746</v>
      </c>
      <c r="Q216" s="95"/>
      <c r="R216" s="666">
        <f ca="1">R215/Share_Price-1</f>
        <v>-0.27333734904710116</v>
      </c>
      <c r="S216" s="134"/>
      <c r="T216" s="9"/>
      <c r="U216" s="9"/>
      <c r="V216" s="9"/>
      <c r="W216" s="9"/>
      <c r="X216" s="9"/>
      <c r="Y216" s="9"/>
      <c r="Z216" s="9"/>
      <c r="AA216" s="9"/>
      <c r="AB216" s="9"/>
    </row>
    <row r="217" spans="1:28" ht="4.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row>
    <row r="218" spans="1:28" ht="13.5" customHeight="1">
      <c r="A218" s="180" t="s">
        <v>0</v>
      </c>
      <c r="B218" s="9"/>
      <c r="C218" s="1034" t="s">
        <v>41</v>
      </c>
      <c r="D218" s="974"/>
      <c r="E218" s="974"/>
      <c r="F218" s="974"/>
      <c r="G218" s="974"/>
      <c r="H218" s="974"/>
      <c r="I218" s="974"/>
      <c r="J218" s="974"/>
      <c r="K218" s="974"/>
      <c r="L218" s="974"/>
      <c r="M218" s="974"/>
      <c r="N218" s="974"/>
      <c r="O218" s="974"/>
      <c r="P218" s="974"/>
      <c r="Q218" s="974"/>
      <c r="R218" s="975"/>
      <c r="S218" s="180" t="s">
        <v>0</v>
      </c>
      <c r="T218" s="9"/>
      <c r="U218" s="9"/>
      <c r="V218" s="9"/>
      <c r="W218" s="9"/>
      <c r="X218" s="9"/>
      <c r="Y218" s="9"/>
      <c r="Z218" s="9"/>
      <c r="AA218" s="9"/>
      <c r="AB218" s="9"/>
    </row>
    <row r="219" spans="1:28" ht="4.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row>
    <row r="220" spans="1:28" ht="13.5" customHeight="1">
      <c r="A220" s="9"/>
      <c r="B220" s="9"/>
      <c r="C220" s="9" t="s">
        <v>773</v>
      </c>
      <c r="D220" s="9"/>
      <c r="E220" s="9"/>
      <c r="F220" s="9"/>
      <c r="G220" s="32" t="s">
        <v>774</v>
      </c>
      <c r="H220" s="37"/>
      <c r="I220" s="9"/>
      <c r="J220" s="9"/>
      <c r="K220" s="999" t="str">
        <f>$C$9</f>
        <v>Primary Peer Group</v>
      </c>
      <c r="L220" s="1001"/>
      <c r="M220" s="999" t="str">
        <f>$C$14</f>
        <v>Defense Peer Group</v>
      </c>
      <c r="N220" s="1001"/>
      <c r="O220" s="999" t="str">
        <f>$C$19</f>
        <v>Cap. Goods Peer Group</v>
      </c>
      <c r="P220" s="1001"/>
      <c r="Q220" s="9"/>
      <c r="R220" s="9"/>
      <c r="S220" s="9"/>
      <c r="T220" s="9"/>
      <c r="U220" s="9"/>
      <c r="V220" s="9"/>
      <c r="W220" s="9"/>
      <c r="X220" s="9"/>
      <c r="Y220" s="9"/>
      <c r="Z220" s="9"/>
      <c r="AA220" s="9"/>
      <c r="AB220" s="9"/>
    </row>
    <row r="221" spans="1:28" ht="13.5" customHeight="1">
      <c r="A221" s="9"/>
      <c r="B221" s="9"/>
      <c r="C221" s="9" t="s">
        <v>775</v>
      </c>
      <c r="D221" s="9"/>
      <c r="E221" s="9"/>
      <c r="F221" s="9"/>
      <c r="G221" s="32" t="s">
        <v>776</v>
      </c>
      <c r="H221" s="9"/>
      <c r="I221" s="9"/>
      <c r="J221" s="64" t="s">
        <v>132</v>
      </c>
      <c r="K221" s="1036">
        <f t="array" ref="K221">INDEX(Primary_Peer_Cyclical_Valuation_Data,MATCH(CONCATENATE(Cycle_Toggle," ",Cycle_Period_Toggle),'Multiples Data'!$C$36:$C$48,0),MATCH(CONCATENATE(Cyclical_LTM_NTM_Toggle," P/E"),'Multiples Data'!$C$36:$H$36,0))</f>
        <v>12.481675494723865</v>
      </c>
      <c r="L221" s="978"/>
      <c r="M221" s="1036">
        <f t="array" ref="M221">INDEX(PeerGroup2_Cyclical_Valuation_Data,MATCH(CONCATENATE(Cycle_Toggle," ",Cycle_Period_Toggle),'Multiples Data'!$C$58:$C$70,0),MATCH(CONCATENATE(Cyclical_LTM_NTM_Toggle," P/E"),'Multiples Data'!$C$58:$H$58,0))</f>
        <v>9.4357996494058476</v>
      </c>
      <c r="N221" s="978"/>
      <c r="O221" s="1036">
        <f t="array" ref="O221">INDEX(PeerGroup3_Cyclical_Valuation_Data,MATCH(CONCATENATE(Cycle_Toggle," ",Cycle_Period_Toggle),'Multiples Data'!$C$80:$C$92,0),MATCH(CONCATENATE(Cyclical_LTM_NTM_Toggle," P/E"),'Multiples Data'!$C$80:$H$80,0))</f>
        <v>14.603483940485029</v>
      </c>
      <c r="P221" s="978"/>
      <c r="Q221" s="9"/>
      <c r="R221" s="9"/>
      <c r="S221" s="9"/>
      <c r="T221" s="9"/>
      <c r="U221" s="9"/>
      <c r="V221" s="9"/>
      <c r="W221" s="9"/>
      <c r="X221" s="9"/>
      <c r="Y221" s="9"/>
      <c r="Z221" s="9"/>
      <c r="AA221" s="9"/>
      <c r="AB221" s="9"/>
    </row>
    <row r="222" spans="1:28" ht="13.5" customHeight="1">
      <c r="A222" s="9"/>
      <c r="B222" s="9"/>
      <c r="C222" s="9" t="s">
        <v>777</v>
      </c>
      <c r="D222" s="9"/>
      <c r="E222" s="9"/>
      <c r="F222" s="9"/>
      <c r="G222" s="32" t="s">
        <v>685</v>
      </c>
      <c r="H222" s="37" t="b">
        <f>G222=$D$24</f>
        <v>1</v>
      </c>
      <c r="I222" s="9"/>
      <c r="J222" s="64" t="s">
        <v>134</v>
      </c>
      <c r="K222" s="1036">
        <f t="array" ref="K222">INDEX(Primary_Peer_Cyclical_Valuation_Data,MATCH(CONCATENATE(Cycle_Toggle," ",Cycle_Period_Toggle),'Multiples Data'!$C$36:$C$48,0),MATCH(CONCATENATE(Cyclical_LTM_NTM_Toggle," EV/EBITDA"),'Multiples Data'!$C$36:$H$36,0))</f>
        <v>17.073062035084643</v>
      </c>
      <c r="L222" s="978"/>
      <c r="M222" s="1036">
        <f t="array" ref="M222">INDEX(PeerGroup2_Cyclical_Valuation_Data,MATCH(CONCATENATE(Cycle_Toggle," ",Cycle_Period_Toggle),'Multiples Data'!$C$58:$C$70,0),MATCH(CONCATENATE(Cyclical_LTM_NTM_Toggle," EV/EBITDA"),'Multiples Data'!$C$58:$H$58,0))</f>
        <v>5.4314602700251715</v>
      </c>
      <c r="N222" s="978"/>
      <c r="O222" s="1036">
        <f t="array" ref="O222">INDEX(PeerGroup3_Cyclical_Valuation_Data,MATCH(CONCATENATE(Cycle_Toggle," ",Cycle_Period_Toggle),'Multiples Data'!$C$80:$C$92,0),MATCH(CONCATENATE(Cyclical_LTM_NTM_Toggle," EV/EBITDA"),'Multiples Data'!$C$80:$H$80,0))</f>
        <v>7.7150307167356171</v>
      </c>
      <c r="P222" s="978"/>
      <c r="Q222" s="9"/>
      <c r="R222" s="9"/>
      <c r="S222" s="9"/>
      <c r="T222" s="9"/>
      <c r="U222" s="9"/>
      <c r="V222" s="9"/>
      <c r="W222" s="9"/>
      <c r="X222" s="9"/>
      <c r="Y222" s="9"/>
      <c r="Z222" s="9"/>
      <c r="AA222" s="9"/>
      <c r="AB222" s="9"/>
    </row>
    <row r="223" spans="1:28" ht="13.5" customHeight="1">
      <c r="A223" s="9"/>
      <c r="B223" s="9"/>
      <c r="C223" s="9" t="s">
        <v>759</v>
      </c>
      <c r="D223" s="9"/>
      <c r="E223" s="9"/>
      <c r="F223" s="9"/>
      <c r="G223" s="32" t="s">
        <v>522</v>
      </c>
      <c r="H223" s="9"/>
      <c r="I223" s="9"/>
      <c r="J223" s="9"/>
      <c r="K223" s="9"/>
      <c r="L223" s="9"/>
      <c r="M223" s="9"/>
      <c r="N223" s="9"/>
      <c r="O223" s="9"/>
      <c r="P223" s="9"/>
      <c r="Q223" s="9"/>
      <c r="R223" s="9"/>
      <c r="S223" s="9"/>
      <c r="T223" s="9"/>
      <c r="U223" s="9"/>
      <c r="V223" s="9"/>
      <c r="W223" s="9"/>
      <c r="X223" s="9"/>
      <c r="Y223" s="9"/>
      <c r="Z223" s="9"/>
      <c r="AA223" s="9"/>
      <c r="AB223" s="9"/>
    </row>
    <row r="224" spans="1:28" ht="4.5" customHeight="1">
      <c r="A224" s="9"/>
      <c r="B224" s="9"/>
      <c r="C224" s="9"/>
      <c r="D224" s="9"/>
      <c r="E224" s="9"/>
      <c r="F224" s="9"/>
      <c r="G224" s="32"/>
      <c r="H224" s="9"/>
      <c r="I224" s="9"/>
      <c r="J224" s="9"/>
      <c r="K224" s="9"/>
      <c r="L224" s="9"/>
      <c r="M224" s="9"/>
      <c r="N224" s="9"/>
      <c r="O224" s="9"/>
      <c r="P224" s="9"/>
      <c r="Q224" s="9"/>
      <c r="R224" s="9"/>
      <c r="S224" s="9"/>
      <c r="T224" s="9"/>
      <c r="U224" s="9"/>
      <c r="V224" s="9"/>
      <c r="W224" s="9"/>
      <c r="X224" s="9"/>
      <c r="Y224" s="9"/>
      <c r="Z224" s="9"/>
      <c r="AA224" s="9"/>
      <c r="AB224" s="9"/>
    </row>
    <row r="225" spans="1:28" ht="13.5" customHeight="1">
      <c r="A225" s="180" t="s">
        <v>0</v>
      </c>
      <c r="B225" s="9"/>
      <c r="C225" s="1034" t="s">
        <v>719</v>
      </c>
      <c r="D225" s="974"/>
      <c r="E225" s="974"/>
      <c r="F225" s="974"/>
      <c r="G225" s="974"/>
      <c r="H225" s="974"/>
      <c r="I225" s="974"/>
      <c r="J225" s="974"/>
      <c r="K225" s="974"/>
      <c r="L225" s="974"/>
      <c r="M225" s="974"/>
      <c r="N225" s="974"/>
      <c r="O225" s="974"/>
      <c r="P225" s="974"/>
      <c r="Q225" s="974"/>
      <c r="R225" s="975"/>
      <c r="S225" s="180" t="s">
        <v>0</v>
      </c>
      <c r="T225" s="9"/>
      <c r="U225" s="9"/>
      <c r="V225" s="9"/>
      <c r="W225" s="9"/>
      <c r="X225" s="9"/>
      <c r="Y225" s="9"/>
      <c r="Z225" s="9"/>
      <c r="AA225" s="9"/>
      <c r="AB225" s="9"/>
    </row>
    <row r="226" spans="1:28" ht="4.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row>
    <row r="227" spans="1:28" ht="13.5" customHeight="1">
      <c r="A227" s="9"/>
      <c r="B227" s="9"/>
      <c r="C227" s="9" t="s">
        <v>762</v>
      </c>
      <c r="D227" s="9"/>
      <c r="E227" s="667">
        <f>$F$201</f>
        <v>20.698447893569799</v>
      </c>
      <c r="F227" s="567">
        <f>E227-H237</f>
        <v>0</v>
      </c>
      <c r="G227" s="9"/>
      <c r="H227" s="9" t="s">
        <v>763</v>
      </c>
      <c r="I227" s="9"/>
      <c r="J227" s="9"/>
      <c r="K227" s="667">
        <f>$N$201</f>
        <v>11.7803331929719</v>
      </c>
      <c r="L227" s="567">
        <f>K227-H253</f>
        <v>0</v>
      </c>
      <c r="M227" s="9"/>
      <c r="N227" s="3" t="s">
        <v>742</v>
      </c>
      <c r="O227" s="9"/>
      <c r="P227" s="9"/>
      <c r="Q227" s="712">
        <f ca="1">F202</f>
        <v>5.183684160124189</v>
      </c>
      <c r="R227" s="713">
        <f ca="1">Q227-E240</f>
        <v>0</v>
      </c>
      <c r="S227" s="9"/>
      <c r="T227" s="9"/>
      <c r="U227" s="9"/>
      <c r="V227" s="9"/>
      <c r="W227" s="9"/>
      <c r="X227" s="9"/>
      <c r="Y227" s="9"/>
      <c r="Z227" s="9"/>
      <c r="AA227" s="9"/>
      <c r="AB227" s="9"/>
    </row>
    <row r="228" spans="1:28" ht="13.5" customHeight="1">
      <c r="A228" s="9"/>
      <c r="B228" s="9"/>
      <c r="C228" s="9" t="s">
        <v>723</v>
      </c>
      <c r="D228" s="9"/>
      <c r="E228" s="674">
        <v>1</v>
      </c>
      <c r="F228" s="714"/>
      <c r="G228" s="9"/>
      <c r="H228" s="9" t="s">
        <v>723</v>
      </c>
      <c r="I228" s="9"/>
      <c r="J228" s="9"/>
      <c r="K228" s="674">
        <v>1</v>
      </c>
      <c r="L228" s="714"/>
      <c r="M228" s="9"/>
      <c r="N228" s="394" t="s">
        <v>764</v>
      </c>
      <c r="O228" s="9"/>
      <c r="P228" s="9"/>
      <c r="Q228" s="9"/>
      <c r="R228" s="713">
        <f ca="1">Q227-E248</f>
        <v>0</v>
      </c>
      <c r="S228" s="9"/>
      <c r="T228" s="9"/>
      <c r="U228" s="9"/>
      <c r="V228" s="9"/>
      <c r="W228" s="9"/>
      <c r="X228" s="9"/>
      <c r="Y228" s="9"/>
      <c r="Z228" s="9"/>
      <c r="AA228" s="9"/>
      <c r="AB228" s="9"/>
    </row>
    <row r="229" spans="1:28" ht="13.5" customHeight="1">
      <c r="A229" s="9"/>
      <c r="B229" s="9"/>
      <c r="C229" s="9" t="s">
        <v>765</v>
      </c>
      <c r="D229" s="9"/>
      <c r="E229" s="675">
        <v>0.1</v>
      </c>
      <c r="F229" s="714"/>
      <c r="G229" s="9"/>
      <c r="H229" s="9" t="s">
        <v>766</v>
      </c>
      <c r="I229" s="9"/>
      <c r="J229" s="9"/>
      <c r="K229" s="675">
        <v>0.1</v>
      </c>
      <c r="L229" s="714"/>
      <c r="M229" s="9"/>
      <c r="N229" s="3" t="s">
        <v>743</v>
      </c>
      <c r="O229" s="9"/>
      <c r="P229" s="9"/>
      <c r="Q229" s="715">
        <f ca="1">N202</f>
        <v>263.87629913010289</v>
      </c>
      <c r="R229" s="713">
        <f ca="1">Q229-E256</f>
        <v>0</v>
      </c>
      <c r="S229" s="9"/>
      <c r="T229" s="9"/>
      <c r="U229" s="9"/>
      <c r="V229" s="9"/>
      <c r="W229" s="9"/>
      <c r="X229" s="9"/>
      <c r="Y229" s="9"/>
      <c r="Z229" s="9"/>
      <c r="AA229" s="9"/>
      <c r="AB229" s="9"/>
    </row>
    <row r="230" spans="1:28" ht="13.5" customHeight="1">
      <c r="A230" s="9"/>
      <c r="B230" s="9"/>
      <c r="C230" s="9" t="s">
        <v>767</v>
      </c>
      <c r="D230" s="9"/>
      <c r="E230" s="667">
        <f>$J$201</f>
        <v>43.865002064200148</v>
      </c>
      <c r="F230" s="567">
        <f>E230-H245</f>
        <v>0</v>
      </c>
      <c r="G230" s="9"/>
      <c r="H230" s="9" t="s">
        <v>768</v>
      </c>
      <c r="I230" s="9"/>
      <c r="J230" s="9"/>
      <c r="K230" s="667">
        <f>$R$201</f>
        <v>18.729860470917988</v>
      </c>
      <c r="L230" s="567">
        <f>K230-H261</f>
        <v>0</v>
      </c>
      <c r="M230" s="9"/>
      <c r="N230" s="394" t="s">
        <v>764</v>
      </c>
      <c r="O230" s="717"/>
      <c r="P230" s="9"/>
      <c r="Q230" s="9"/>
      <c r="R230" s="713">
        <f ca="1">Q229-E264</f>
        <v>0</v>
      </c>
      <c r="S230" s="9"/>
      <c r="T230" s="9"/>
      <c r="U230" s="9"/>
      <c r="V230" s="9"/>
      <c r="W230" s="9"/>
      <c r="X230" s="9"/>
      <c r="Y230" s="9"/>
      <c r="Z230" s="9"/>
      <c r="AA230" s="9"/>
      <c r="AB230" s="9"/>
    </row>
    <row r="231" spans="1:28" ht="13.5" customHeight="1">
      <c r="A231" s="9"/>
      <c r="B231" s="9"/>
      <c r="C231" s="9" t="s">
        <v>723</v>
      </c>
      <c r="D231" s="9"/>
      <c r="E231" s="674">
        <v>1</v>
      </c>
      <c r="F231" s="714"/>
      <c r="G231" s="9"/>
      <c r="H231" s="9" t="s">
        <v>723</v>
      </c>
      <c r="I231" s="9"/>
      <c r="J231" s="9"/>
      <c r="K231" s="674">
        <v>1</v>
      </c>
      <c r="L231" s="714"/>
      <c r="M231" s="9"/>
      <c r="N231" s="9"/>
      <c r="O231" s="717"/>
      <c r="P231" s="9"/>
      <c r="Q231" s="9"/>
      <c r="R231" s="9"/>
      <c r="S231" s="9"/>
      <c r="T231" s="9"/>
      <c r="U231" s="9"/>
      <c r="V231" s="9"/>
      <c r="W231" s="9"/>
      <c r="X231" s="9"/>
      <c r="Y231" s="9"/>
      <c r="Z231" s="9"/>
      <c r="AA231" s="9"/>
      <c r="AB231" s="9"/>
    </row>
    <row r="232" spans="1:28" ht="13.5" customHeight="1">
      <c r="A232" s="9"/>
      <c r="B232" s="9"/>
      <c r="C232" s="9"/>
      <c r="D232" s="9"/>
      <c r="E232" s="32"/>
      <c r="F232" s="9"/>
      <c r="G232" s="9"/>
      <c r="H232" s="9"/>
      <c r="I232" s="9"/>
      <c r="J232" s="9"/>
      <c r="K232" s="9"/>
      <c r="L232" s="9"/>
      <c r="M232" s="9"/>
      <c r="N232" s="9"/>
      <c r="O232" s="9"/>
      <c r="P232" s="9"/>
      <c r="Q232" s="9"/>
      <c r="R232" s="9"/>
      <c r="S232" s="9"/>
      <c r="T232" s="9"/>
      <c r="U232" s="9"/>
      <c r="V232" s="9"/>
      <c r="W232" s="9"/>
      <c r="X232" s="9"/>
      <c r="Y232" s="9"/>
      <c r="Z232" s="9"/>
      <c r="AA232" s="9"/>
      <c r="AB232" s="9"/>
    </row>
    <row r="233" spans="1:28" ht="13.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row>
    <row r="234" spans="1:28" ht="13.5" customHeight="1">
      <c r="A234" s="9"/>
      <c r="B234" s="9"/>
      <c r="C234" s="9"/>
      <c r="D234" s="1037" t="s">
        <v>726</v>
      </c>
      <c r="E234" s="974"/>
      <c r="F234" s="974"/>
      <c r="G234" s="974"/>
      <c r="H234" s="974"/>
      <c r="I234" s="974"/>
      <c r="J234" s="975"/>
      <c r="K234" s="676"/>
      <c r="L234" s="1037" t="s">
        <v>727</v>
      </c>
      <c r="M234" s="974"/>
      <c r="N234" s="974"/>
      <c r="O234" s="974"/>
      <c r="P234" s="974"/>
      <c r="Q234" s="974"/>
      <c r="R234" s="975"/>
      <c r="S234" s="9"/>
      <c r="T234" s="9"/>
      <c r="U234" s="9"/>
      <c r="V234" s="9"/>
      <c r="W234" s="9"/>
      <c r="X234" s="9"/>
      <c r="Y234" s="9"/>
      <c r="Z234" s="9"/>
      <c r="AA234" s="9"/>
      <c r="AB234" s="9"/>
    </row>
    <row r="235" spans="1:28" ht="13.5" customHeight="1">
      <c r="A235" s="9"/>
      <c r="B235" s="9"/>
      <c r="C235" s="9"/>
      <c r="D235" s="37"/>
      <c r="E235" s="139"/>
      <c r="F235" s="64"/>
      <c r="G235" s="64"/>
      <c r="H235" s="64"/>
      <c r="I235" s="64"/>
      <c r="J235" s="64"/>
      <c r="K235" s="676"/>
      <c r="L235" s="37"/>
      <c r="M235" s="139"/>
      <c r="N235" s="64"/>
      <c r="O235" s="64"/>
      <c r="P235" s="64"/>
      <c r="Q235" s="64"/>
      <c r="R235" s="64"/>
      <c r="S235" s="9"/>
      <c r="T235" s="9"/>
      <c r="U235" s="9"/>
      <c r="V235" s="9"/>
      <c r="W235" s="9"/>
      <c r="X235" s="9"/>
      <c r="Y235" s="9"/>
      <c r="Z235" s="9"/>
      <c r="AA235" s="9"/>
      <c r="AB235" s="9"/>
    </row>
    <row r="236" spans="1:28" ht="13.5" customHeight="1">
      <c r="A236" s="9"/>
      <c r="B236" s="9"/>
      <c r="C236" s="9"/>
      <c r="D236" s="489"/>
      <c r="E236" s="491"/>
      <c r="F236" s="1029" t="str">
        <f>$G$220&amp;" "&amp;$G$221&amp;" P/E"</f>
        <v>2009-2018 Early Cycle P/E</v>
      </c>
      <c r="G236" s="1030"/>
      <c r="H236" s="1030"/>
      <c r="I236" s="1030"/>
      <c r="J236" s="1030"/>
      <c r="K236" s="9"/>
      <c r="L236" s="489"/>
      <c r="M236" s="491"/>
      <c r="N236" s="1029" t="str">
        <f>F236</f>
        <v>2009-2018 Early Cycle P/E</v>
      </c>
      <c r="O236" s="1030"/>
      <c r="P236" s="1030"/>
      <c r="Q236" s="1030"/>
      <c r="R236" s="1030"/>
      <c r="S236" s="9"/>
      <c r="T236" s="9"/>
      <c r="U236" s="9"/>
      <c r="V236" s="9"/>
      <c r="W236" s="9"/>
      <c r="X236" s="9"/>
      <c r="Y236" s="9"/>
      <c r="Z236" s="9"/>
      <c r="AA236" s="9"/>
      <c r="AB236" s="9"/>
    </row>
    <row r="237" spans="1:28" ht="13.5" customHeight="1">
      <c r="A237" s="9"/>
      <c r="B237" s="9"/>
      <c r="C237" s="9"/>
      <c r="D237" s="9"/>
      <c r="E237" s="677">
        <f ca="1">$F$204</f>
        <v>107.29421648505365</v>
      </c>
      <c r="F237" s="678">
        <f>G237-$E$93</f>
        <v>18.698447893569799</v>
      </c>
      <c r="G237" s="678">
        <f>H237-$E$93</f>
        <v>19.698447893569799</v>
      </c>
      <c r="H237" s="679">
        <v>20.698447893569799</v>
      </c>
      <c r="I237" s="678">
        <f>H237+$E$93</f>
        <v>21.698447893569799</v>
      </c>
      <c r="J237" s="678">
        <f>I237+$E$93</f>
        <v>22.698447893569799</v>
      </c>
      <c r="K237" s="9"/>
      <c r="L237" s="9"/>
      <c r="M237" s="680">
        <f>$H$73</f>
        <v>0</v>
      </c>
      <c r="N237" s="678">
        <f>F237</f>
        <v>18.698447893569799</v>
      </c>
      <c r="O237" s="678">
        <f>G237</f>
        <v>19.698447893569799</v>
      </c>
      <c r="P237" s="678">
        <f>H237</f>
        <v>20.698447893569799</v>
      </c>
      <c r="Q237" s="678">
        <f>I237</f>
        <v>21.698447893569799</v>
      </c>
      <c r="R237" s="678">
        <f>J237</f>
        <v>22.698447893569799</v>
      </c>
      <c r="S237" s="9"/>
      <c r="T237" s="9"/>
      <c r="U237" s="9"/>
      <c r="V237" s="9"/>
      <c r="W237" s="9"/>
      <c r="X237" s="9"/>
      <c r="Y237" s="9"/>
      <c r="Z237" s="9"/>
      <c r="AA237" s="9"/>
      <c r="AB237" s="9"/>
    </row>
    <row r="238" spans="1:28" ht="13.5" customHeight="1">
      <c r="A238" s="9"/>
      <c r="B238" s="9"/>
      <c r="C238" s="9"/>
      <c r="D238" s="1031" t="s">
        <v>376</v>
      </c>
      <c r="E238" s="718">
        <f>$E$164*(1-(2*$E$153))</f>
        <v>4.1469473280993512</v>
      </c>
      <c r="F238" s="682">
        <v>170.7600347615363</v>
      </c>
      <c r="G238" s="683">
        <v>182.49705737667901</v>
      </c>
      <c r="H238" s="683">
        <v>194.23407999182172</v>
      </c>
      <c r="I238" s="683">
        <v>205.97110260696442</v>
      </c>
      <c r="J238" s="684">
        <v>217.70812522210713</v>
      </c>
      <c r="K238" s="9"/>
      <c r="L238" s="1031" t="s">
        <v>376</v>
      </c>
      <c r="M238" s="718">
        <f>E238</f>
        <v>4.1469473280993512</v>
      </c>
      <c r="N238" s="685">
        <f t="shared" ref="N238:R242" si="13">F238/Share_Price-1</f>
        <v>0.44393738171432684</v>
      </c>
      <c r="O238" s="561">
        <f t="shared" si="13"/>
        <v>0.54318499388363772</v>
      </c>
      <c r="P238" s="561">
        <f t="shared" si="13"/>
        <v>0.64243260605294861</v>
      </c>
      <c r="Q238" s="561">
        <f t="shared" si="13"/>
        <v>0.74168021822225949</v>
      </c>
      <c r="R238" s="686">
        <f t="shared" si="13"/>
        <v>0.84092783039157037</v>
      </c>
      <c r="S238" s="9"/>
      <c r="T238" s="9"/>
      <c r="U238" s="9"/>
      <c r="V238" s="9"/>
      <c r="W238" s="9"/>
      <c r="X238" s="9"/>
      <c r="Y238" s="9"/>
      <c r="Z238" s="9"/>
      <c r="AA238" s="9"/>
      <c r="AB238" s="9"/>
    </row>
    <row r="239" spans="1:28" ht="13.5" customHeight="1">
      <c r="A239" s="9"/>
      <c r="B239" s="9"/>
      <c r="C239" s="9"/>
      <c r="D239" s="1032"/>
      <c r="E239" s="718">
        <f>$E$164*(1-$E$153)</f>
        <v>4.6653157441117701</v>
      </c>
      <c r="F239" s="687">
        <v>192.10503910672833</v>
      </c>
      <c r="G239" s="688">
        <v>205.30918954876387</v>
      </c>
      <c r="H239" s="688">
        <v>218.51333999079941</v>
      </c>
      <c r="I239" s="688">
        <v>231.71749043283498</v>
      </c>
      <c r="J239" s="689">
        <v>244.92164087487052</v>
      </c>
      <c r="K239" s="9"/>
      <c r="L239" s="1032"/>
      <c r="M239" s="718">
        <f>E239</f>
        <v>4.6653157441117701</v>
      </c>
      <c r="N239" s="690">
        <f t="shared" si="13"/>
        <v>0.62442955442861758</v>
      </c>
      <c r="O239" s="451">
        <f t="shared" si="13"/>
        <v>0.73608311811909233</v>
      </c>
      <c r="P239" s="451">
        <f t="shared" si="13"/>
        <v>0.84773668180956707</v>
      </c>
      <c r="Q239" s="451">
        <f t="shared" si="13"/>
        <v>0.95939024550004204</v>
      </c>
      <c r="R239" s="572">
        <f t="shared" si="13"/>
        <v>1.0710438091905168</v>
      </c>
      <c r="S239" s="9"/>
      <c r="T239" s="9"/>
      <c r="U239" s="9"/>
      <c r="V239" s="9"/>
      <c r="W239" s="9"/>
      <c r="X239" s="9"/>
      <c r="Y239" s="9"/>
      <c r="Z239" s="9"/>
      <c r="AA239" s="9"/>
      <c r="AB239" s="9"/>
    </row>
    <row r="240" spans="1:28" ht="13.5" customHeight="1">
      <c r="A240" s="9"/>
      <c r="B240" s="9"/>
      <c r="C240" s="9"/>
      <c r="D240" s="1032"/>
      <c r="E240" s="719">
        <v>5.183684160124189</v>
      </c>
      <c r="F240" s="687">
        <v>213.45004345192035</v>
      </c>
      <c r="G240" s="688">
        <v>228.12132172084875</v>
      </c>
      <c r="H240" s="688">
        <v>242.79259998977713</v>
      </c>
      <c r="I240" s="688">
        <v>257.46387825870551</v>
      </c>
      <c r="J240" s="689">
        <v>272.13515652763391</v>
      </c>
      <c r="K240" s="9"/>
      <c r="L240" s="1032"/>
      <c r="M240" s="718">
        <f>E240</f>
        <v>5.183684160124189</v>
      </c>
      <c r="N240" s="690">
        <f t="shared" si="13"/>
        <v>0.80492172714290833</v>
      </c>
      <c r="O240" s="451">
        <f t="shared" si="13"/>
        <v>0.92898124235454715</v>
      </c>
      <c r="P240" s="451">
        <f t="shared" si="13"/>
        <v>1.0530407575661855</v>
      </c>
      <c r="Q240" s="451">
        <f t="shared" si="13"/>
        <v>1.1771002727778241</v>
      </c>
      <c r="R240" s="572">
        <f t="shared" si="13"/>
        <v>1.3011597879894632</v>
      </c>
      <c r="S240" s="9"/>
      <c r="T240" s="9"/>
      <c r="U240" s="9"/>
      <c r="V240" s="9"/>
      <c r="W240" s="9"/>
      <c r="X240" s="9"/>
      <c r="Y240" s="9"/>
      <c r="Z240" s="9"/>
      <c r="AA240" s="9"/>
      <c r="AB240" s="9"/>
    </row>
    <row r="241" spans="1:28" ht="13.5" customHeight="1">
      <c r="A241" s="9"/>
      <c r="B241" s="9"/>
      <c r="C241" s="9"/>
      <c r="D241" s="1032"/>
      <c r="E241" s="718">
        <f>$E$164*(1+$E$153)</f>
        <v>5.7020525761366088</v>
      </c>
      <c r="F241" s="687">
        <v>234.79504779711237</v>
      </c>
      <c r="G241" s="688">
        <v>250.93345389293361</v>
      </c>
      <c r="H241" s="688">
        <v>267.07185998875485</v>
      </c>
      <c r="I241" s="688">
        <v>283.21026608457606</v>
      </c>
      <c r="J241" s="689">
        <v>299.34867218039727</v>
      </c>
      <c r="K241" s="9"/>
      <c r="L241" s="1032"/>
      <c r="M241" s="718">
        <f>E241</f>
        <v>5.7020525761366088</v>
      </c>
      <c r="N241" s="690">
        <f t="shared" si="13"/>
        <v>0.98541389985719907</v>
      </c>
      <c r="O241" s="451">
        <f t="shared" si="13"/>
        <v>1.1218793665900018</v>
      </c>
      <c r="P241" s="451">
        <f t="shared" si="13"/>
        <v>1.2583448333228042</v>
      </c>
      <c r="Q241" s="451">
        <f t="shared" si="13"/>
        <v>1.3948103000556067</v>
      </c>
      <c r="R241" s="572">
        <f t="shared" si="13"/>
        <v>1.5312757667884092</v>
      </c>
      <c r="S241" s="9"/>
      <c r="T241" s="9"/>
      <c r="U241" s="9"/>
      <c r="V241" s="9"/>
      <c r="W241" s="9"/>
      <c r="X241" s="9"/>
      <c r="Y241" s="9"/>
      <c r="Z241" s="9"/>
      <c r="AA241" s="9"/>
      <c r="AB241" s="9"/>
    </row>
    <row r="242" spans="1:28" ht="13.5" customHeight="1">
      <c r="A242" s="9"/>
      <c r="B242" s="9"/>
      <c r="C242" s="9"/>
      <c r="D242" s="1033"/>
      <c r="E242" s="718">
        <f>$E$164*(1+(2*$E$153))</f>
        <v>6.2204209921490268</v>
      </c>
      <c r="F242" s="693">
        <v>256.1400521423044</v>
      </c>
      <c r="G242" s="694">
        <v>273.74558606501847</v>
      </c>
      <c r="H242" s="694">
        <v>291.35111998773255</v>
      </c>
      <c r="I242" s="694">
        <v>308.95665391044662</v>
      </c>
      <c r="J242" s="695">
        <v>326.56218783316069</v>
      </c>
      <c r="K242" s="9"/>
      <c r="L242" s="1033"/>
      <c r="M242" s="718">
        <f>E242</f>
        <v>6.2204209921490268</v>
      </c>
      <c r="N242" s="696">
        <f t="shared" si="13"/>
        <v>1.1659060725714898</v>
      </c>
      <c r="O242" s="569">
        <f t="shared" si="13"/>
        <v>1.3147774908254561</v>
      </c>
      <c r="P242" s="569">
        <f t="shared" si="13"/>
        <v>1.4636489090794229</v>
      </c>
      <c r="Q242" s="569">
        <f t="shared" si="13"/>
        <v>1.6125203273333892</v>
      </c>
      <c r="R242" s="697">
        <f t="shared" si="13"/>
        <v>1.7613917455873556</v>
      </c>
      <c r="S242" s="9"/>
      <c r="T242" s="9"/>
      <c r="U242" s="9"/>
      <c r="V242" s="9"/>
      <c r="W242" s="9"/>
      <c r="X242" s="9"/>
      <c r="Y242" s="9"/>
      <c r="Z242" s="9"/>
      <c r="AA242" s="9"/>
      <c r="AB242" s="9"/>
    </row>
    <row r="243" spans="1:28" ht="13.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row>
    <row r="244" spans="1:28" ht="13.5" customHeight="1">
      <c r="A244" s="9"/>
      <c r="B244" s="9"/>
      <c r="C244" s="9"/>
      <c r="D244" s="489"/>
      <c r="E244" s="491"/>
      <c r="F244" s="1029" t="str">
        <f>$G$220&amp;" "&amp;$G$221&amp;" P/E Spread to Comps"</f>
        <v>2009-2018 Early Cycle P/E Spread to Comps</v>
      </c>
      <c r="G244" s="1030"/>
      <c r="H244" s="1030"/>
      <c r="I244" s="1030"/>
      <c r="J244" s="1030"/>
      <c r="K244" s="9"/>
      <c r="L244" s="489"/>
      <c r="M244" s="491"/>
      <c r="N244" s="1029" t="str">
        <f>F244</f>
        <v>2009-2018 Early Cycle P/E Spread to Comps</v>
      </c>
      <c r="O244" s="1030"/>
      <c r="P244" s="1030"/>
      <c r="Q244" s="1030"/>
      <c r="R244" s="1030"/>
      <c r="S244" s="9"/>
      <c r="T244" s="9"/>
      <c r="U244" s="9"/>
      <c r="V244" s="9"/>
      <c r="W244" s="9"/>
      <c r="X244" s="9"/>
      <c r="Y244" s="9"/>
      <c r="Z244" s="9"/>
      <c r="AA244" s="9"/>
      <c r="AB244" s="9"/>
    </row>
    <row r="245" spans="1:28" ht="13.5" customHeight="1">
      <c r="A245" s="9"/>
      <c r="B245" s="9"/>
      <c r="C245" s="9"/>
      <c r="D245" s="9"/>
      <c r="E245" s="677">
        <f ca="1">$J$204</f>
        <v>227.38231638400916</v>
      </c>
      <c r="F245" s="678">
        <f>G245-$E$93</f>
        <v>41.865002064200148</v>
      </c>
      <c r="G245" s="678">
        <f>H245-$E$93</f>
        <v>42.865002064200148</v>
      </c>
      <c r="H245" s="679">
        <v>43.865002064200148</v>
      </c>
      <c r="I245" s="678">
        <f>H245+$E$93</f>
        <v>44.865002064200148</v>
      </c>
      <c r="J245" s="678">
        <f>I245+$E$93</f>
        <v>45.865002064200148</v>
      </c>
      <c r="K245" s="9"/>
      <c r="L245" s="9"/>
      <c r="M245" s="677">
        <f>$H$73</f>
        <v>0</v>
      </c>
      <c r="N245" s="678">
        <f>F245</f>
        <v>41.865002064200148</v>
      </c>
      <c r="O245" s="678">
        <f>G245</f>
        <v>42.865002064200148</v>
      </c>
      <c r="P245" s="678">
        <f>H245</f>
        <v>43.865002064200148</v>
      </c>
      <c r="Q245" s="678">
        <f>I245</f>
        <v>44.865002064200148</v>
      </c>
      <c r="R245" s="678">
        <f>J245</f>
        <v>45.865002064200148</v>
      </c>
      <c r="S245" s="9"/>
      <c r="T245" s="9"/>
      <c r="U245" s="9"/>
      <c r="V245" s="9"/>
      <c r="W245" s="9"/>
      <c r="X245" s="9"/>
      <c r="Y245" s="9"/>
      <c r="Z245" s="9"/>
      <c r="AA245" s="9"/>
      <c r="AB245" s="9"/>
    </row>
    <row r="246" spans="1:28" ht="13.5" customHeight="1">
      <c r="A246" s="9"/>
      <c r="B246" s="9"/>
      <c r="C246" s="9"/>
      <c r="D246" s="1031" t="s">
        <v>376</v>
      </c>
      <c r="E246" s="718">
        <f>$E$172*(1-(2*$E$153))</f>
        <v>4.1469473280993512</v>
      </c>
      <c r="F246" s="682">
        <v>225.63418434082951</v>
      </c>
      <c r="G246" s="683">
        <v>237.37120695597221</v>
      </c>
      <c r="H246" s="683">
        <v>249.10822957111492</v>
      </c>
      <c r="I246" s="683">
        <v>260.84525218625765</v>
      </c>
      <c r="J246" s="684">
        <v>272.58227480140033</v>
      </c>
      <c r="K246" s="9"/>
      <c r="L246" s="1031" t="s">
        <v>376</v>
      </c>
      <c r="M246" s="718">
        <f>E246</f>
        <v>4.1469473280993512</v>
      </c>
      <c r="N246" s="685">
        <f t="shared" ref="N246:R250" si="14">F246/Share_Price-1</f>
        <v>0.90795014663309237</v>
      </c>
      <c r="O246" s="561">
        <f t="shared" si="14"/>
        <v>1.0071977588024033</v>
      </c>
      <c r="P246" s="561">
        <f t="shared" si="14"/>
        <v>1.1064453709717141</v>
      </c>
      <c r="Q246" s="561">
        <f t="shared" si="14"/>
        <v>1.205692983141025</v>
      </c>
      <c r="R246" s="686">
        <f t="shared" si="14"/>
        <v>1.3049405953103359</v>
      </c>
      <c r="S246" s="9"/>
      <c r="T246" s="9"/>
      <c r="U246" s="9"/>
      <c r="V246" s="9"/>
      <c r="W246" s="9"/>
      <c r="X246" s="9"/>
      <c r="Y246" s="9"/>
      <c r="Z246" s="9"/>
      <c r="AA246" s="9"/>
      <c r="AB246" s="9"/>
    </row>
    <row r="247" spans="1:28" ht="13.5" customHeight="1">
      <c r="A247" s="9"/>
      <c r="B247" s="9"/>
      <c r="C247" s="9"/>
      <c r="D247" s="1032"/>
      <c r="E247" s="718">
        <f>$E$172*(1-$E$153)</f>
        <v>4.6653157441117701</v>
      </c>
      <c r="F247" s="687">
        <v>253.83845738343319</v>
      </c>
      <c r="G247" s="688">
        <v>267.04260782546874</v>
      </c>
      <c r="H247" s="688">
        <v>280.24675826750428</v>
      </c>
      <c r="I247" s="688">
        <v>293.45090870953982</v>
      </c>
      <c r="J247" s="689">
        <v>306.65505915157536</v>
      </c>
      <c r="K247" s="9"/>
      <c r="L247" s="1032"/>
      <c r="M247" s="718">
        <f>E247</f>
        <v>4.6653157441117701</v>
      </c>
      <c r="N247" s="690">
        <f t="shared" si="14"/>
        <v>1.1464439149622287</v>
      </c>
      <c r="O247" s="451">
        <f t="shared" si="14"/>
        <v>1.2580974786527035</v>
      </c>
      <c r="P247" s="451">
        <f t="shared" si="14"/>
        <v>1.3697510423431782</v>
      </c>
      <c r="Q247" s="451">
        <f t="shared" si="14"/>
        <v>1.481404606033653</v>
      </c>
      <c r="R247" s="572">
        <f t="shared" si="14"/>
        <v>1.5930581697241277</v>
      </c>
      <c r="S247" s="9"/>
      <c r="T247" s="9"/>
      <c r="U247" s="9"/>
      <c r="V247" s="9"/>
      <c r="W247" s="9"/>
      <c r="X247" s="9"/>
      <c r="Y247" s="9"/>
      <c r="Z247" s="9"/>
      <c r="AA247" s="9"/>
      <c r="AB247" s="9"/>
    </row>
    <row r="248" spans="1:28" ht="13.5" customHeight="1">
      <c r="A248" s="9"/>
      <c r="B248" s="9"/>
      <c r="C248" s="9"/>
      <c r="D248" s="1032"/>
      <c r="E248" s="719">
        <v>5.183684160124189</v>
      </c>
      <c r="F248" s="687">
        <v>282.04273042603688</v>
      </c>
      <c r="G248" s="688">
        <v>296.71400869496523</v>
      </c>
      <c r="H248" s="688">
        <v>311.38528696389363</v>
      </c>
      <c r="I248" s="688">
        <v>326.05656523282204</v>
      </c>
      <c r="J248" s="689">
        <v>340.72784350175039</v>
      </c>
      <c r="K248" s="9"/>
      <c r="L248" s="1032"/>
      <c r="M248" s="718">
        <f>E248</f>
        <v>5.183684160124189</v>
      </c>
      <c r="N248" s="690">
        <f t="shared" si="14"/>
        <v>1.3849376832913656</v>
      </c>
      <c r="O248" s="451">
        <f t="shared" si="14"/>
        <v>1.5089971985030037</v>
      </c>
      <c r="P248" s="451">
        <f t="shared" si="14"/>
        <v>1.6330567137146423</v>
      </c>
      <c r="Q248" s="451">
        <f t="shared" si="14"/>
        <v>1.7571162289262814</v>
      </c>
      <c r="R248" s="572">
        <f t="shared" si="14"/>
        <v>1.8811757441379195</v>
      </c>
      <c r="S248" s="9"/>
      <c r="T248" s="9"/>
      <c r="U248" s="9"/>
      <c r="V248" s="9"/>
      <c r="W248" s="9"/>
      <c r="X248" s="9"/>
      <c r="Y248" s="9"/>
      <c r="Z248" s="9"/>
      <c r="AA248" s="9"/>
      <c r="AB248" s="9"/>
    </row>
    <row r="249" spans="1:28" ht="13.5" customHeight="1">
      <c r="A249" s="9"/>
      <c r="B249" s="9"/>
      <c r="C249" s="9"/>
      <c r="D249" s="1032"/>
      <c r="E249" s="718">
        <f>$E$172*(1+$E$153)</f>
        <v>5.7020525761366088</v>
      </c>
      <c r="F249" s="687">
        <v>310.24700346864057</v>
      </c>
      <c r="G249" s="688">
        <v>326.38540956446178</v>
      </c>
      <c r="H249" s="688">
        <v>342.52381566028299</v>
      </c>
      <c r="I249" s="688">
        <v>358.6622217561042</v>
      </c>
      <c r="J249" s="689">
        <v>374.80062785192547</v>
      </c>
      <c r="K249" s="9"/>
      <c r="L249" s="1032"/>
      <c r="M249" s="718">
        <f>E249</f>
        <v>5.7020525761366088</v>
      </c>
      <c r="N249" s="690">
        <f t="shared" si="14"/>
        <v>1.623431451620502</v>
      </c>
      <c r="O249" s="451">
        <f t="shared" si="14"/>
        <v>1.7598969183533044</v>
      </c>
      <c r="P249" s="451">
        <f t="shared" si="14"/>
        <v>1.8963623850861069</v>
      </c>
      <c r="Q249" s="451">
        <f t="shared" si="14"/>
        <v>2.0328278518189089</v>
      </c>
      <c r="R249" s="572">
        <f t="shared" si="14"/>
        <v>2.1692933185517118</v>
      </c>
      <c r="S249" s="9"/>
      <c r="T249" s="9"/>
      <c r="U249" s="9"/>
      <c r="V249" s="9"/>
      <c r="W249" s="9"/>
      <c r="X249" s="9"/>
      <c r="Y249" s="9"/>
      <c r="Z249" s="9"/>
      <c r="AA249" s="9"/>
      <c r="AB249" s="9"/>
    </row>
    <row r="250" spans="1:28" ht="13.5" customHeight="1">
      <c r="A250" s="9"/>
      <c r="B250" s="9"/>
      <c r="C250" s="9"/>
      <c r="D250" s="1033"/>
      <c r="E250" s="718">
        <f>$E$172*(1+(2*$E$153))</f>
        <v>6.2204209921490268</v>
      </c>
      <c r="F250" s="693">
        <v>338.4512765112442</v>
      </c>
      <c r="G250" s="694">
        <v>356.05681043395828</v>
      </c>
      <c r="H250" s="694">
        <v>373.66234435667235</v>
      </c>
      <c r="I250" s="694">
        <v>391.26787827938642</v>
      </c>
      <c r="J250" s="695">
        <v>408.8734122021005</v>
      </c>
      <c r="K250" s="9"/>
      <c r="L250" s="1033"/>
      <c r="M250" s="718">
        <f>E250</f>
        <v>6.2204209921490268</v>
      </c>
      <c r="N250" s="696">
        <f t="shared" si="14"/>
        <v>1.8619252199496379</v>
      </c>
      <c r="O250" s="569">
        <f t="shared" si="14"/>
        <v>2.0107966382036042</v>
      </c>
      <c r="P250" s="569">
        <f t="shared" si="14"/>
        <v>2.159668056457571</v>
      </c>
      <c r="Q250" s="569">
        <f t="shared" si="14"/>
        <v>2.3085394747115373</v>
      </c>
      <c r="R250" s="697">
        <f t="shared" si="14"/>
        <v>2.4574108929655036</v>
      </c>
      <c r="S250" s="9"/>
      <c r="T250" s="9"/>
      <c r="U250" s="9"/>
      <c r="V250" s="9"/>
      <c r="W250" s="9"/>
      <c r="X250" s="9"/>
      <c r="Y250" s="9"/>
      <c r="Z250" s="9"/>
      <c r="AA250" s="9"/>
      <c r="AB250" s="9"/>
    </row>
    <row r="251" spans="1:28" ht="13.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row>
    <row r="252" spans="1:28" ht="13.5" customHeight="1">
      <c r="A252" s="9"/>
      <c r="B252" s="9"/>
      <c r="C252" s="9"/>
      <c r="D252" s="489"/>
      <c r="E252" s="491"/>
      <c r="F252" s="1029" t="str">
        <f>$G$220&amp;" "&amp;$G$221&amp;" EV/EBITDA"</f>
        <v>2009-2018 Early Cycle EV/EBITDA</v>
      </c>
      <c r="G252" s="1030"/>
      <c r="H252" s="1030"/>
      <c r="I252" s="1030"/>
      <c r="J252" s="1030"/>
      <c r="K252" s="9"/>
      <c r="L252" s="489"/>
      <c r="M252" s="491"/>
      <c r="N252" s="1029" t="str">
        <f>F252</f>
        <v>2009-2018 Early Cycle EV/EBITDA</v>
      </c>
      <c r="O252" s="1030"/>
      <c r="P252" s="1030"/>
      <c r="Q252" s="1030"/>
      <c r="R252" s="1030"/>
      <c r="S252" s="9"/>
      <c r="T252" s="9"/>
      <c r="U252" s="9"/>
      <c r="V252" s="9"/>
      <c r="W252" s="9"/>
      <c r="X252" s="9"/>
      <c r="Y252" s="9"/>
      <c r="Z252" s="9"/>
      <c r="AA252" s="9"/>
      <c r="AB252" s="9"/>
    </row>
    <row r="253" spans="1:28" ht="13.5" customHeight="1">
      <c r="A253" s="9"/>
      <c r="B253" s="9"/>
      <c r="C253" s="9"/>
      <c r="D253" s="9"/>
      <c r="E253" s="677">
        <f ca="1">$N$215</f>
        <v>52.268601532603888</v>
      </c>
      <c r="F253" s="678">
        <f>G253-$E$93</f>
        <v>9.7803331929719004</v>
      </c>
      <c r="G253" s="678">
        <f>H253-$E$93</f>
        <v>10.7803331929719</v>
      </c>
      <c r="H253" s="679">
        <v>11.7803331929719</v>
      </c>
      <c r="I253" s="678">
        <f>H253+$E$93</f>
        <v>12.7803331929719</v>
      </c>
      <c r="J253" s="678">
        <f>I253+$E$93</f>
        <v>13.7803331929719</v>
      </c>
      <c r="K253" s="9"/>
      <c r="L253" s="9"/>
      <c r="M253" s="677">
        <f>$H$73</f>
        <v>0</v>
      </c>
      <c r="N253" s="678">
        <f>F253</f>
        <v>9.7803331929719004</v>
      </c>
      <c r="O253" s="678">
        <f>G253</f>
        <v>10.7803331929719</v>
      </c>
      <c r="P253" s="678">
        <f>H253</f>
        <v>11.7803331929719</v>
      </c>
      <c r="Q253" s="678">
        <f>I253</f>
        <v>12.7803331929719</v>
      </c>
      <c r="R253" s="678">
        <f>J253</f>
        <v>13.7803331929719</v>
      </c>
      <c r="S253" s="9"/>
      <c r="T253" s="9"/>
      <c r="U253" s="9"/>
      <c r="V253" s="9"/>
      <c r="W253" s="9"/>
      <c r="X253" s="9"/>
      <c r="Y253" s="9"/>
      <c r="Z253" s="9"/>
      <c r="AA253" s="9"/>
      <c r="AB253" s="9"/>
    </row>
    <row r="254" spans="1:28" ht="13.5" customHeight="1">
      <c r="A254" s="9"/>
      <c r="B254" s="9"/>
      <c r="C254" s="9"/>
      <c r="D254" s="1031" t="s">
        <v>285</v>
      </c>
      <c r="E254" s="655">
        <f>$E$180*(1-(2*$K$153))</f>
        <v>211.10103930408232</v>
      </c>
      <c r="F254" s="682">
        <v>67.644742570706541</v>
      </c>
      <c r="G254" s="683">
        <v>85.111556570380472</v>
      </c>
      <c r="H254" s="683">
        <v>102.5783705700544</v>
      </c>
      <c r="I254" s="683">
        <v>120.04518456972832</v>
      </c>
      <c r="J254" s="684">
        <v>137.51199856940224</v>
      </c>
      <c r="K254" s="9"/>
      <c r="L254" s="1031" t="s">
        <v>285</v>
      </c>
      <c r="M254" s="655">
        <f>E254</f>
        <v>211.10103930408232</v>
      </c>
      <c r="N254" s="685">
        <f t="shared" ref="N254:R258" si="15">F254/Share_Price-1</f>
        <v>-0.42799980914335756</v>
      </c>
      <c r="O254" s="561">
        <f t="shared" si="15"/>
        <v>-0.28030139886368621</v>
      </c>
      <c r="P254" s="561">
        <f t="shared" si="15"/>
        <v>-0.13260298858401487</v>
      </c>
      <c r="Q254" s="561">
        <f t="shared" si="15"/>
        <v>1.5095421695656253E-2</v>
      </c>
      <c r="R254" s="686">
        <f t="shared" si="15"/>
        <v>0.16279383197532749</v>
      </c>
      <c r="S254" s="9"/>
      <c r="T254" s="9"/>
      <c r="U254" s="9"/>
      <c r="V254" s="9"/>
      <c r="W254" s="9"/>
      <c r="X254" s="9"/>
      <c r="Y254" s="9"/>
      <c r="Z254" s="9"/>
      <c r="AA254" s="9"/>
      <c r="AB254" s="9"/>
    </row>
    <row r="255" spans="1:28" ht="13.5" customHeight="1">
      <c r="A255" s="9"/>
      <c r="B255" s="9"/>
      <c r="C255" s="9"/>
      <c r="D255" s="1032"/>
      <c r="E255" s="655">
        <f>$E$180*(1-$K$153)</f>
        <v>237.48866921709262</v>
      </c>
      <c r="F255" s="687">
        <v>79.452936548114209</v>
      </c>
      <c r="G255" s="688">
        <v>99.10310229774737</v>
      </c>
      <c r="H255" s="688">
        <v>118.75326804738054</v>
      </c>
      <c r="I255" s="688">
        <v>138.40343379701372</v>
      </c>
      <c r="J255" s="689">
        <v>158.05359954664689</v>
      </c>
      <c r="K255" s="9"/>
      <c r="L255" s="1032"/>
      <c r="M255" s="655">
        <f>E255</f>
        <v>237.48866921709262</v>
      </c>
      <c r="N255" s="690">
        <f t="shared" si="15"/>
        <v>-0.32815037588268048</v>
      </c>
      <c r="O255" s="451">
        <f t="shared" si="15"/>
        <v>-0.1619896643180504</v>
      </c>
      <c r="P255" s="451">
        <f t="shared" si="15"/>
        <v>4.1710472465799064E-3</v>
      </c>
      <c r="Q255" s="451">
        <f t="shared" si="15"/>
        <v>0.1703317588112101</v>
      </c>
      <c r="R255" s="572">
        <f t="shared" si="15"/>
        <v>0.33649247037584051</v>
      </c>
      <c r="S255" s="9"/>
      <c r="T255" s="9"/>
      <c r="U255" s="9"/>
      <c r="V255" s="9"/>
      <c r="W255" s="9"/>
      <c r="X255" s="9"/>
      <c r="Y255" s="9"/>
      <c r="Z255" s="9"/>
      <c r="AA255" s="9"/>
      <c r="AB255" s="9"/>
    </row>
    <row r="256" spans="1:28" ht="13.5" customHeight="1">
      <c r="A256" s="9"/>
      <c r="B256" s="9"/>
      <c r="C256" s="9"/>
      <c r="D256" s="1032"/>
      <c r="E256" s="720">
        <v>263.87629913010289</v>
      </c>
      <c r="F256" s="687">
        <v>91.261130525521907</v>
      </c>
      <c r="G256" s="688">
        <v>113.09464802511431</v>
      </c>
      <c r="H256" s="688">
        <v>134.92816552470671</v>
      </c>
      <c r="I256" s="688">
        <v>156.76168302429915</v>
      </c>
      <c r="J256" s="689">
        <v>178.59520052389152</v>
      </c>
      <c r="K256" s="9"/>
      <c r="L256" s="1032"/>
      <c r="M256" s="655">
        <f>E256</f>
        <v>263.87629913010289</v>
      </c>
      <c r="N256" s="690">
        <f t="shared" si="15"/>
        <v>-0.22830094262200318</v>
      </c>
      <c r="O256" s="451">
        <f t="shared" si="15"/>
        <v>-4.3677929772414137E-2</v>
      </c>
      <c r="P256" s="451">
        <f t="shared" si="15"/>
        <v>0.14094508307717502</v>
      </c>
      <c r="Q256" s="451">
        <f t="shared" si="15"/>
        <v>0.32556809592676417</v>
      </c>
      <c r="R256" s="572">
        <f t="shared" si="15"/>
        <v>0.5101911087763531</v>
      </c>
      <c r="S256" s="9"/>
      <c r="T256" s="9"/>
      <c r="U256" s="9"/>
      <c r="V256" s="9"/>
      <c r="W256" s="9"/>
      <c r="X256" s="9"/>
      <c r="Y256" s="9"/>
      <c r="Z256" s="9"/>
      <c r="AA256" s="9"/>
      <c r="AB256" s="9"/>
    </row>
    <row r="257" spans="1:28" ht="13.5" customHeight="1">
      <c r="A257" s="9"/>
      <c r="B257" s="9"/>
      <c r="C257" s="9"/>
      <c r="D257" s="1032"/>
      <c r="E257" s="655">
        <f>$E$180*(1+$K$153)</f>
        <v>290.26392904311319</v>
      </c>
      <c r="F257" s="687">
        <v>103.06932450292959</v>
      </c>
      <c r="G257" s="688">
        <v>127.08619375248122</v>
      </c>
      <c r="H257" s="688">
        <v>151.10306300203288</v>
      </c>
      <c r="I257" s="688">
        <v>175.11993225158452</v>
      </c>
      <c r="J257" s="689">
        <v>199.13680150113618</v>
      </c>
      <c r="K257" s="9"/>
      <c r="L257" s="1032"/>
      <c r="M257" s="655">
        <f>E257</f>
        <v>290.26392904311319</v>
      </c>
      <c r="N257" s="690">
        <f t="shared" si="15"/>
        <v>-0.12845150936132599</v>
      </c>
      <c r="O257" s="451">
        <f t="shared" si="15"/>
        <v>7.463380477322179E-2</v>
      </c>
      <c r="P257" s="451">
        <f t="shared" si="15"/>
        <v>0.2777191189077699</v>
      </c>
      <c r="Q257" s="451">
        <f t="shared" si="15"/>
        <v>0.48080443304231779</v>
      </c>
      <c r="R257" s="572">
        <f t="shared" si="15"/>
        <v>0.6838897471768659</v>
      </c>
      <c r="S257" s="9"/>
      <c r="T257" s="9"/>
      <c r="U257" s="9"/>
      <c r="V257" s="9"/>
      <c r="W257" s="9"/>
      <c r="X257" s="9"/>
      <c r="Y257" s="9"/>
      <c r="Z257" s="9"/>
      <c r="AA257" s="9"/>
      <c r="AB257" s="9"/>
    </row>
    <row r="258" spans="1:28" ht="13.5" customHeight="1">
      <c r="A258" s="9"/>
      <c r="B258" s="9"/>
      <c r="C258" s="9"/>
      <c r="D258" s="1033"/>
      <c r="E258" s="655">
        <f>$E$180*(1+(2*$K$153))</f>
        <v>316.65155895612344</v>
      </c>
      <c r="F258" s="693">
        <v>114.87751848033726</v>
      </c>
      <c r="G258" s="694">
        <v>141.07773947984813</v>
      </c>
      <c r="H258" s="694">
        <v>167.277960479359</v>
      </c>
      <c r="I258" s="694">
        <v>193.47818147886994</v>
      </c>
      <c r="J258" s="695">
        <v>219.6784024783808</v>
      </c>
      <c r="K258" s="9"/>
      <c r="L258" s="1033"/>
      <c r="M258" s="655">
        <f>E258</f>
        <v>316.65155895612344</v>
      </c>
      <c r="N258" s="696">
        <f t="shared" si="15"/>
        <v>-2.8602076100649021E-2</v>
      </c>
      <c r="O258" s="569">
        <f t="shared" si="15"/>
        <v>0.19294553931885794</v>
      </c>
      <c r="P258" s="569">
        <f t="shared" si="15"/>
        <v>0.41449315473836457</v>
      </c>
      <c r="Q258" s="569">
        <f t="shared" si="15"/>
        <v>0.63604077015787186</v>
      </c>
      <c r="R258" s="697">
        <f t="shared" si="15"/>
        <v>0.85758838557737871</v>
      </c>
      <c r="S258" s="9"/>
      <c r="T258" s="9"/>
      <c r="U258" s="9"/>
      <c r="V258" s="9"/>
      <c r="W258" s="9"/>
      <c r="X258" s="9"/>
      <c r="Y258" s="9"/>
      <c r="Z258" s="9"/>
      <c r="AA258" s="9"/>
      <c r="AB258" s="9"/>
    </row>
    <row r="259" spans="1:28" ht="13.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row>
    <row r="260" spans="1:28" ht="13.5" customHeight="1">
      <c r="A260" s="9"/>
      <c r="B260" s="9"/>
      <c r="C260" s="9"/>
      <c r="D260" s="489"/>
      <c r="E260" s="491"/>
      <c r="F260" s="1029" t="str">
        <f>$G$220&amp;" "&amp;$G$221&amp;" EV/EBITDA Spread to Comps"</f>
        <v>2009-2018 Early Cycle EV/EBITDA Spread to Comps</v>
      </c>
      <c r="G260" s="1030"/>
      <c r="H260" s="1030"/>
      <c r="I260" s="1030"/>
      <c r="J260" s="1030"/>
      <c r="K260" s="9"/>
      <c r="L260" s="489"/>
      <c r="M260" s="491"/>
      <c r="N260" s="1029" t="str">
        <f>F260</f>
        <v>2009-2018 Early Cycle EV/EBITDA Spread to Comps</v>
      </c>
      <c r="O260" s="1030"/>
      <c r="P260" s="1030"/>
      <c r="Q260" s="1030"/>
      <c r="R260" s="1030"/>
      <c r="S260" s="9"/>
      <c r="T260" s="9"/>
      <c r="U260" s="9"/>
      <c r="V260" s="9"/>
      <c r="W260" s="9"/>
      <c r="X260" s="9"/>
      <c r="Y260" s="9"/>
      <c r="Z260" s="9"/>
      <c r="AA260" s="9"/>
      <c r="AB260" s="9"/>
    </row>
    <row r="261" spans="1:28" ht="13.5" customHeight="1">
      <c r="A261" s="9"/>
      <c r="B261" s="9"/>
      <c r="C261" s="9"/>
      <c r="D261" s="9"/>
      <c r="E261" s="677">
        <f ca="1">$R$215</f>
        <v>85.93512510168982</v>
      </c>
      <c r="F261" s="678">
        <f>G261-$E$93</f>
        <v>16.729860470917988</v>
      </c>
      <c r="G261" s="678">
        <f>H261-$E$93</f>
        <v>17.729860470917988</v>
      </c>
      <c r="H261" s="679">
        <v>18.729860470917988</v>
      </c>
      <c r="I261" s="678">
        <f>H261+$E$93</f>
        <v>19.729860470917988</v>
      </c>
      <c r="J261" s="678">
        <f>I261+$E$93</f>
        <v>20.729860470917988</v>
      </c>
      <c r="K261" s="9"/>
      <c r="L261" s="9"/>
      <c r="M261" s="677">
        <f>$H$73</f>
        <v>0</v>
      </c>
      <c r="N261" s="678">
        <f>F261</f>
        <v>16.729860470917988</v>
      </c>
      <c r="O261" s="678">
        <f>G261</f>
        <v>17.729860470917988</v>
      </c>
      <c r="P261" s="678">
        <f>H261</f>
        <v>18.729860470917988</v>
      </c>
      <c r="Q261" s="678">
        <f>I261</f>
        <v>19.729860470917988</v>
      </c>
      <c r="R261" s="678">
        <f>J261</f>
        <v>20.729860470917988</v>
      </c>
      <c r="S261" s="9"/>
      <c r="T261" s="9"/>
      <c r="U261" s="9"/>
      <c r="V261" s="9"/>
      <c r="W261" s="9"/>
      <c r="X261" s="9"/>
      <c r="Y261" s="9"/>
      <c r="Z261" s="9"/>
      <c r="AA261" s="9"/>
      <c r="AB261" s="9"/>
    </row>
    <row r="262" spans="1:28" ht="13.5" customHeight="1">
      <c r="A262" s="9"/>
      <c r="B262" s="9"/>
      <c r="C262" s="9"/>
      <c r="D262" s="1031" t="s">
        <v>285</v>
      </c>
      <c r="E262" s="655">
        <f>$E$188*(1-(2*$K$153))</f>
        <v>211.10103930408232</v>
      </c>
      <c r="F262" s="682">
        <v>159.29855511249744</v>
      </c>
      <c r="G262" s="683">
        <v>176.76536911217136</v>
      </c>
      <c r="H262" s="683">
        <v>194.2321831118453</v>
      </c>
      <c r="I262" s="683">
        <v>211.69899711151919</v>
      </c>
      <c r="J262" s="684">
        <v>229.16581111119316</v>
      </c>
      <c r="K262" s="9"/>
      <c r="L262" s="1031" t="s">
        <v>285</v>
      </c>
      <c r="M262" s="655">
        <f>E262</f>
        <v>211.10103930408232</v>
      </c>
      <c r="N262" s="685">
        <f t="shared" ref="N262:R266" si="16">F262/Share_Price-1</f>
        <v>0.3470197455817472</v>
      </c>
      <c r="O262" s="561">
        <f t="shared" si="16"/>
        <v>0.49471815586141843</v>
      </c>
      <c r="P262" s="561">
        <f t="shared" si="16"/>
        <v>0.64241656614108988</v>
      </c>
      <c r="Q262" s="561">
        <f t="shared" si="16"/>
        <v>0.79011497642076089</v>
      </c>
      <c r="R262" s="686">
        <f t="shared" si="16"/>
        <v>0.93781338670043257</v>
      </c>
      <c r="S262" s="9"/>
      <c r="T262" s="9"/>
      <c r="U262" s="9"/>
      <c r="V262" s="9"/>
      <c r="W262" s="9"/>
      <c r="X262" s="9"/>
      <c r="Y262" s="9"/>
      <c r="Z262" s="9"/>
      <c r="AA262" s="9"/>
      <c r="AB262" s="9"/>
    </row>
    <row r="263" spans="1:28" ht="13.5" customHeight="1">
      <c r="A263" s="9"/>
      <c r="B263" s="9"/>
      <c r="C263" s="9"/>
      <c r="D263" s="1032"/>
      <c r="E263" s="655">
        <f>$E$188*(1-$K$153)</f>
        <v>237.48866921709262</v>
      </c>
      <c r="F263" s="687">
        <v>182.56347565762897</v>
      </c>
      <c r="G263" s="688">
        <v>202.21364140726214</v>
      </c>
      <c r="H263" s="688">
        <v>221.86380715689529</v>
      </c>
      <c r="I263" s="688">
        <v>241.51397290652844</v>
      </c>
      <c r="J263" s="689">
        <v>261.16413865616158</v>
      </c>
      <c r="K263" s="9"/>
      <c r="L263" s="1032"/>
      <c r="M263" s="655">
        <f>E263</f>
        <v>237.48866921709262</v>
      </c>
      <c r="N263" s="690">
        <f t="shared" si="16"/>
        <v>0.54374662318306233</v>
      </c>
      <c r="O263" s="451">
        <f t="shared" si="16"/>
        <v>0.70990733474769274</v>
      </c>
      <c r="P263" s="451">
        <f t="shared" si="16"/>
        <v>0.87606804631232271</v>
      </c>
      <c r="Q263" s="451">
        <f t="shared" si="16"/>
        <v>1.0422287578769529</v>
      </c>
      <c r="R263" s="572">
        <f t="shared" si="16"/>
        <v>1.2083894694415829</v>
      </c>
      <c r="S263" s="9"/>
      <c r="T263" s="9"/>
      <c r="U263" s="9"/>
      <c r="V263" s="9"/>
      <c r="W263" s="9"/>
      <c r="X263" s="9"/>
      <c r="Y263" s="9"/>
      <c r="Z263" s="9"/>
      <c r="AA263" s="9"/>
      <c r="AB263" s="9"/>
    </row>
    <row r="264" spans="1:28" ht="13.5" customHeight="1">
      <c r="A264" s="9"/>
      <c r="B264" s="9"/>
      <c r="C264" s="9"/>
      <c r="D264" s="1032"/>
      <c r="E264" s="720">
        <v>263.87629913010289</v>
      </c>
      <c r="F264" s="687">
        <v>205.8283962027605</v>
      </c>
      <c r="G264" s="688">
        <v>227.6619137023529</v>
      </c>
      <c r="H264" s="688">
        <v>249.49543120194531</v>
      </c>
      <c r="I264" s="688">
        <v>271.32894870153774</v>
      </c>
      <c r="J264" s="689">
        <v>293.16246620113014</v>
      </c>
      <c r="K264" s="9"/>
      <c r="L264" s="1032"/>
      <c r="M264" s="655">
        <f>E264</f>
        <v>263.87629913010289</v>
      </c>
      <c r="N264" s="690">
        <f t="shared" si="16"/>
        <v>0.74047350078437768</v>
      </c>
      <c r="O264" s="451">
        <f t="shared" si="16"/>
        <v>0.92509651363396661</v>
      </c>
      <c r="P264" s="451">
        <f t="shared" si="16"/>
        <v>1.1097195264835555</v>
      </c>
      <c r="Q264" s="451">
        <f t="shared" si="16"/>
        <v>1.2943425393331451</v>
      </c>
      <c r="R264" s="572">
        <f t="shared" si="16"/>
        <v>1.4789655521827343</v>
      </c>
      <c r="S264" s="9"/>
      <c r="T264" s="9"/>
      <c r="U264" s="9"/>
      <c r="V264" s="9"/>
      <c r="W264" s="9"/>
      <c r="X264" s="9"/>
      <c r="Y264" s="9"/>
      <c r="Z264" s="9"/>
      <c r="AA264" s="9"/>
      <c r="AB264" s="9"/>
    </row>
    <row r="265" spans="1:28" ht="13.5" customHeight="1">
      <c r="A265" s="9"/>
      <c r="B265" s="9"/>
      <c r="C265" s="9"/>
      <c r="D265" s="1032"/>
      <c r="E265" s="655">
        <f>$E$188*(1+$K$153)</f>
        <v>290.26392904311319</v>
      </c>
      <c r="F265" s="687">
        <v>229.09331674789209</v>
      </c>
      <c r="G265" s="688">
        <v>253.11018599744369</v>
      </c>
      <c r="H265" s="688">
        <v>277.12705524699533</v>
      </c>
      <c r="I265" s="688">
        <v>301.14392449654702</v>
      </c>
      <c r="J265" s="689">
        <v>325.16079374609865</v>
      </c>
      <c r="K265" s="9"/>
      <c r="L265" s="1032"/>
      <c r="M265" s="655">
        <f>E265</f>
        <v>290.26392904311319</v>
      </c>
      <c r="N265" s="690">
        <f t="shared" si="16"/>
        <v>0.93720037838569326</v>
      </c>
      <c r="O265" s="451">
        <f t="shared" si="16"/>
        <v>1.1402856925202407</v>
      </c>
      <c r="P265" s="451">
        <f t="shared" si="16"/>
        <v>1.3433710066547886</v>
      </c>
      <c r="Q265" s="451">
        <f t="shared" si="16"/>
        <v>1.5464563207893369</v>
      </c>
      <c r="R265" s="572">
        <f t="shared" si="16"/>
        <v>1.7495416349238848</v>
      </c>
      <c r="S265" s="9"/>
      <c r="T265" s="9"/>
      <c r="U265" s="9"/>
      <c r="V265" s="9"/>
      <c r="W265" s="9"/>
      <c r="X265" s="9"/>
      <c r="Y265" s="9"/>
      <c r="Z265" s="9"/>
      <c r="AA265" s="9"/>
      <c r="AB265" s="9"/>
    </row>
    <row r="266" spans="1:28" ht="14.25" customHeight="1">
      <c r="A266" s="9"/>
      <c r="B266" s="9"/>
      <c r="C266" s="9"/>
      <c r="D266" s="1033"/>
      <c r="E266" s="655">
        <f>$E$188*(1+(2*$K$153))</f>
        <v>316.65155895612344</v>
      </c>
      <c r="F266" s="693">
        <v>252.35823729302359</v>
      </c>
      <c r="G266" s="694">
        <v>278.55845829253451</v>
      </c>
      <c r="H266" s="694">
        <v>304.75867929204531</v>
      </c>
      <c r="I266" s="694">
        <v>330.95890029155623</v>
      </c>
      <c r="J266" s="695">
        <v>357.15912129106709</v>
      </c>
      <c r="K266" s="9"/>
      <c r="L266" s="1033"/>
      <c r="M266" s="655">
        <f>E266</f>
        <v>316.65155895612344</v>
      </c>
      <c r="N266" s="696">
        <f t="shared" si="16"/>
        <v>1.1339272559870079</v>
      </c>
      <c r="O266" s="569">
        <f t="shared" si="16"/>
        <v>1.3554748714065155</v>
      </c>
      <c r="P266" s="569">
        <f t="shared" si="16"/>
        <v>1.5770224868260216</v>
      </c>
      <c r="Q266" s="569">
        <f t="shared" si="16"/>
        <v>1.7985701022455287</v>
      </c>
      <c r="R266" s="697">
        <f t="shared" si="16"/>
        <v>2.0201177176650353</v>
      </c>
      <c r="S266" s="9"/>
      <c r="T266" s="9"/>
      <c r="U266" s="9"/>
      <c r="V266" s="9"/>
      <c r="W266" s="9"/>
      <c r="X266" s="9"/>
      <c r="Y266" s="9"/>
      <c r="Z266" s="9"/>
      <c r="AA266" s="9"/>
      <c r="AB266" s="9"/>
    </row>
    <row r="267" spans="1:28" ht="4.5" customHeight="1">
      <c r="A267" s="9"/>
      <c r="B267" s="9"/>
      <c r="C267" s="9"/>
      <c r="D267" s="723"/>
      <c r="E267" s="80"/>
      <c r="F267" s="152"/>
      <c r="G267" s="152"/>
      <c r="H267" s="152"/>
      <c r="I267" s="152"/>
      <c r="J267" s="152"/>
      <c r="K267" s="9"/>
      <c r="L267" s="723"/>
      <c r="M267" s="80"/>
      <c r="N267" s="117"/>
      <c r="O267" s="117"/>
      <c r="P267" s="117"/>
      <c r="Q267" s="117"/>
      <c r="R267" s="117"/>
      <c r="S267" s="9"/>
      <c r="T267" s="9"/>
      <c r="U267" s="9"/>
      <c r="V267" s="9"/>
      <c r="W267" s="9"/>
      <c r="X267" s="9"/>
      <c r="Y267" s="9"/>
      <c r="Z267" s="9"/>
      <c r="AA267" s="9"/>
      <c r="AB267" s="9"/>
    </row>
    <row r="268" spans="1:28" ht="13.5" customHeight="1">
      <c r="A268" s="180" t="s">
        <v>0</v>
      </c>
      <c r="B268" s="9"/>
      <c r="C268" s="999" t="s">
        <v>682</v>
      </c>
      <c r="D268" s="1000"/>
      <c r="E268" s="1000"/>
      <c r="F268" s="1000"/>
      <c r="G268" s="1000"/>
      <c r="H268" s="1000"/>
      <c r="I268" s="1000"/>
      <c r="J268" s="1000"/>
      <c r="K268" s="1000"/>
      <c r="L268" s="1000"/>
      <c r="M268" s="1000"/>
      <c r="N268" s="1000"/>
      <c r="O268" s="1000"/>
      <c r="P268" s="1000"/>
      <c r="Q268" s="1000"/>
      <c r="R268" s="1001"/>
      <c r="S268" s="180" t="s">
        <v>0</v>
      </c>
      <c r="T268" s="9"/>
      <c r="U268" s="9"/>
      <c r="V268" s="9"/>
      <c r="W268" s="9"/>
      <c r="X268" s="9"/>
      <c r="Y268" s="9"/>
      <c r="Z268" s="9"/>
      <c r="AA268" s="9"/>
      <c r="AB268" s="9"/>
    </row>
    <row r="269" spans="1:28" ht="4.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row>
    <row r="270" spans="1:28" ht="13.5" hidden="1" customHeight="1" outlineLevel="1">
      <c r="A270" s="9"/>
      <c r="B270" s="9"/>
      <c r="C270" s="33" t="s">
        <v>237</v>
      </c>
      <c r="D270" s="34"/>
      <c r="E270" s="75" t="s">
        <v>743</v>
      </c>
      <c r="F270" s="34"/>
      <c r="G270" s="75" t="s">
        <v>778</v>
      </c>
      <c r="H270" s="75"/>
      <c r="I270" s="75" t="s">
        <v>779</v>
      </c>
      <c r="J270" s="75"/>
      <c r="K270" s="75" t="s">
        <v>741</v>
      </c>
      <c r="L270" s="75"/>
      <c r="M270" s="35" t="s">
        <v>780</v>
      </c>
      <c r="N270" s="9"/>
      <c r="O270" s="995" t="s">
        <v>781</v>
      </c>
      <c r="P270" s="974"/>
      <c r="Q270" s="974"/>
      <c r="R270" s="975"/>
      <c r="S270" s="9"/>
      <c r="T270" s="9"/>
      <c r="U270" s="9"/>
      <c r="V270" s="9"/>
      <c r="W270" s="9"/>
      <c r="X270" s="9"/>
      <c r="Y270" s="9"/>
      <c r="Z270" s="9"/>
      <c r="AA270" s="9"/>
      <c r="AB270" s="9"/>
    </row>
    <row r="271" spans="1:28" ht="4.5" hidden="1" customHeight="1" outlineLevel="1">
      <c r="A271" s="9"/>
      <c r="B271" s="9"/>
      <c r="C271" s="9"/>
      <c r="D271" s="9"/>
      <c r="E271" s="9"/>
      <c r="F271" s="9"/>
      <c r="G271" s="9"/>
      <c r="H271" s="9"/>
      <c r="I271" s="9"/>
      <c r="J271" s="9"/>
      <c r="K271" s="9"/>
      <c r="L271" s="9"/>
      <c r="M271" s="9"/>
      <c r="N271" s="9"/>
      <c r="O271" s="136"/>
      <c r="P271" s="96"/>
      <c r="Q271" s="96"/>
      <c r="R271" s="198"/>
      <c r="S271" s="9"/>
      <c r="T271" s="9"/>
      <c r="U271" s="9"/>
      <c r="V271" s="9"/>
      <c r="W271" s="9"/>
      <c r="X271" s="9"/>
      <c r="Y271" s="9"/>
      <c r="Z271" s="9"/>
      <c r="AA271" s="9"/>
      <c r="AB271" s="9"/>
    </row>
    <row r="272" spans="1:28" ht="15" hidden="1" customHeight="1" outlineLevel="1">
      <c r="A272" s="9"/>
      <c r="B272" s="9"/>
      <c r="C272" s="9" t="str">
        <f>'Segment Analysis'!C16</f>
        <v>Management &amp; Advisory Fees</v>
      </c>
      <c r="D272" s="9"/>
      <c r="E272" s="724">
        <f>SUM('Segment Analysis'!W60:X60,'Segment Analysis'!Z60:AA60)</f>
        <v>665.92852675171207</v>
      </c>
      <c r="F272" s="9"/>
      <c r="G272" s="586">
        <f>IF($G289=Comparables!$D$84,Valuation!$E$12,IF(Valuation!$G289=Comparables!$G$84,Valuation!$E$17,IF(Valuation!$G289=Comparables!$L$84,Valuation!$E$22,IF($G289=Company_Name,$D$12))))</f>
        <v>27.144908763636632</v>
      </c>
      <c r="H272" s="447"/>
      <c r="I272" s="725">
        <v>0</v>
      </c>
      <c r="J272" s="447"/>
      <c r="K272" s="447">
        <f t="shared" ref="K272:K277" si="17">G272+I272</f>
        <v>27.144908763636632</v>
      </c>
      <c r="L272" s="447"/>
      <c r="M272" s="80">
        <f t="shared" ref="M272:M277" si="18">E272*K272</f>
        <v>18076.569101778179</v>
      </c>
      <c r="N272" s="9"/>
      <c r="O272" s="134" t="s">
        <v>744</v>
      </c>
      <c r="P272" s="9"/>
      <c r="Q272" s="9"/>
      <c r="R272" s="655">
        <f>SUM($M$272:$M$277)</f>
        <v>18076.569101778179</v>
      </c>
      <c r="S272" s="9"/>
      <c r="T272" s="9"/>
      <c r="U272" s="9"/>
      <c r="V272" s="9"/>
      <c r="W272" s="9"/>
      <c r="X272" s="9"/>
      <c r="Y272" s="9"/>
      <c r="Z272" s="9"/>
      <c r="AA272" s="9"/>
      <c r="AB272" s="9"/>
    </row>
    <row r="273" spans="1:28" ht="13.5" hidden="1" customHeight="1" outlineLevel="1">
      <c r="A273" s="9"/>
      <c r="B273" s="9"/>
      <c r="C273" s="9" t="str">
        <f>'Segment Analysis'!C17</f>
        <v>Incentive Fees</v>
      </c>
      <c r="D273" s="9"/>
      <c r="E273" s="724">
        <f>SUM('Segment Analysis'!W61:X61,'Segment Analysis'!Z61:AA61)</f>
        <v>0</v>
      </c>
      <c r="F273" s="9"/>
      <c r="G273" s="586">
        <f>IF($G290=Comparables!$D$84,Valuation!$E$12,IF(Valuation!$G290=Comparables!$G$84,Valuation!$E$17,IF(Valuation!$G290=Comparables!$L$84,Valuation!$E$22,IF($G290=Company_Name,$D$12))))</f>
        <v>27.144908763636632</v>
      </c>
      <c r="H273" s="447"/>
      <c r="I273" s="725">
        <v>0</v>
      </c>
      <c r="J273" s="447"/>
      <c r="K273" s="447">
        <f t="shared" si="17"/>
        <v>27.144908763636632</v>
      </c>
      <c r="L273" s="447"/>
      <c r="M273" s="80">
        <f t="shared" si="18"/>
        <v>0</v>
      </c>
      <c r="N273" s="9"/>
      <c r="O273" s="134"/>
      <c r="P273" s="9"/>
      <c r="Q273" s="9"/>
      <c r="R273" s="135"/>
      <c r="S273" s="9"/>
      <c r="T273" s="9"/>
      <c r="U273" s="9"/>
      <c r="V273" s="9"/>
      <c r="W273" s="9"/>
      <c r="X273" s="9"/>
      <c r="Y273" s="9"/>
      <c r="Z273" s="9"/>
      <c r="AA273" s="9"/>
      <c r="AB273" s="9"/>
    </row>
    <row r="274" spans="1:28" ht="13.5" hidden="1" customHeight="1" outlineLevel="1">
      <c r="A274" s="9"/>
      <c r="B274" s="9"/>
      <c r="C274" s="9" t="str">
        <f>'Segment Analysis'!C18</f>
        <v>Segment 3</v>
      </c>
      <c r="D274" s="9"/>
      <c r="E274" s="724">
        <f>SUM('Segment Analysis'!W62:X62,'Segment Analysis'!Z62:AA62)</f>
        <v>0</v>
      </c>
      <c r="F274" s="9"/>
      <c r="G274" s="586" t="b">
        <f>IF($G291=Comparables!$D$84,Valuation!$E$12,IF(Valuation!$G291=Comparables!$G$84,Valuation!$E$17,IF(Valuation!$G291=Comparables!$L$84,Valuation!$E$22,IF($G291=Company_Name,$D$12))))</f>
        <v>0</v>
      </c>
      <c r="H274" s="447"/>
      <c r="I274" s="725">
        <v>0</v>
      </c>
      <c r="J274" s="447"/>
      <c r="K274" s="447">
        <f t="shared" si="17"/>
        <v>0</v>
      </c>
      <c r="L274" s="447"/>
      <c r="M274" s="80">
        <f t="shared" si="18"/>
        <v>0</v>
      </c>
      <c r="N274" s="9"/>
      <c r="O274" s="134" t="s">
        <v>747</v>
      </c>
      <c r="P274" s="9"/>
      <c r="Q274" s="9"/>
      <c r="R274" s="708">
        <f t="shared" ref="R274:R279" si="19">K66</f>
        <v>263.34699999999998</v>
      </c>
      <c r="S274" s="9"/>
      <c r="T274" s="9"/>
      <c r="U274" s="9"/>
      <c r="V274" s="9"/>
      <c r="W274" s="9"/>
      <c r="X274" s="9"/>
      <c r="Y274" s="9"/>
      <c r="Z274" s="9"/>
      <c r="AA274" s="9"/>
      <c r="AB274" s="9"/>
    </row>
    <row r="275" spans="1:28" ht="13.5" hidden="1" customHeight="1" outlineLevel="1">
      <c r="A275" s="9"/>
      <c r="B275" s="9"/>
      <c r="C275" s="9" t="str">
        <f>'Segment Analysis'!C19</f>
        <v>Segment 4</v>
      </c>
      <c r="D275" s="9"/>
      <c r="E275" s="724">
        <f>SUM('Segment Analysis'!W63:X63,'Segment Analysis'!Z63:AA63)</f>
        <v>0</v>
      </c>
      <c r="F275" s="9"/>
      <c r="G275" s="586" t="b">
        <f>IF($G292=Comparables!$D$84,Valuation!$E$12,IF(Valuation!$G292=Comparables!$G$84,Valuation!$E$17,IF(Valuation!$G292=Comparables!$L$84,Valuation!$E$22,IF($G292=Company_Name,$D$12))))</f>
        <v>0</v>
      </c>
      <c r="H275" s="447"/>
      <c r="I275" s="725">
        <v>0</v>
      </c>
      <c r="J275" s="447"/>
      <c r="K275" s="447">
        <f t="shared" si="17"/>
        <v>0</v>
      </c>
      <c r="L275" s="447"/>
      <c r="M275" s="80">
        <f t="shared" si="18"/>
        <v>0</v>
      </c>
      <c r="N275" s="9"/>
      <c r="O275" s="134" t="s">
        <v>748</v>
      </c>
      <c r="P275" s="9"/>
      <c r="Q275" s="9"/>
      <c r="R275" s="658">
        <f t="shared" si="19"/>
        <v>0</v>
      </c>
      <c r="S275" s="9"/>
      <c r="T275" s="9"/>
      <c r="U275" s="9"/>
      <c r="V275" s="9"/>
      <c r="W275" s="9"/>
      <c r="X275" s="9"/>
      <c r="Y275" s="9"/>
      <c r="Z275" s="9"/>
      <c r="AA275" s="9"/>
      <c r="AB275" s="9"/>
    </row>
    <row r="276" spans="1:28" ht="13.5" hidden="1" customHeight="1" outlineLevel="1">
      <c r="A276" s="9"/>
      <c r="B276" s="9"/>
      <c r="C276" s="9" t="str">
        <f>'Segment Analysis'!C20</f>
        <v>Segment 5</v>
      </c>
      <c r="D276" s="9"/>
      <c r="E276" s="724">
        <f>SUM('Segment Analysis'!W64:X64,'Segment Analysis'!Z64:AA64)</f>
        <v>0</v>
      </c>
      <c r="F276" s="9"/>
      <c r="G276" s="586" t="b">
        <f>IF($G293=Comparables!$D$84,Valuation!$E$12,IF(Valuation!$G293=Comparables!$G$84,Valuation!$E$17,IF(Valuation!$G293=Comparables!$L$84,Valuation!$E$22,IF($G293=Company_Name,$D$12))))</f>
        <v>0</v>
      </c>
      <c r="H276" s="447"/>
      <c r="I276" s="725">
        <v>0</v>
      </c>
      <c r="J276" s="447"/>
      <c r="K276" s="447">
        <f t="shared" si="17"/>
        <v>0</v>
      </c>
      <c r="L276" s="447"/>
      <c r="M276" s="80">
        <f t="shared" si="18"/>
        <v>0</v>
      </c>
      <c r="N276" s="9"/>
      <c r="O276" s="134" t="s">
        <v>749</v>
      </c>
      <c r="P276" s="9"/>
      <c r="Q276" s="9"/>
      <c r="R276" s="658">
        <f t="shared" si="19"/>
        <v>-288.58199999999999</v>
      </c>
      <c r="S276" s="9"/>
      <c r="T276" s="9"/>
      <c r="U276" s="9"/>
      <c r="V276" s="9"/>
      <c r="W276" s="9"/>
      <c r="X276" s="9"/>
      <c r="Y276" s="9"/>
      <c r="Z276" s="9"/>
      <c r="AA276" s="9"/>
      <c r="AB276" s="9"/>
    </row>
    <row r="277" spans="1:28" ht="13.5" hidden="1" customHeight="1" outlineLevel="1">
      <c r="A277" s="9"/>
      <c r="B277" s="9"/>
      <c r="C277" s="9" t="str">
        <f>'Segment Analysis'!C21</f>
        <v>Segment 6</v>
      </c>
      <c r="D277" s="9"/>
      <c r="E277" s="724">
        <f>SUM('Segment Analysis'!W65:X65,'Segment Analysis'!Z65:AA65)</f>
        <v>0</v>
      </c>
      <c r="F277" s="9"/>
      <c r="G277" s="586" t="b">
        <f>IF($G294=Comparables!$D$84,Valuation!$E$12,IF(Valuation!$G294=Comparables!$G$84,Valuation!$E$17,IF(Valuation!$G294=Comparables!$L$84,Valuation!$E$22,IF($G294=Company_Name,$D$12))))</f>
        <v>0</v>
      </c>
      <c r="H277" s="447"/>
      <c r="I277" s="725">
        <v>0</v>
      </c>
      <c r="J277" s="447"/>
      <c r="K277" s="447">
        <f t="shared" si="17"/>
        <v>0</v>
      </c>
      <c r="L277" s="447"/>
      <c r="M277" s="80">
        <f t="shared" si="18"/>
        <v>0</v>
      </c>
      <c r="N277" s="9"/>
      <c r="O277" s="134" t="s">
        <v>750</v>
      </c>
      <c r="P277" s="9"/>
      <c r="Q277" s="9"/>
      <c r="R277" s="658">
        <f t="shared" si="19"/>
        <v>0</v>
      </c>
      <c r="S277" s="9"/>
      <c r="T277" s="9"/>
      <c r="U277" s="9"/>
      <c r="V277" s="9"/>
      <c r="W277" s="9"/>
      <c r="X277" s="9"/>
      <c r="Y277" s="9"/>
      <c r="Z277" s="9"/>
      <c r="AA277" s="9"/>
      <c r="AB277" s="9"/>
    </row>
    <row r="278" spans="1:28" ht="13.5" hidden="1" customHeight="1" outlineLevel="1">
      <c r="A278" s="9"/>
      <c r="B278" s="9"/>
      <c r="C278" s="9"/>
      <c r="D278" s="9"/>
      <c r="E278" s="9"/>
      <c r="F278" s="9"/>
      <c r="G278" s="9"/>
      <c r="H278" s="9"/>
      <c r="I278" s="9"/>
      <c r="J278" s="9"/>
      <c r="K278" s="9"/>
      <c r="L278" s="9"/>
      <c r="M278" s="9"/>
      <c r="N278" s="9"/>
      <c r="O278" s="134" t="s">
        <v>751</v>
      </c>
      <c r="P278" s="9"/>
      <c r="Q278" s="9"/>
      <c r="R278" s="658">
        <f t="shared" si="19"/>
        <v>-236.245</v>
      </c>
      <c r="S278" s="9"/>
      <c r="T278" s="9"/>
      <c r="U278" s="9"/>
      <c r="V278" s="9"/>
      <c r="W278" s="9"/>
      <c r="X278" s="9"/>
      <c r="Y278" s="9"/>
      <c r="Z278" s="9"/>
      <c r="AA278" s="9"/>
      <c r="AB278" s="9"/>
    </row>
    <row r="279" spans="1:28" ht="13.5" hidden="1" customHeight="1" outlineLevel="1">
      <c r="A279" s="9"/>
      <c r="B279" s="612"/>
      <c r="C279" s="548"/>
      <c r="D279" s="9"/>
      <c r="E279" s="9"/>
      <c r="F279" s="9"/>
      <c r="G279" s="9"/>
      <c r="H279" s="9"/>
      <c r="I279" s="9"/>
      <c r="J279" s="9"/>
      <c r="K279" s="9"/>
      <c r="L279" s="9"/>
      <c r="M279" s="9"/>
      <c r="N279" s="9"/>
      <c r="O279" s="134" t="s">
        <v>752</v>
      </c>
      <c r="P279" s="95"/>
      <c r="Q279" s="9"/>
      <c r="R279" s="711">
        <f t="shared" si="19"/>
        <v>0</v>
      </c>
      <c r="S279" s="9"/>
      <c r="T279" s="9"/>
      <c r="U279" s="9"/>
      <c r="V279" s="9"/>
      <c r="W279" s="9"/>
      <c r="X279" s="9"/>
      <c r="Y279" s="9"/>
      <c r="Z279" s="9"/>
      <c r="AA279" s="9"/>
      <c r="AB279" s="9"/>
    </row>
    <row r="280" spans="1:28" ht="13.5" hidden="1" customHeight="1" outlineLevel="1">
      <c r="A280" s="9"/>
      <c r="B280" s="612"/>
      <c r="C280" s="9"/>
      <c r="D280" s="64"/>
      <c r="E280" s="64"/>
      <c r="F280" s="258"/>
      <c r="G280" s="258"/>
      <c r="H280" s="258"/>
      <c r="I280" s="258"/>
      <c r="J280" s="258"/>
      <c r="K280" s="9"/>
      <c r="L280" s="9"/>
      <c r="M280" s="9"/>
      <c r="N280" s="9"/>
      <c r="O280" s="136"/>
      <c r="P280" s="9"/>
      <c r="Q280" s="96"/>
      <c r="R280" s="135"/>
      <c r="S280" s="9"/>
      <c r="T280" s="9"/>
      <c r="U280" s="9"/>
      <c r="V280" s="9"/>
      <c r="W280" s="9"/>
      <c r="X280" s="9"/>
      <c r="Y280" s="9"/>
      <c r="Z280" s="9"/>
      <c r="AA280" s="9"/>
      <c r="AB280" s="9"/>
    </row>
    <row r="281" spans="1:28" ht="13.5" hidden="1" customHeight="1" outlineLevel="1">
      <c r="A281" s="9"/>
      <c r="B281" s="612"/>
      <c r="C281" s="64"/>
      <c r="D281" s="618"/>
      <c r="E281" s="618"/>
      <c r="F281" s="618"/>
      <c r="G281" s="618"/>
      <c r="H281" s="618"/>
      <c r="I281" s="618"/>
      <c r="J281" s="618"/>
      <c r="K281" s="9"/>
      <c r="L281" s="9"/>
      <c r="M281" s="9"/>
      <c r="N281" s="9"/>
      <c r="O281" s="134" t="s">
        <v>753</v>
      </c>
      <c r="P281" s="9"/>
      <c r="Q281" s="9"/>
      <c r="R281" s="706">
        <f>SUM(R272:R279)</f>
        <v>17815.089101778183</v>
      </c>
      <c r="S281" s="9"/>
      <c r="T281" s="9"/>
      <c r="U281" s="9"/>
      <c r="V281" s="9"/>
      <c r="W281" s="9"/>
      <c r="X281" s="9"/>
      <c r="Y281" s="9"/>
      <c r="Z281" s="9"/>
      <c r="AA281" s="9"/>
      <c r="AB281" s="9"/>
    </row>
    <row r="282" spans="1:28" ht="13.5" hidden="1" customHeight="1" outlineLevel="1">
      <c r="A282" s="9"/>
      <c r="B282" s="9"/>
      <c r="C282" s="64"/>
      <c r="D282" s="618"/>
      <c r="E282" s="618"/>
      <c r="F282" s="618"/>
      <c r="G282" s="618"/>
      <c r="H282" s="618"/>
      <c r="I282" s="618"/>
      <c r="J282" s="618"/>
      <c r="K282" s="9"/>
      <c r="L282" s="9"/>
      <c r="M282" s="9"/>
      <c r="N282" s="9"/>
      <c r="O282" s="134" t="s">
        <v>393</v>
      </c>
      <c r="P282" s="9"/>
      <c r="Q282" s="9"/>
      <c r="R282" s="721">
        <f>Diluted_Shares</f>
        <v>54.47</v>
      </c>
      <c r="S282" s="9"/>
      <c r="T282" s="9"/>
      <c r="U282" s="9"/>
      <c r="V282" s="9"/>
      <c r="W282" s="9"/>
      <c r="X282" s="9"/>
      <c r="Y282" s="9"/>
      <c r="Z282" s="9"/>
      <c r="AA282" s="9"/>
      <c r="AB282" s="9"/>
    </row>
    <row r="283" spans="1:28" ht="13.5" hidden="1" customHeight="1" outlineLevel="1">
      <c r="A283" s="9"/>
      <c r="B283" s="9"/>
      <c r="C283" s="9"/>
      <c r="D283" s="9"/>
      <c r="E283" s="9"/>
      <c r="F283" s="9"/>
      <c r="G283" s="9"/>
      <c r="H283" s="9"/>
      <c r="I283" s="9"/>
      <c r="J283" s="9"/>
      <c r="K283" s="9"/>
      <c r="L283" s="9"/>
      <c r="M283" s="9"/>
      <c r="N283" s="9"/>
      <c r="O283" s="134"/>
      <c r="P283" s="9"/>
      <c r="Q283" s="9"/>
      <c r="R283" s="135"/>
      <c r="S283" s="9"/>
      <c r="T283" s="9"/>
      <c r="U283" s="9"/>
      <c r="V283" s="9"/>
      <c r="W283" s="9"/>
      <c r="X283" s="9"/>
      <c r="Y283" s="9"/>
      <c r="Z283" s="9"/>
      <c r="AA283" s="9"/>
      <c r="AB283" s="9"/>
    </row>
    <row r="284" spans="1:28" ht="13.5" hidden="1" customHeight="1" outlineLevel="1">
      <c r="A284" s="9"/>
      <c r="B284" s="9"/>
      <c r="C284" s="548"/>
      <c r="D284" s="9"/>
      <c r="E284" s="9"/>
      <c r="F284" s="9"/>
      <c r="G284" s="9"/>
      <c r="H284" s="9"/>
      <c r="I284" s="9"/>
      <c r="J284" s="9"/>
      <c r="K284" s="9"/>
      <c r="L284" s="9"/>
      <c r="M284" s="9"/>
      <c r="N284" s="9"/>
      <c r="O284" s="134" t="s">
        <v>745</v>
      </c>
      <c r="P284" s="9"/>
      <c r="Q284" s="9"/>
      <c r="R284" s="706">
        <f>R281/R282</f>
        <v>327.06240319034669</v>
      </c>
      <c r="S284" s="9"/>
      <c r="T284" s="9"/>
      <c r="U284" s="9"/>
      <c r="V284" s="9"/>
      <c r="W284" s="9"/>
      <c r="X284" s="9"/>
      <c r="Y284" s="9"/>
      <c r="Z284" s="9"/>
      <c r="AA284" s="9"/>
      <c r="AB284" s="9"/>
    </row>
    <row r="285" spans="1:28" ht="13.5" hidden="1" customHeight="1" outlineLevel="1">
      <c r="A285" s="9"/>
      <c r="B285" s="9"/>
      <c r="C285" s="9"/>
      <c r="D285" s="64"/>
      <c r="E285" s="64"/>
      <c r="F285" s="64"/>
      <c r="G285" s="64"/>
      <c r="H285" s="64"/>
      <c r="I285" s="64"/>
      <c r="J285" s="64"/>
      <c r="K285" s="9"/>
      <c r="L285" s="9"/>
      <c r="M285" s="9"/>
      <c r="N285" s="9"/>
      <c r="O285" s="224" t="s">
        <v>746</v>
      </c>
      <c r="P285" s="95"/>
      <c r="Q285" s="95"/>
      <c r="R285" s="666">
        <f>R284/Share_Price-1</f>
        <v>1.7656215389002763</v>
      </c>
      <c r="S285" s="9"/>
      <c r="T285" s="9"/>
      <c r="U285" s="9"/>
      <c r="V285" s="9"/>
      <c r="W285" s="9"/>
      <c r="X285" s="9"/>
      <c r="Y285" s="9"/>
      <c r="Z285" s="9"/>
      <c r="AA285" s="9"/>
      <c r="AB285" s="9"/>
    </row>
    <row r="286" spans="1:28" ht="4.5" hidden="1" customHeight="1" outlineLevel="1">
      <c r="A286" s="9"/>
      <c r="B286" s="9"/>
      <c r="C286" s="64"/>
      <c r="D286" s="618"/>
      <c r="E286" s="618"/>
      <c r="F286" s="618"/>
      <c r="G286" s="618"/>
      <c r="H286" s="618"/>
      <c r="I286" s="618"/>
      <c r="J286" s="618"/>
      <c r="K286" s="9"/>
      <c r="L286" s="9"/>
      <c r="M286" s="9"/>
      <c r="N286" s="9"/>
      <c r="O286" s="9"/>
      <c r="P286" s="9"/>
      <c r="Q286" s="9"/>
      <c r="R286" s="9"/>
      <c r="S286" s="9"/>
      <c r="T286" s="9"/>
      <c r="U286" s="9"/>
      <c r="V286" s="9"/>
      <c r="W286" s="9"/>
      <c r="X286" s="9"/>
      <c r="Y286" s="9"/>
      <c r="Z286" s="9"/>
      <c r="AA286" s="9"/>
      <c r="AB286" s="9"/>
    </row>
    <row r="287" spans="1:28" ht="13.5" hidden="1" customHeight="1" outlineLevel="1">
      <c r="A287" s="180" t="s">
        <v>0</v>
      </c>
      <c r="B287" s="9"/>
      <c r="C287" s="414" t="s">
        <v>41</v>
      </c>
      <c r="D287" s="415"/>
      <c r="E287" s="415"/>
      <c r="F287" s="415"/>
      <c r="G287" s="726"/>
      <c r="H287" s="726"/>
      <c r="I287" s="726"/>
      <c r="J287" s="726"/>
      <c r="K287" s="726"/>
      <c r="L287" s="726"/>
      <c r="M287" s="726"/>
      <c r="N287" s="726"/>
      <c r="O287" s="726"/>
      <c r="P287" s="726"/>
      <c r="Q287" s="726"/>
      <c r="R287" s="727"/>
      <c r="S287" s="180" t="s">
        <v>0</v>
      </c>
      <c r="T287" s="9"/>
      <c r="U287" s="9"/>
      <c r="V287" s="9"/>
      <c r="W287" s="9"/>
      <c r="X287" s="9"/>
      <c r="Y287" s="9"/>
      <c r="Z287" s="9"/>
      <c r="AA287" s="9"/>
      <c r="AB287" s="9"/>
    </row>
    <row r="288" spans="1:28" ht="4.5" hidden="1" customHeight="1" outlineLevel="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row>
    <row r="289" spans="1:28" ht="13.5" hidden="1" customHeight="1" outlineLevel="1">
      <c r="A289" s="9"/>
      <c r="B289" s="9"/>
      <c r="C289" s="9" t="str">
        <f t="shared" ref="C289:C294" si="20">"Multiple Used for "&amp;C272</f>
        <v>Multiple Used for Management &amp; Advisory Fees</v>
      </c>
      <c r="D289" s="9"/>
      <c r="E289" s="9"/>
      <c r="F289" s="9"/>
      <c r="G289" s="32" t="s">
        <v>522</v>
      </c>
      <c r="H289" s="9"/>
      <c r="I289" s="9"/>
      <c r="J289" s="9"/>
      <c r="K289" s="9"/>
      <c r="L289" s="9"/>
      <c r="M289" s="9"/>
      <c r="N289" s="9"/>
      <c r="O289" s="9"/>
      <c r="P289" s="9"/>
      <c r="Q289" s="9"/>
      <c r="R289" s="9"/>
      <c r="S289" s="9"/>
      <c r="T289" s="9"/>
      <c r="U289" s="9"/>
      <c r="V289" s="9"/>
      <c r="W289" s="9"/>
      <c r="X289" s="9"/>
      <c r="Y289" s="9"/>
      <c r="Z289" s="9"/>
      <c r="AA289" s="9"/>
      <c r="AB289" s="9"/>
    </row>
    <row r="290" spans="1:28" ht="13.5" hidden="1" customHeight="1" outlineLevel="1">
      <c r="A290" s="9"/>
      <c r="B290" s="9"/>
      <c r="C290" s="9" t="str">
        <f t="shared" si="20"/>
        <v>Multiple Used for Incentive Fees</v>
      </c>
      <c r="D290" s="9"/>
      <c r="E290" s="9"/>
      <c r="F290" s="9"/>
      <c r="G290" s="32" t="s">
        <v>522</v>
      </c>
      <c r="H290" s="9"/>
      <c r="I290" s="9"/>
      <c r="J290" s="9"/>
      <c r="K290" s="9"/>
      <c r="L290" s="9"/>
      <c r="M290" s="9"/>
      <c r="N290" s="9"/>
      <c r="O290" s="9"/>
      <c r="P290" s="9"/>
      <c r="Q290" s="9"/>
      <c r="R290" s="9"/>
      <c r="S290" s="9"/>
      <c r="T290" s="9"/>
      <c r="U290" s="9"/>
      <c r="V290" s="9"/>
      <c r="W290" s="9"/>
      <c r="X290" s="9"/>
      <c r="Y290" s="9"/>
      <c r="Z290" s="9"/>
      <c r="AA290" s="9"/>
      <c r="AB290" s="9"/>
    </row>
    <row r="291" spans="1:28" ht="13.5" hidden="1" customHeight="1" outlineLevel="1">
      <c r="A291" s="9"/>
      <c r="B291" s="9"/>
      <c r="C291" s="9" t="str">
        <f t="shared" si="20"/>
        <v>Multiple Used for Segment 3</v>
      </c>
      <c r="D291" s="9"/>
      <c r="E291" s="9"/>
      <c r="F291" s="9"/>
      <c r="G291" s="32" t="s">
        <v>782</v>
      </c>
      <c r="H291" s="9"/>
      <c r="I291" s="9"/>
      <c r="J291" s="9"/>
      <c r="K291" s="9"/>
      <c r="L291" s="9"/>
      <c r="M291" s="9"/>
      <c r="N291" s="9"/>
      <c r="O291" s="9"/>
      <c r="P291" s="9"/>
      <c r="Q291" s="9"/>
      <c r="R291" s="9"/>
      <c r="S291" s="9"/>
      <c r="T291" s="9"/>
      <c r="U291" s="9"/>
      <c r="V291" s="9"/>
      <c r="W291" s="9"/>
      <c r="X291" s="9"/>
      <c r="Y291" s="9"/>
      <c r="Z291" s="9"/>
      <c r="AA291" s="9"/>
      <c r="AB291" s="9"/>
    </row>
    <row r="292" spans="1:28" ht="13.5" hidden="1" customHeight="1" outlineLevel="1">
      <c r="A292" s="9"/>
      <c r="B292" s="9"/>
      <c r="C292" s="9" t="str">
        <f t="shared" si="20"/>
        <v>Multiple Used for Segment 4</v>
      </c>
      <c r="D292" s="9"/>
      <c r="E292" s="9"/>
      <c r="F292" s="9"/>
      <c r="G292" s="32" t="s">
        <v>782</v>
      </c>
      <c r="H292" s="9"/>
      <c r="I292" s="9"/>
      <c r="J292" s="9"/>
      <c r="K292" s="9"/>
      <c r="L292" s="9"/>
      <c r="M292" s="9"/>
      <c r="N292" s="9"/>
      <c r="O292" s="9"/>
      <c r="P292" s="9"/>
      <c r="Q292" s="9"/>
      <c r="R292" s="9"/>
      <c r="S292" s="9"/>
      <c r="T292" s="9"/>
      <c r="U292" s="9"/>
      <c r="V292" s="9"/>
      <c r="W292" s="9"/>
      <c r="X292" s="9"/>
      <c r="Y292" s="9"/>
      <c r="Z292" s="9"/>
      <c r="AA292" s="9"/>
      <c r="AB292" s="9"/>
    </row>
    <row r="293" spans="1:28" ht="13.5" hidden="1" customHeight="1" outlineLevel="1">
      <c r="A293" s="9"/>
      <c r="B293" s="9"/>
      <c r="C293" s="9" t="str">
        <f t="shared" si="20"/>
        <v>Multiple Used for Segment 5</v>
      </c>
      <c r="D293" s="9"/>
      <c r="E293" s="9"/>
      <c r="F293" s="9"/>
      <c r="G293" s="32" t="s">
        <v>782</v>
      </c>
      <c r="H293" s="9"/>
      <c r="I293" s="9"/>
      <c r="J293" s="9"/>
      <c r="K293" s="9"/>
      <c r="L293" s="9"/>
      <c r="M293" s="9"/>
      <c r="N293" s="9"/>
      <c r="O293" s="9"/>
      <c r="P293" s="9"/>
      <c r="Q293" s="9"/>
      <c r="R293" s="9"/>
      <c r="S293" s="9"/>
      <c r="T293" s="9"/>
      <c r="U293" s="9"/>
      <c r="V293" s="9"/>
      <c r="W293" s="9"/>
      <c r="X293" s="9"/>
      <c r="Y293" s="9"/>
      <c r="Z293" s="9"/>
      <c r="AA293" s="9"/>
      <c r="AB293" s="9"/>
    </row>
    <row r="294" spans="1:28" ht="13.5" hidden="1" customHeight="1" outlineLevel="1">
      <c r="A294" s="9"/>
      <c r="B294" s="9"/>
      <c r="C294" s="9" t="str">
        <f t="shared" si="20"/>
        <v>Multiple Used for Segment 6</v>
      </c>
      <c r="D294" s="9"/>
      <c r="E294" s="9"/>
      <c r="F294" s="9"/>
      <c r="G294" s="32" t="s">
        <v>782</v>
      </c>
      <c r="H294" s="9"/>
      <c r="I294" s="9"/>
      <c r="J294" s="9"/>
      <c r="K294" s="9"/>
      <c r="L294" s="9"/>
      <c r="M294" s="9"/>
      <c r="N294" s="9"/>
      <c r="O294" s="9"/>
      <c r="P294" s="9"/>
      <c r="Q294" s="9"/>
      <c r="R294" s="9"/>
      <c r="S294" s="9"/>
      <c r="T294" s="9"/>
      <c r="U294" s="9"/>
      <c r="V294" s="9"/>
      <c r="W294" s="9"/>
      <c r="X294" s="9"/>
      <c r="Y294" s="9"/>
      <c r="Z294" s="9"/>
      <c r="AA294" s="9"/>
      <c r="AB294" s="9"/>
    </row>
    <row r="295" spans="1:28" ht="13.5" customHeight="1" collapsed="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row>
    <row r="296" spans="1:28" ht="13.5" customHeight="1">
      <c r="A296" s="180" t="s">
        <v>0</v>
      </c>
      <c r="B296" s="180" t="s">
        <v>0</v>
      </c>
      <c r="C296" s="728" t="s">
        <v>256</v>
      </c>
      <c r="D296" s="76"/>
      <c r="E296" s="76"/>
      <c r="F296" s="76"/>
      <c r="G296" s="78"/>
      <c r="H296" s="78"/>
      <c r="I296" s="78"/>
      <c r="J296" s="78"/>
      <c r="K296" s="78"/>
      <c r="L296" s="78"/>
      <c r="M296" s="78"/>
      <c r="N296" s="78"/>
      <c r="O296" s="78"/>
      <c r="P296" s="78"/>
      <c r="Q296" s="78"/>
      <c r="R296" s="78"/>
      <c r="S296" s="180" t="s">
        <v>0</v>
      </c>
      <c r="T296" s="9"/>
      <c r="U296" s="9"/>
      <c r="V296" s="9"/>
      <c r="W296" s="9"/>
      <c r="X296" s="9"/>
      <c r="Y296" s="9"/>
      <c r="Z296" s="9"/>
      <c r="AA296" s="9"/>
      <c r="AB296" s="9"/>
    </row>
    <row r="297" spans="1:28" ht="13.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row>
    <row r="298" spans="1:28" ht="13.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row>
    <row r="299" spans="1:28" ht="13.5" customHeight="1">
      <c r="A299" s="180"/>
      <c r="B299" s="180"/>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row>
    <row r="300" spans="1:28"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1:28"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1:28"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1:28"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1:28"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1:28"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1:28"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1:28"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1:28"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1:28"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1:28"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1:2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1:28"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1:28"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spans="1:28"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spans="1:28"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spans="1:28"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spans="1:28"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spans="1:28"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spans="1:28"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spans="1:28"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spans="1:2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spans="1:28"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spans="1:28"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spans="1:28"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spans="1:28"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spans="1:28"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spans="1:28"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spans="1:28"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spans="1:28"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spans="1:28"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spans="1:2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spans="1:28"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spans="1:28"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spans="1:28"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spans="1:28"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spans="1:28"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spans="1:28"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spans="1:28"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spans="1:28"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spans="1:28"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spans="1:2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spans="1:28"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spans="1:28"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mergeCells count="83">
    <mergeCell ref="L170:L174"/>
    <mergeCell ref="D158:J158"/>
    <mergeCell ref="F160:J160"/>
    <mergeCell ref="N160:R160"/>
    <mergeCell ref="D162:D166"/>
    <mergeCell ref="F168:J168"/>
    <mergeCell ref="N168:R168"/>
    <mergeCell ref="D170:D174"/>
    <mergeCell ref="C140:R140"/>
    <mergeCell ref="J142:K142"/>
    <mergeCell ref="C149:R149"/>
    <mergeCell ref="L158:R158"/>
    <mergeCell ref="L162:L166"/>
    <mergeCell ref="D116:F116"/>
    <mergeCell ref="F97:J97"/>
    <mergeCell ref="D99:D103"/>
    <mergeCell ref="L99:L103"/>
    <mergeCell ref="F105:J105"/>
    <mergeCell ref="L107:L111"/>
    <mergeCell ref="C114:R114"/>
    <mergeCell ref="H116:J116"/>
    <mergeCell ref="L116:N116"/>
    <mergeCell ref="P116:R116"/>
    <mergeCell ref="C90:R90"/>
    <mergeCell ref="D95:J95"/>
    <mergeCell ref="L95:R95"/>
    <mergeCell ref="N97:R97"/>
    <mergeCell ref="D107:D111"/>
    <mergeCell ref="N105:R105"/>
    <mergeCell ref="G57:K57"/>
    <mergeCell ref="X57:AB57"/>
    <mergeCell ref="N57:R57"/>
    <mergeCell ref="C81:R81"/>
    <mergeCell ref="I83:J83"/>
    <mergeCell ref="C4:R4"/>
    <mergeCell ref="L6:R6"/>
    <mergeCell ref="C9:J9"/>
    <mergeCell ref="C14:J14"/>
    <mergeCell ref="C19:J19"/>
    <mergeCell ref="C268:R268"/>
    <mergeCell ref="O270:R270"/>
    <mergeCell ref="D238:D242"/>
    <mergeCell ref="L238:L242"/>
    <mergeCell ref="F244:J244"/>
    <mergeCell ref="N244:R244"/>
    <mergeCell ref="L246:L250"/>
    <mergeCell ref="N252:R252"/>
    <mergeCell ref="L254:L258"/>
    <mergeCell ref="F236:J236"/>
    <mergeCell ref="N236:R236"/>
    <mergeCell ref="D246:D250"/>
    <mergeCell ref="D254:D258"/>
    <mergeCell ref="D262:D266"/>
    <mergeCell ref="F252:J252"/>
    <mergeCell ref="F260:J260"/>
    <mergeCell ref="L262:L266"/>
    <mergeCell ref="N260:R260"/>
    <mergeCell ref="K222:L222"/>
    <mergeCell ref="M222:N222"/>
    <mergeCell ref="O222:P222"/>
    <mergeCell ref="C225:R225"/>
    <mergeCell ref="D234:J234"/>
    <mergeCell ref="L234:R234"/>
    <mergeCell ref="C218:R218"/>
    <mergeCell ref="K220:L220"/>
    <mergeCell ref="M220:N220"/>
    <mergeCell ref="O220:P220"/>
    <mergeCell ref="K221:L221"/>
    <mergeCell ref="M221:N221"/>
    <mergeCell ref="O221:P221"/>
    <mergeCell ref="D186:D190"/>
    <mergeCell ref="L186:L190"/>
    <mergeCell ref="C192:R192"/>
    <mergeCell ref="D194:F194"/>
    <mergeCell ref="H194:J194"/>
    <mergeCell ref="L194:N194"/>
    <mergeCell ref="P194:R194"/>
    <mergeCell ref="F176:J176"/>
    <mergeCell ref="N176:R176"/>
    <mergeCell ref="D178:D182"/>
    <mergeCell ref="L178:L182"/>
    <mergeCell ref="F184:J184"/>
    <mergeCell ref="N184:R184"/>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107" priority="1">
      <formula>$R$2="Report"</formula>
    </cfRule>
  </conditionalFormatting>
  <conditionalFormatting sqref="F92">
    <cfRule type="expression" dxfId="106" priority="2">
      <formula>F92&lt;&gt;0</formula>
    </cfRule>
    <cfRule type="expression" dxfId="105" priority="3">
      <formula>$AQ$2="Report"</formula>
    </cfRule>
    <cfRule type="expression" dxfId="104" priority="4">
      <formula>F92&lt;&gt;0</formula>
    </cfRule>
    <cfRule type="expression" dxfId="103" priority="5">
      <formula>$AQ$2="Report"</formula>
    </cfRule>
  </conditionalFormatting>
  <conditionalFormatting sqref="F121">
    <cfRule type="cellIs" dxfId="102" priority="6" operator="between">
      <formula>0.15</formula>
      <formula>0.3</formula>
    </cfRule>
  </conditionalFormatting>
  <conditionalFormatting sqref="F131:F132">
    <cfRule type="expression" dxfId="101" priority="7">
      <formula>$R$2="Report"</formula>
    </cfRule>
  </conditionalFormatting>
  <conditionalFormatting sqref="F151">
    <cfRule type="expression" dxfId="100" priority="8">
      <formula>$R$2="Report"</formula>
    </cfRule>
    <cfRule type="expression" dxfId="99" priority="9">
      <formula>F151&lt;&gt;0</formula>
    </cfRule>
    <cfRule type="expression" dxfId="98" priority="10">
      <formula>$AQ$2="Report"</formula>
    </cfRule>
  </conditionalFormatting>
  <conditionalFormatting sqref="F154">
    <cfRule type="expression" dxfId="97" priority="11">
      <formula>$R$2="Report"</formula>
    </cfRule>
    <cfRule type="expression" dxfId="96" priority="12">
      <formula>F154&lt;&gt;0</formula>
    </cfRule>
    <cfRule type="expression" dxfId="95" priority="13">
      <formula>$AQ$2="Report"</formula>
    </cfRule>
  </conditionalFormatting>
  <conditionalFormatting sqref="F199">
    <cfRule type="cellIs" dxfId="94" priority="14" operator="between">
      <formula>0.15</formula>
      <formula>0.3</formula>
    </cfRule>
  </conditionalFormatting>
  <conditionalFormatting sqref="F227">
    <cfRule type="expression" dxfId="93" priority="15">
      <formula>$R$2="Report"</formula>
    </cfRule>
  </conditionalFormatting>
  <conditionalFormatting sqref="F227:F229">
    <cfRule type="expression" dxfId="92" priority="16">
      <formula>F227&lt;&gt;0</formula>
    </cfRule>
    <cfRule type="expression" dxfId="91" priority="17">
      <formula>$AQ$2="Report"</formula>
    </cfRule>
  </conditionalFormatting>
  <conditionalFormatting sqref="F230">
    <cfRule type="expression" dxfId="90" priority="18">
      <formula>$R$2="Report"</formula>
    </cfRule>
  </conditionalFormatting>
  <conditionalFormatting sqref="F230:F231">
    <cfRule type="expression" dxfId="89" priority="19">
      <formula>F230&lt;&gt;0</formula>
    </cfRule>
    <cfRule type="expression" dxfId="88" priority="20">
      <formula>$AQ$2="Report"</formula>
    </cfRule>
  </conditionalFormatting>
  <conditionalFormatting sqref="G58:S59 G60:K60 M60:R60 G61:S77 K79 R79 L127:L133">
    <cfRule type="expression" dxfId="87" priority="21">
      <formula>$R$4=1</formula>
    </cfRule>
  </conditionalFormatting>
  <conditionalFormatting sqref="H98 E101">
    <cfRule type="expression" dxfId="86" priority="22">
      <formula>$R$2="Report"</formula>
    </cfRule>
  </conditionalFormatting>
  <conditionalFormatting sqref="H144">
    <cfRule type="cellIs" dxfId="85" priority="23" operator="equal">
      <formula>"FALSE"</formula>
    </cfRule>
  </conditionalFormatting>
  <conditionalFormatting sqref="H222">
    <cfRule type="cellIs" dxfId="84" priority="24" operator="equal">
      <formula>"FALSE"</formula>
    </cfRule>
  </conditionalFormatting>
  <conditionalFormatting sqref="H31:I31">
    <cfRule type="expression" dxfId="83" priority="25">
      <formula>$AF$11="On"</formula>
    </cfRule>
  </conditionalFormatting>
  <conditionalFormatting sqref="J84:J87">
    <cfRule type="expression" dxfId="82" priority="26">
      <formula>$R$2="Report"</formula>
    </cfRule>
  </conditionalFormatting>
  <conditionalFormatting sqref="K92">
    <cfRule type="expression" dxfId="81" priority="27">
      <formula>K92&lt;&gt;0</formula>
    </cfRule>
    <cfRule type="expression" dxfId="80" priority="28">
      <formula>$AQ$2="Report"</formula>
    </cfRule>
    <cfRule type="expression" dxfId="79" priority="29">
      <formula>K92&lt;&gt;0</formula>
    </cfRule>
    <cfRule type="expression" dxfId="78" priority="30">
      <formula>$AQ$2="Report"</formula>
    </cfRule>
  </conditionalFormatting>
  <conditionalFormatting sqref="L9:L10">
    <cfRule type="expression" dxfId="77" priority="31">
      <formula>$R$2="Report"</formula>
    </cfRule>
    <cfRule type="cellIs" dxfId="76" priority="32" operator="between">
      <formula>0.15</formula>
      <formula>0.3</formula>
    </cfRule>
  </conditionalFormatting>
  <conditionalFormatting sqref="L12:L15">
    <cfRule type="expression" dxfId="75" priority="33">
      <formula>$R$2="Report"</formula>
    </cfRule>
    <cfRule type="cellIs" dxfId="74" priority="34" operator="between">
      <formula>0.15</formula>
      <formula>0.3</formula>
    </cfRule>
  </conditionalFormatting>
  <conditionalFormatting sqref="L17:L20">
    <cfRule type="expression" dxfId="73" priority="35">
      <formula>$R$2="Report"</formula>
    </cfRule>
    <cfRule type="cellIs" dxfId="72" priority="36" operator="between">
      <formula>0.15</formula>
      <formula>0.3</formula>
    </cfRule>
  </conditionalFormatting>
  <conditionalFormatting sqref="L22">
    <cfRule type="expression" dxfId="71" priority="37">
      <formula>$R$2="Report"</formula>
    </cfRule>
    <cfRule type="cellIs" dxfId="70" priority="38" operator="between">
      <formula>0.15</formula>
      <formula>0.3</formula>
    </cfRule>
  </conditionalFormatting>
  <conditionalFormatting sqref="L151">
    <cfRule type="expression" dxfId="69" priority="39">
      <formula>$R$2="Report"</formula>
    </cfRule>
  </conditionalFormatting>
  <conditionalFormatting sqref="L151:L153">
    <cfRule type="expression" dxfId="68" priority="40">
      <formula>L151&lt;&gt;0</formula>
    </cfRule>
    <cfRule type="expression" dxfId="67" priority="41">
      <formula>$AQ$2="Report"</formula>
    </cfRule>
  </conditionalFormatting>
  <conditionalFormatting sqref="L154">
    <cfRule type="expression" dxfId="66" priority="42">
      <formula>$R$2="Report"</formula>
    </cfRule>
  </conditionalFormatting>
  <conditionalFormatting sqref="L154:L155">
    <cfRule type="expression" dxfId="65" priority="43">
      <formula>L154&lt;&gt;0</formula>
    </cfRule>
    <cfRule type="expression" dxfId="64" priority="44">
      <formula>$AQ$2="Report"</formula>
    </cfRule>
  </conditionalFormatting>
  <conditionalFormatting sqref="L205:L211">
    <cfRule type="expression" dxfId="63" priority="45">
      <formula>$R$4=1</formula>
    </cfRule>
  </conditionalFormatting>
  <conditionalFormatting sqref="L227">
    <cfRule type="expression" dxfId="62" priority="46">
      <formula>$R$2="Report"</formula>
    </cfRule>
  </conditionalFormatting>
  <conditionalFormatting sqref="L227:L229">
    <cfRule type="expression" dxfId="61" priority="47">
      <formula>L227&lt;&gt;0</formula>
    </cfRule>
    <cfRule type="expression" dxfId="60" priority="48">
      <formula>$AQ$2="Report"</formula>
    </cfRule>
  </conditionalFormatting>
  <conditionalFormatting sqref="L230">
    <cfRule type="expression" dxfId="59" priority="49">
      <formula>$R$2="Report"</formula>
    </cfRule>
  </conditionalFormatting>
  <conditionalFormatting sqref="L230:L231">
    <cfRule type="expression" dxfId="58" priority="50">
      <formula>L230&lt;&gt;0</formula>
    </cfRule>
    <cfRule type="expression" dxfId="57" priority="51">
      <formula>$AQ$2="Report"</formula>
    </cfRule>
  </conditionalFormatting>
  <conditionalFormatting sqref="N121">
    <cfRule type="cellIs" dxfId="56" priority="52" operator="between">
      <formula>0.15</formula>
      <formula>0.3</formula>
    </cfRule>
  </conditionalFormatting>
  <conditionalFormatting sqref="N127:N132">
    <cfRule type="expression" dxfId="55" priority="53">
      <formula>$R$4=1</formula>
    </cfRule>
  </conditionalFormatting>
  <conditionalFormatting sqref="N199">
    <cfRule type="cellIs" dxfId="54" priority="54" operator="between">
      <formula>0.15</formula>
      <formula>0.3</formula>
    </cfRule>
  </conditionalFormatting>
  <conditionalFormatting sqref="N205:N210">
    <cfRule type="expression" dxfId="53" priority="55">
      <formula>$R$4=1</formula>
    </cfRule>
  </conditionalFormatting>
  <conditionalFormatting sqref="N99:R103">
    <cfRule type="cellIs" dxfId="52" priority="56" operator="between">
      <formula>0.15</formula>
      <formula>0.3</formula>
    </cfRule>
  </conditionalFormatting>
  <conditionalFormatting sqref="N107:R111">
    <cfRule type="cellIs" dxfId="51" priority="57" operator="between">
      <formula>0.15</formula>
      <formula>0.3</formula>
    </cfRule>
  </conditionalFormatting>
  <conditionalFormatting sqref="N162:R166">
    <cfRule type="cellIs" dxfId="50" priority="58" operator="between">
      <formula>0.15</formula>
      <formula>0.3</formula>
    </cfRule>
  </conditionalFormatting>
  <conditionalFormatting sqref="N170:R174">
    <cfRule type="cellIs" dxfId="49" priority="59" operator="between">
      <formula>0.15</formula>
      <formula>0.3</formula>
    </cfRule>
  </conditionalFormatting>
  <conditionalFormatting sqref="N178:R182">
    <cfRule type="cellIs" dxfId="48" priority="60" operator="between">
      <formula>0.15</formula>
      <formula>0.3</formula>
    </cfRule>
  </conditionalFormatting>
  <conditionalFormatting sqref="N186:R190">
    <cfRule type="cellIs" dxfId="47" priority="61" operator="between">
      <formula>0.15</formula>
      <formula>0.3</formula>
    </cfRule>
  </conditionalFormatting>
  <conditionalFormatting sqref="N238:R242">
    <cfRule type="cellIs" dxfId="46" priority="62" operator="between">
      <formula>0.15</formula>
      <formula>0.3</formula>
    </cfRule>
  </conditionalFormatting>
  <conditionalFormatting sqref="N246:R250">
    <cfRule type="cellIs" dxfId="45" priority="63" operator="between">
      <formula>0.15</formula>
      <formula>0.3</formula>
    </cfRule>
  </conditionalFormatting>
  <conditionalFormatting sqref="N254:R258">
    <cfRule type="cellIs" dxfId="44" priority="64" operator="between">
      <formula>0.15</formula>
      <formula>0.3</formula>
    </cfRule>
  </conditionalFormatting>
  <conditionalFormatting sqref="N262:R267">
    <cfRule type="cellIs" dxfId="43" priority="65" operator="between">
      <formula>0.15</formula>
      <formula>0.3</formula>
    </cfRule>
  </conditionalFormatting>
  <conditionalFormatting sqref="O274:O280">
    <cfRule type="expression" dxfId="42" priority="66">
      <formula>$R$4=1</formula>
    </cfRule>
  </conditionalFormatting>
  <conditionalFormatting sqref="P92">
    <cfRule type="expression" dxfId="41" priority="67">
      <formula>P92&lt;&gt;0</formula>
    </cfRule>
    <cfRule type="expression" dxfId="40" priority="68">
      <formula>$AQ$2="Report"</formula>
    </cfRule>
  </conditionalFormatting>
  <conditionalFormatting sqref="P127:P133">
    <cfRule type="expression" dxfId="39" priority="69">
      <formula>$R$4=1</formula>
    </cfRule>
  </conditionalFormatting>
  <conditionalFormatting sqref="P205:P211">
    <cfRule type="expression" dxfId="38" priority="70">
      <formula>$R$4=1</formula>
    </cfRule>
  </conditionalFormatting>
  <conditionalFormatting sqref="R127:R132">
    <cfRule type="expression" dxfId="37" priority="71">
      <formula>$R$4=1</formula>
    </cfRule>
  </conditionalFormatting>
  <conditionalFormatting sqref="R151:R154">
    <cfRule type="expression" dxfId="36" priority="72">
      <formula>$R$2="Report"</formula>
    </cfRule>
    <cfRule type="expression" dxfId="35" priority="73">
      <formula>R151&lt;&gt;0</formula>
    </cfRule>
    <cfRule type="expression" dxfId="34" priority="74">
      <formula>$AQ$2="Report"</formula>
    </cfRule>
  </conditionalFormatting>
  <conditionalFormatting sqref="R205:R210">
    <cfRule type="expression" dxfId="33" priority="75">
      <formula>$R$4=1</formula>
    </cfRule>
  </conditionalFormatting>
  <conditionalFormatting sqref="R227:R230">
    <cfRule type="expression" dxfId="32" priority="76">
      <formula>$R$2="Report"</formula>
    </cfRule>
    <cfRule type="expression" dxfId="31" priority="77">
      <formula>R227&lt;&gt;0</formula>
    </cfRule>
    <cfRule type="expression" dxfId="30" priority="78">
      <formula>$AQ$2="Report"</formula>
    </cfRule>
  </conditionalFormatting>
  <conditionalFormatting sqref="R274:R279">
    <cfRule type="expression" dxfId="29" priority="79">
      <formula>$R$4=1</formula>
    </cfRule>
  </conditionalFormatting>
  <conditionalFormatting sqref="X58:AB77 AB79">
    <cfRule type="expression" dxfId="28" priority="80">
      <formula>$R$4=1</formula>
    </cfRule>
  </conditionalFormatting>
  <conditionalFormatting sqref="AB59:AB79">
    <cfRule type="expression" dxfId="27" priority="81">
      <formula>$R$2="Report"</formula>
    </cfRule>
  </conditionalFormatting>
  <dataValidations count="9">
    <dataValidation type="list" allowBlank="1" showErrorMessage="1" sqref="R2" xr:uid="{00000000-0002-0000-0D00-000000000000}">
      <formula1>"Working,Report"</formula1>
    </dataValidation>
    <dataValidation type="list" allowBlank="1" showErrorMessage="1" sqref="D24 G144 G222" xr:uid="{00000000-0002-0000-0D00-000001000000}">
      <formula1>"LTM,NTM"</formula1>
    </dataValidation>
    <dataValidation type="list" allowBlank="1" showErrorMessage="1" sqref="G220" xr:uid="{00000000-0002-0000-0D00-000002000000}">
      <formula1>"2002-2008,2009-2018,2002-2018"</formula1>
    </dataValidation>
    <dataValidation type="list" allowBlank="1" showErrorMessage="1" sqref="G83" xr:uid="{00000000-0002-0000-0D00-000003000000}">
      <formula1>"Yes,No"</formula1>
    </dataValidation>
    <dataValidation type="list" allowBlank="1" showErrorMessage="1" sqref="G289:G294" xr:uid="{00000000-0002-0000-0D00-000004000000}">
      <formula1>$B$9:$B$12</formula1>
    </dataValidation>
    <dataValidation type="list" allowBlank="1" showErrorMessage="1" sqref="G86" xr:uid="{00000000-0002-0000-0D00-000005000000}">
      <formula1>"1.00%,1.25%,1.50%,1.75%,2.00%,2.25%,2.50%,2.75%,3.00%,3.25%,3.50%,3.75%,4.00%"</formula1>
    </dataValidation>
    <dataValidation type="list" allowBlank="1" showErrorMessage="1" sqref="G142:G143" xr:uid="{00000000-0002-0000-0D00-000006000000}">
      <formula1>"1 Year,2 Year,3 Year,5 Year"</formula1>
    </dataValidation>
    <dataValidation type="list" allowBlank="1" showErrorMessage="1" sqref="G145:G146 G223:G224" xr:uid="{00000000-0002-0000-0D00-000007000000}">
      <formula1>$B$9:$B$11</formula1>
    </dataValidation>
    <dataValidation type="list" allowBlank="1" showErrorMessage="1" sqref="G221" xr:uid="{00000000-0002-0000-0D00-000008000000}">
      <formula1>"Early Cycle,Mid Cycle,Late Cycle,Full Cycle"</formula1>
    </dataValidation>
  </dataValidations>
  <pageMargins left="0.7" right="0.7" top="0.75" bottom="0.75" header="0" footer="0"/>
  <pageSetup orientation="portrait"/>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60000"/>
  </sheetPr>
  <dimension ref="A1:CJ1000"/>
  <sheetViews>
    <sheetView showGridLines="0" zoomScale="80" zoomScaleNormal="80" workbookViewId="0">
      <pane ySplit="2" topLeftCell="A3" activePane="bottomLeft" state="frozen"/>
      <selection pane="bottomLeft"/>
    </sheetView>
  </sheetViews>
  <sheetFormatPr defaultColWidth="14.44140625" defaultRowHeight="15" customHeight="1" outlineLevelCol="2"/>
  <cols>
    <col min="1" max="2" width="1.6640625" customWidth="1"/>
    <col min="3" max="3" width="18.6640625" customWidth="1"/>
    <col min="4" max="4" width="5.6640625" customWidth="1"/>
    <col min="5" max="8" width="18.6640625" customWidth="1"/>
    <col min="9" max="9" width="13.33203125" customWidth="1" outlineLevel="1"/>
    <col min="10" max="10" width="12.6640625" customWidth="1" outlineLevel="2"/>
    <col min="11" max="11" width="12.6640625" customWidth="1"/>
    <col min="12" max="12" width="21.44140625" customWidth="1"/>
    <col min="13" max="13" width="13.6640625" customWidth="1"/>
    <col min="14" max="17" width="17.6640625" customWidth="1"/>
    <col min="18" max="18" width="21.44140625" customWidth="1"/>
    <col min="19" max="23" width="17.6640625" customWidth="1"/>
    <col min="24" max="24" width="21.44140625" customWidth="1"/>
    <col min="25" max="29" width="17.6640625" customWidth="1"/>
    <col min="30" max="30" width="21.44140625" customWidth="1"/>
    <col min="31" max="35" width="17.6640625" customWidth="1"/>
    <col min="36" max="36" width="1.5546875" customWidth="1"/>
    <col min="37" max="37" width="12.6640625" hidden="1" customWidth="1" outlineLevel="1"/>
    <col min="38" max="38" width="21.44140625" hidden="1" customWidth="1" outlineLevel="1"/>
    <col min="39" max="43" width="17.6640625" hidden="1" customWidth="1" outlineLevel="1"/>
    <col min="44" max="44" width="21.44140625" hidden="1" customWidth="1" outlineLevel="1"/>
    <col min="45" max="49" width="17.6640625" hidden="1" customWidth="1" outlineLevel="1"/>
    <col min="50" max="50" width="21.44140625" hidden="1" customWidth="1" outlineLevel="1"/>
    <col min="51" max="55" width="17.6640625" hidden="1" customWidth="1" outlineLevel="1"/>
    <col min="56" max="56" width="21.44140625" hidden="1" customWidth="1" outlineLevel="1"/>
    <col min="57" max="61" width="17.6640625" hidden="1" customWidth="1" outlineLevel="1"/>
    <col min="62" max="62" width="1.5546875" hidden="1" customWidth="1" outlineLevel="1"/>
    <col min="63" max="63" width="12.6640625" hidden="1" customWidth="1" outlineLevel="1"/>
    <col min="64" max="64" width="21.44140625" hidden="1" customWidth="1" outlineLevel="1"/>
    <col min="65" max="69" width="17.6640625" hidden="1" customWidth="1" outlineLevel="1"/>
    <col min="70" max="70" width="21.44140625" hidden="1" customWidth="1" outlineLevel="1"/>
    <col min="71" max="75" width="17.6640625" hidden="1" customWidth="1" outlineLevel="1"/>
    <col min="76" max="76" width="21.44140625" hidden="1" customWidth="1" outlineLevel="1"/>
    <col min="77" max="81" width="17.6640625" hidden="1" customWidth="1" outlineLevel="1"/>
    <col min="82" max="82" width="21.44140625" hidden="1" customWidth="1" outlineLevel="1"/>
    <col min="83" max="87" width="17.6640625" hidden="1" customWidth="1" outlineLevel="1"/>
    <col min="88" max="88" width="14.44140625" collapsed="1"/>
  </cols>
  <sheetData>
    <row r="1" spans="1:87" ht="19.5" customHeight="1">
      <c r="A1" s="4"/>
      <c r="B1" s="4"/>
      <c r="C1" s="729" t="str">
        <f ca="1">Company_Name&amp;" - "&amp;MID(CELL("filename",A1),FIND("]",CELL("filename",A1))+1,255)&amp;": "&amp;Case_Scenario&amp;" Case"</f>
        <v>Hamilton Lane Inc. - Multiples Data: Base Case</v>
      </c>
      <c r="D1" s="4"/>
      <c r="E1" s="4"/>
      <c r="F1" s="4"/>
      <c r="G1" s="4"/>
      <c r="H1" s="4"/>
      <c r="I1" s="4"/>
      <c r="J1" s="4"/>
      <c r="K1" s="149"/>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row>
    <row r="2" spans="1:87" ht="15" customHeight="1">
      <c r="A2" s="2"/>
      <c r="B2" s="2"/>
      <c r="C2" s="7" t="str">
        <f>Cover!C2</f>
        <v>$ in Millions Except Per Share Data</v>
      </c>
      <c r="D2" s="2"/>
      <c r="E2" s="2"/>
      <c r="F2" s="2"/>
      <c r="G2" s="2"/>
      <c r="H2" s="2"/>
      <c r="I2" s="2"/>
      <c r="J2" s="2"/>
      <c r="K2" s="158"/>
      <c r="L2" s="730" t="s">
        <v>783</v>
      </c>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row>
    <row r="3" spans="1:87" ht="15" customHeight="1">
      <c r="A3" s="3"/>
      <c r="B3" s="9"/>
      <c r="C3" s="216"/>
      <c r="D3" s="9"/>
      <c r="E3" s="9"/>
      <c r="F3" s="9"/>
      <c r="G3" s="9"/>
      <c r="H3" s="9"/>
      <c r="I3" s="9"/>
      <c r="J3" s="9"/>
      <c r="K3" s="64"/>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row>
    <row r="4" spans="1:87" ht="14.25" customHeight="1">
      <c r="A4" s="9"/>
      <c r="B4" s="9"/>
      <c r="C4" s="9"/>
      <c r="D4" s="9"/>
      <c r="E4" s="9"/>
      <c r="F4" s="9"/>
      <c r="G4" s="9"/>
      <c r="H4" s="9"/>
      <c r="I4" s="9"/>
      <c r="J4" s="9"/>
      <c r="K4" s="64"/>
      <c r="L4" s="1043" t="str">
        <f>Comparables!S86</f>
        <v>Primary Peer Group</v>
      </c>
      <c r="M4" s="1000"/>
      <c r="N4" s="1000"/>
      <c r="O4" s="1000"/>
      <c r="P4" s="1000"/>
      <c r="Q4" s="1000"/>
      <c r="R4" s="1000"/>
      <c r="S4" s="1000"/>
      <c r="T4" s="1000"/>
      <c r="U4" s="1000"/>
      <c r="V4" s="1000"/>
      <c r="W4" s="1000"/>
      <c r="X4" s="1000"/>
      <c r="Y4" s="1000"/>
      <c r="Z4" s="1000"/>
      <c r="AA4" s="1000"/>
      <c r="AB4" s="1000"/>
      <c r="AC4" s="1000"/>
      <c r="AD4" s="1000"/>
      <c r="AE4" s="1000"/>
      <c r="AF4" s="1000"/>
      <c r="AG4" s="1000"/>
      <c r="AH4" s="1000"/>
      <c r="AI4" s="1001"/>
      <c r="AJ4" s="9"/>
      <c r="AK4" s="9"/>
      <c r="AL4" s="1043" t="str">
        <f>Comparables!S87</f>
        <v>Defense Peer Group</v>
      </c>
      <c r="AM4" s="1000"/>
      <c r="AN4" s="1000"/>
      <c r="AO4" s="1000"/>
      <c r="AP4" s="1000"/>
      <c r="AQ4" s="1000"/>
      <c r="AR4" s="1000"/>
      <c r="AS4" s="1000"/>
      <c r="AT4" s="1000"/>
      <c r="AU4" s="1000"/>
      <c r="AV4" s="1000"/>
      <c r="AW4" s="1000"/>
      <c r="AX4" s="1000"/>
      <c r="AY4" s="1000"/>
      <c r="AZ4" s="1000"/>
      <c r="BA4" s="1000"/>
      <c r="BB4" s="1000"/>
      <c r="BC4" s="1000"/>
      <c r="BD4" s="1000"/>
      <c r="BE4" s="1000"/>
      <c r="BF4" s="1000"/>
      <c r="BG4" s="1000"/>
      <c r="BH4" s="1000"/>
      <c r="BI4" s="1001"/>
      <c r="BJ4" s="9"/>
      <c r="BK4" s="9"/>
      <c r="BL4" s="1043" t="str">
        <f>Comparables!S88</f>
        <v>Cap. Goods Peer Group</v>
      </c>
      <c r="BM4" s="1000"/>
      <c r="BN4" s="1000"/>
      <c r="BO4" s="1000"/>
      <c r="BP4" s="1000"/>
      <c r="BQ4" s="1000"/>
      <c r="BR4" s="1000"/>
      <c r="BS4" s="1000"/>
      <c r="BT4" s="1000"/>
      <c r="BU4" s="1000"/>
      <c r="BV4" s="1000"/>
      <c r="BW4" s="1000"/>
      <c r="BX4" s="1000"/>
      <c r="BY4" s="1000"/>
      <c r="BZ4" s="1000"/>
      <c r="CA4" s="1000"/>
      <c r="CB4" s="1000"/>
      <c r="CC4" s="1000"/>
      <c r="CD4" s="1000"/>
      <c r="CE4" s="1000"/>
      <c r="CF4" s="1000"/>
      <c r="CG4" s="1000"/>
      <c r="CH4" s="1000"/>
      <c r="CI4" s="1001"/>
    </row>
    <row r="5" spans="1:87" ht="14.25" customHeight="1">
      <c r="A5" s="180" t="s">
        <v>0</v>
      </c>
      <c r="B5" s="9"/>
      <c r="C5" s="728" t="s">
        <v>30</v>
      </c>
      <c r="D5" s="76"/>
      <c r="E5" s="76"/>
      <c r="F5" s="76"/>
      <c r="G5" s="76"/>
      <c r="H5" s="78"/>
      <c r="I5" s="139"/>
      <c r="J5" s="9"/>
      <c r="K5" s="180"/>
      <c r="L5" s="1044" t="s">
        <v>784</v>
      </c>
      <c r="M5" s="1000"/>
      <c r="N5" s="1000"/>
      <c r="O5" s="1000"/>
      <c r="P5" s="1000"/>
      <c r="Q5" s="1001"/>
      <c r="R5" s="1043" t="s">
        <v>785</v>
      </c>
      <c r="S5" s="1000"/>
      <c r="T5" s="1000"/>
      <c r="U5" s="1000"/>
      <c r="V5" s="1000"/>
      <c r="W5" s="1001"/>
      <c r="X5" s="1043" t="s">
        <v>786</v>
      </c>
      <c r="Y5" s="1000"/>
      <c r="Z5" s="1000"/>
      <c r="AA5" s="1000"/>
      <c r="AB5" s="1000"/>
      <c r="AC5" s="1001"/>
      <c r="AD5" s="1043" t="s">
        <v>787</v>
      </c>
      <c r="AE5" s="1000"/>
      <c r="AF5" s="1000"/>
      <c r="AG5" s="1000"/>
      <c r="AH5" s="1000"/>
      <c r="AI5" s="1001"/>
      <c r="AJ5" s="9"/>
      <c r="AK5" s="9"/>
      <c r="AL5" s="1044" t="s">
        <v>784</v>
      </c>
      <c r="AM5" s="1000"/>
      <c r="AN5" s="1000"/>
      <c r="AO5" s="1000"/>
      <c r="AP5" s="1000"/>
      <c r="AQ5" s="1001"/>
      <c r="AR5" s="1043" t="s">
        <v>785</v>
      </c>
      <c r="AS5" s="1000"/>
      <c r="AT5" s="1000"/>
      <c r="AU5" s="1000"/>
      <c r="AV5" s="1000"/>
      <c r="AW5" s="1001"/>
      <c r="AX5" s="1043" t="s">
        <v>786</v>
      </c>
      <c r="AY5" s="1000"/>
      <c r="AZ5" s="1000"/>
      <c r="BA5" s="1000"/>
      <c r="BB5" s="1000"/>
      <c r="BC5" s="1001"/>
      <c r="BD5" s="1043" t="s">
        <v>787</v>
      </c>
      <c r="BE5" s="1000"/>
      <c r="BF5" s="1000"/>
      <c r="BG5" s="1000"/>
      <c r="BH5" s="1000"/>
      <c r="BI5" s="1001"/>
      <c r="BJ5" s="9"/>
      <c r="BK5" s="9"/>
      <c r="BL5" s="1044" t="s">
        <v>784</v>
      </c>
      <c r="BM5" s="1000"/>
      <c r="BN5" s="1000"/>
      <c r="BO5" s="1000"/>
      <c r="BP5" s="1000"/>
      <c r="BQ5" s="1001"/>
      <c r="BR5" s="1043" t="s">
        <v>785</v>
      </c>
      <c r="BS5" s="1000"/>
      <c r="BT5" s="1000"/>
      <c r="BU5" s="1000"/>
      <c r="BV5" s="1000"/>
      <c r="BW5" s="1001"/>
      <c r="BX5" s="1043" t="s">
        <v>786</v>
      </c>
      <c r="BY5" s="1000"/>
      <c r="BZ5" s="1000"/>
      <c r="CA5" s="1000"/>
      <c r="CB5" s="1000"/>
      <c r="CC5" s="1001"/>
      <c r="CD5" s="1043" t="s">
        <v>787</v>
      </c>
      <c r="CE5" s="1000"/>
      <c r="CF5" s="1000"/>
      <c r="CG5" s="1000"/>
      <c r="CH5" s="1000"/>
      <c r="CI5" s="1001"/>
    </row>
    <row r="6" spans="1:87" ht="14.25" customHeight="1">
      <c r="A6" s="9"/>
      <c r="B6" s="9"/>
      <c r="C6" s="728" t="str">
        <f>Company_Name</f>
        <v>Hamilton Lane Inc.</v>
      </c>
      <c r="D6" s="76"/>
      <c r="E6" s="76"/>
      <c r="F6" s="76"/>
      <c r="G6" s="76"/>
      <c r="H6" s="78"/>
      <c r="I6" s="731" t="str">
        <f>Last_FQR</f>
        <v>1Q</v>
      </c>
      <c r="J6" s="9"/>
      <c r="K6" s="180"/>
      <c r="L6" s="732" t="str">
        <f>Comparables!E86</f>
        <v>Hamilton Lane Inc.</v>
      </c>
      <c r="M6" s="733" t="str">
        <f>Comparables!$E$90</f>
        <v>StepStone Group Inc.</v>
      </c>
      <c r="N6" s="733" t="str">
        <f>Comparables!$E$94</f>
        <v>Ares Management Corporation</v>
      </c>
      <c r="O6" s="733" t="str">
        <f>Comparables!$E$98</f>
        <v>Blackstone Inc.</v>
      </c>
      <c r="P6" s="733" t="str">
        <f>Comparables!$E$102</f>
        <v>TPG Inc.</v>
      </c>
      <c r="Q6" s="733" t="str">
        <f>Comparables!$E$106</f>
        <v>Disney</v>
      </c>
      <c r="R6" s="733" t="str">
        <f>$L$6</f>
        <v>Hamilton Lane Inc.</v>
      </c>
      <c r="S6" s="733" t="str">
        <f>M6</f>
        <v>StepStone Group Inc.</v>
      </c>
      <c r="T6" s="733" t="str">
        <f>N6</f>
        <v>Ares Management Corporation</v>
      </c>
      <c r="U6" s="733" t="str">
        <f>O6</f>
        <v>Blackstone Inc.</v>
      </c>
      <c r="V6" s="733" t="str">
        <f>P6</f>
        <v>TPG Inc.</v>
      </c>
      <c r="W6" s="733" t="str">
        <f>Q6</f>
        <v>Disney</v>
      </c>
      <c r="X6" s="733" t="str">
        <f t="shared" ref="X6:AC6" si="0">L6</f>
        <v>Hamilton Lane Inc.</v>
      </c>
      <c r="Y6" s="733" t="str">
        <f t="shared" si="0"/>
        <v>StepStone Group Inc.</v>
      </c>
      <c r="Z6" s="733" t="str">
        <f t="shared" si="0"/>
        <v>Ares Management Corporation</v>
      </c>
      <c r="AA6" s="733" t="str">
        <f t="shared" si="0"/>
        <v>Blackstone Inc.</v>
      </c>
      <c r="AB6" s="733" t="str">
        <f t="shared" si="0"/>
        <v>TPG Inc.</v>
      </c>
      <c r="AC6" s="733" t="str">
        <f t="shared" si="0"/>
        <v>Disney</v>
      </c>
      <c r="AD6" s="733" t="str">
        <f t="shared" ref="AD6:AI6" si="1">L6</f>
        <v>Hamilton Lane Inc.</v>
      </c>
      <c r="AE6" s="733" t="str">
        <f t="shared" si="1"/>
        <v>StepStone Group Inc.</v>
      </c>
      <c r="AF6" s="733" t="str">
        <f t="shared" si="1"/>
        <v>Ares Management Corporation</v>
      </c>
      <c r="AG6" s="733" t="str">
        <f t="shared" si="1"/>
        <v>Blackstone Inc.</v>
      </c>
      <c r="AH6" s="733" t="str">
        <f t="shared" si="1"/>
        <v>TPG Inc.</v>
      </c>
      <c r="AI6" s="733" t="str">
        <f t="shared" si="1"/>
        <v>Disney</v>
      </c>
      <c r="AJ6" s="9"/>
      <c r="AK6" s="9"/>
      <c r="AL6" s="732" t="str">
        <f>AD6</f>
        <v>Hamilton Lane Inc.</v>
      </c>
      <c r="AM6" s="733" t="str">
        <f>Comparables!I$90</f>
        <v>Raytheon</v>
      </c>
      <c r="AN6" s="733" t="str">
        <f>Comparables!$I$94</f>
        <v>Boeing</v>
      </c>
      <c r="AO6" s="733" t="str">
        <f>Comparables!$I$98</f>
        <v>Huntington Ingalls</v>
      </c>
      <c r="AP6" s="733" t="str">
        <f>Comparables!$I$102</f>
        <v>Lockheed Martin</v>
      </c>
      <c r="AQ6" s="733" t="str">
        <f>Comparables!$I$106</f>
        <v>Northrop Grumman</v>
      </c>
      <c r="AR6" s="733" t="str">
        <f>$AL$6</f>
        <v>Hamilton Lane Inc.</v>
      </c>
      <c r="AS6" s="733" t="str">
        <f t="shared" ref="AS6:AW7" si="2">AM6</f>
        <v>Raytheon</v>
      </c>
      <c r="AT6" s="733" t="str">
        <f t="shared" si="2"/>
        <v>Boeing</v>
      </c>
      <c r="AU6" s="733" t="str">
        <f t="shared" si="2"/>
        <v>Huntington Ingalls</v>
      </c>
      <c r="AV6" s="733" t="str">
        <f t="shared" si="2"/>
        <v>Lockheed Martin</v>
      </c>
      <c r="AW6" s="734" t="str">
        <f t="shared" si="2"/>
        <v>Northrop Grumman</v>
      </c>
      <c r="AX6" s="733" t="s">
        <v>20</v>
      </c>
      <c r="AY6" s="733" t="str">
        <f t="shared" ref="AY6:BC7" si="3">AS6</f>
        <v>Raytheon</v>
      </c>
      <c r="AZ6" s="733" t="str">
        <f t="shared" si="3"/>
        <v>Boeing</v>
      </c>
      <c r="BA6" s="733" t="str">
        <f t="shared" si="3"/>
        <v>Huntington Ingalls</v>
      </c>
      <c r="BB6" s="733" t="str">
        <f t="shared" si="3"/>
        <v>Lockheed Martin</v>
      </c>
      <c r="BC6" s="734" t="str">
        <f t="shared" si="3"/>
        <v>Northrop Grumman</v>
      </c>
      <c r="BD6" s="733" t="s">
        <v>20</v>
      </c>
      <c r="BE6" s="733" t="str">
        <f t="shared" ref="BE6:BI7" si="4">AY6</f>
        <v>Raytheon</v>
      </c>
      <c r="BF6" s="733" t="str">
        <f t="shared" si="4"/>
        <v>Boeing</v>
      </c>
      <c r="BG6" s="733" t="str">
        <f t="shared" si="4"/>
        <v>Huntington Ingalls</v>
      </c>
      <c r="BH6" s="733" t="str">
        <f t="shared" si="4"/>
        <v>Lockheed Martin</v>
      </c>
      <c r="BI6" s="734" t="str">
        <f t="shared" si="4"/>
        <v>Northrop Grumman</v>
      </c>
      <c r="BJ6" s="9"/>
      <c r="BK6" s="9"/>
      <c r="BL6" s="732" t="str">
        <f>BD6</f>
        <v>Lowe's Companies, Inc.</v>
      </c>
      <c r="BM6" s="733" t="str">
        <f>Comparables!N$90</f>
        <v>3M Company</v>
      </c>
      <c r="BN6" s="733" t="str">
        <f>Comparables!$N$94</f>
        <v>General Electric</v>
      </c>
      <c r="BO6" s="733" t="str">
        <f>Comparables!$N$98</f>
        <v>Honeywell</v>
      </c>
      <c r="BP6" s="733" t="str">
        <f>Comparables!$N$102</f>
        <v>Roper Technologies</v>
      </c>
      <c r="BQ6" s="735" t="str">
        <f>Comparables!$N$106</f>
        <v>Emerson Electric</v>
      </c>
      <c r="BR6" s="733" t="s">
        <v>20</v>
      </c>
      <c r="BS6" s="733" t="str">
        <f t="shared" ref="BS6:BW7" si="5">BM6</f>
        <v>3M Company</v>
      </c>
      <c r="BT6" s="733" t="str">
        <f t="shared" si="5"/>
        <v>General Electric</v>
      </c>
      <c r="BU6" s="733" t="str">
        <f t="shared" si="5"/>
        <v>Honeywell</v>
      </c>
      <c r="BV6" s="733" t="str">
        <f t="shared" si="5"/>
        <v>Roper Technologies</v>
      </c>
      <c r="BW6" s="734" t="str">
        <f t="shared" si="5"/>
        <v>Emerson Electric</v>
      </c>
      <c r="BX6" s="733" t="str">
        <f>$BD$6</f>
        <v>Lowe's Companies, Inc.</v>
      </c>
      <c r="BY6" s="733" t="str">
        <f t="shared" ref="BY6:CC7" si="6">BS6</f>
        <v>3M Company</v>
      </c>
      <c r="BZ6" s="733" t="str">
        <f t="shared" si="6"/>
        <v>General Electric</v>
      </c>
      <c r="CA6" s="733" t="str">
        <f t="shared" si="6"/>
        <v>Honeywell</v>
      </c>
      <c r="CB6" s="733" t="str">
        <f t="shared" si="6"/>
        <v>Roper Technologies</v>
      </c>
      <c r="CC6" s="734" t="str">
        <f t="shared" si="6"/>
        <v>Emerson Electric</v>
      </c>
      <c r="CD6" s="733" t="str">
        <f>$BD$6</f>
        <v>Lowe's Companies, Inc.</v>
      </c>
      <c r="CE6" s="733" t="str">
        <f t="shared" ref="CE6:CI7" si="7">BY6</f>
        <v>3M Company</v>
      </c>
      <c r="CF6" s="733" t="str">
        <f t="shared" si="7"/>
        <v>General Electric</v>
      </c>
      <c r="CG6" s="733" t="str">
        <f t="shared" si="7"/>
        <v>Honeywell</v>
      </c>
      <c r="CH6" s="733" t="str">
        <f t="shared" si="7"/>
        <v>Roper Technologies</v>
      </c>
      <c r="CI6" s="734" t="str">
        <f t="shared" si="7"/>
        <v>Emerson Electric</v>
      </c>
    </row>
    <row r="7" spans="1:87" ht="14.25" customHeight="1">
      <c r="A7" s="9"/>
      <c r="B7" s="9"/>
      <c r="C7" s="736" t="s">
        <v>788</v>
      </c>
      <c r="D7" s="736"/>
      <c r="E7" s="736"/>
      <c r="F7" s="736"/>
      <c r="G7" s="736"/>
      <c r="H7" s="736"/>
      <c r="I7" s="64" t="str">
        <f>LEFT(I6)</f>
        <v>1</v>
      </c>
      <c r="J7" s="9"/>
      <c r="K7" s="64"/>
      <c r="L7" s="732" t="str">
        <f>Ticker</f>
        <v>HLNE</v>
      </c>
      <c r="M7" s="733" t="str">
        <f>Comparables!$E$91</f>
        <v>STEP</v>
      </c>
      <c r="N7" s="733" t="str">
        <f>Comparables!$E$95</f>
        <v>ARES</v>
      </c>
      <c r="O7" s="733" t="str">
        <f>Comparables!$E$99</f>
        <v>BX</v>
      </c>
      <c r="P7" s="733" t="str">
        <f>Comparables!$E$103</f>
        <v>TPG</v>
      </c>
      <c r="Q7" s="733" t="str">
        <f>Comparables!$E$107</f>
        <v>""</v>
      </c>
      <c r="R7" s="733" t="str">
        <f t="shared" ref="R7:W7" si="8">L7</f>
        <v>HLNE</v>
      </c>
      <c r="S7" s="733" t="str">
        <f t="shared" si="8"/>
        <v>STEP</v>
      </c>
      <c r="T7" s="733" t="str">
        <f t="shared" si="8"/>
        <v>ARES</v>
      </c>
      <c r="U7" s="733" t="str">
        <f t="shared" si="8"/>
        <v>BX</v>
      </c>
      <c r="V7" s="733" t="str">
        <f t="shared" si="8"/>
        <v>TPG</v>
      </c>
      <c r="W7" s="733" t="str">
        <f t="shared" si="8"/>
        <v>""</v>
      </c>
      <c r="X7" s="733" t="str">
        <f t="shared" ref="X7:AC7" si="9">L7</f>
        <v>HLNE</v>
      </c>
      <c r="Y7" s="733" t="str">
        <f t="shared" si="9"/>
        <v>STEP</v>
      </c>
      <c r="Z7" s="733" t="str">
        <f t="shared" si="9"/>
        <v>ARES</v>
      </c>
      <c r="AA7" s="733" t="str">
        <f t="shared" si="9"/>
        <v>BX</v>
      </c>
      <c r="AB7" s="733" t="str">
        <f t="shared" si="9"/>
        <v>TPG</v>
      </c>
      <c r="AC7" s="733" t="str">
        <f t="shared" si="9"/>
        <v>""</v>
      </c>
      <c r="AD7" s="733" t="str">
        <f t="shared" ref="AD7:AI7" si="10">L7</f>
        <v>HLNE</v>
      </c>
      <c r="AE7" s="733" t="str">
        <f t="shared" si="10"/>
        <v>STEP</v>
      </c>
      <c r="AF7" s="733" t="str">
        <f t="shared" si="10"/>
        <v>ARES</v>
      </c>
      <c r="AG7" s="733" t="str">
        <f t="shared" si="10"/>
        <v>BX</v>
      </c>
      <c r="AH7" s="733" t="str">
        <f t="shared" si="10"/>
        <v>TPG</v>
      </c>
      <c r="AI7" s="733" t="str">
        <f t="shared" si="10"/>
        <v>""</v>
      </c>
      <c r="AJ7" s="9"/>
      <c r="AK7" s="9"/>
      <c r="AL7" s="732" t="str">
        <f>Ticker</f>
        <v>HLNE</v>
      </c>
      <c r="AM7" s="733" t="str">
        <f>Comparables!$I$91</f>
        <v>RTX</v>
      </c>
      <c r="AN7" s="733" t="str">
        <f>Comparables!$I$95</f>
        <v>BA</v>
      </c>
      <c r="AO7" s="733" t="str">
        <f>Comparables!$I$99</f>
        <v>HII</v>
      </c>
      <c r="AP7" s="733" t="str">
        <f>Comparables!$I$103</f>
        <v>LMT</v>
      </c>
      <c r="AQ7" s="733" t="str">
        <f>Comparables!$I$107</f>
        <v>NOC</v>
      </c>
      <c r="AR7" s="733" t="str">
        <f>$AL$7</f>
        <v>HLNE</v>
      </c>
      <c r="AS7" s="733" t="str">
        <f t="shared" si="2"/>
        <v>RTX</v>
      </c>
      <c r="AT7" s="733" t="str">
        <f t="shared" si="2"/>
        <v>BA</v>
      </c>
      <c r="AU7" s="733" t="str">
        <f t="shared" si="2"/>
        <v>HII</v>
      </c>
      <c r="AV7" s="733" t="str">
        <f t="shared" si="2"/>
        <v>LMT</v>
      </c>
      <c r="AW7" s="735" t="str">
        <f t="shared" si="2"/>
        <v>NOC</v>
      </c>
      <c r="AX7" s="733" t="s">
        <v>22</v>
      </c>
      <c r="AY7" s="733" t="str">
        <f t="shared" si="3"/>
        <v>RTX</v>
      </c>
      <c r="AZ7" s="733" t="str">
        <f t="shared" si="3"/>
        <v>BA</v>
      </c>
      <c r="BA7" s="733" t="str">
        <f t="shared" si="3"/>
        <v>HII</v>
      </c>
      <c r="BB7" s="733" t="str">
        <f t="shared" si="3"/>
        <v>LMT</v>
      </c>
      <c r="BC7" s="735" t="str">
        <f t="shared" si="3"/>
        <v>NOC</v>
      </c>
      <c r="BD7" s="733" t="s">
        <v>22</v>
      </c>
      <c r="BE7" s="733" t="str">
        <f t="shared" si="4"/>
        <v>RTX</v>
      </c>
      <c r="BF7" s="733" t="str">
        <f t="shared" si="4"/>
        <v>BA</v>
      </c>
      <c r="BG7" s="733" t="str">
        <f t="shared" si="4"/>
        <v>HII</v>
      </c>
      <c r="BH7" s="733" t="str">
        <f t="shared" si="4"/>
        <v>LMT</v>
      </c>
      <c r="BI7" s="735" t="str">
        <f t="shared" si="4"/>
        <v>NOC</v>
      </c>
      <c r="BJ7" s="9"/>
      <c r="BK7" s="9"/>
      <c r="BL7" s="732" t="str">
        <f>Ticker</f>
        <v>HLNE</v>
      </c>
      <c r="BM7" s="733" t="str">
        <f>Comparables!$N$91</f>
        <v>MMM</v>
      </c>
      <c r="BN7" s="733" t="str">
        <f>Comparables!$N$95</f>
        <v>GE</v>
      </c>
      <c r="BO7" s="733" t="str">
        <f>Comparables!$N$99</f>
        <v>HON</v>
      </c>
      <c r="BP7" s="733" t="str">
        <f>Comparables!$N$103</f>
        <v>ROP</v>
      </c>
      <c r="BQ7" s="735" t="str">
        <f>Comparables!$N$107</f>
        <v>EMR</v>
      </c>
      <c r="BR7" s="733" t="s">
        <v>22</v>
      </c>
      <c r="BS7" s="733" t="str">
        <f t="shared" si="5"/>
        <v>MMM</v>
      </c>
      <c r="BT7" s="733" t="str">
        <f t="shared" si="5"/>
        <v>GE</v>
      </c>
      <c r="BU7" s="733" t="str">
        <f t="shared" si="5"/>
        <v>HON</v>
      </c>
      <c r="BV7" s="733" t="str">
        <f t="shared" si="5"/>
        <v>ROP</v>
      </c>
      <c r="BW7" s="735" t="str">
        <f t="shared" si="5"/>
        <v>EMR</v>
      </c>
      <c r="BX7" s="733" t="str">
        <f>$BD$7</f>
        <v>LOW</v>
      </c>
      <c r="BY7" s="733" t="str">
        <f t="shared" si="6"/>
        <v>MMM</v>
      </c>
      <c r="BZ7" s="733" t="str">
        <f t="shared" si="6"/>
        <v>GE</v>
      </c>
      <c r="CA7" s="733" t="str">
        <f t="shared" si="6"/>
        <v>HON</v>
      </c>
      <c r="CB7" s="733" t="str">
        <f t="shared" si="6"/>
        <v>ROP</v>
      </c>
      <c r="CC7" s="735" t="str">
        <f t="shared" si="6"/>
        <v>EMR</v>
      </c>
      <c r="CD7" s="733" t="str">
        <f>$BD$7</f>
        <v>LOW</v>
      </c>
      <c r="CE7" s="733" t="str">
        <f t="shared" si="7"/>
        <v>MMM</v>
      </c>
      <c r="CF7" s="733" t="str">
        <f t="shared" si="7"/>
        <v>GE</v>
      </c>
      <c r="CG7" s="733" t="str">
        <f t="shared" si="7"/>
        <v>HON</v>
      </c>
      <c r="CH7" s="733" t="str">
        <f t="shared" si="7"/>
        <v>ROP</v>
      </c>
      <c r="CI7" s="735" t="str">
        <f t="shared" si="7"/>
        <v>EMR</v>
      </c>
    </row>
    <row r="8" spans="1:87" ht="14.25" customHeight="1">
      <c r="A8" s="9"/>
      <c r="B8" s="9"/>
      <c r="C8" s="64"/>
      <c r="D8" s="9"/>
      <c r="E8" s="64" t="s">
        <v>784</v>
      </c>
      <c r="F8" s="64" t="s">
        <v>785</v>
      </c>
      <c r="G8" s="64" t="s">
        <v>786</v>
      </c>
      <c r="H8" s="64" t="s">
        <v>787</v>
      </c>
      <c r="I8" s="64">
        <f>IF(I7="1",4,I7-1)</f>
        <v>4</v>
      </c>
      <c r="J8" s="540">
        <v>2006</v>
      </c>
      <c r="K8" s="258" t="str">
        <f t="shared" ref="K8:K85" si="11">I8&amp;"Q"&amp;RIGHT(J8,2)</f>
        <v>4Q06</v>
      </c>
      <c r="L8" s="737"/>
      <c r="M8" s="670"/>
      <c r="N8" s="670"/>
      <c r="O8" s="670"/>
      <c r="P8" s="670"/>
      <c r="Q8" s="738">
        <v>20.8178217821782</v>
      </c>
      <c r="R8" s="737"/>
      <c r="S8" s="670"/>
      <c r="T8" s="670"/>
      <c r="U8" s="670"/>
      <c r="V8" s="670"/>
      <c r="W8" s="738">
        <v>19.602834234570199</v>
      </c>
      <c r="X8" s="737"/>
      <c r="Y8" s="670"/>
      <c r="Z8" s="670"/>
      <c r="AA8" s="670"/>
      <c r="AB8" s="670"/>
      <c r="AC8" s="738">
        <v>9.4267974871294804</v>
      </c>
      <c r="AD8" s="670"/>
      <c r="AE8" s="670"/>
      <c r="AF8" s="670"/>
      <c r="AG8" s="670"/>
      <c r="AH8" s="670"/>
      <c r="AI8" s="738"/>
      <c r="AJ8" s="9"/>
      <c r="AK8" s="258" t="str">
        <f t="shared" ref="AK8:AK84" si="12">$K8</f>
        <v>4Q06</v>
      </c>
      <c r="AL8" s="737">
        <f t="shared" ref="AL8:AL84" si="13">L8</f>
        <v>0</v>
      </c>
      <c r="AM8" s="670">
        <v>31.637362450861499</v>
      </c>
      <c r="AN8" s="670">
        <v>57.324279925525097</v>
      </c>
      <c r="AO8" s="670">
        <v>29.532374100719402</v>
      </c>
      <c r="AP8" s="670">
        <v>19.820675105485201</v>
      </c>
      <c r="AQ8" s="738"/>
      <c r="AR8" s="737">
        <f t="shared" ref="AR8:AR84" si="14">R8</f>
        <v>0</v>
      </c>
      <c r="AS8" s="670">
        <v>24.162819974821701</v>
      </c>
      <c r="AT8" s="670">
        <v>15.5671617478749</v>
      </c>
      <c r="AU8" s="670">
        <v>19.4273544723142</v>
      </c>
      <c r="AV8" s="670">
        <v>18.1932610379551</v>
      </c>
      <c r="AW8" s="738"/>
      <c r="AX8" s="737">
        <f t="shared" ref="AX8:AX84" si="15">X8</f>
        <v>0</v>
      </c>
      <c r="AY8" s="670">
        <v>13.3943921309475</v>
      </c>
      <c r="AZ8" s="670">
        <v>10.1673549788865</v>
      </c>
      <c r="BA8" s="670">
        <v>16.4177867910307</v>
      </c>
      <c r="BB8" s="670">
        <v>11.5907362783901</v>
      </c>
      <c r="BC8" s="738">
        <v>9.9936780551287896</v>
      </c>
      <c r="BD8" s="737"/>
      <c r="BE8" s="670"/>
      <c r="BF8" s="670"/>
      <c r="BG8" s="670"/>
      <c r="BH8" s="670"/>
      <c r="BI8" s="738"/>
      <c r="BJ8" s="9"/>
      <c r="BK8" s="258" t="str">
        <f t="shared" ref="BK8:BK84" si="16">$K8</f>
        <v>4Q06</v>
      </c>
      <c r="BL8" s="737">
        <f t="shared" ref="BL8:BL84" si="17">AL8</f>
        <v>0</v>
      </c>
      <c r="BM8" s="670">
        <v>24.088983050847499</v>
      </c>
      <c r="BN8" s="670">
        <v>198.04347826086999</v>
      </c>
      <c r="BO8" s="670">
        <v>24.656757042957398</v>
      </c>
      <c r="BP8" s="670">
        <v>18.308107166803701</v>
      </c>
      <c r="BQ8" s="738">
        <v>18.366336633663401</v>
      </c>
      <c r="BR8" s="737">
        <f t="shared" ref="BR8:BR84" si="18">AR8</f>
        <v>0</v>
      </c>
      <c r="BS8" s="670">
        <v>21.340090090090101</v>
      </c>
      <c r="BT8" s="670">
        <v>59.3098958333333</v>
      </c>
      <c r="BU8" s="670">
        <v>21.8971197871046</v>
      </c>
      <c r="BV8" s="670">
        <v>15.649971332448199</v>
      </c>
      <c r="BW8" s="738">
        <v>17.207792207792199</v>
      </c>
      <c r="BX8" s="737">
        <f t="shared" ref="BX8:BX84" si="19">AX8</f>
        <v>0</v>
      </c>
      <c r="BY8" s="670">
        <v>9.9573483267269101</v>
      </c>
      <c r="BZ8" s="670"/>
      <c r="CA8" s="670">
        <v>14.827128694622299</v>
      </c>
      <c r="CB8" s="670">
        <v>10.0353539604855</v>
      </c>
      <c r="CC8" s="738">
        <v>9.4322991306432105</v>
      </c>
      <c r="CD8" s="737"/>
      <c r="CE8" s="670"/>
      <c r="CF8" s="670"/>
      <c r="CG8" s="670"/>
      <c r="CH8" s="670"/>
      <c r="CI8" s="738"/>
    </row>
    <row r="9" spans="1:87" ht="14.25" customHeight="1">
      <c r="A9" s="9"/>
      <c r="B9" s="9"/>
      <c r="C9" s="9" t="s">
        <v>758</v>
      </c>
      <c r="D9" s="9"/>
      <c r="E9" s="618">
        <f>AVERAGE(L81:L86)</f>
        <v>29.407748639323383</v>
      </c>
      <c r="F9" s="618">
        <f>AVERAGE(R81:R86)</f>
        <v>29.401896512258464</v>
      </c>
      <c r="G9" s="618">
        <f>AVERAGE(X81:X86)</f>
        <v>20.989155226278683</v>
      </c>
      <c r="H9" s="618">
        <f>AVERAGE(AD81:AD86)</f>
        <v>25.24209484774445</v>
      </c>
      <c r="I9" s="64">
        <f>IF(I8=4,1,I8+1)</f>
        <v>1</v>
      </c>
      <c r="J9" s="3">
        <f t="shared" ref="J9:J85" si="20">IF(I9=1,J8+1,J8)</f>
        <v>2007</v>
      </c>
      <c r="K9" s="258" t="str">
        <f t="shared" si="11"/>
        <v>1Q07</v>
      </c>
      <c r="L9" s="737"/>
      <c r="M9" s="670"/>
      <c r="N9" s="670"/>
      <c r="O9" s="670"/>
      <c r="P9" s="670"/>
      <c r="Q9" s="738">
        <v>21.370808678501</v>
      </c>
      <c r="R9" s="737"/>
      <c r="S9" s="670"/>
      <c r="T9" s="670"/>
      <c r="U9" s="670"/>
      <c r="V9" s="670"/>
      <c r="W9" s="738">
        <v>17.014761306532701</v>
      </c>
      <c r="X9" s="737"/>
      <c r="Y9" s="670"/>
      <c r="Z9" s="670"/>
      <c r="AA9" s="670"/>
      <c r="AB9" s="670"/>
      <c r="AC9" s="738">
        <v>9.5919862356104399</v>
      </c>
      <c r="AD9" s="670"/>
      <c r="AE9" s="670"/>
      <c r="AF9" s="670"/>
      <c r="AG9" s="670"/>
      <c r="AH9" s="670"/>
      <c r="AI9" s="738"/>
      <c r="AJ9" s="9"/>
      <c r="AK9" s="258" t="str">
        <f t="shared" si="12"/>
        <v>1Q07</v>
      </c>
      <c r="AL9" s="737">
        <f t="shared" si="13"/>
        <v>0</v>
      </c>
      <c r="AM9" s="670">
        <v>33.7378642338589</v>
      </c>
      <c r="AN9" s="670">
        <v>65.206127397706098</v>
      </c>
      <c r="AO9" s="670">
        <v>25.3105590062112</v>
      </c>
      <c r="AP9" s="670">
        <v>21.441532278677698</v>
      </c>
      <c r="AQ9" s="738"/>
      <c r="AR9" s="737">
        <f t="shared" si="14"/>
        <v>0</v>
      </c>
      <c r="AS9" s="670">
        <v>27.5903136165145</v>
      </c>
      <c r="AT9" s="670">
        <v>17.0317268699309</v>
      </c>
      <c r="AU9" s="670">
        <v>18.744250229990801</v>
      </c>
      <c r="AV9" s="670">
        <v>20.404834996162698</v>
      </c>
      <c r="AW9" s="738"/>
      <c r="AX9" s="737">
        <f t="shared" si="15"/>
        <v>0</v>
      </c>
      <c r="AY9" s="670">
        <v>15.4589819476129</v>
      </c>
      <c r="AZ9" s="670">
        <v>9.6315659597678493</v>
      </c>
      <c r="BA9" s="670">
        <v>16.510245053120101</v>
      </c>
      <c r="BB9" s="670">
        <v>12.6637918478585</v>
      </c>
      <c r="BC9" s="738">
        <v>10.578875904655099</v>
      </c>
      <c r="BD9" s="737"/>
      <c r="BE9" s="670"/>
      <c r="BF9" s="670"/>
      <c r="BG9" s="670"/>
      <c r="BH9" s="670"/>
      <c r="BI9" s="738"/>
      <c r="BJ9" s="9"/>
      <c r="BK9" s="258" t="str">
        <f t="shared" si="16"/>
        <v>1Q07</v>
      </c>
      <c r="BL9" s="737">
        <f t="shared" si="17"/>
        <v>0</v>
      </c>
      <c r="BM9" s="670">
        <v>22.662037037036999</v>
      </c>
      <c r="BN9" s="670">
        <v>171.07142857142901</v>
      </c>
      <c r="BO9" s="670">
        <v>18.492949119205299</v>
      </c>
      <c r="BP9" s="670">
        <v>16.853791886242298</v>
      </c>
      <c r="BQ9" s="738">
        <v>16.5206812652068</v>
      </c>
      <c r="BR9" s="737">
        <f t="shared" si="18"/>
        <v>0</v>
      </c>
      <c r="BS9" s="670">
        <v>19.627105052125099</v>
      </c>
      <c r="BT9" s="670">
        <v>55.439814814814802</v>
      </c>
      <c r="BU9" s="670">
        <v>16.882922110036301</v>
      </c>
      <c r="BV9" s="670">
        <v>14.339053379060401</v>
      </c>
      <c r="BW9" s="738">
        <v>15.68853974122</v>
      </c>
      <c r="BX9" s="737">
        <f t="shared" si="19"/>
        <v>0</v>
      </c>
      <c r="BY9" s="670">
        <v>7.8904420478266601</v>
      </c>
      <c r="BZ9" s="670"/>
      <c r="CA9" s="670">
        <v>10.898874644551899</v>
      </c>
      <c r="CB9" s="670">
        <v>9.5320641300941595</v>
      </c>
      <c r="CC9" s="738">
        <v>8.65171889647252</v>
      </c>
      <c r="CD9" s="737"/>
      <c r="CE9" s="670"/>
      <c r="CF9" s="670"/>
      <c r="CG9" s="670"/>
      <c r="CH9" s="670"/>
      <c r="CI9" s="738"/>
    </row>
    <row r="10" spans="1:87" ht="14.25" customHeight="1">
      <c r="A10" s="9"/>
      <c r="B10" s="9"/>
      <c r="C10" s="9" t="s">
        <v>760</v>
      </c>
      <c r="D10" s="9"/>
      <c r="E10" s="618">
        <f>AVERAGE(L77:L86)</f>
        <v>30.975082287067941</v>
      </c>
      <c r="F10" s="618">
        <f>AVERAGE(R77:R86)</f>
        <v>28.93124571671806</v>
      </c>
      <c r="G10" s="618">
        <f>AVERAGE(X77:X86)</f>
        <v>22.843758432016717</v>
      </c>
      <c r="H10" s="618">
        <f>AVERAGE(AD77:AD86)</f>
        <v>24.780463092026817</v>
      </c>
      <c r="I10" s="64">
        <f>IF(I9+1=5,1,I9+1)</f>
        <v>2</v>
      </c>
      <c r="J10" s="3">
        <f t="shared" si="20"/>
        <v>2007</v>
      </c>
      <c r="K10" s="258" t="str">
        <f t="shared" si="11"/>
        <v>2Q07</v>
      </c>
      <c r="L10" s="737"/>
      <c r="M10" s="670"/>
      <c r="N10" s="670"/>
      <c r="O10" s="670"/>
      <c r="P10" s="670"/>
      <c r="Q10" s="738">
        <v>24.905222437137301</v>
      </c>
      <c r="R10" s="737"/>
      <c r="S10" s="670"/>
      <c r="T10" s="670"/>
      <c r="U10" s="670"/>
      <c r="V10" s="670"/>
      <c r="W10" s="738">
        <v>18.668986515876501</v>
      </c>
      <c r="X10" s="737"/>
      <c r="Y10" s="670"/>
      <c r="Z10" s="670"/>
      <c r="AA10" s="670"/>
      <c r="AB10" s="670"/>
      <c r="AC10" s="738">
        <v>11.0098706992527</v>
      </c>
      <c r="AD10" s="670"/>
      <c r="AE10" s="670"/>
      <c r="AF10" s="670"/>
      <c r="AG10" s="670"/>
      <c r="AH10" s="670"/>
      <c r="AI10" s="738"/>
      <c r="AJ10" s="9"/>
      <c r="AK10" s="258" t="str">
        <f t="shared" si="12"/>
        <v>2Q07</v>
      </c>
      <c r="AL10" s="737">
        <f t="shared" si="13"/>
        <v>0</v>
      </c>
      <c r="AM10" s="670">
        <v>28.240174554882401</v>
      </c>
      <c r="AN10" s="670">
        <v>61.521475380223102</v>
      </c>
      <c r="AO10" s="670">
        <v>15.668449197860999</v>
      </c>
      <c r="AP10" s="670">
        <v>15.640384615384599</v>
      </c>
      <c r="AQ10" s="738"/>
      <c r="AR10" s="737">
        <f t="shared" si="14"/>
        <v>0</v>
      </c>
      <c r="AS10" s="670">
        <v>25.460629921259802</v>
      </c>
      <c r="AT10" s="670">
        <v>17.211126753747301</v>
      </c>
      <c r="AU10" s="670">
        <v>13.5710977304308</v>
      </c>
      <c r="AV10" s="670">
        <v>15.6947124662293</v>
      </c>
      <c r="AW10" s="738"/>
      <c r="AX10" s="737">
        <f t="shared" si="15"/>
        <v>0</v>
      </c>
      <c r="AY10" s="670">
        <v>14.158169978354501</v>
      </c>
      <c r="AZ10" s="670">
        <v>9.5083560163820504</v>
      </c>
      <c r="BA10" s="670">
        <v>8.8106054983290107</v>
      </c>
      <c r="BB10" s="670">
        <v>9.70905162045044</v>
      </c>
      <c r="BC10" s="738">
        <v>6.7470807153880097</v>
      </c>
      <c r="BD10" s="737"/>
      <c r="BE10" s="670"/>
      <c r="BF10" s="670"/>
      <c r="BG10" s="670"/>
      <c r="BH10" s="670"/>
      <c r="BI10" s="738"/>
      <c r="BJ10" s="9"/>
      <c r="BK10" s="258" t="str">
        <f t="shared" si="16"/>
        <v>2Q07</v>
      </c>
      <c r="BL10" s="737">
        <f t="shared" si="17"/>
        <v>0</v>
      </c>
      <c r="BM10" s="670">
        <v>17.073394495412799</v>
      </c>
      <c r="BN10" s="670">
        <v>77.033898305084804</v>
      </c>
      <c r="BO10" s="670">
        <v>14.902419503144699</v>
      </c>
      <c r="BP10" s="670">
        <v>10.058718431346</v>
      </c>
      <c r="BQ10" s="738">
        <v>13.45</v>
      </c>
      <c r="BR10" s="737">
        <f t="shared" si="18"/>
        <v>0</v>
      </c>
      <c r="BS10" s="670">
        <v>18.371174728529098</v>
      </c>
      <c r="BT10" s="670">
        <v>42.6360225140713</v>
      </c>
      <c r="BU10" s="670">
        <v>14.395411306196801</v>
      </c>
      <c r="BV10" s="670">
        <v>10.177874029743</v>
      </c>
      <c r="BW10" s="738">
        <v>12.8503184713376</v>
      </c>
      <c r="BX10" s="737">
        <f t="shared" si="19"/>
        <v>0</v>
      </c>
      <c r="BY10" s="670">
        <v>6.2963293631215604</v>
      </c>
      <c r="BZ10" s="670"/>
      <c r="CA10" s="670">
        <v>9.2373047125244803</v>
      </c>
      <c r="CB10" s="670">
        <v>6.1883074259171602</v>
      </c>
      <c r="CC10" s="738">
        <v>7.0093251329130304</v>
      </c>
      <c r="CD10" s="737"/>
      <c r="CE10" s="670"/>
      <c r="CF10" s="670"/>
      <c r="CG10" s="670"/>
      <c r="CH10" s="670"/>
      <c r="CI10" s="738"/>
    </row>
    <row r="11" spans="1:87" ht="14.25" customHeight="1">
      <c r="A11" s="9"/>
      <c r="B11" s="9"/>
      <c r="C11" s="9" t="s">
        <v>755</v>
      </c>
      <c r="D11" s="9"/>
      <c r="E11" s="618">
        <f>AVERAGE(L73:L86)</f>
        <v>29.884399708442512</v>
      </c>
      <c r="F11" s="618">
        <f>AVERAGE(R73:R86)</f>
        <v>26.527090072714724</v>
      </c>
      <c r="G11" s="618">
        <f>AVERAGE(X73:X86)</f>
        <v>21.292475689387427</v>
      </c>
      <c r="H11" s="618">
        <f>AVERAGE(AD73:AD86)</f>
        <v>22.533825679401108</v>
      </c>
      <c r="I11" s="64">
        <f>IF(I10=4,1,I10+1)</f>
        <v>3</v>
      </c>
      <c r="J11" s="3">
        <f t="shared" si="20"/>
        <v>2007</v>
      </c>
      <c r="K11" s="258" t="str">
        <f t="shared" si="11"/>
        <v>3Q07</v>
      </c>
      <c r="L11" s="737"/>
      <c r="M11" s="670"/>
      <c r="N11" s="670"/>
      <c r="O11" s="670"/>
      <c r="P11" s="670"/>
      <c r="Q11" s="738">
        <v>24.241444866920201</v>
      </c>
      <c r="R11" s="737"/>
      <c r="S11" s="670"/>
      <c r="T11" s="670"/>
      <c r="U11" s="670"/>
      <c r="V11" s="670"/>
      <c r="W11" s="738">
        <v>18.307250538406301</v>
      </c>
      <c r="X11" s="737"/>
      <c r="Y11" s="670"/>
      <c r="Z11" s="670"/>
      <c r="AA11" s="670"/>
      <c r="AB11" s="670"/>
      <c r="AC11" s="738">
        <v>9.1267811652228108</v>
      </c>
      <c r="AD11" s="670"/>
      <c r="AE11" s="670"/>
      <c r="AF11" s="670"/>
      <c r="AG11" s="670"/>
      <c r="AH11" s="670"/>
      <c r="AI11" s="738"/>
      <c r="AJ11" s="9"/>
      <c r="AK11" s="258" t="str">
        <f t="shared" si="12"/>
        <v>3Q07</v>
      </c>
      <c r="AL11" s="737">
        <f t="shared" si="13"/>
        <v>0</v>
      </c>
      <c r="AM11" s="670">
        <v>22.470817037238</v>
      </c>
      <c r="AN11" s="670">
        <v>38.275667123239401</v>
      </c>
      <c r="AO11" s="670">
        <v>16.6216216216216</v>
      </c>
      <c r="AP11" s="670">
        <v>15.0037807183365</v>
      </c>
      <c r="AQ11" s="738"/>
      <c r="AR11" s="737">
        <f t="shared" si="14"/>
        <v>0</v>
      </c>
      <c r="AS11" s="670">
        <v>22.647058823529399</v>
      </c>
      <c r="AT11" s="670">
        <v>14.7843172547043</v>
      </c>
      <c r="AU11" s="670">
        <v>14.5047169811321</v>
      </c>
      <c r="AV11" s="670">
        <v>15.3283120896099</v>
      </c>
      <c r="AW11" s="738"/>
      <c r="AX11" s="737">
        <f t="shared" si="15"/>
        <v>0</v>
      </c>
      <c r="AY11" s="670">
        <v>12.438216454011799</v>
      </c>
      <c r="AZ11" s="670">
        <v>12.8718399686108</v>
      </c>
      <c r="BA11" s="670">
        <v>9.5505458050116392</v>
      </c>
      <c r="BB11" s="670">
        <v>9.3855530309703301</v>
      </c>
      <c r="BC11" s="738">
        <v>5.7445343172853498</v>
      </c>
      <c r="BD11" s="737"/>
      <c r="BE11" s="670"/>
      <c r="BF11" s="670"/>
      <c r="BG11" s="670"/>
      <c r="BH11" s="670"/>
      <c r="BI11" s="738"/>
      <c r="BJ11" s="9"/>
      <c r="BK11" s="258" t="str">
        <f t="shared" si="16"/>
        <v>3Q07</v>
      </c>
      <c r="BL11" s="737">
        <f t="shared" si="17"/>
        <v>0</v>
      </c>
      <c r="BM11" s="670">
        <v>19.878260869565199</v>
      </c>
      <c r="BN11" s="670">
        <v>33.713235294117602</v>
      </c>
      <c r="BO11" s="670">
        <v>15.5009745629139</v>
      </c>
      <c r="BP11" s="670">
        <v>11.424029243356999</v>
      </c>
      <c r="BQ11" s="738">
        <v>14.0772727272727</v>
      </c>
      <c r="BR11" s="737">
        <f t="shared" si="18"/>
        <v>0</v>
      </c>
      <c r="BS11" s="670">
        <v>21.8546845124283</v>
      </c>
      <c r="BT11" s="670">
        <v>19.362331081081098</v>
      </c>
      <c r="BU11" s="670">
        <v>15.470238988764001</v>
      </c>
      <c r="BV11" s="670">
        <v>11.4012267897774</v>
      </c>
      <c r="BW11" s="738">
        <v>14.0581025873808</v>
      </c>
      <c r="BX11" s="737">
        <f t="shared" si="19"/>
        <v>0</v>
      </c>
      <c r="BY11" s="670">
        <v>5.6028124647543498</v>
      </c>
      <c r="BZ11" s="670"/>
      <c r="CA11" s="670">
        <v>10.262349948648</v>
      </c>
      <c r="CB11" s="670">
        <v>7.1636422617175199</v>
      </c>
      <c r="CC11" s="738">
        <v>7.5613132749682803</v>
      </c>
      <c r="CD11" s="737"/>
      <c r="CE11" s="670"/>
      <c r="CF11" s="670"/>
      <c r="CG11" s="670"/>
      <c r="CH11" s="670"/>
      <c r="CI11" s="738"/>
    </row>
    <row r="12" spans="1:87" ht="14.25" customHeight="1">
      <c r="A12" s="9"/>
      <c r="B12" s="9"/>
      <c r="C12" s="9" t="s">
        <v>761</v>
      </c>
      <c r="D12" s="9"/>
      <c r="E12" s="618">
        <f>AVERAGE(L65:L86)</f>
        <v>28.518769177279864</v>
      </c>
      <c r="F12" s="618">
        <f>AVERAGE(R65:R86)</f>
        <v>27.743013857757433</v>
      </c>
      <c r="G12" s="618">
        <f>AVERAGE(X65:X86)</f>
        <v>22.985904262527118</v>
      </c>
      <c r="H12" s="618">
        <f>AVERAGE(AD65:AD86)</f>
        <v>24.684788846659774</v>
      </c>
      <c r="I12" s="64">
        <f>I8</f>
        <v>4</v>
      </c>
      <c r="J12" s="3">
        <f t="shared" si="20"/>
        <v>2007</v>
      </c>
      <c r="K12" s="258" t="str">
        <f t="shared" si="11"/>
        <v>4Q07</v>
      </c>
      <c r="L12" s="737"/>
      <c r="M12" s="670"/>
      <c r="N12" s="670"/>
      <c r="O12" s="670"/>
      <c r="P12" s="670"/>
      <c r="Q12" s="738">
        <v>21.012522361359601</v>
      </c>
      <c r="R12" s="737"/>
      <c r="S12" s="670"/>
      <c r="T12" s="670"/>
      <c r="U12" s="670"/>
      <c r="V12" s="670"/>
      <c r="W12" s="738">
        <v>17.2913293095834</v>
      </c>
      <c r="X12" s="737"/>
      <c r="Y12" s="670"/>
      <c r="Z12" s="670"/>
      <c r="AA12" s="670"/>
      <c r="AB12" s="670"/>
      <c r="AC12" s="738">
        <v>9.5145075162650805</v>
      </c>
      <c r="AD12" s="670"/>
      <c r="AE12" s="670"/>
      <c r="AF12" s="670"/>
      <c r="AG12" s="670"/>
      <c r="AH12" s="670"/>
      <c r="AI12" s="738"/>
      <c r="AJ12" s="9"/>
      <c r="AK12" s="258" t="str">
        <f t="shared" si="12"/>
        <v>4Q07</v>
      </c>
      <c r="AL12" s="737">
        <f t="shared" si="13"/>
        <v>0</v>
      </c>
      <c r="AM12" s="670">
        <v>18.1488548131938</v>
      </c>
      <c r="AN12" s="670">
        <v>13.8276219685405</v>
      </c>
      <c r="AO12" s="670">
        <v>16.211428571428598</v>
      </c>
      <c r="AP12" s="670">
        <v>10.4695817490494</v>
      </c>
      <c r="AQ12" s="738"/>
      <c r="AR12" s="737">
        <f t="shared" si="14"/>
        <v>0</v>
      </c>
      <c r="AS12" s="670">
        <v>21.5940054495913</v>
      </c>
      <c r="AT12" s="670">
        <v>20.175185023328101</v>
      </c>
      <c r="AU12" s="670">
        <v>16.455916473317899</v>
      </c>
      <c r="AV12" s="670">
        <v>10.935266084193801</v>
      </c>
      <c r="AW12" s="738"/>
      <c r="AX12" s="737">
        <f t="shared" si="15"/>
        <v>0</v>
      </c>
      <c r="AY12" s="670">
        <v>10.3640936852251</v>
      </c>
      <c r="AZ12" s="670">
        <v>10.863550802600701</v>
      </c>
      <c r="BA12" s="670">
        <v>9.7585633130094198</v>
      </c>
      <c r="BB12" s="670">
        <v>7.4360441182740997</v>
      </c>
      <c r="BC12" s="738">
        <v>5.3877467970278898</v>
      </c>
      <c r="BD12" s="737"/>
      <c r="BE12" s="670"/>
      <c r="BF12" s="670"/>
      <c r="BG12" s="670"/>
      <c r="BH12" s="670"/>
      <c r="BI12" s="738"/>
      <c r="BJ12" s="9"/>
      <c r="BK12" s="258" t="str">
        <f t="shared" si="16"/>
        <v>4Q07</v>
      </c>
      <c r="BL12" s="737">
        <f t="shared" si="17"/>
        <v>0</v>
      </c>
      <c r="BM12" s="670">
        <v>20.163934426229499</v>
      </c>
      <c r="BN12" s="670">
        <v>21.811111111111099</v>
      </c>
      <c r="BO12" s="670">
        <v>16.562101824324301</v>
      </c>
      <c r="BP12" s="670">
        <v>10.874209654104501</v>
      </c>
      <c r="BQ12" s="738">
        <v>12.84</v>
      </c>
      <c r="BR12" s="737">
        <f t="shared" si="18"/>
        <v>0</v>
      </c>
      <c r="BS12" s="670">
        <v>21.8278615794144</v>
      </c>
      <c r="BT12" s="670">
        <v>16.523569023568999</v>
      </c>
      <c r="BU12" s="670">
        <v>15.253211387678901</v>
      </c>
      <c r="BV12" s="670">
        <v>12.452401747198699</v>
      </c>
      <c r="BW12" s="738">
        <v>12.3093310609288</v>
      </c>
      <c r="BX12" s="737">
        <f t="shared" si="19"/>
        <v>0</v>
      </c>
      <c r="BY12" s="670">
        <v>6.9375454261654701</v>
      </c>
      <c r="BZ12" s="670"/>
      <c r="CA12" s="670">
        <v>10.9533057003254</v>
      </c>
      <c r="CB12" s="670">
        <v>6.9655827047635199</v>
      </c>
      <c r="CC12" s="738">
        <v>7.0399312759850696</v>
      </c>
      <c r="CD12" s="737"/>
      <c r="CE12" s="670"/>
      <c r="CF12" s="670"/>
      <c r="CG12" s="670"/>
      <c r="CH12" s="670"/>
      <c r="CI12" s="738"/>
    </row>
    <row r="13" spans="1:87" ht="14.25" customHeight="1">
      <c r="A13" s="9"/>
      <c r="B13" s="9"/>
      <c r="C13" s="736" t="s">
        <v>789</v>
      </c>
      <c r="D13" s="736"/>
      <c r="E13" s="736"/>
      <c r="F13" s="736"/>
      <c r="G13" s="736"/>
      <c r="H13" s="736"/>
      <c r="I13" s="64">
        <f>IF(I12=4,1,I12+1)</f>
        <v>1</v>
      </c>
      <c r="J13" s="3">
        <f t="shared" si="20"/>
        <v>2008</v>
      </c>
      <c r="K13" s="258" t="str">
        <f t="shared" si="11"/>
        <v>1Q08</v>
      </c>
      <c r="L13" s="737"/>
      <c r="M13" s="670"/>
      <c r="N13" s="670"/>
      <c r="O13" s="670"/>
      <c r="P13" s="670"/>
      <c r="Q13" s="738">
        <v>16.2616487455197</v>
      </c>
      <c r="R13" s="737"/>
      <c r="S13" s="670"/>
      <c r="T13" s="670"/>
      <c r="U13" s="670"/>
      <c r="V13" s="670"/>
      <c r="W13" s="738">
        <v>12.673184357541899</v>
      </c>
      <c r="X13" s="737"/>
      <c r="Y13" s="670"/>
      <c r="Z13" s="670"/>
      <c r="AA13" s="670"/>
      <c r="AB13" s="670"/>
      <c r="AC13" s="738">
        <v>8.1593557209534495</v>
      </c>
      <c r="AD13" s="670"/>
      <c r="AE13" s="670"/>
      <c r="AF13" s="670"/>
      <c r="AG13" s="670"/>
      <c r="AH13" s="670"/>
      <c r="AI13" s="738"/>
      <c r="AJ13" s="9"/>
      <c r="AK13" s="258" t="str">
        <f t="shared" si="12"/>
        <v>1Q08</v>
      </c>
      <c r="AL13" s="737">
        <f t="shared" si="13"/>
        <v>0</v>
      </c>
      <c r="AM13" s="670">
        <v>18.0189389708436</v>
      </c>
      <c r="AN13" s="670">
        <v>14.365974350033699</v>
      </c>
      <c r="AO13" s="670">
        <v>20.147239263803701</v>
      </c>
      <c r="AP13" s="670">
        <v>14.105058365758801</v>
      </c>
      <c r="AQ13" s="738"/>
      <c r="AR13" s="737">
        <f t="shared" si="14"/>
        <v>0</v>
      </c>
      <c r="AS13" s="670">
        <v>20.6736201651456</v>
      </c>
      <c r="AT13" s="670">
        <v>19.424412156575698</v>
      </c>
      <c r="AU13" s="670">
        <v>18.960739030023099</v>
      </c>
      <c r="AV13" s="670">
        <v>14.905427631578901</v>
      </c>
      <c r="AW13" s="738"/>
      <c r="AX13" s="737">
        <f t="shared" si="15"/>
        <v>0</v>
      </c>
      <c r="AY13" s="670">
        <v>10.3669599181416</v>
      </c>
      <c r="AZ13" s="670">
        <v>11.1857641603841</v>
      </c>
      <c r="BA13" s="670">
        <v>10.7758521211248</v>
      </c>
      <c r="BB13" s="670">
        <v>9.5850161557941806</v>
      </c>
      <c r="BC13" s="738">
        <v>5.6929665138237198</v>
      </c>
      <c r="BD13" s="737"/>
      <c r="BE13" s="670"/>
      <c r="BF13" s="670"/>
      <c r="BG13" s="670"/>
      <c r="BH13" s="670"/>
      <c r="BI13" s="738"/>
      <c r="BJ13" s="9"/>
      <c r="BK13" s="258" t="str">
        <f t="shared" si="16"/>
        <v>1Q08</v>
      </c>
      <c r="BL13" s="737">
        <f t="shared" si="17"/>
        <v>0</v>
      </c>
      <c r="BM13" s="670">
        <v>18.491694352159499</v>
      </c>
      <c r="BN13" s="670">
        <v>20.043859649122801</v>
      </c>
      <c r="BO13" s="670">
        <v>19.4145705295775</v>
      </c>
      <c r="BP13" s="670">
        <v>15.1250091313676</v>
      </c>
      <c r="BQ13" s="738">
        <v>15.635761589404</v>
      </c>
      <c r="BR13" s="737">
        <f t="shared" si="18"/>
        <v>0</v>
      </c>
      <c r="BS13" s="670">
        <v>24.498239436619698</v>
      </c>
      <c r="BT13" s="670">
        <v>19.664371772805499</v>
      </c>
      <c r="BU13" s="670">
        <v>17.284445236363599</v>
      </c>
      <c r="BV13" s="670">
        <v>16.4381128180137</v>
      </c>
      <c r="BW13" s="738">
        <v>15.291450777202099</v>
      </c>
      <c r="BX13" s="737">
        <f t="shared" si="19"/>
        <v>0</v>
      </c>
      <c r="BY13" s="670">
        <v>7.8802383832311698</v>
      </c>
      <c r="BZ13" s="670"/>
      <c r="CA13" s="670">
        <v>12.503325778467699</v>
      </c>
      <c r="CB13" s="670">
        <v>9.0789445856969593</v>
      </c>
      <c r="CC13" s="738">
        <v>8.2831119078969699</v>
      </c>
      <c r="CD13" s="737"/>
      <c r="CE13" s="670"/>
      <c r="CF13" s="670"/>
      <c r="CG13" s="670"/>
      <c r="CH13" s="670"/>
      <c r="CI13" s="738"/>
    </row>
    <row r="14" spans="1:87" ht="14.25" customHeight="1">
      <c r="A14" s="9"/>
      <c r="B14" s="9"/>
      <c r="C14" s="64"/>
      <c r="D14" s="9"/>
      <c r="E14" s="64" t="s">
        <v>784</v>
      </c>
      <c r="F14" s="64" t="s">
        <v>785</v>
      </c>
      <c r="G14" s="64" t="s">
        <v>786</v>
      </c>
      <c r="H14" s="64" t="s">
        <v>787</v>
      </c>
      <c r="I14" s="64">
        <f>IF(I13+1=5,1,I13+1)</f>
        <v>2</v>
      </c>
      <c r="J14" s="3">
        <f t="shared" si="20"/>
        <v>2008</v>
      </c>
      <c r="K14" s="258" t="str">
        <f t="shared" si="11"/>
        <v>2Q08</v>
      </c>
      <c r="L14" s="737"/>
      <c r="M14" s="670"/>
      <c r="N14" s="670"/>
      <c r="O14" s="670"/>
      <c r="P14" s="670"/>
      <c r="Q14" s="738">
        <v>16.524770642201801</v>
      </c>
      <c r="R14" s="737"/>
      <c r="S14" s="670"/>
      <c r="T14" s="670"/>
      <c r="U14" s="670"/>
      <c r="V14" s="670"/>
      <c r="W14" s="738">
        <v>12.9676025917927</v>
      </c>
      <c r="X14" s="737"/>
      <c r="Y14" s="670"/>
      <c r="Z14" s="670"/>
      <c r="AA14" s="670"/>
      <c r="AB14" s="670"/>
      <c r="AC14" s="738">
        <v>9.1572861957836498</v>
      </c>
      <c r="AD14" s="670"/>
      <c r="AE14" s="670"/>
      <c r="AF14" s="670"/>
      <c r="AG14" s="670"/>
      <c r="AH14" s="670"/>
      <c r="AI14" s="738"/>
      <c r="AJ14" s="9"/>
      <c r="AK14" s="258" t="str">
        <f t="shared" si="12"/>
        <v>2Q08</v>
      </c>
      <c r="AL14" s="737">
        <f t="shared" si="13"/>
        <v>0</v>
      </c>
      <c r="AM14" s="670">
        <v>17.481060195594502</v>
      </c>
      <c r="AN14" s="670">
        <v>15.522261708394099</v>
      </c>
      <c r="AO14" s="670">
        <v>18.6666666666667</v>
      </c>
      <c r="AP14" s="670">
        <v>15.4574257425743</v>
      </c>
      <c r="AQ14" s="738"/>
      <c r="AR14" s="737">
        <f t="shared" si="14"/>
        <v>0</v>
      </c>
      <c r="AS14" s="670">
        <v>19.755993150684901</v>
      </c>
      <c r="AT14" s="670">
        <v>18.1815152343096</v>
      </c>
      <c r="AU14" s="670">
        <v>16.147635524798201</v>
      </c>
      <c r="AV14" s="670">
        <v>15.731559854897201</v>
      </c>
      <c r="AW14" s="738"/>
      <c r="AX14" s="737">
        <f t="shared" si="15"/>
        <v>0</v>
      </c>
      <c r="AY14" s="670">
        <v>10.126900781465899</v>
      </c>
      <c r="AZ14" s="670">
        <v>10.116232479017301</v>
      </c>
      <c r="BA14" s="670">
        <v>11.263662924116799</v>
      </c>
      <c r="BB14" s="670">
        <v>11.3925268271013</v>
      </c>
      <c r="BC14" s="738">
        <v>6.4459823516460197</v>
      </c>
      <c r="BD14" s="737"/>
      <c r="BE14" s="670"/>
      <c r="BF14" s="670"/>
      <c r="BG14" s="670"/>
      <c r="BH14" s="670"/>
      <c r="BI14" s="738"/>
      <c r="BJ14" s="9"/>
      <c r="BK14" s="258" t="str">
        <f t="shared" si="16"/>
        <v>2Q08</v>
      </c>
      <c r="BL14" s="737">
        <f t="shared" si="17"/>
        <v>0</v>
      </c>
      <c r="BM14" s="670">
        <v>21.9936102236422</v>
      </c>
      <c r="BN14" s="670">
        <v>19.817843866171</v>
      </c>
      <c r="BO14" s="670">
        <v>20.3226270304026</v>
      </c>
      <c r="BP14" s="670">
        <v>15.776895731784901</v>
      </c>
      <c r="BQ14" s="738">
        <v>16.8366013071895</v>
      </c>
      <c r="BR14" s="737">
        <f t="shared" si="18"/>
        <v>0</v>
      </c>
      <c r="BS14" s="670">
        <v>22.049967969250499</v>
      </c>
      <c r="BT14" s="670">
        <v>20.922291993720599</v>
      </c>
      <c r="BU14" s="670">
        <v>18.2631639477374</v>
      </c>
      <c r="BV14" s="670">
        <v>15.9982552382258</v>
      </c>
      <c r="BW14" s="738">
        <v>16.612209802235601</v>
      </c>
      <c r="BX14" s="737">
        <f t="shared" si="19"/>
        <v>0</v>
      </c>
      <c r="BY14" s="670">
        <v>9.1184251053912302</v>
      </c>
      <c r="BZ14" s="670"/>
      <c r="CA14" s="670">
        <v>19.213044156261599</v>
      </c>
      <c r="CB14" s="670">
        <v>9.1039461729045499</v>
      </c>
      <c r="CC14" s="738">
        <v>9.1789122762902302</v>
      </c>
      <c r="CD14" s="737"/>
      <c r="CE14" s="670"/>
      <c r="CF14" s="670"/>
      <c r="CG14" s="670"/>
      <c r="CH14" s="670"/>
      <c r="CI14" s="738"/>
    </row>
    <row r="15" spans="1:87" ht="14.25" customHeight="1">
      <c r="A15" s="9"/>
      <c r="B15" s="9"/>
      <c r="C15" s="9" t="s">
        <v>790</v>
      </c>
      <c r="D15" s="9"/>
      <c r="E15" s="618">
        <f>AVERAGE(L8:L75)</f>
        <v>27.717656883490882</v>
      </c>
      <c r="F15" s="618">
        <f>AVERAGE(R8:R75)</f>
        <v>26.860221558417134</v>
      </c>
      <c r="G15" s="618">
        <f>AVERAGE(X8:X75)</f>
        <v>22.742861205247934</v>
      </c>
      <c r="H15" s="618">
        <f>AVERAGE(AD8:AD75)</f>
        <v>21.954633903978692</v>
      </c>
      <c r="I15" s="64">
        <f>IF(I14=4,1,I14+1)</f>
        <v>3</v>
      </c>
      <c r="J15" s="3">
        <f t="shared" si="20"/>
        <v>2008</v>
      </c>
      <c r="K15" s="258" t="str">
        <f t="shared" si="11"/>
        <v>3Q08</v>
      </c>
      <c r="L15" s="737"/>
      <c r="M15" s="670"/>
      <c r="N15" s="670"/>
      <c r="O15" s="670"/>
      <c r="P15" s="670"/>
      <c r="Q15" s="738">
        <v>16.737373737373701</v>
      </c>
      <c r="R15" s="737"/>
      <c r="S15" s="670"/>
      <c r="T15" s="670"/>
      <c r="U15" s="670"/>
      <c r="V15" s="670"/>
      <c r="W15" s="738">
        <v>12.471774800541899</v>
      </c>
      <c r="X15" s="737"/>
      <c r="Y15" s="670"/>
      <c r="Z15" s="670"/>
      <c r="AA15" s="670"/>
      <c r="AB15" s="670"/>
      <c r="AC15" s="738">
        <v>8.9893909693048801</v>
      </c>
      <c r="AD15" s="670"/>
      <c r="AE15" s="670"/>
      <c r="AF15" s="670"/>
      <c r="AG15" s="670"/>
      <c r="AH15" s="670"/>
      <c r="AI15" s="738"/>
      <c r="AJ15" s="9"/>
      <c r="AK15" s="258" t="str">
        <f t="shared" si="12"/>
        <v>3Q08</v>
      </c>
      <c r="AL15" s="737">
        <f t="shared" si="13"/>
        <v>0</v>
      </c>
      <c r="AM15" s="670">
        <v>20.078124513820502</v>
      </c>
      <c r="AN15" s="670">
        <v>19.315413680224101</v>
      </c>
      <c r="AO15" s="670">
        <v>17.880952380952401</v>
      </c>
      <c r="AP15" s="670">
        <v>18.0419162535235</v>
      </c>
      <c r="AQ15" s="738"/>
      <c r="AR15" s="737">
        <f t="shared" si="14"/>
        <v>0</v>
      </c>
      <c r="AS15" s="670">
        <v>22.1075268817204</v>
      </c>
      <c r="AT15" s="670">
        <v>20.1782706468125</v>
      </c>
      <c r="AU15" s="670">
        <v>22.7059712773999</v>
      </c>
      <c r="AV15" s="670">
        <v>18.128760529482602</v>
      </c>
      <c r="AW15" s="738"/>
      <c r="AX15" s="737">
        <f t="shared" si="15"/>
        <v>0</v>
      </c>
      <c r="AY15" s="670">
        <v>10.883162475821999</v>
      </c>
      <c r="AZ15" s="670">
        <v>10.544632455636799</v>
      </c>
      <c r="BA15" s="670">
        <v>11.294114858806999</v>
      </c>
      <c r="BB15" s="670">
        <v>12.066726493507501</v>
      </c>
      <c r="BC15" s="738">
        <v>7.7573009425963004</v>
      </c>
      <c r="BD15" s="737"/>
      <c r="BE15" s="670"/>
      <c r="BF15" s="670"/>
      <c r="BG15" s="670"/>
      <c r="BH15" s="670"/>
      <c r="BI15" s="738"/>
      <c r="BJ15" s="9"/>
      <c r="BK15" s="258" t="str">
        <f t="shared" si="16"/>
        <v>3Q08</v>
      </c>
      <c r="BL15" s="737">
        <f t="shared" si="17"/>
        <v>0</v>
      </c>
      <c r="BM15" s="670">
        <v>25.7826086956522</v>
      </c>
      <c r="BN15" s="670">
        <v>24.640151515151501</v>
      </c>
      <c r="BO15" s="670">
        <v>19.212624682247601</v>
      </c>
      <c r="BP15" s="670">
        <v>20.142684472859901</v>
      </c>
      <c r="BQ15" s="738">
        <v>20.206823027718599</v>
      </c>
      <c r="BR15" s="737">
        <f t="shared" si="18"/>
        <v>0</v>
      </c>
      <c r="BS15" s="670">
        <v>26.7117117117117</v>
      </c>
      <c r="BT15" s="670">
        <v>18.660355708548501</v>
      </c>
      <c r="BU15" s="670">
        <v>19.187866219072198</v>
      </c>
      <c r="BV15" s="670">
        <v>20.479692063782899</v>
      </c>
      <c r="BW15" s="738">
        <v>20.328185328185299</v>
      </c>
      <c r="BX15" s="737">
        <f t="shared" si="19"/>
        <v>0</v>
      </c>
      <c r="BY15" s="670">
        <v>10.555738507716701</v>
      </c>
      <c r="BZ15" s="670"/>
      <c r="CA15" s="670">
        <v>12.0164333674176</v>
      </c>
      <c r="CB15" s="670">
        <v>11.1252626809564</v>
      </c>
      <c r="CC15" s="738">
        <v>10.547352379232899</v>
      </c>
      <c r="CD15" s="737"/>
      <c r="CE15" s="670"/>
      <c r="CF15" s="670"/>
      <c r="CG15" s="670"/>
      <c r="CH15" s="670"/>
      <c r="CI15" s="738"/>
    </row>
    <row r="16" spans="1:87" ht="14.25" customHeight="1">
      <c r="A16" s="9"/>
      <c r="B16" s="9"/>
      <c r="C16" s="9" t="s">
        <v>791</v>
      </c>
      <c r="D16" s="9"/>
      <c r="E16" s="618" t="e">
        <f>AVERAGE(E20,E24)</f>
        <v>#DIV/0!</v>
      </c>
      <c r="F16" s="618" t="e">
        <f t="shared" ref="E16:H18" si="21">AVERAGE(F20,F24)</f>
        <v>#DIV/0!</v>
      </c>
      <c r="G16" s="618" t="e">
        <f t="shared" si="21"/>
        <v>#DIV/0!</v>
      </c>
      <c r="H16" s="618" t="e">
        <f t="shared" si="21"/>
        <v>#DIV/0!</v>
      </c>
      <c r="I16" s="64">
        <f>I12</f>
        <v>4</v>
      </c>
      <c r="J16" s="3">
        <f t="shared" si="20"/>
        <v>2008</v>
      </c>
      <c r="K16" s="258" t="str">
        <f t="shared" si="11"/>
        <v>4Q08</v>
      </c>
      <c r="L16" s="737"/>
      <c r="M16" s="670"/>
      <c r="N16" s="670"/>
      <c r="O16" s="670"/>
      <c r="P16" s="670"/>
      <c r="Q16" s="738">
        <v>14.020066889632099</v>
      </c>
      <c r="R16" s="737"/>
      <c r="S16" s="670"/>
      <c r="T16" s="670"/>
      <c r="U16" s="670"/>
      <c r="V16" s="670"/>
      <c r="W16" s="738">
        <v>7.5983324270436796</v>
      </c>
      <c r="X16" s="737"/>
      <c r="Y16" s="670"/>
      <c r="Z16" s="670"/>
      <c r="AA16" s="670"/>
      <c r="AB16" s="670"/>
      <c r="AC16" s="738">
        <v>7.5353623119775301</v>
      </c>
      <c r="AD16" s="670"/>
      <c r="AE16" s="670"/>
      <c r="AF16" s="670"/>
      <c r="AG16" s="670"/>
      <c r="AH16" s="670"/>
      <c r="AI16" s="738"/>
      <c r="AJ16" s="9"/>
      <c r="AK16" s="258" t="str">
        <f t="shared" si="12"/>
        <v>4Q08</v>
      </c>
      <c r="AL16" s="737">
        <f t="shared" si="13"/>
        <v>0</v>
      </c>
      <c r="AM16" s="670">
        <v>17.157894413887298</v>
      </c>
      <c r="AN16" s="670">
        <v>17.964677885175998</v>
      </c>
      <c r="AO16" s="670">
        <v>18.993939393939399</v>
      </c>
      <c r="AP16" s="670">
        <v>17.830339406209301</v>
      </c>
      <c r="AQ16" s="738"/>
      <c r="AR16" s="737">
        <f t="shared" si="14"/>
        <v>0</v>
      </c>
      <c r="AS16" s="670">
        <v>18.046658758402501</v>
      </c>
      <c r="AT16" s="670">
        <v>15.2884330339041</v>
      </c>
      <c r="AU16" s="670">
        <v>24.200772200772199</v>
      </c>
      <c r="AV16" s="670">
        <v>15.957484816005699</v>
      </c>
      <c r="AW16" s="738"/>
      <c r="AX16" s="737">
        <f t="shared" si="15"/>
        <v>0</v>
      </c>
      <c r="AY16" s="670">
        <v>9.4015377156013002</v>
      </c>
      <c r="AZ16" s="670">
        <v>10.175973794278899</v>
      </c>
      <c r="BA16" s="670">
        <v>12.1605676983264</v>
      </c>
      <c r="BB16" s="670">
        <v>12.000659807003</v>
      </c>
      <c r="BC16" s="738">
        <v>8.8729452528333503</v>
      </c>
      <c r="BD16" s="737"/>
      <c r="BE16" s="670"/>
      <c r="BF16" s="670"/>
      <c r="BG16" s="670"/>
      <c r="BH16" s="670"/>
      <c r="BI16" s="738"/>
      <c r="BJ16" s="9"/>
      <c r="BK16" s="258" t="str">
        <f t="shared" si="16"/>
        <v>4Q08</v>
      </c>
      <c r="BL16" s="737">
        <f t="shared" si="17"/>
        <v>0</v>
      </c>
      <c r="BM16" s="670">
        <v>19.718204488778099</v>
      </c>
      <c r="BN16" s="670">
        <v>22.7993421052632</v>
      </c>
      <c r="BO16" s="670">
        <v>18.9273500743124</v>
      </c>
      <c r="BP16" s="670">
        <v>19.892149685577898</v>
      </c>
      <c r="BQ16" s="738">
        <v>18.054393305439302</v>
      </c>
      <c r="BR16" s="737">
        <f t="shared" si="18"/>
        <v>0</v>
      </c>
      <c r="BS16" s="670">
        <v>17.784525416104401</v>
      </c>
      <c r="BT16" s="670">
        <v>17.2756729810568</v>
      </c>
      <c r="BU16" s="670">
        <v>18.698147054174601</v>
      </c>
      <c r="BV16" s="670">
        <v>21.0760513346214</v>
      </c>
      <c r="BW16" s="738">
        <v>16.551591868047598</v>
      </c>
      <c r="BX16" s="737">
        <f t="shared" si="19"/>
        <v>0</v>
      </c>
      <c r="BY16" s="670">
        <v>9.0262166141813296</v>
      </c>
      <c r="BZ16" s="670"/>
      <c r="CA16" s="670">
        <v>11.641835977457299</v>
      </c>
      <c r="CB16" s="670">
        <v>11.3025559147528</v>
      </c>
      <c r="CC16" s="738">
        <v>10.010972737361801</v>
      </c>
      <c r="CD16" s="737"/>
      <c r="CE16" s="670"/>
      <c r="CF16" s="670"/>
      <c r="CG16" s="670"/>
      <c r="CH16" s="670"/>
      <c r="CI16" s="738"/>
    </row>
    <row r="17" spans="1:87" ht="14.25" customHeight="1">
      <c r="A17" s="9"/>
      <c r="B17" s="9"/>
      <c r="C17" s="9" t="s">
        <v>792</v>
      </c>
      <c r="D17" s="9"/>
      <c r="E17" s="618" t="e">
        <f t="shared" si="21"/>
        <v>#DIV/0!</v>
      </c>
      <c r="F17" s="618" t="e">
        <f t="shared" si="21"/>
        <v>#DIV/0!</v>
      </c>
      <c r="G17" s="618" t="e">
        <f t="shared" si="21"/>
        <v>#DIV/0!</v>
      </c>
      <c r="H17" s="618" t="e">
        <f t="shared" si="21"/>
        <v>#DIV/0!</v>
      </c>
      <c r="I17" s="64">
        <f>IF(I16=4,1,I16+1)</f>
        <v>1</v>
      </c>
      <c r="J17" s="3">
        <f t="shared" si="20"/>
        <v>2009</v>
      </c>
      <c r="K17" s="258" t="str">
        <f t="shared" si="11"/>
        <v>1Q09</v>
      </c>
      <c r="L17" s="737"/>
      <c r="M17" s="670"/>
      <c r="N17" s="670"/>
      <c r="O17" s="670"/>
      <c r="P17" s="670"/>
      <c r="Q17" s="738">
        <v>21.1725888324873</v>
      </c>
      <c r="R17" s="737"/>
      <c r="S17" s="670"/>
      <c r="T17" s="670"/>
      <c r="U17" s="670"/>
      <c r="V17" s="670"/>
      <c r="W17" s="738">
        <v>10.8056994818653</v>
      </c>
      <c r="X17" s="737"/>
      <c r="Y17" s="670"/>
      <c r="Z17" s="670"/>
      <c r="AA17" s="670"/>
      <c r="AB17" s="670"/>
      <c r="AC17" s="738">
        <v>8.6865803720317398</v>
      </c>
      <c r="AD17" s="670"/>
      <c r="AE17" s="670"/>
      <c r="AF17" s="670"/>
      <c r="AG17" s="670"/>
      <c r="AH17" s="670"/>
      <c r="AI17" s="738"/>
      <c r="AJ17" s="9"/>
      <c r="AK17" s="258" t="str">
        <f t="shared" si="12"/>
        <v>1Q09</v>
      </c>
      <c r="AL17" s="737">
        <f t="shared" si="13"/>
        <v>0</v>
      </c>
      <c r="AM17" s="670">
        <v>19.1470584543003</v>
      </c>
      <c r="AN17" s="670">
        <v>18.700749834614999</v>
      </c>
      <c r="AO17" s="670">
        <v>22.639240506329099</v>
      </c>
      <c r="AP17" s="670">
        <v>19.022988401484302</v>
      </c>
      <c r="AQ17" s="738">
        <v>24.914772727272702</v>
      </c>
      <c r="AR17" s="737">
        <f t="shared" si="14"/>
        <v>0</v>
      </c>
      <c r="AS17" s="670">
        <v>19.727272727272702</v>
      </c>
      <c r="AT17" s="670">
        <v>16.5025248069106</v>
      </c>
      <c r="AU17" s="670">
        <v>26.437546193643801</v>
      </c>
      <c r="AV17" s="670">
        <v>17.162115451088798</v>
      </c>
      <c r="AW17" s="738"/>
      <c r="AX17" s="737">
        <f t="shared" si="15"/>
        <v>0</v>
      </c>
      <c r="AY17" s="670">
        <v>9.9524539902565294</v>
      </c>
      <c r="AZ17" s="670">
        <v>10.214673565937</v>
      </c>
      <c r="BA17" s="670">
        <v>12.613183018927501</v>
      </c>
      <c r="BB17" s="670">
        <v>12.097290373279501</v>
      </c>
      <c r="BC17" s="738">
        <v>8.0199614628731695</v>
      </c>
      <c r="BD17" s="737"/>
      <c r="BE17" s="670"/>
      <c r="BF17" s="670"/>
      <c r="BG17" s="670"/>
      <c r="BH17" s="670"/>
      <c r="BI17" s="738"/>
      <c r="BJ17" s="9"/>
      <c r="BK17" s="258" t="str">
        <f t="shared" si="16"/>
        <v>1Q09</v>
      </c>
      <c r="BL17" s="737">
        <f t="shared" si="17"/>
        <v>0</v>
      </c>
      <c r="BM17" s="670">
        <v>18.0136054421769</v>
      </c>
      <c r="BN17" s="670">
        <v>18.218181818181801</v>
      </c>
      <c r="BO17" s="670">
        <v>20.093254993699901</v>
      </c>
      <c r="BP17" s="670">
        <v>20.512852509027699</v>
      </c>
      <c r="BQ17" s="738">
        <v>18.295999999999999</v>
      </c>
      <c r="BR17" s="737">
        <f t="shared" si="18"/>
        <v>0</v>
      </c>
      <c r="BS17" s="670">
        <v>14.443636363636401</v>
      </c>
      <c r="BT17" s="670">
        <v>14.955223880597</v>
      </c>
      <c r="BU17" s="670">
        <v>19.8499333078394</v>
      </c>
      <c r="BV17" s="670">
        <v>21.835848005852899</v>
      </c>
      <c r="BW17" s="738">
        <v>17.3652239939256</v>
      </c>
      <c r="BX17" s="737">
        <f t="shared" si="19"/>
        <v>0</v>
      </c>
      <c r="BY17" s="670">
        <v>8.5879729980468706</v>
      </c>
      <c r="BZ17" s="670"/>
      <c r="CA17" s="670">
        <v>13.557481281982801</v>
      </c>
      <c r="CB17" s="670">
        <v>12.8221316954229</v>
      </c>
      <c r="CC17" s="738">
        <v>9.8900476159815405</v>
      </c>
      <c r="CD17" s="737"/>
      <c r="CE17" s="670"/>
      <c r="CF17" s="670"/>
      <c r="CG17" s="670"/>
      <c r="CH17" s="670"/>
      <c r="CI17" s="738"/>
    </row>
    <row r="18" spans="1:87" ht="14.25" customHeight="1">
      <c r="A18" s="9"/>
      <c r="B18" s="9"/>
      <c r="C18" s="9" t="s">
        <v>793</v>
      </c>
      <c r="D18" s="9"/>
      <c r="E18" s="618" t="e">
        <f t="shared" si="21"/>
        <v>#DIV/0!</v>
      </c>
      <c r="F18" s="618" t="e">
        <f t="shared" si="21"/>
        <v>#DIV/0!</v>
      </c>
      <c r="G18" s="618" t="e">
        <f t="shared" si="21"/>
        <v>#DIV/0!</v>
      </c>
      <c r="H18" s="618" t="e">
        <f t="shared" si="21"/>
        <v>#DIV/0!</v>
      </c>
      <c r="I18" s="64">
        <f>IF(I17+1=5,1,I17+1)</f>
        <v>2</v>
      </c>
      <c r="J18" s="3">
        <f t="shared" si="20"/>
        <v>2009</v>
      </c>
      <c r="K18" s="258" t="str">
        <f t="shared" si="11"/>
        <v>2Q09</v>
      </c>
      <c r="L18" s="737"/>
      <c r="M18" s="670"/>
      <c r="N18" s="670"/>
      <c r="O18" s="670"/>
      <c r="P18" s="670"/>
      <c r="Q18" s="738">
        <v>54.235070210136399</v>
      </c>
      <c r="R18" s="737"/>
      <c r="S18" s="670"/>
      <c r="T18" s="670"/>
      <c r="U18" s="670"/>
      <c r="V18" s="670"/>
      <c r="W18" s="738">
        <v>14.0861776809489</v>
      </c>
      <c r="X18" s="737"/>
      <c r="Y18" s="670"/>
      <c r="Z18" s="670"/>
      <c r="AA18" s="670"/>
      <c r="AB18" s="670"/>
      <c r="AC18" s="738">
        <v>12.7841908437181</v>
      </c>
      <c r="AD18" s="670"/>
      <c r="AE18" s="670"/>
      <c r="AF18" s="670"/>
      <c r="AG18" s="670"/>
      <c r="AH18" s="670"/>
      <c r="AI18" s="738"/>
      <c r="AJ18" s="9"/>
      <c r="AK18" s="258" t="str">
        <f t="shared" si="12"/>
        <v>2Q09</v>
      </c>
      <c r="AL18" s="737">
        <f t="shared" si="13"/>
        <v>0</v>
      </c>
      <c r="AM18" s="670">
        <v>20.283636187782001</v>
      </c>
      <c r="AN18" s="670">
        <v>17.005201226041201</v>
      </c>
      <c r="AO18" s="670">
        <v>24.346153846153801</v>
      </c>
      <c r="AP18" s="670">
        <v>18.768382056819298</v>
      </c>
      <c r="AQ18" s="738">
        <v>25.539772727272702</v>
      </c>
      <c r="AR18" s="737">
        <f t="shared" si="14"/>
        <v>0</v>
      </c>
      <c r="AS18" s="670">
        <v>20.782414307004501</v>
      </c>
      <c r="AT18" s="670">
        <v>16.131976461153702</v>
      </c>
      <c r="AU18" s="670">
        <v>27.8241758241758</v>
      </c>
      <c r="AV18" s="670">
        <v>17.287504232983402</v>
      </c>
      <c r="AW18" s="738"/>
      <c r="AX18" s="737">
        <f t="shared" si="15"/>
        <v>0</v>
      </c>
      <c r="AY18" s="670">
        <v>10.247520184527399</v>
      </c>
      <c r="AZ18" s="670">
        <v>9.5174318423695201</v>
      </c>
      <c r="BA18" s="670">
        <v>12.277601123113399</v>
      </c>
      <c r="BB18" s="670">
        <v>11.477847628534301</v>
      </c>
      <c r="BC18" s="738">
        <v>8.1771807700558199</v>
      </c>
      <c r="BD18" s="737"/>
      <c r="BE18" s="670"/>
      <c r="BF18" s="670"/>
      <c r="BG18" s="670"/>
      <c r="BH18" s="670"/>
      <c r="BI18" s="738"/>
      <c r="BJ18" s="9"/>
      <c r="BK18" s="258" t="str">
        <f t="shared" si="16"/>
        <v>2Q09</v>
      </c>
      <c r="BL18" s="737">
        <f t="shared" si="17"/>
        <v>0</v>
      </c>
      <c r="BM18" s="670">
        <v>15.8366141732283</v>
      </c>
      <c r="BN18" s="670">
        <v>14.6371882086168</v>
      </c>
      <c r="BO18" s="670">
        <v>21.097269288888899</v>
      </c>
      <c r="BP18" s="670">
        <v>19.287461801637502</v>
      </c>
      <c r="BQ18" s="738">
        <v>17.820610687022899</v>
      </c>
      <c r="BR18" s="737">
        <f t="shared" si="18"/>
        <v>0</v>
      </c>
      <c r="BS18" s="670">
        <v>14.143811533052</v>
      </c>
      <c r="BT18" s="670">
        <v>12.577942322681199</v>
      </c>
      <c r="BU18" s="670">
        <v>20.494490166349198</v>
      </c>
      <c r="BV18" s="670">
        <v>20.296556117062099</v>
      </c>
      <c r="BW18" s="738">
        <v>17.0215092963908</v>
      </c>
      <c r="BX18" s="737">
        <f t="shared" si="19"/>
        <v>0</v>
      </c>
      <c r="BY18" s="670">
        <v>8.0824033735712799</v>
      </c>
      <c r="BZ18" s="670"/>
      <c r="CA18" s="670">
        <v>13.695778645739599</v>
      </c>
      <c r="CB18" s="670">
        <v>12.8479606538945</v>
      </c>
      <c r="CC18" s="738">
        <v>9.6001621190547795</v>
      </c>
      <c r="CD18" s="737"/>
      <c r="CE18" s="670"/>
      <c r="CF18" s="670"/>
      <c r="CG18" s="670"/>
      <c r="CH18" s="670"/>
      <c r="CI18" s="738"/>
    </row>
    <row r="19" spans="1:87" ht="14.25" customHeight="1">
      <c r="A19" s="9"/>
      <c r="B19" s="9"/>
      <c r="C19" s="9" t="s">
        <v>794</v>
      </c>
      <c r="D19" s="9"/>
      <c r="E19" s="618" t="e">
        <f>AVERAGE(L8:L35)</f>
        <v>#DIV/0!</v>
      </c>
      <c r="F19" s="618" t="e">
        <f>AVERAGE(R8:R35)</f>
        <v>#DIV/0!</v>
      </c>
      <c r="G19" s="618" t="e">
        <f>AVERAGE(X8:X35)</f>
        <v>#DIV/0!</v>
      </c>
      <c r="H19" s="618" t="e">
        <f>AVERAGE(AD8:AD35)</f>
        <v>#DIV/0!</v>
      </c>
      <c r="I19" s="64">
        <f>IF(I18=4,1,I18+1)</f>
        <v>3</v>
      </c>
      <c r="J19" s="3">
        <f t="shared" si="20"/>
        <v>2009</v>
      </c>
      <c r="K19" s="258" t="str">
        <f t="shared" si="11"/>
        <v>3Q09</v>
      </c>
      <c r="L19" s="737"/>
      <c r="M19" s="670"/>
      <c r="N19" s="670"/>
      <c r="O19" s="670"/>
      <c r="P19" s="670"/>
      <c r="Q19" s="738">
        <v>99.5677891080405</v>
      </c>
      <c r="R19" s="737"/>
      <c r="S19" s="670"/>
      <c r="T19" s="670"/>
      <c r="U19" s="670"/>
      <c r="V19" s="670"/>
      <c r="W19" s="738">
        <v>15.2784958871915</v>
      </c>
      <c r="X19" s="737"/>
      <c r="Y19" s="670"/>
      <c r="Z19" s="670"/>
      <c r="AA19" s="670"/>
      <c r="AB19" s="670"/>
      <c r="AC19" s="738">
        <v>16.638107369986901</v>
      </c>
      <c r="AD19" s="670"/>
      <c r="AE19" s="670"/>
      <c r="AF19" s="670"/>
      <c r="AG19" s="670"/>
      <c r="AH19" s="670"/>
      <c r="AI19" s="738">
        <v>13.303532210594501</v>
      </c>
      <c r="AJ19" s="9"/>
      <c r="AK19" s="258" t="str">
        <f t="shared" si="12"/>
        <v>3Q09</v>
      </c>
      <c r="AL19" s="737">
        <f t="shared" si="13"/>
        <v>0</v>
      </c>
      <c r="AM19" s="670">
        <v>19.491227907120301</v>
      </c>
      <c r="AN19" s="670">
        <v>16.688389388832501</v>
      </c>
      <c r="AO19" s="670">
        <v>24.732484076433099</v>
      </c>
      <c r="AP19" s="670">
        <v>17.491638377558701</v>
      </c>
      <c r="AQ19" s="738">
        <v>16.232394366197202</v>
      </c>
      <c r="AR19" s="737">
        <f t="shared" si="14"/>
        <v>0</v>
      </c>
      <c r="AS19" s="670">
        <v>20.362903225806399</v>
      </c>
      <c r="AT19" s="670">
        <v>16.26994082613</v>
      </c>
      <c r="AU19" s="670">
        <v>29.327794561933501</v>
      </c>
      <c r="AV19" s="670">
        <v>17.329357190192201</v>
      </c>
      <c r="AW19" s="738"/>
      <c r="AX19" s="737">
        <f t="shared" si="15"/>
        <v>0</v>
      </c>
      <c r="AY19" s="670">
        <v>10.7674086640521</v>
      </c>
      <c r="AZ19" s="670">
        <v>8.6047449158160294</v>
      </c>
      <c r="BA19" s="670">
        <v>12.2104350605702</v>
      </c>
      <c r="BB19" s="670">
        <v>10.269674631440299</v>
      </c>
      <c r="BC19" s="738">
        <v>5.4010331768011701</v>
      </c>
      <c r="BD19" s="737"/>
      <c r="BE19" s="670"/>
      <c r="BF19" s="670"/>
      <c r="BG19" s="670"/>
      <c r="BH19" s="670"/>
      <c r="BI19" s="738"/>
      <c r="BJ19" s="9"/>
      <c r="BK19" s="258" t="str">
        <f t="shared" si="16"/>
        <v>3Q09</v>
      </c>
      <c r="BL19" s="737">
        <f t="shared" si="17"/>
        <v>0</v>
      </c>
      <c r="BM19" s="670">
        <v>17.258407079645998</v>
      </c>
      <c r="BN19" s="670">
        <v>13.3333333333333</v>
      </c>
      <c r="BO19" s="670">
        <v>21.792345403726699</v>
      </c>
      <c r="BP19" s="670">
        <v>18.221841239066201</v>
      </c>
      <c r="BQ19" s="738">
        <v>19.210037174721201</v>
      </c>
      <c r="BR19" s="737">
        <f t="shared" si="18"/>
        <v>0</v>
      </c>
      <c r="BS19" s="670">
        <v>16.9937260369467</v>
      </c>
      <c r="BT19" s="670">
        <v>12.330129267484301</v>
      </c>
      <c r="BU19" s="670">
        <v>22.206124113924101</v>
      </c>
      <c r="BV19" s="670">
        <v>20.0418586755485</v>
      </c>
      <c r="BW19" s="738">
        <v>18.797744634412499</v>
      </c>
      <c r="BX19" s="737">
        <f t="shared" si="19"/>
        <v>0</v>
      </c>
      <c r="BY19" s="670">
        <v>9.0195886328454105</v>
      </c>
      <c r="BZ19" s="670"/>
      <c r="CA19" s="670">
        <v>13.8749350159271</v>
      </c>
      <c r="CB19" s="670">
        <v>13.6789537402863</v>
      </c>
      <c r="CC19" s="738">
        <v>10.451056246976799</v>
      </c>
      <c r="CD19" s="737"/>
      <c r="CE19" s="670"/>
      <c r="CF19" s="670"/>
      <c r="CG19" s="670"/>
      <c r="CH19" s="670"/>
      <c r="CI19" s="738"/>
    </row>
    <row r="20" spans="1:87" ht="14.25" customHeight="1">
      <c r="A20" s="9"/>
      <c r="B20" s="9"/>
      <c r="C20" s="9" t="s">
        <v>795</v>
      </c>
      <c r="D20" s="9"/>
      <c r="E20" s="618" t="e">
        <f>AVERAGE(L8:L19)</f>
        <v>#DIV/0!</v>
      </c>
      <c r="F20" s="618" t="e">
        <f>AVERAGE(R8:R19)</f>
        <v>#DIV/0!</v>
      </c>
      <c r="G20" s="618" t="e">
        <f>AVERAGE(X8:X19)</f>
        <v>#DIV/0!</v>
      </c>
      <c r="H20" s="618" t="e">
        <f>AVERAGE(AD8:AD19)</f>
        <v>#DIV/0!</v>
      </c>
      <c r="I20" s="64">
        <f>I16</f>
        <v>4</v>
      </c>
      <c r="J20" s="3">
        <f t="shared" si="20"/>
        <v>2009</v>
      </c>
      <c r="K20" s="258" t="str">
        <f t="shared" si="11"/>
        <v>4Q09</v>
      </c>
      <c r="L20" s="737"/>
      <c r="M20" s="670"/>
      <c r="N20" s="670"/>
      <c r="O20" s="670"/>
      <c r="P20" s="670"/>
      <c r="Q20" s="738">
        <v>49.415887336179203</v>
      </c>
      <c r="R20" s="737"/>
      <c r="S20" s="670"/>
      <c r="T20" s="670"/>
      <c r="U20" s="670"/>
      <c r="V20" s="670"/>
      <c r="W20" s="738">
        <v>15.511285122063599</v>
      </c>
      <c r="X20" s="737"/>
      <c r="Y20" s="670"/>
      <c r="Z20" s="670"/>
      <c r="AA20" s="670"/>
      <c r="AB20" s="670"/>
      <c r="AC20" s="738">
        <v>15.038586897004601</v>
      </c>
      <c r="AD20" s="670"/>
      <c r="AE20" s="670"/>
      <c r="AF20" s="670"/>
      <c r="AG20" s="670"/>
      <c r="AH20" s="670"/>
      <c r="AI20" s="738">
        <v>9.7866393025991094</v>
      </c>
      <c r="AJ20" s="9"/>
      <c r="AK20" s="258" t="str">
        <f t="shared" si="12"/>
        <v>4Q09</v>
      </c>
      <c r="AL20" s="737">
        <f t="shared" si="13"/>
        <v>0</v>
      </c>
      <c r="AM20" s="670">
        <v>20.3533331715796</v>
      </c>
      <c r="AN20" s="670">
        <v>14.8843352711246</v>
      </c>
      <c r="AO20" s="670">
        <v>21.6201117318436</v>
      </c>
      <c r="AP20" s="670">
        <v>17.9013373644136</v>
      </c>
      <c r="AQ20" s="738">
        <v>18.274647887323901</v>
      </c>
      <c r="AR20" s="737">
        <f t="shared" si="14"/>
        <v>0</v>
      </c>
      <c r="AS20" s="670">
        <v>18.275965279856301</v>
      </c>
      <c r="AT20" s="670">
        <v>13.572467583702901</v>
      </c>
      <c r="AU20" s="670">
        <v>20.5087440381558</v>
      </c>
      <c r="AV20" s="670">
        <v>15.719530102789999</v>
      </c>
      <c r="AW20" s="738">
        <v>13.586387434555</v>
      </c>
      <c r="AX20" s="737">
        <f t="shared" si="15"/>
        <v>0</v>
      </c>
      <c r="AY20" s="670">
        <v>10.377498226542199</v>
      </c>
      <c r="AZ20" s="670">
        <v>8.3226000907228208</v>
      </c>
      <c r="BA20" s="670">
        <v>11.631107683498801</v>
      </c>
      <c r="BB20" s="670">
        <v>10.5217939917218</v>
      </c>
      <c r="BC20" s="738">
        <v>6.0220379057999196</v>
      </c>
      <c r="BD20" s="737"/>
      <c r="BE20" s="670"/>
      <c r="BF20" s="670"/>
      <c r="BG20" s="670"/>
      <c r="BH20" s="670"/>
      <c r="BI20" s="738">
        <v>6.3204672990607103</v>
      </c>
      <c r="BJ20" s="9"/>
      <c r="BK20" s="258" t="str">
        <f t="shared" si="16"/>
        <v>4Q09</v>
      </c>
      <c r="BL20" s="737">
        <f t="shared" si="17"/>
        <v>0</v>
      </c>
      <c r="BM20" s="670">
        <v>14.9411764705882</v>
      </c>
      <c r="BN20" s="670">
        <v>11.6545138888889</v>
      </c>
      <c r="BO20" s="670">
        <v>21.396744125925899</v>
      </c>
      <c r="BP20" s="670">
        <v>17.890914484230301</v>
      </c>
      <c r="BQ20" s="738">
        <v>18.1860465116279</v>
      </c>
      <c r="BR20" s="737">
        <f t="shared" si="18"/>
        <v>0</v>
      </c>
      <c r="BS20" s="670">
        <v>12.515740487270699</v>
      </c>
      <c r="BT20" s="670">
        <v>11.2219993313273</v>
      </c>
      <c r="BU20" s="670">
        <v>19.171861440265499</v>
      </c>
      <c r="BV20" s="670">
        <v>17.571433868440501</v>
      </c>
      <c r="BW20" s="738">
        <v>16.753460777851</v>
      </c>
      <c r="BX20" s="737">
        <f t="shared" si="19"/>
        <v>0</v>
      </c>
      <c r="BY20" s="670">
        <v>8.2738549462753905</v>
      </c>
      <c r="BZ20" s="670"/>
      <c r="CA20" s="670">
        <v>13.808439568671201</v>
      </c>
      <c r="CB20" s="670">
        <v>13.7812305778841</v>
      </c>
      <c r="CC20" s="738">
        <v>10.06424152212</v>
      </c>
      <c r="CD20" s="737"/>
      <c r="CE20" s="670"/>
      <c r="CF20" s="670"/>
      <c r="CG20" s="670">
        <v>27.8906291783535</v>
      </c>
      <c r="CH20" s="670"/>
      <c r="CI20" s="738"/>
    </row>
    <row r="21" spans="1:87" ht="14.25" customHeight="1">
      <c r="A21" s="9"/>
      <c r="B21" s="9"/>
      <c r="C21" s="9" t="s">
        <v>796</v>
      </c>
      <c r="D21" s="9"/>
      <c r="E21" s="618" t="e">
        <f>AVERAGE(L16:L27)</f>
        <v>#DIV/0!</v>
      </c>
      <c r="F21" s="618" t="e">
        <f>AVERAGE(R16:R27)</f>
        <v>#DIV/0!</v>
      </c>
      <c r="G21" s="618" t="e">
        <f>AVERAGE(X16:X27)</f>
        <v>#DIV/0!</v>
      </c>
      <c r="H21" s="618" t="e">
        <f>AVERAGE(AD16:AD27)</f>
        <v>#DIV/0!</v>
      </c>
      <c r="I21" s="64">
        <f>IF(I20=4,1,I20+1)</f>
        <v>1</v>
      </c>
      <c r="J21" s="3">
        <f t="shared" si="20"/>
        <v>2010</v>
      </c>
      <c r="K21" s="258" t="str">
        <f t="shared" si="11"/>
        <v>1Q10</v>
      </c>
      <c r="L21" s="737"/>
      <c r="M21" s="670"/>
      <c r="N21" s="670"/>
      <c r="O21" s="670"/>
      <c r="P21" s="670"/>
      <c r="Q21" s="738">
        <v>49.594393196904797</v>
      </c>
      <c r="R21" s="737"/>
      <c r="S21" s="670"/>
      <c r="T21" s="670"/>
      <c r="U21" s="670"/>
      <c r="V21" s="670"/>
      <c r="W21" s="738">
        <v>13.1185652607107</v>
      </c>
      <c r="X21" s="737"/>
      <c r="Y21" s="670"/>
      <c r="Z21" s="670"/>
      <c r="AA21" s="670"/>
      <c r="AB21" s="670"/>
      <c r="AC21" s="738">
        <v>16.340390017454901</v>
      </c>
      <c r="AD21" s="670"/>
      <c r="AE21" s="670"/>
      <c r="AF21" s="670"/>
      <c r="AG21" s="670"/>
      <c r="AH21" s="670"/>
      <c r="AI21" s="738">
        <v>10.431831880202299</v>
      </c>
      <c r="AJ21" s="9"/>
      <c r="AK21" s="258" t="str">
        <f t="shared" si="12"/>
        <v>1Q10</v>
      </c>
      <c r="AL21" s="737">
        <f t="shared" si="13"/>
        <v>0</v>
      </c>
      <c r="AM21" s="670">
        <v>19.657575771777999</v>
      </c>
      <c r="AN21" s="670">
        <v>14.2796521296296</v>
      </c>
      <c r="AO21" s="670">
        <v>20.0615384615385</v>
      </c>
      <c r="AP21" s="670">
        <v>17.115624757709501</v>
      </c>
      <c r="AQ21" s="738">
        <v>16.214689265536698</v>
      </c>
      <c r="AR21" s="737">
        <f t="shared" si="14"/>
        <v>0</v>
      </c>
      <c r="AS21" s="670">
        <v>18.304176072234799</v>
      </c>
      <c r="AT21" s="670">
        <v>13.1036807777778</v>
      </c>
      <c r="AU21" s="670">
        <v>19.928680590932199</v>
      </c>
      <c r="AV21" s="670">
        <v>15.7024082568807</v>
      </c>
      <c r="AW21" s="738">
        <v>15.026178010471201</v>
      </c>
      <c r="AX21" s="737">
        <f t="shared" si="15"/>
        <v>0</v>
      </c>
      <c r="AY21" s="670">
        <v>10.022293535005</v>
      </c>
      <c r="AZ21" s="670">
        <v>7.9050144379231897</v>
      </c>
      <c r="BA21" s="670">
        <v>10.9872619593073</v>
      </c>
      <c r="BB21" s="670"/>
      <c r="BC21" s="738">
        <v>8.8058295051038105</v>
      </c>
      <c r="BD21" s="737"/>
      <c r="BE21" s="670"/>
      <c r="BF21" s="670"/>
      <c r="BG21" s="670"/>
      <c r="BH21" s="670"/>
      <c r="BI21" s="738">
        <v>8.5192492549377103</v>
      </c>
      <c r="BJ21" s="9"/>
      <c r="BK21" s="258" t="str">
        <f t="shared" si="16"/>
        <v>1Q10</v>
      </c>
      <c r="BL21" s="737">
        <f t="shared" si="17"/>
        <v>0</v>
      </c>
      <c r="BM21" s="670">
        <v>14.161961367013401</v>
      </c>
      <c r="BN21" s="670">
        <v>10.411764705882399</v>
      </c>
      <c r="BO21" s="670">
        <v>20.1862794</v>
      </c>
      <c r="BP21" s="670">
        <v>16.6056425073082</v>
      </c>
      <c r="BQ21" s="738">
        <v>17.615780445969101</v>
      </c>
      <c r="BR21" s="737">
        <f t="shared" si="18"/>
        <v>0</v>
      </c>
      <c r="BS21" s="670">
        <v>12.073726881175601</v>
      </c>
      <c r="BT21" s="670">
        <v>10.378763866878</v>
      </c>
      <c r="BU21" s="670">
        <v>18.371407065637101</v>
      </c>
      <c r="BV21" s="670">
        <v>17.0522490295096</v>
      </c>
      <c r="BW21" s="738">
        <v>16.825032765399701</v>
      </c>
      <c r="BX21" s="737">
        <f t="shared" si="19"/>
        <v>0</v>
      </c>
      <c r="BY21" s="670">
        <v>7.9850694368241601</v>
      </c>
      <c r="BZ21" s="670"/>
      <c r="CA21" s="670">
        <v>12.9726266960503</v>
      </c>
      <c r="CB21" s="670">
        <v>12.827709382321499</v>
      </c>
      <c r="CC21" s="738">
        <v>10.1722518312873</v>
      </c>
      <c r="CD21" s="737"/>
      <c r="CE21" s="670">
        <v>7.8171070404282004</v>
      </c>
      <c r="CF21" s="670"/>
      <c r="CG21" s="670">
        <v>26.766116185278602</v>
      </c>
      <c r="CH21" s="670"/>
      <c r="CI21" s="738">
        <v>9.8004068720064108</v>
      </c>
    </row>
    <row r="22" spans="1:87" ht="14.25" customHeight="1">
      <c r="A22" s="9"/>
      <c r="B22" s="9"/>
      <c r="C22" s="9" t="s">
        <v>797</v>
      </c>
      <c r="D22" s="9"/>
      <c r="E22" s="618" t="e">
        <f>AVERAGE(L24:L35)</f>
        <v>#DIV/0!</v>
      </c>
      <c r="F22" s="618" t="e">
        <f>AVERAGE(R24:R35)</f>
        <v>#DIV/0!</v>
      </c>
      <c r="G22" s="618" t="e">
        <f>AVERAGE(X24:X35)</f>
        <v>#DIV/0!</v>
      </c>
      <c r="H22" s="618" t="e">
        <f>AVERAGE(AD24:AD35)</f>
        <v>#DIV/0!</v>
      </c>
      <c r="I22" s="64">
        <f>IF(I21+1=5,1,I21+1)</f>
        <v>2</v>
      </c>
      <c r="J22" s="3">
        <f t="shared" si="20"/>
        <v>2010</v>
      </c>
      <c r="K22" s="258" t="str">
        <f t="shared" si="11"/>
        <v>2Q10</v>
      </c>
      <c r="L22" s="737"/>
      <c r="M22" s="670"/>
      <c r="N22" s="670"/>
      <c r="O22" s="670"/>
      <c r="P22" s="670"/>
      <c r="Q22" s="738">
        <v>32.672043010752702</v>
      </c>
      <c r="R22" s="737"/>
      <c r="S22" s="670"/>
      <c r="T22" s="670"/>
      <c r="U22" s="670"/>
      <c r="V22" s="670"/>
      <c r="W22" s="738">
        <v>10.208298336973</v>
      </c>
      <c r="X22" s="737"/>
      <c r="Y22" s="670"/>
      <c r="Z22" s="670"/>
      <c r="AA22" s="670"/>
      <c r="AB22" s="670"/>
      <c r="AC22" s="738">
        <v>13.961797781074299</v>
      </c>
      <c r="AD22" s="670"/>
      <c r="AE22" s="670"/>
      <c r="AF22" s="670"/>
      <c r="AG22" s="670"/>
      <c r="AH22" s="670"/>
      <c r="AI22" s="738">
        <v>6.8953343674488599</v>
      </c>
      <c r="AJ22" s="9"/>
      <c r="AK22" s="258" t="str">
        <f t="shared" si="12"/>
        <v>2Q10</v>
      </c>
      <c r="AL22" s="737">
        <f t="shared" si="13"/>
        <v>0</v>
      </c>
      <c r="AM22" s="670">
        <v>17.098039215686299</v>
      </c>
      <c r="AN22" s="670">
        <v>14.6741425193452</v>
      </c>
      <c r="AO22" s="670">
        <v>18.546341463414599</v>
      </c>
      <c r="AP22" s="670">
        <v>17.503660322108299</v>
      </c>
      <c r="AQ22" s="738">
        <v>19.406779661017001</v>
      </c>
      <c r="AR22" s="737">
        <f t="shared" si="14"/>
        <v>0</v>
      </c>
      <c r="AS22" s="670">
        <v>16.0758493547538</v>
      </c>
      <c r="AT22" s="670">
        <v>12.507640503551499</v>
      </c>
      <c r="AU22" s="670">
        <v>19.000499750124899</v>
      </c>
      <c r="AV22" s="670">
        <v>16.852269523541</v>
      </c>
      <c r="AW22" s="738">
        <v>16.202830188679201</v>
      </c>
      <c r="AX22" s="737">
        <f t="shared" si="15"/>
        <v>0</v>
      </c>
      <c r="AY22" s="670">
        <v>8.8558565987507194</v>
      </c>
      <c r="AZ22" s="670">
        <v>7.8630487779520299</v>
      </c>
      <c r="BA22" s="670">
        <v>10.2621107586187</v>
      </c>
      <c r="BB22" s="670"/>
      <c r="BC22" s="738">
        <v>10.1926114955517</v>
      </c>
      <c r="BD22" s="737">
        <f t="shared" ref="BD22:BD84" si="22">AD22</f>
        <v>0</v>
      </c>
      <c r="BE22" s="670">
        <v>8.0205296136061097</v>
      </c>
      <c r="BF22" s="670">
        <v>7.3318871095675799</v>
      </c>
      <c r="BG22" s="670">
        <v>9.4429422682377293</v>
      </c>
      <c r="BH22" s="670">
        <v>9.4176624276580192</v>
      </c>
      <c r="BI22" s="738">
        <v>10.2188931136207</v>
      </c>
      <c r="BJ22" s="9"/>
      <c r="BK22" s="258" t="str">
        <f t="shared" si="16"/>
        <v>2Q10</v>
      </c>
      <c r="BL22" s="737">
        <f t="shared" si="17"/>
        <v>0</v>
      </c>
      <c r="BM22" s="670">
        <v>16.296809986130398</v>
      </c>
      <c r="BN22" s="670">
        <v>9.7763578274760405</v>
      </c>
      <c r="BO22" s="670">
        <v>19.038432140000001</v>
      </c>
      <c r="BP22" s="670">
        <v>16.227314266132101</v>
      </c>
      <c r="BQ22" s="738">
        <v>17.222591362126199</v>
      </c>
      <c r="BR22" s="737">
        <f t="shared" si="18"/>
        <v>0</v>
      </c>
      <c r="BS22" s="670">
        <v>14.2458777885548</v>
      </c>
      <c r="BT22" s="670">
        <v>10.662020905923301</v>
      </c>
      <c r="BU22" s="670">
        <v>17.822320835903099</v>
      </c>
      <c r="BV22" s="670">
        <v>17.000043516900298</v>
      </c>
      <c r="BW22" s="738">
        <v>16.869508623495001</v>
      </c>
      <c r="BX22" s="737">
        <f t="shared" si="19"/>
        <v>0</v>
      </c>
      <c r="BY22" s="670">
        <v>8.8394808862530994</v>
      </c>
      <c r="BZ22" s="670"/>
      <c r="CA22" s="670">
        <v>12.158388083180601</v>
      </c>
      <c r="CB22" s="670">
        <v>12.5701333982331</v>
      </c>
      <c r="CC22" s="738">
        <v>10.029459341426101</v>
      </c>
      <c r="CD22" s="737">
        <f t="shared" ref="CD22:CD84" si="23">BD22</f>
        <v>0</v>
      </c>
      <c r="CE22" s="670">
        <v>8.3839336764004795</v>
      </c>
      <c r="CF22" s="670">
        <v>5.3382169469856402</v>
      </c>
      <c r="CG22" s="670">
        <v>9.8634688285857202</v>
      </c>
      <c r="CH22" s="670">
        <v>10.4046216084725</v>
      </c>
      <c r="CI22" s="738">
        <v>9.7352923736149606</v>
      </c>
    </row>
    <row r="23" spans="1:87" ht="14.25" customHeight="1">
      <c r="A23" s="9"/>
      <c r="B23" s="9"/>
      <c r="C23" s="9" t="s">
        <v>798</v>
      </c>
      <c r="D23" s="9"/>
      <c r="E23" s="618">
        <f>AVERAGE(L36:L75)</f>
        <v>27.717656883490882</v>
      </c>
      <c r="F23" s="618">
        <f>AVERAGE(R36:R75)</f>
        <v>26.860221558417134</v>
      </c>
      <c r="G23" s="618">
        <f>AVERAGE(X36:X75)</f>
        <v>22.742861205247934</v>
      </c>
      <c r="H23" s="618">
        <f>AVERAGE(AD36:AD75)</f>
        <v>21.954633903978692</v>
      </c>
      <c r="I23" s="64">
        <f>IF(I22=4,1,I22+1)</f>
        <v>3</v>
      </c>
      <c r="J23" s="3">
        <f t="shared" si="20"/>
        <v>2010</v>
      </c>
      <c r="K23" s="258" t="str">
        <f t="shared" si="11"/>
        <v>3Q10</v>
      </c>
      <c r="L23" s="737"/>
      <c r="M23" s="670"/>
      <c r="N23" s="670"/>
      <c r="O23" s="670"/>
      <c r="P23" s="670"/>
      <c r="Q23" s="738">
        <v>36.9715639810426</v>
      </c>
      <c r="R23" s="737"/>
      <c r="S23" s="670"/>
      <c r="T23" s="670"/>
      <c r="U23" s="670"/>
      <c r="V23" s="670"/>
      <c r="W23" s="738">
        <v>13.4639282015878</v>
      </c>
      <c r="X23" s="737"/>
      <c r="Y23" s="670"/>
      <c r="Z23" s="670"/>
      <c r="AA23" s="670"/>
      <c r="AB23" s="670"/>
      <c r="AC23" s="738">
        <v>14.757023637206601</v>
      </c>
      <c r="AD23" s="670"/>
      <c r="AE23" s="670"/>
      <c r="AF23" s="670"/>
      <c r="AG23" s="670"/>
      <c r="AH23" s="670"/>
      <c r="AI23" s="738">
        <v>14.048164393983299</v>
      </c>
      <c r="AJ23" s="9"/>
      <c r="AK23" s="258" t="str">
        <f t="shared" si="12"/>
        <v>3Q10</v>
      </c>
      <c r="AL23" s="737">
        <f t="shared" si="13"/>
        <v>0</v>
      </c>
      <c r="AM23" s="670">
        <v>17.098039215686299</v>
      </c>
      <c r="AN23" s="670">
        <v>14.9398530326027</v>
      </c>
      <c r="AO23" s="670">
        <v>19.119047619047599</v>
      </c>
      <c r="AP23" s="670">
        <v>15.9287709497207</v>
      </c>
      <c r="AQ23" s="738">
        <v>27.464028776978399</v>
      </c>
      <c r="AR23" s="737">
        <f t="shared" si="14"/>
        <v>0</v>
      </c>
      <c r="AS23" s="670">
        <v>16.072240464763802</v>
      </c>
      <c r="AT23" s="670">
        <v>14.7619013451543</v>
      </c>
      <c r="AU23" s="670">
        <v>19.575816674792801</v>
      </c>
      <c r="AV23" s="670">
        <v>15.822697003329599</v>
      </c>
      <c r="AW23" s="738">
        <v>18.007075471698101</v>
      </c>
      <c r="AX23" s="737">
        <f t="shared" si="15"/>
        <v>0</v>
      </c>
      <c r="AY23" s="670">
        <v>8.1439398810986905</v>
      </c>
      <c r="AZ23" s="670">
        <v>8.5150689679768199</v>
      </c>
      <c r="BA23" s="670">
        <v>9.9994970091627806</v>
      </c>
      <c r="BB23" s="670">
        <v>9.5163443593071904</v>
      </c>
      <c r="BC23" s="738">
        <v>11.144456998288</v>
      </c>
      <c r="BD23" s="737">
        <f t="shared" si="22"/>
        <v>0</v>
      </c>
      <c r="BE23" s="670">
        <v>7.8900350889566901</v>
      </c>
      <c r="BF23" s="670">
        <v>7.6970174886784104</v>
      </c>
      <c r="BG23" s="670">
        <v>8.5520770337793497</v>
      </c>
      <c r="BH23" s="670">
        <v>8.1433103036042898</v>
      </c>
      <c r="BI23" s="738">
        <v>8.6945418722643506</v>
      </c>
      <c r="BJ23" s="9"/>
      <c r="BK23" s="258" t="str">
        <f t="shared" si="16"/>
        <v>3Q10</v>
      </c>
      <c r="BL23" s="737">
        <f t="shared" si="17"/>
        <v>0</v>
      </c>
      <c r="BM23" s="670">
        <v>14.3172242874845</v>
      </c>
      <c r="BN23" s="670">
        <v>11.886561954624799</v>
      </c>
      <c r="BO23" s="670">
        <v>19.2524923257143</v>
      </c>
      <c r="BP23" s="670">
        <v>15.485629159936201</v>
      </c>
      <c r="BQ23" s="738">
        <v>17.805732484076401</v>
      </c>
      <c r="BR23" s="737">
        <f t="shared" si="18"/>
        <v>0</v>
      </c>
      <c r="BS23" s="670">
        <v>14.6401419158642</v>
      </c>
      <c r="BT23" s="670">
        <v>10.7768987341772</v>
      </c>
      <c r="BU23" s="670">
        <v>19.4077543605991</v>
      </c>
      <c r="BV23" s="670">
        <v>16.8786724303922</v>
      </c>
      <c r="BW23" s="738">
        <v>17.994850337946598</v>
      </c>
      <c r="BX23" s="737">
        <f t="shared" si="19"/>
        <v>0</v>
      </c>
      <c r="BY23" s="670">
        <v>8.04174963302337</v>
      </c>
      <c r="BZ23" s="670">
        <v>5.5728648409361803</v>
      </c>
      <c r="CA23" s="670">
        <v>12.3021853597381</v>
      </c>
      <c r="CB23" s="670">
        <v>11.4719491585091</v>
      </c>
      <c r="CC23" s="738">
        <v>10.334716635823799</v>
      </c>
      <c r="CD23" s="737">
        <f t="shared" si="23"/>
        <v>0</v>
      </c>
      <c r="CE23" s="670">
        <v>7.0964548994156003</v>
      </c>
      <c r="CF23" s="670">
        <v>5.7727633962248301</v>
      </c>
      <c r="CG23" s="670">
        <v>9.4433913800446394</v>
      </c>
      <c r="CH23" s="670">
        <v>8.6521630580195108</v>
      </c>
      <c r="CI23" s="738">
        <v>9.2656518557282492</v>
      </c>
    </row>
    <row r="24" spans="1:87" ht="14.25" customHeight="1">
      <c r="A24" s="9"/>
      <c r="B24" s="9"/>
      <c r="C24" s="9" t="s">
        <v>799</v>
      </c>
      <c r="D24" s="9"/>
      <c r="E24" s="618" t="e">
        <f>AVERAGE(L36:L51)</f>
        <v>#DIV/0!</v>
      </c>
      <c r="F24" s="618">
        <f>AVERAGE(R36:R51)</f>
        <v>20.698447893569799</v>
      </c>
      <c r="G24" s="618" t="e">
        <f>AVERAGE(X36:X51)</f>
        <v>#DIV/0!</v>
      </c>
      <c r="H24" s="618">
        <f>AVERAGE(AD36:AD51)</f>
        <v>11.7803331929719</v>
      </c>
      <c r="I24" s="64">
        <f>I20</f>
        <v>4</v>
      </c>
      <c r="J24" s="3">
        <f t="shared" si="20"/>
        <v>2010</v>
      </c>
      <c r="K24" s="258" t="str">
        <f t="shared" si="11"/>
        <v>4Q10</v>
      </c>
      <c r="L24" s="737"/>
      <c r="M24" s="670"/>
      <c r="N24" s="670"/>
      <c r="O24" s="670"/>
      <c r="P24" s="670"/>
      <c r="Q24" s="738">
        <v>36.211678832116803</v>
      </c>
      <c r="R24" s="737"/>
      <c r="S24" s="670"/>
      <c r="T24" s="670"/>
      <c r="U24" s="670"/>
      <c r="V24" s="670"/>
      <c r="W24" s="738">
        <v>16.779976323355299</v>
      </c>
      <c r="X24" s="737"/>
      <c r="Y24" s="670"/>
      <c r="Z24" s="670"/>
      <c r="AA24" s="670"/>
      <c r="AB24" s="670"/>
      <c r="AC24" s="738">
        <v>16.020656292438499</v>
      </c>
      <c r="AD24" s="670"/>
      <c r="AE24" s="670"/>
      <c r="AF24" s="670"/>
      <c r="AG24" s="670"/>
      <c r="AH24" s="670"/>
      <c r="AI24" s="738">
        <v>14.2065291734451</v>
      </c>
      <c r="AJ24" s="9"/>
      <c r="AK24" s="258" t="str">
        <f t="shared" si="12"/>
        <v>4Q10</v>
      </c>
      <c r="AL24" s="737">
        <f t="shared" si="13"/>
        <v>0</v>
      </c>
      <c r="AM24" s="670">
        <v>17.472093023255798</v>
      </c>
      <c r="AN24" s="670">
        <v>16.653542685752701</v>
      </c>
      <c r="AO24" s="670">
        <v>20.648648648648599</v>
      </c>
      <c r="AP24" s="670">
        <v>17.4808743169399</v>
      </c>
      <c r="AQ24" s="738">
        <v>30.2697841726619</v>
      </c>
      <c r="AR24" s="737">
        <f t="shared" si="14"/>
        <v>0</v>
      </c>
      <c r="AS24" s="670">
        <v>16.150042992261401</v>
      </c>
      <c r="AT24" s="670">
        <v>14.271176869615299</v>
      </c>
      <c r="AU24" s="670">
        <v>17.685185185185201</v>
      </c>
      <c r="AV24" s="670">
        <v>16.019028542814201</v>
      </c>
      <c r="AW24" s="738">
        <v>16.564960629921298</v>
      </c>
      <c r="AX24" s="737">
        <f t="shared" si="15"/>
        <v>0</v>
      </c>
      <c r="AY24" s="670">
        <v>8.6155583324144605</v>
      </c>
      <c r="AZ24" s="670">
        <v>9.7716478342702509</v>
      </c>
      <c r="BA24" s="670">
        <v>11.101020374870201</v>
      </c>
      <c r="BB24" s="670">
        <v>10.616211642331001</v>
      </c>
      <c r="BC24" s="738">
        <v>12.2117798159006</v>
      </c>
      <c r="BD24" s="737">
        <f t="shared" si="22"/>
        <v>0</v>
      </c>
      <c r="BE24" s="670">
        <v>8.4792362069015699</v>
      </c>
      <c r="BF24" s="670">
        <v>8.7349166413010906</v>
      </c>
      <c r="BG24" s="670">
        <v>9.6616564855328697</v>
      </c>
      <c r="BH24" s="670">
        <v>9.2014795799707692</v>
      </c>
      <c r="BI24" s="738">
        <v>9.4477720729985801</v>
      </c>
      <c r="BJ24" s="9"/>
      <c r="BK24" s="258" t="str">
        <f t="shared" si="16"/>
        <v>4Q10</v>
      </c>
      <c r="BL24" s="737">
        <f t="shared" si="17"/>
        <v>0</v>
      </c>
      <c r="BM24" s="670">
        <v>16.246606334841601</v>
      </c>
      <c r="BN24" s="670">
        <v>13.605851979345999</v>
      </c>
      <c r="BO24" s="670">
        <v>18.573513162222199</v>
      </c>
      <c r="BP24" s="670">
        <v>16.895080592613301</v>
      </c>
      <c r="BQ24" s="738">
        <v>17.8369230769231</v>
      </c>
      <c r="BR24" s="737">
        <f t="shared" si="18"/>
        <v>0</v>
      </c>
      <c r="BS24" s="670">
        <v>14.4632426988922</v>
      </c>
      <c r="BT24" s="670">
        <v>12.6237623762376</v>
      </c>
      <c r="BU24" s="670">
        <v>18.1205006460705</v>
      </c>
      <c r="BV24" s="670">
        <v>16.498032507373601</v>
      </c>
      <c r="BW24" s="738">
        <v>16.436064644173499</v>
      </c>
      <c r="BX24" s="737">
        <f t="shared" si="19"/>
        <v>0</v>
      </c>
      <c r="BY24" s="670">
        <v>8.9299204893714101</v>
      </c>
      <c r="BZ24" s="670">
        <v>6.3916241510924197</v>
      </c>
      <c r="CA24" s="670">
        <v>12.243837332000099</v>
      </c>
      <c r="CB24" s="670">
        <v>12.2282689647088</v>
      </c>
      <c r="CC24" s="738">
        <v>10.240905029640301</v>
      </c>
      <c r="CD24" s="737">
        <f t="shared" si="23"/>
        <v>0</v>
      </c>
      <c r="CE24" s="670">
        <v>8.6345210767727298</v>
      </c>
      <c r="CF24" s="670">
        <v>7.6371273064072804</v>
      </c>
      <c r="CG24" s="670">
        <v>12.804627471440799</v>
      </c>
      <c r="CH24" s="670">
        <v>9.4470022769671207</v>
      </c>
      <c r="CI24" s="738">
        <v>9.3908510087350496</v>
      </c>
    </row>
    <row r="25" spans="1:87" ht="14.25" customHeight="1">
      <c r="A25" s="9"/>
      <c r="B25" s="9"/>
      <c r="C25" s="9" t="s">
        <v>800</v>
      </c>
      <c r="D25" s="9"/>
      <c r="E25" s="618">
        <f>AVERAGE(L48:L63)</f>
        <v>28.748201842251966</v>
      </c>
      <c r="F25" s="618">
        <f>AVERAGE(R48:R63)</f>
        <v>25.87689901107575</v>
      </c>
      <c r="G25" s="618">
        <f>AVERAGE(X48:X63)</f>
        <v>21.923791872140846</v>
      </c>
      <c r="H25" s="618">
        <f>AVERAGE(AD48:AD63)</f>
        <v>19.001074662392277</v>
      </c>
      <c r="I25" s="64">
        <f>IF(I24=4,1,I24+1)</f>
        <v>1</v>
      </c>
      <c r="J25" s="3">
        <f t="shared" si="20"/>
        <v>2011</v>
      </c>
      <c r="K25" s="258" t="str">
        <f t="shared" si="11"/>
        <v>1Q11</v>
      </c>
      <c r="L25" s="737"/>
      <c r="M25" s="670"/>
      <c r="N25" s="670"/>
      <c r="O25" s="670"/>
      <c r="P25" s="670"/>
      <c r="Q25" s="738">
        <v>35.280645161290302</v>
      </c>
      <c r="R25" s="737"/>
      <c r="S25" s="670"/>
      <c r="T25" s="670"/>
      <c r="U25" s="670"/>
      <c r="V25" s="670"/>
      <c r="W25" s="738">
        <v>14.6746276667114</v>
      </c>
      <c r="X25" s="737"/>
      <c r="Y25" s="670"/>
      <c r="Z25" s="670"/>
      <c r="AA25" s="670"/>
      <c r="AB25" s="670"/>
      <c r="AC25" s="738">
        <v>15.08791768102</v>
      </c>
      <c r="AD25" s="670"/>
      <c r="AE25" s="670"/>
      <c r="AF25" s="670"/>
      <c r="AG25" s="670"/>
      <c r="AH25" s="670"/>
      <c r="AI25" s="738">
        <v>13.1065126599542</v>
      </c>
      <c r="AJ25" s="9"/>
      <c r="AK25" s="258" t="str">
        <f t="shared" si="12"/>
        <v>1Q11</v>
      </c>
      <c r="AL25" s="737">
        <f t="shared" si="13"/>
        <v>0</v>
      </c>
      <c r="AM25" s="670">
        <v>15.427956989247299</v>
      </c>
      <c r="AN25" s="670">
        <v>15.055392817098401</v>
      </c>
      <c r="AO25" s="670">
        <v>19.5482456140351</v>
      </c>
      <c r="AP25" s="670">
        <v>16.958549222797899</v>
      </c>
      <c r="AQ25" s="738">
        <v>30.5578512396694</v>
      </c>
      <c r="AR25" s="737">
        <f t="shared" si="14"/>
        <v>0</v>
      </c>
      <c r="AS25" s="670">
        <v>14.599104599104599</v>
      </c>
      <c r="AT25" s="670">
        <v>13.249844111719099</v>
      </c>
      <c r="AU25" s="670">
        <v>16.4404278863888</v>
      </c>
      <c r="AV25" s="670">
        <v>15.667783628530399</v>
      </c>
      <c r="AW25" s="738">
        <v>14.9092741935484</v>
      </c>
      <c r="AX25" s="737">
        <f t="shared" si="15"/>
        <v>0</v>
      </c>
      <c r="AY25" s="670">
        <v>7.6377929995554803</v>
      </c>
      <c r="AZ25" s="670">
        <v>8.8135309298881204</v>
      </c>
      <c r="BA25" s="670">
        <v>10.684342563630899</v>
      </c>
      <c r="BB25" s="670">
        <v>10.043763313574001</v>
      </c>
      <c r="BC25" s="738">
        <v>9.8959616372019994</v>
      </c>
      <c r="BD25" s="737">
        <f t="shared" si="22"/>
        <v>0</v>
      </c>
      <c r="BE25" s="670">
        <v>7.6554872862075598</v>
      </c>
      <c r="BF25" s="670">
        <v>7.9930846590353202</v>
      </c>
      <c r="BG25" s="670">
        <v>8.9566616384480398</v>
      </c>
      <c r="BH25" s="670">
        <v>9.6289268838999007</v>
      </c>
      <c r="BI25" s="738">
        <v>8.6367068787405596</v>
      </c>
      <c r="BJ25" s="9"/>
      <c r="BK25" s="258" t="str">
        <f t="shared" si="16"/>
        <v>1Q11</v>
      </c>
      <c r="BL25" s="737">
        <f t="shared" si="17"/>
        <v>0</v>
      </c>
      <c r="BM25" s="670">
        <v>15.325102880658401</v>
      </c>
      <c r="BN25" s="670">
        <v>14.469670710571901</v>
      </c>
      <c r="BO25" s="670">
        <v>17.125862780540501</v>
      </c>
      <c r="BP25" s="670">
        <v>14.928287240832899</v>
      </c>
      <c r="BQ25" s="738">
        <v>18.5982404692082</v>
      </c>
      <c r="BR25" s="737">
        <f t="shared" si="18"/>
        <v>0</v>
      </c>
      <c r="BS25" s="670">
        <v>14.0927152317881</v>
      </c>
      <c r="BT25" s="670">
        <v>13.0493904345108</v>
      </c>
      <c r="BU25" s="670">
        <v>15.9290327521368</v>
      </c>
      <c r="BV25" s="670">
        <v>15.4017254953595</v>
      </c>
      <c r="BW25" s="738">
        <v>17.597114317425099</v>
      </c>
      <c r="BX25" s="737">
        <f t="shared" si="19"/>
        <v>0</v>
      </c>
      <c r="BY25" s="670">
        <v>8.7134224657271808</v>
      </c>
      <c r="BZ25" s="670">
        <v>6.5845298085852102</v>
      </c>
      <c r="CA25" s="670">
        <v>11.187926702140899</v>
      </c>
      <c r="CB25" s="670">
        <v>10.8915271624449</v>
      </c>
      <c r="CC25" s="738">
        <v>10.6184235577362</v>
      </c>
      <c r="CD25" s="737">
        <f t="shared" si="23"/>
        <v>0</v>
      </c>
      <c r="CE25" s="670">
        <v>8.7319668736572904</v>
      </c>
      <c r="CF25" s="670">
        <v>7.9292794875331003</v>
      </c>
      <c r="CG25" s="670">
        <v>11.8924594472119</v>
      </c>
      <c r="CH25" s="670">
        <v>9.0616721100844302</v>
      </c>
      <c r="CI25" s="738">
        <v>10.029401854887499</v>
      </c>
    </row>
    <row r="26" spans="1:87" ht="14.25" customHeight="1">
      <c r="A26" s="9"/>
      <c r="B26" s="9"/>
      <c r="C26" s="9" t="s">
        <v>801</v>
      </c>
      <c r="D26" s="9"/>
      <c r="E26" s="618">
        <f>AVERAGE(L60:L75)</f>
        <v>27.459704288098649</v>
      </c>
      <c r="F26" s="618">
        <f>AVERAGE(R60:R75)</f>
        <v>28.177447093887778</v>
      </c>
      <c r="G26" s="618">
        <f>AVERAGE(X60:X75)</f>
        <v>24.051828271335889</v>
      </c>
      <c r="H26" s="618">
        <f>AVERAGE(AD60:AD75)</f>
        <v>24.726177989464929</v>
      </c>
      <c r="I26" s="64">
        <f>IF(I25+1=5,1,I25+1)</f>
        <v>2</v>
      </c>
      <c r="J26" s="3">
        <f t="shared" si="20"/>
        <v>2011</v>
      </c>
      <c r="K26" s="258" t="str">
        <f t="shared" si="11"/>
        <v>2Q11</v>
      </c>
      <c r="L26" s="737"/>
      <c r="M26" s="670"/>
      <c r="N26" s="670"/>
      <c r="O26" s="670"/>
      <c r="P26" s="670"/>
      <c r="Q26" s="738">
        <v>29.663742690058498</v>
      </c>
      <c r="R26" s="737"/>
      <c r="S26" s="670"/>
      <c r="T26" s="670"/>
      <c r="U26" s="670"/>
      <c r="V26" s="670"/>
      <c r="W26" s="738">
        <v>13.6854175097801</v>
      </c>
      <c r="X26" s="737"/>
      <c r="Y26" s="670"/>
      <c r="Z26" s="670"/>
      <c r="AA26" s="670"/>
      <c r="AB26" s="670"/>
      <c r="AC26" s="738">
        <v>12.770455458680001</v>
      </c>
      <c r="AD26" s="670"/>
      <c r="AE26" s="670"/>
      <c r="AF26" s="670"/>
      <c r="AG26" s="670"/>
      <c r="AH26" s="670"/>
      <c r="AI26" s="738">
        <v>12.509853739850399</v>
      </c>
      <c r="AJ26" s="9"/>
      <c r="AK26" s="258" t="str">
        <f t="shared" si="12"/>
        <v>2Q11</v>
      </c>
      <c r="AL26" s="737">
        <f t="shared" si="13"/>
        <v>0</v>
      </c>
      <c r="AM26" s="670">
        <v>17.246492985971901</v>
      </c>
      <c r="AN26" s="670">
        <v>14.3943122734266</v>
      </c>
      <c r="AO26" s="670">
        <v>20.172268907563002</v>
      </c>
      <c r="AP26" s="670">
        <v>17.740099009901002</v>
      </c>
      <c r="AQ26" s="738">
        <v>32.665289256198299</v>
      </c>
      <c r="AR26" s="737">
        <f t="shared" si="14"/>
        <v>0</v>
      </c>
      <c r="AS26" s="670">
        <v>16.4929091605979</v>
      </c>
      <c r="AT26" s="670">
        <v>13.759269084893001</v>
      </c>
      <c r="AU26" s="670">
        <v>17.592524734334901</v>
      </c>
      <c r="AV26" s="670">
        <v>17.100930565497499</v>
      </c>
      <c r="AW26" s="738">
        <v>14.971590909090899</v>
      </c>
      <c r="AX26" s="737">
        <f t="shared" si="15"/>
        <v>0</v>
      </c>
      <c r="AY26" s="670">
        <v>8.59690566989158</v>
      </c>
      <c r="AZ26" s="670">
        <v>8.8010836613823695</v>
      </c>
      <c r="BA26" s="670">
        <v>11.094052717673801</v>
      </c>
      <c r="BB26" s="670">
        <v>9.8591070409381203</v>
      </c>
      <c r="BC26" s="738">
        <v>10.5383628649705</v>
      </c>
      <c r="BD26" s="737">
        <f t="shared" si="22"/>
        <v>0</v>
      </c>
      <c r="BE26" s="670">
        <v>8.7427931686696798</v>
      </c>
      <c r="BF26" s="670">
        <v>8.1529186511967193</v>
      </c>
      <c r="BG26" s="670">
        <v>9.7023588296931198</v>
      </c>
      <c r="BH26" s="670">
        <v>10.233524072478801</v>
      </c>
      <c r="BI26" s="738">
        <v>8.7209608596160209</v>
      </c>
      <c r="BJ26" s="9"/>
      <c r="BK26" s="258" t="str">
        <f t="shared" si="16"/>
        <v>2Q11</v>
      </c>
      <c r="BL26" s="737">
        <f t="shared" si="17"/>
        <v>0</v>
      </c>
      <c r="BM26" s="670">
        <v>12.801556420233499</v>
      </c>
      <c r="BN26" s="670">
        <v>13.8237232289951</v>
      </c>
      <c r="BO26" s="670">
        <v>18.049028946808502</v>
      </c>
      <c r="BP26" s="670">
        <v>14.1588726076758</v>
      </c>
      <c r="BQ26" s="738">
        <v>17.745098039215701</v>
      </c>
      <c r="BR26" s="737">
        <f t="shared" si="18"/>
        <v>0</v>
      </c>
      <c r="BS26" s="670">
        <v>12.016070124178199</v>
      </c>
      <c r="BT26" s="670">
        <v>13.4773530356569</v>
      </c>
      <c r="BU26" s="670">
        <v>17.094294418135998</v>
      </c>
      <c r="BV26" s="670">
        <v>15.531272305986599</v>
      </c>
      <c r="BW26" s="738">
        <v>17.403846153846199</v>
      </c>
      <c r="BX26" s="737">
        <f t="shared" si="19"/>
        <v>0</v>
      </c>
      <c r="BY26" s="670">
        <v>10.894218735942699</v>
      </c>
      <c r="BZ26" s="670">
        <v>5.7967657341768799</v>
      </c>
      <c r="CA26" s="670">
        <v>12.024869795762701</v>
      </c>
      <c r="CB26" s="670">
        <v>10.1625572132205</v>
      </c>
      <c r="CC26" s="738">
        <v>10.1605825557342</v>
      </c>
      <c r="CD26" s="737">
        <f t="shared" si="23"/>
        <v>0</v>
      </c>
      <c r="CE26" s="670">
        <v>10.597373538778101</v>
      </c>
      <c r="CF26" s="670">
        <v>7.73496272319748</v>
      </c>
      <c r="CG26" s="670">
        <v>12.5738819755107</v>
      </c>
      <c r="CH26" s="670">
        <v>8.9556600334891403</v>
      </c>
      <c r="CI26" s="738">
        <v>9.88405890122222</v>
      </c>
    </row>
    <row r="27" spans="1:87" ht="14.25" customHeight="1">
      <c r="A27" s="9"/>
      <c r="B27" s="9"/>
      <c r="C27" s="9"/>
      <c r="D27" s="9"/>
      <c r="E27" s="9"/>
      <c r="F27" s="9"/>
      <c r="G27" s="9"/>
      <c r="H27" s="9"/>
      <c r="I27" s="64">
        <f>IF(I26=4,1,I26+1)</f>
        <v>3</v>
      </c>
      <c r="J27" s="3">
        <f t="shared" si="20"/>
        <v>2011</v>
      </c>
      <c r="K27" s="258" t="str">
        <f t="shared" si="11"/>
        <v>3Q11</v>
      </c>
      <c r="L27" s="737"/>
      <c r="M27" s="670"/>
      <c r="N27" s="670"/>
      <c r="O27" s="670"/>
      <c r="P27" s="670"/>
      <c r="Q27" s="738">
        <v>22.110481586402301</v>
      </c>
      <c r="R27" s="737"/>
      <c r="S27" s="670"/>
      <c r="T27" s="670"/>
      <c r="U27" s="670"/>
      <c r="V27" s="670"/>
      <c r="W27" s="738">
        <v>11.15</v>
      </c>
      <c r="X27" s="737"/>
      <c r="Y27" s="670"/>
      <c r="Z27" s="670"/>
      <c r="AA27" s="670"/>
      <c r="AB27" s="670"/>
      <c r="AC27" s="738">
        <v>9.8454603174478894</v>
      </c>
      <c r="AD27" s="670"/>
      <c r="AE27" s="670"/>
      <c r="AF27" s="670"/>
      <c r="AG27" s="670"/>
      <c r="AH27" s="670"/>
      <c r="AI27" s="738">
        <v>10.0239855151121</v>
      </c>
      <c r="AJ27" s="9"/>
      <c r="AK27" s="258" t="str">
        <f t="shared" si="12"/>
        <v>3Q11</v>
      </c>
      <c r="AL27" s="737">
        <f t="shared" si="13"/>
        <v>0</v>
      </c>
      <c r="AM27" s="670">
        <v>16.709618874773099</v>
      </c>
      <c r="AN27" s="670">
        <v>13.7703909932735</v>
      </c>
      <c r="AO27" s="670">
        <v>20.952380952380999</v>
      </c>
      <c r="AP27" s="670">
        <v>17.744630071599001</v>
      </c>
      <c r="AQ27" s="738">
        <v>25.9249561574435</v>
      </c>
      <c r="AR27" s="737">
        <f t="shared" si="14"/>
        <v>0</v>
      </c>
      <c r="AS27" s="670">
        <v>16.773547094188402</v>
      </c>
      <c r="AT27" s="670">
        <v>13.9518273125852</v>
      </c>
      <c r="AU27" s="670">
        <v>20.449264136328399</v>
      </c>
      <c r="AV27" s="670">
        <v>17.727706247019601</v>
      </c>
      <c r="AW27" s="738">
        <v>16.894841269841301</v>
      </c>
      <c r="AX27" s="737">
        <f t="shared" si="15"/>
        <v>0</v>
      </c>
      <c r="AY27" s="670">
        <v>8.7288716349016404</v>
      </c>
      <c r="AZ27" s="670">
        <v>8.5014019169285699</v>
      </c>
      <c r="BA27" s="670">
        <v>11.1070955202352</v>
      </c>
      <c r="BB27" s="670">
        <v>9.5632617762563594</v>
      </c>
      <c r="BC27" s="738">
        <v>9.7001516869167794</v>
      </c>
      <c r="BD27" s="737">
        <f t="shared" si="22"/>
        <v>0</v>
      </c>
      <c r="BE27" s="670">
        <v>8.5457104464064795</v>
      </c>
      <c r="BF27" s="670">
        <v>7.6855323452255799</v>
      </c>
      <c r="BG27" s="670">
        <v>9.4236432384612492</v>
      </c>
      <c r="BH27" s="670">
        <v>9.2549822526974808</v>
      </c>
      <c r="BI27" s="738">
        <v>7.8925918150018299</v>
      </c>
      <c r="BJ27" s="9"/>
      <c r="BK27" s="258" t="str">
        <f t="shared" si="16"/>
        <v>3Q11</v>
      </c>
      <c r="BL27" s="737">
        <f t="shared" si="17"/>
        <v>0</v>
      </c>
      <c r="BM27" s="670">
        <v>11.659695817490499</v>
      </c>
      <c r="BN27" s="670">
        <v>14.9481132075472</v>
      </c>
      <c r="BO27" s="670">
        <v>19.025619464893602</v>
      </c>
      <c r="BP27" s="670">
        <v>15.326900443934401</v>
      </c>
      <c r="BQ27" s="738">
        <v>16.806451612903199</v>
      </c>
      <c r="BR27" s="737">
        <f t="shared" si="18"/>
        <v>0</v>
      </c>
      <c r="BS27" s="670">
        <v>11.755798351543</v>
      </c>
      <c r="BT27" s="670">
        <v>15.047483380816701</v>
      </c>
      <c r="BU27" s="670">
        <v>18.0647295929293</v>
      </c>
      <c r="BV27" s="670">
        <v>17.104285245216801</v>
      </c>
      <c r="BW27" s="738">
        <v>17.0215083038388</v>
      </c>
      <c r="BX27" s="737">
        <f t="shared" si="19"/>
        <v>0</v>
      </c>
      <c r="BY27" s="670">
        <v>10.2197271127802</v>
      </c>
      <c r="BZ27" s="670">
        <v>6.2842439512966699</v>
      </c>
      <c r="CA27" s="670">
        <v>12.6356232363168</v>
      </c>
      <c r="CB27" s="670">
        <v>10.57792595541</v>
      </c>
      <c r="CC27" s="738">
        <v>9.6717505187517503</v>
      </c>
      <c r="CD27" s="737">
        <f t="shared" si="23"/>
        <v>0</v>
      </c>
      <c r="CE27" s="670">
        <v>10.0449453713049</v>
      </c>
      <c r="CF27" s="670">
        <v>9.2373324005712192</v>
      </c>
      <c r="CG27" s="670">
        <v>10.897307886223</v>
      </c>
      <c r="CH27" s="670">
        <v>8.8081389308221993</v>
      </c>
      <c r="CI27" s="738">
        <v>8.9464228318528694</v>
      </c>
    </row>
    <row r="28" spans="1:87" ht="14.25" customHeight="1">
      <c r="A28" s="180" t="s">
        <v>0</v>
      </c>
      <c r="B28" s="9"/>
      <c r="C28" s="728" t="str">
        <f>Comparables!S86</f>
        <v>Primary Peer Group</v>
      </c>
      <c r="D28" s="76"/>
      <c r="E28" s="76"/>
      <c r="F28" s="76"/>
      <c r="G28" s="76"/>
      <c r="H28" s="78"/>
      <c r="I28" s="64">
        <f>I24</f>
        <v>4</v>
      </c>
      <c r="J28" s="3">
        <f t="shared" si="20"/>
        <v>2011</v>
      </c>
      <c r="K28" s="258" t="str">
        <f t="shared" si="11"/>
        <v>4Q11</v>
      </c>
      <c r="L28" s="737"/>
      <c r="M28" s="670"/>
      <c r="N28" s="670"/>
      <c r="O28" s="670"/>
      <c r="P28" s="670"/>
      <c r="Q28" s="738">
        <v>30.753205128205099</v>
      </c>
      <c r="R28" s="737"/>
      <c r="S28" s="670"/>
      <c r="T28" s="670"/>
      <c r="U28" s="670"/>
      <c r="V28" s="670"/>
      <c r="W28" s="738">
        <v>14.493957703927499</v>
      </c>
      <c r="X28" s="737"/>
      <c r="Y28" s="670"/>
      <c r="Z28" s="670"/>
      <c r="AA28" s="670"/>
      <c r="AB28" s="670"/>
      <c r="AC28" s="738">
        <v>11.3122542460773</v>
      </c>
      <c r="AD28" s="670"/>
      <c r="AE28" s="670"/>
      <c r="AF28" s="670"/>
      <c r="AG28" s="670"/>
      <c r="AH28" s="670"/>
      <c r="AI28" s="738">
        <v>11.3629432254241</v>
      </c>
      <c r="AJ28" s="9"/>
      <c r="AK28" s="258" t="str">
        <f t="shared" si="12"/>
        <v>4Q11</v>
      </c>
      <c r="AL28" s="737">
        <f t="shared" si="13"/>
        <v>0</v>
      </c>
      <c r="AM28" s="670">
        <v>17.202127659574501</v>
      </c>
      <c r="AN28" s="670">
        <v>14.797965656703299</v>
      </c>
      <c r="AO28" s="670">
        <v>19.796226415094299</v>
      </c>
      <c r="AP28" s="670">
        <v>17.726218097447799</v>
      </c>
      <c r="AQ28" s="738">
        <v>28.010522213561998</v>
      </c>
      <c r="AR28" s="737">
        <f t="shared" si="14"/>
        <v>0</v>
      </c>
      <c r="AS28" s="670">
        <v>16.025768087215098</v>
      </c>
      <c r="AT28" s="670">
        <v>13.476930291833501</v>
      </c>
      <c r="AU28" s="670">
        <v>17.2395662175485</v>
      </c>
      <c r="AV28" s="670">
        <v>16.114743724952501</v>
      </c>
      <c r="AW28" s="738">
        <v>16.727272727272702</v>
      </c>
      <c r="AX28" s="737">
        <f t="shared" si="15"/>
        <v>0</v>
      </c>
      <c r="AY28" s="670">
        <v>8.8590026178577492</v>
      </c>
      <c r="AZ28" s="670">
        <v>9.3523656576372698</v>
      </c>
      <c r="BA28" s="670">
        <v>11.064332341360499</v>
      </c>
      <c r="BB28" s="670">
        <v>9.5475252876994308</v>
      </c>
      <c r="BC28" s="738">
        <v>10.446835844357601</v>
      </c>
      <c r="BD28" s="737">
        <f t="shared" si="22"/>
        <v>0</v>
      </c>
      <c r="BE28" s="670">
        <v>8.4865906345286994</v>
      </c>
      <c r="BF28" s="670">
        <v>8.5156768142428003</v>
      </c>
      <c r="BG28" s="670">
        <v>9.7364467336443603</v>
      </c>
      <c r="BH28" s="670">
        <v>9.6443837219062392</v>
      </c>
      <c r="BI28" s="738">
        <v>8.8091049590815196</v>
      </c>
      <c r="BJ28" s="9"/>
      <c r="BK28" s="258" t="str">
        <f t="shared" si="16"/>
        <v>4Q11</v>
      </c>
      <c r="BL28" s="737">
        <f t="shared" si="17"/>
        <v>0</v>
      </c>
      <c r="BM28" s="670">
        <v>12.671077504725901</v>
      </c>
      <c r="BN28" s="670">
        <v>16.817337461300301</v>
      </c>
      <c r="BO28" s="670">
        <v>17.1665906585859</v>
      </c>
      <c r="BP28" s="670">
        <v>14.567851244435801</v>
      </c>
      <c r="BQ28" s="738">
        <v>16.883116883116902</v>
      </c>
      <c r="BR28" s="737">
        <f t="shared" si="18"/>
        <v>0</v>
      </c>
      <c r="BS28" s="670">
        <v>12.285557184750701</v>
      </c>
      <c r="BT28" s="670">
        <v>16.571079926784599</v>
      </c>
      <c r="BU28" s="670">
        <v>15.3245489197475</v>
      </c>
      <c r="BV28" s="670">
        <v>14.759081873359801</v>
      </c>
      <c r="BW28" s="738">
        <v>15.640038498556301</v>
      </c>
      <c r="BX28" s="737">
        <f t="shared" si="19"/>
        <v>0</v>
      </c>
      <c r="BY28" s="670">
        <v>10.846759407146299</v>
      </c>
      <c r="BZ28" s="670">
        <v>7.3637607097941498</v>
      </c>
      <c r="CA28" s="670">
        <v>11.4163523058198</v>
      </c>
      <c r="CB28" s="670">
        <v>10.2260901018242</v>
      </c>
      <c r="CC28" s="738">
        <v>9.6868617530430292</v>
      </c>
      <c r="CD28" s="737">
        <f t="shared" si="23"/>
        <v>0</v>
      </c>
      <c r="CE28" s="670">
        <v>11.3120660096171</v>
      </c>
      <c r="CF28" s="670">
        <v>9.9657348175322298</v>
      </c>
      <c r="CG28" s="670">
        <v>10.259485184477599</v>
      </c>
      <c r="CH28" s="670">
        <v>8.8615232646381603</v>
      </c>
      <c r="CI28" s="738">
        <v>9.1640965083525003</v>
      </c>
    </row>
    <row r="29" spans="1:87" ht="14.25" customHeight="1">
      <c r="A29" s="9"/>
      <c r="B29" s="9"/>
      <c r="C29" s="736" t="s">
        <v>788</v>
      </c>
      <c r="D29" s="736"/>
      <c r="E29" s="736"/>
      <c r="F29" s="736"/>
      <c r="G29" s="736"/>
      <c r="H29" s="736"/>
      <c r="I29" s="64">
        <f>IF(I28=4,1,I28+1)</f>
        <v>1</v>
      </c>
      <c r="J29" s="3">
        <f t="shared" si="20"/>
        <v>2012</v>
      </c>
      <c r="K29" s="258" t="str">
        <f t="shared" si="11"/>
        <v>1Q12</v>
      </c>
      <c r="L29" s="737"/>
      <c r="M29" s="670"/>
      <c r="N29" s="670"/>
      <c r="O29" s="670"/>
      <c r="P29" s="670"/>
      <c r="Q29" s="738">
        <v>36.184466019417499</v>
      </c>
      <c r="R29" s="737"/>
      <c r="S29" s="670"/>
      <c r="W29" s="738">
        <v>15.3732985013062</v>
      </c>
      <c r="X29" s="737"/>
      <c r="AC29" s="738">
        <v>13.069073748414899</v>
      </c>
      <c r="AD29" s="670"/>
      <c r="AE29" s="670"/>
      <c r="AI29" s="738">
        <v>12.4334182476377</v>
      </c>
      <c r="AJ29" s="9"/>
      <c r="AK29" s="258" t="str">
        <f t="shared" si="12"/>
        <v>1Q12</v>
      </c>
      <c r="AL29" s="737">
        <f t="shared" si="13"/>
        <v>0</v>
      </c>
      <c r="AM29" s="670">
        <v>15.405891980360099</v>
      </c>
      <c r="AN29" s="670">
        <v>14.8719880153684</v>
      </c>
      <c r="AO29" s="670">
        <v>18.777003484320598</v>
      </c>
      <c r="AP29" s="670">
        <v>17.191208791208801</v>
      </c>
      <c r="AQ29" s="738">
        <v>17.902609802673499</v>
      </c>
      <c r="AR29" s="737">
        <f t="shared" si="14"/>
        <v>0</v>
      </c>
      <c r="AS29" s="670">
        <v>14.832965647652101</v>
      </c>
      <c r="AT29" s="670">
        <v>14.168059180304899</v>
      </c>
      <c r="AU29" s="670">
        <v>17.616868257600501</v>
      </c>
      <c r="AV29" s="670">
        <v>16.405201342281899</v>
      </c>
      <c r="AW29" s="738">
        <v>14.889705882352899</v>
      </c>
      <c r="AX29" s="737">
        <f t="shared" si="15"/>
        <v>0</v>
      </c>
      <c r="AY29" s="670">
        <v>8.0128863909949501</v>
      </c>
      <c r="AZ29" s="670">
        <v>9.5916429615490504</v>
      </c>
      <c r="BA29" s="670">
        <v>9.6883680004064399</v>
      </c>
      <c r="BB29" s="670">
        <v>9.5695105436488799</v>
      </c>
      <c r="BC29" s="738">
        <v>8.3114767326934</v>
      </c>
      <c r="BD29" s="737">
        <f t="shared" si="22"/>
        <v>0</v>
      </c>
      <c r="BE29" s="670">
        <v>7.9727314135024896</v>
      </c>
      <c r="BF29" s="670">
        <v>8.6157405733320402</v>
      </c>
      <c r="BG29" s="670">
        <v>9.1085098178390407</v>
      </c>
      <c r="BH29" s="670">
        <v>9.6615114585042594</v>
      </c>
      <c r="BI29" s="738">
        <v>7.7276233874370703</v>
      </c>
      <c r="BJ29" s="9"/>
      <c r="BK29" s="258" t="str">
        <f t="shared" si="16"/>
        <v>1Q12</v>
      </c>
      <c r="BL29" s="737">
        <f t="shared" si="17"/>
        <v>0</v>
      </c>
      <c r="BM29" s="670">
        <v>15.628742514970099</v>
      </c>
      <c r="BN29" s="670">
        <v>17.729809104258401</v>
      </c>
      <c r="BO29" s="670">
        <v>17.862477471844699</v>
      </c>
      <c r="BP29" s="670">
        <v>16.9552839086532</v>
      </c>
      <c r="BQ29" s="738">
        <v>17.688279301745599</v>
      </c>
      <c r="BR29" s="737">
        <f t="shared" si="18"/>
        <v>0</v>
      </c>
      <c r="BS29" s="670">
        <v>13.9896373056995</v>
      </c>
      <c r="BT29" s="670">
        <v>17.3427176098822</v>
      </c>
      <c r="BU29" s="670">
        <v>16.635037790235099</v>
      </c>
      <c r="BV29" s="670">
        <v>17.3787535359534</v>
      </c>
      <c r="BW29" s="738">
        <v>16.977022498803301</v>
      </c>
      <c r="BX29" s="737">
        <f t="shared" si="19"/>
        <v>0</v>
      </c>
      <c r="BY29" s="670">
        <v>8.7367486244836403</v>
      </c>
      <c r="BZ29" s="670">
        <v>7.5076003027180001</v>
      </c>
      <c r="CA29" s="670">
        <v>12.0946544433192</v>
      </c>
      <c r="CB29" s="670">
        <v>11.9712771283663</v>
      </c>
      <c r="CC29" s="738">
        <v>6.7972844586744596</v>
      </c>
      <c r="CD29" s="737">
        <f t="shared" si="23"/>
        <v>0</v>
      </c>
      <c r="CE29" s="670">
        <v>8.1811344842072504</v>
      </c>
      <c r="CF29" s="670">
        <v>10.216242095317099</v>
      </c>
      <c r="CG29" s="670">
        <v>10.9766502375101</v>
      </c>
      <c r="CH29" s="670">
        <v>10.6271859083267</v>
      </c>
      <c r="CI29" s="738">
        <v>9.6854159394142094</v>
      </c>
    </row>
    <row r="30" spans="1:87" ht="14.25" customHeight="1">
      <c r="A30" s="9"/>
      <c r="B30" s="9"/>
      <c r="C30" s="64"/>
      <c r="D30" s="9"/>
      <c r="E30" s="64" t="s">
        <v>784</v>
      </c>
      <c r="F30" s="64" t="s">
        <v>785</v>
      </c>
      <c r="G30" s="64" t="s">
        <v>786</v>
      </c>
      <c r="H30" s="64" t="s">
        <v>787</v>
      </c>
      <c r="I30" s="64">
        <f>IF(I29+1=5,1,I29+1)</f>
        <v>2</v>
      </c>
      <c r="J30" s="3">
        <f t="shared" si="20"/>
        <v>2012</v>
      </c>
      <c r="K30" s="258" t="str">
        <f t="shared" si="11"/>
        <v>2Q12</v>
      </c>
      <c r="L30" s="737"/>
      <c r="M30" s="670"/>
      <c r="N30" s="670"/>
      <c r="O30" s="670"/>
      <c r="P30" s="670"/>
      <c r="Q30" s="738">
        <v>46.377118644067799</v>
      </c>
      <c r="R30" s="737"/>
      <c r="S30" s="670"/>
      <c r="T30" s="670"/>
      <c r="U30" s="670">
        <v>9.8463564530289691</v>
      </c>
      <c r="V30" s="670"/>
      <c r="W30" s="738">
        <v>14.766594711279</v>
      </c>
      <c r="X30" s="737"/>
      <c r="Y30" s="670"/>
      <c r="Z30" s="670"/>
      <c r="AA30" s="670">
        <v>12.275836689953699</v>
      </c>
      <c r="AB30" s="670"/>
      <c r="AC30" s="738">
        <v>14.2168717321365</v>
      </c>
      <c r="AD30" s="670"/>
      <c r="AE30" s="670"/>
      <c r="AF30" s="670"/>
      <c r="AG30" s="670">
        <v>23.520160101408798</v>
      </c>
      <c r="AH30" s="670"/>
      <c r="AI30" s="738">
        <v>11.7819383996073</v>
      </c>
      <c r="AJ30" s="9"/>
      <c r="AK30" s="258" t="str">
        <f t="shared" si="12"/>
        <v>2Q12</v>
      </c>
      <c r="AL30" s="737">
        <f t="shared" si="13"/>
        <v>0</v>
      </c>
      <c r="AM30" s="670">
        <v>16.413010590015102</v>
      </c>
      <c r="AN30" s="670">
        <v>13.929109488189001</v>
      </c>
      <c r="AO30" s="670">
        <v>20.455128205128201</v>
      </c>
      <c r="AP30" s="670">
        <v>17.5613305613306</v>
      </c>
      <c r="AQ30" s="738">
        <v>21.814661574368799</v>
      </c>
      <c r="AR30" s="737">
        <f t="shared" si="14"/>
        <v>0</v>
      </c>
      <c r="AS30" s="670">
        <v>15.7872526193248</v>
      </c>
      <c r="AT30" s="670">
        <v>14.0257435480674</v>
      </c>
      <c r="AU30" s="670">
        <v>19.752398638192499</v>
      </c>
      <c r="AV30" s="670">
        <v>17.106115836371</v>
      </c>
      <c r="AW30" s="738">
        <v>16.900684931506898</v>
      </c>
      <c r="AX30" s="737">
        <f t="shared" si="15"/>
        <v>0</v>
      </c>
      <c r="AY30" s="670">
        <v>8.5842487072506906</v>
      </c>
      <c r="AZ30" s="670">
        <v>8.4427375761939292</v>
      </c>
      <c r="BA30" s="670">
        <v>11.1349827480621</v>
      </c>
      <c r="BB30" s="670">
        <v>10.4017651747751</v>
      </c>
      <c r="BC30" s="738">
        <v>10.7651705951063</v>
      </c>
      <c r="BD30" s="737">
        <f t="shared" si="22"/>
        <v>0</v>
      </c>
      <c r="BE30" s="670">
        <v>8.5672362112149294</v>
      </c>
      <c r="BF30" s="670">
        <v>8.4611465703845194</v>
      </c>
      <c r="BG30" s="670">
        <v>10.505650640974901</v>
      </c>
      <c r="BH30" s="670">
        <v>10.058965891206</v>
      </c>
      <c r="BI30" s="738">
        <v>9.4456918185699905</v>
      </c>
      <c r="BJ30" s="9"/>
      <c r="BK30" s="258" t="str">
        <f t="shared" si="16"/>
        <v>2Q12</v>
      </c>
      <c r="BL30" s="737">
        <f t="shared" si="17"/>
        <v>0</v>
      </c>
      <c r="BM30" s="670">
        <v>15.111753371869</v>
      </c>
      <c r="BN30" s="670">
        <v>20.248294679399699</v>
      </c>
      <c r="BO30" s="670">
        <v>18.4239851666667</v>
      </c>
      <c r="BP30" s="670">
        <v>17.104406321813698</v>
      </c>
      <c r="BQ30" s="738">
        <v>19.299760191846499</v>
      </c>
      <c r="BR30" s="737">
        <f t="shared" si="18"/>
        <v>0</v>
      </c>
      <c r="BS30" s="670">
        <v>14.5213849287169</v>
      </c>
      <c r="BT30" s="670">
        <v>19.411456970965201</v>
      </c>
      <c r="BU30" s="670">
        <v>18.0479854693878</v>
      </c>
      <c r="BV30" s="670">
        <v>18.007501566540501</v>
      </c>
      <c r="BW30" s="738">
        <v>19.012520670918999</v>
      </c>
      <c r="BX30" s="737">
        <f t="shared" si="19"/>
        <v>0</v>
      </c>
      <c r="BY30" s="670">
        <v>8.2923700244366199</v>
      </c>
      <c r="BZ30" s="670">
        <v>8.9093442042646291</v>
      </c>
      <c r="CA30" s="670">
        <v>12.552364084411501</v>
      </c>
      <c r="CB30" s="670">
        <v>11.712159015325099</v>
      </c>
      <c r="CC30" s="738">
        <v>7.5276037041258403</v>
      </c>
      <c r="CD30" s="737">
        <f t="shared" si="23"/>
        <v>0</v>
      </c>
      <c r="CE30" s="670">
        <v>8.1542684797450207</v>
      </c>
      <c r="CF30" s="670">
        <v>10.770474443471301</v>
      </c>
      <c r="CG30" s="670">
        <v>12.3639389901145</v>
      </c>
      <c r="CH30" s="670">
        <v>10.6466484541989</v>
      </c>
      <c r="CI30" s="738">
        <v>10.8118977956183</v>
      </c>
    </row>
    <row r="31" spans="1:87" ht="14.25" customHeight="1">
      <c r="A31" s="9"/>
      <c r="B31" s="9"/>
      <c r="C31" s="9" t="s">
        <v>758</v>
      </c>
      <c r="D31" s="9"/>
      <c r="E31" s="618">
        <f>AVERAGE(M81:Q86)</f>
        <v>233.49263215436758</v>
      </c>
      <c r="F31" s="618">
        <f>AVERAGE(S81:W86)</f>
        <v>22.009183907917734</v>
      </c>
      <c r="G31" s="618">
        <f>AVERAGE(Y81:AC86)</f>
        <v>46.125910260886421</v>
      </c>
      <c r="H31" s="618">
        <f>AVERAGE(AE81:AI86)</f>
        <v>21.589467015590195</v>
      </c>
      <c r="I31" s="64">
        <f>IF(I30=4,1,I30+1)</f>
        <v>3</v>
      </c>
      <c r="J31" s="3">
        <f t="shared" si="20"/>
        <v>2012</v>
      </c>
      <c r="K31" s="258" t="str">
        <f t="shared" si="11"/>
        <v>3Q12</v>
      </c>
      <c r="L31" s="737"/>
      <c r="M31" s="670"/>
      <c r="N31" s="670"/>
      <c r="O31" s="670"/>
      <c r="P31" s="670"/>
      <c r="Q31" s="738">
        <v>46.590909090909101</v>
      </c>
      <c r="R31" s="737"/>
      <c r="S31" s="670"/>
      <c r="T31" s="670"/>
      <c r="U31" s="670">
        <v>11.488616462346799</v>
      </c>
      <c r="V31" s="670"/>
      <c r="W31" s="738">
        <v>16.384707606234201</v>
      </c>
      <c r="X31" s="737"/>
      <c r="Y31" s="670"/>
      <c r="Z31" s="670"/>
      <c r="AA31" s="670">
        <v>8.5148844188938995</v>
      </c>
      <c r="AB31" s="670"/>
      <c r="AC31" s="738">
        <v>15.413921349658001</v>
      </c>
      <c r="AD31" s="670"/>
      <c r="AE31" s="670"/>
      <c r="AF31" s="670"/>
      <c r="AG31" s="670">
        <v>23.9794100591151</v>
      </c>
      <c r="AH31" s="670"/>
      <c r="AI31" s="738">
        <v>13.190792869092</v>
      </c>
      <c r="AJ31" s="9"/>
      <c r="AK31" s="258" t="str">
        <f t="shared" si="12"/>
        <v>3Q12</v>
      </c>
      <c r="AL31" s="737">
        <f t="shared" si="13"/>
        <v>0</v>
      </c>
      <c r="AM31" s="670">
        <v>15.3440233236152</v>
      </c>
      <c r="AN31" s="670">
        <v>13.719321164615399</v>
      </c>
      <c r="AO31" s="670">
        <v>18.283132530120501</v>
      </c>
      <c r="AP31" s="670">
        <v>17.449019607843098</v>
      </c>
      <c r="AQ31" s="738">
        <v>19.153846153846199</v>
      </c>
      <c r="AR31" s="737">
        <f t="shared" si="14"/>
        <v>0</v>
      </c>
      <c r="AS31" s="670">
        <v>15.195611375775901</v>
      </c>
      <c r="AT31" s="670">
        <v>13.8983966600429</v>
      </c>
      <c r="AU31" s="670">
        <v>18.694179242377601</v>
      </c>
      <c r="AV31" s="670">
        <v>17.531520882584701</v>
      </c>
      <c r="AW31" s="738">
        <v>16.824324324324301</v>
      </c>
      <c r="AX31" s="737">
        <f t="shared" si="15"/>
        <v>0</v>
      </c>
      <c r="AY31" s="670">
        <v>8.2411123582192491</v>
      </c>
      <c r="AZ31" s="670">
        <v>8.0242378751095202</v>
      </c>
      <c r="BA31" s="670">
        <v>9.9607292477650695</v>
      </c>
      <c r="BB31" s="670">
        <v>10.0980469559544</v>
      </c>
      <c r="BC31" s="738">
        <v>9.3325299750433999</v>
      </c>
      <c r="BD31" s="737">
        <f t="shared" si="22"/>
        <v>0</v>
      </c>
      <c r="BE31" s="670">
        <v>7.9738975414521596</v>
      </c>
      <c r="BF31" s="670">
        <v>7.7297697673913799</v>
      </c>
      <c r="BG31" s="670">
        <v>8.7109361469898108</v>
      </c>
      <c r="BH31" s="670">
        <v>9.1508698196450204</v>
      </c>
      <c r="BI31" s="738">
        <v>8.5675347933455797</v>
      </c>
      <c r="BJ31" s="9"/>
      <c r="BK31" s="258" t="str">
        <f t="shared" si="16"/>
        <v>3Q12</v>
      </c>
      <c r="BL31" s="737">
        <f t="shared" si="17"/>
        <v>0</v>
      </c>
      <c r="BM31" s="670">
        <v>13.512104283054001</v>
      </c>
      <c r="BN31" s="670">
        <v>23.250936329588001</v>
      </c>
      <c r="BO31" s="670">
        <v>15.767074954867301</v>
      </c>
      <c r="BP31" s="670">
        <v>16.191930951047201</v>
      </c>
      <c r="BQ31" s="738">
        <v>17.474885844748901</v>
      </c>
      <c r="BR31" s="737">
        <f t="shared" si="18"/>
        <v>0</v>
      </c>
      <c r="BS31" s="670">
        <v>13.4869888475836</v>
      </c>
      <c r="BT31" s="670">
        <v>18.594249201278</v>
      </c>
      <c r="BU31" s="670">
        <v>16.1676902894737</v>
      </c>
      <c r="BV31" s="670">
        <v>18.643381056867302</v>
      </c>
      <c r="BW31" s="738">
        <v>17.9967082059723</v>
      </c>
      <c r="BX31" s="737">
        <f t="shared" si="19"/>
        <v>0</v>
      </c>
      <c r="BY31" s="670">
        <v>7.3340698627404901</v>
      </c>
      <c r="BZ31" s="670">
        <v>10.3981517643782</v>
      </c>
      <c r="CA31" s="670">
        <v>10.9312546610151</v>
      </c>
      <c r="CB31" s="670">
        <v>11.3586064014464</v>
      </c>
      <c r="CC31" s="738">
        <v>6.9025180302470703</v>
      </c>
      <c r="CD31" s="737">
        <f t="shared" si="23"/>
        <v>0</v>
      </c>
      <c r="CE31" s="670">
        <v>7.1578106402914301</v>
      </c>
      <c r="CF31" s="670">
        <v>11.0079026660542</v>
      </c>
      <c r="CG31" s="670">
        <v>9.6792214411202</v>
      </c>
      <c r="CH31" s="670">
        <v>9.8381757631916997</v>
      </c>
      <c r="CI31" s="738">
        <v>9.2772007367532705</v>
      </c>
    </row>
    <row r="32" spans="1:87" ht="14.25" customHeight="1">
      <c r="A32" s="9"/>
      <c r="B32" s="9"/>
      <c r="C32" s="9" t="s">
        <v>760</v>
      </c>
      <c r="D32" s="9"/>
      <c r="E32" s="618">
        <f>AVERAGE(M77:Q86)</f>
        <v>197.55424284676926</v>
      </c>
      <c r="F32" s="618">
        <f>AVERAGE(S77:W86)</f>
        <v>21.927725958893515</v>
      </c>
      <c r="G32" s="618">
        <f>AVERAGE(Y77:AC86)</f>
        <v>41.65801988845741</v>
      </c>
      <c r="H32" s="618">
        <f>AVERAGE(AE77:AI86)</f>
        <v>21.166454340080765</v>
      </c>
      <c r="I32" s="64">
        <f>I28</f>
        <v>4</v>
      </c>
      <c r="J32" s="3">
        <f t="shared" si="20"/>
        <v>2012</v>
      </c>
      <c r="K32" s="258" t="str">
        <f t="shared" si="11"/>
        <v>4Q12</v>
      </c>
      <c r="L32" s="737"/>
      <c r="M32" s="670"/>
      <c r="N32" s="670"/>
      <c r="P32" s="670"/>
      <c r="Q32" s="738">
        <v>38.719412333627801</v>
      </c>
      <c r="R32" s="737"/>
      <c r="S32" s="670"/>
      <c r="T32" s="670"/>
      <c r="U32" s="670">
        <v>12.490403071017299</v>
      </c>
      <c r="V32" s="670"/>
      <c r="W32" s="738">
        <v>17.2750199097425</v>
      </c>
      <c r="X32" s="737"/>
      <c r="Y32" s="670"/>
      <c r="Z32" s="670"/>
      <c r="AA32" s="670">
        <v>10.3081328677288</v>
      </c>
      <c r="AB32" s="670"/>
      <c r="AC32" s="738">
        <v>15.2593199510318</v>
      </c>
      <c r="AD32" s="670"/>
      <c r="AE32" s="670"/>
      <c r="AF32" s="670"/>
      <c r="AG32" s="670">
        <v>18.346790025170499</v>
      </c>
      <c r="AH32" s="670"/>
      <c r="AI32" s="738">
        <v>9.8103374783000206</v>
      </c>
      <c r="AJ32" s="9"/>
      <c r="AK32" s="258" t="str">
        <f t="shared" si="12"/>
        <v>4Q12</v>
      </c>
      <c r="AL32" s="737">
        <f t="shared" si="13"/>
        <v>0</v>
      </c>
      <c r="AM32" s="670">
        <v>13.7916666666667</v>
      </c>
      <c r="AN32" s="670">
        <v>14.464654180122899</v>
      </c>
      <c r="AO32" s="670">
        <v>18.251412429378501</v>
      </c>
      <c r="AP32" s="670">
        <v>15.297247706422</v>
      </c>
      <c r="AQ32" s="738">
        <v>18.663461538461501</v>
      </c>
      <c r="AR32" s="737">
        <f t="shared" si="14"/>
        <v>0</v>
      </c>
      <c r="AS32" s="670">
        <v>13.477198697068401</v>
      </c>
      <c r="AT32" s="670">
        <v>12.340474195629399</v>
      </c>
      <c r="AU32" s="670">
        <v>16.664947124065002</v>
      </c>
      <c r="AV32" s="670">
        <v>14.489051094890501</v>
      </c>
      <c r="AW32" s="738">
        <v>13.785511363636401</v>
      </c>
      <c r="AX32" s="737">
        <f t="shared" si="15"/>
        <v>0</v>
      </c>
      <c r="AY32" s="670">
        <v>7.5082358060283001</v>
      </c>
      <c r="AZ32" s="670">
        <v>8.5248604412945799</v>
      </c>
      <c r="BA32" s="670">
        <v>10.3114736638174</v>
      </c>
      <c r="BB32" s="670">
        <v>8.9801514544626801</v>
      </c>
      <c r="BC32" s="738">
        <v>9.0857967800564197</v>
      </c>
      <c r="BD32" s="737">
        <f t="shared" si="22"/>
        <v>0</v>
      </c>
      <c r="BE32" s="670">
        <v>7.4422532156527401</v>
      </c>
      <c r="BF32" s="670">
        <v>7.5823333272749496</v>
      </c>
      <c r="BG32" s="670">
        <v>9.3773908236927497</v>
      </c>
      <c r="BH32" s="670">
        <v>8.5842107938902608</v>
      </c>
      <c r="BI32" s="738">
        <v>8.0647859215188902</v>
      </c>
      <c r="BJ32" s="9"/>
      <c r="BK32" s="258" t="str">
        <f t="shared" si="16"/>
        <v>4Q12</v>
      </c>
      <c r="BL32" s="737">
        <f t="shared" si="17"/>
        <v>0</v>
      </c>
      <c r="BM32" s="670">
        <v>14.005366726297</v>
      </c>
      <c r="BN32" s="670">
        <v>18.641946697566599</v>
      </c>
      <c r="BO32" s="670">
        <v>16.025186627927901</v>
      </c>
      <c r="BP32" s="670">
        <v>14.024015011101</v>
      </c>
      <c r="BQ32" s="738">
        <v>15.15859030837</v>
      </c>
      <c r="BR32" s="737">
        <f t="shared" si="18"/>
        <v>0</v>
      </c>
      <c r="BS32" s="670">
        <v>13.140315542128199</v>
      </c>
      <c r="BT32" s="670">
        <v>15.4811393379523</v>
      </c>
      <c r="BU32" s="670">
        <v>14.652353506589799</v>
      </c>
      <c r="BV32" s="670">
        <v>14.2851003969459</v>
      </c>
      <c r="BW32" s="738">
        <v>14.154668860551199</v>
      </c>
      <c r="BX32" s="737">
        <f t="shared" si="19"/>
        <v>0</v>
      </c>
      <c r="BY32" s="670">
        <v>7.5835911867171699</v>
      </c>
      <c r="BZ32" s="670">
        <v>8.8265324943553392</v>
      </c>
      <c r="CA32" s="670">
        <v>10.8670026348689</v>
      </c>
      <c r="CB32" s="670">
        <v>10.079275237110799</v>
      </c>
      <c r="CC32" s="738">
        <v>6.17659738967299</v>
      </c>
      <c r="CD32" s="737">
        <f t="shared" si="23"/>
        <v>0</v>
      </c>
      <c r="CE32" s="670">
        <v>7.9681453066227101</v>
      </c>
      <c r="CF32" s="670">
        <v>9.5744907607354399</v>
      </c>
      <c r="CG32" s="670">
        <v>9.1153544058384899</v>
      </c>
      <c r="CH32" s="670">
        <v>9.0013095935908005</v>
      </c>
      <c r="CI32" s="738">
        <v>8.3684369571943495</v>
      </c>
    </row>
    <row r="33" spans="1:87" ht="14.25" customHeight="1">
      <c r="A33" s="9"/>
      <c r="B33" s="9"/>
      <c r="C33" s="9" t="s">
        <v>755</v>
      </c>
      <c r="D33" s="9"/>
      <c r="E33" s="618">
        <f>AVERAGE(M73:Q86)</f>
        <v>148.02790244368154</v>
      </c>
      <c r="F33" s="618">
        <f>AVERAGE(S73:W86)</f>
        <v>20.502586042142706</v>
      </c>
      <c r="G33" s="618">
        <f>AVERAGE(Y73:AC86)</f>
        <v>39.254307577352613</v>
      </c>
      <c r="H33" s="618">
        <f>AVERAGE(AE73:AI86)</f>
        <v>20.205617587436233</v>
      </c>
      <c r="I33" s="64">
        <f>IF(I32=4,1,I32+1)</f>
        <v>1</v>
      </c>
      <c r="J33" s="3">
        <f t="shared" si="20"/>
        <v>2013</v>
      </c>
      <c r="K33" s="258" t="str">
        <f t="shared" si="11"/>
        <v>1Q13</v>
      </c>
      <c r="L33" s="737"/>
      <c r="M33" s="670"/>
      <c r="N33" s="670"/>
      <c r="O33" s="670">
        <v>15.3202333942597</v>
      </c>
      <c r="P33" s="670"/>
      <c r="Q33" s="738">
        <v>40.398667530567302</v>
      </c>
      <c r="R33" s="737"/>
      <c r="S33" s="670"/>
      <c r="T33" s="670"/>
      <c r="U33" s="670">
        <v>10.4925424904613</v>
      </c>
      <c r="V33" s="670"/>
      <c r="W33" s="738">
        <v>16.578862139695602</v>
      </c>
      <c r="X33" s="737"/>
      <c r="Y33" s="670"/>
      <c r="Z33" s="670"/>
      <c r="AA33" s="670">
        <v>15.3636958838434</v>
      </c>
      <c r="AB33" s="670"/>
      <c r="AC33" s="738">
        <v>16.1181229138563</v>
      </c>
      <c r="AD33" s="670"/>
      <c r="AE33" s="670"/>
      <c r="AF33" s="670"/>
      <c r="AG33" s="670">
        <v>19.3808227233956</v>
      </c>
      <c r="AH33" s="670"/>
      <c r="AI33" s="738">
        <v>9.5757255793881502</v>
      </c>
      <c r="AJ33" s="9"/>
      <c r="AK33" s="258" t="str">
        <f t="shared" si="12"/>
        <v>1Q13</v>
      </c>
      <c r="AL33" s="737">
        <f t="shared" si="13"/>
        <v>0</v>
      </c>
      <c r="AM33" s="670">
        <v>13.033025099075299</v>
      </c>
      <c r="AN33" s="670">
        <v>12.3103857018256</v>
      </c>
      <c r="AO33" s="670">
        <v>15.048128342246001</v>
      </c>
      <c r="AP33" s="670">
        <v>14.797891036906901</v>
      </c>
      <c r="AQ33" s="738">
        <v>16.149635036496299</v>
      </c>
      <c r="AR33" s="737">
        <f t="shared" si="14"/>
        <v>0</v>
      </c>
      <c r="AS33" s="670">
        <v>13.2518468770987</v>
      </c>
      <c r="AT33" s="670">
        <v>11.8143277224061</v>
      </c>
      <c r="AU33" s="670">
        <v>14.353481254781901</v>
      </c>
      <c r="AV33" s="670">
        <v>14.2518618821936</v>
      </c>
      <c r="AW33" s="738">
        <v>12.606837606837599</v>
      </c>
      <c r="AX33" s="737">
        <f t="shared" si="15"/>
        <v>0</v>
      </c>
      <c r="AY33" s="670">
        <v>7.1384542788999497</v>
      </c>
      <c r="AZ33" s="670">
        <v>7.2858484195114004</v>
      </c>
      <c r="BA33" s="670">
        <v>8.5602396383199597</v>
      </c>
      <c r="BB33" s="670">
        <v>8.5248369749876307</v>
      </c>
      <c r="BC33" s="738">
        <v>8.51204820813631</v>
      </c>
      <c r="BD33" s="737">
        <f t="shared" si="22"/>
        <v>0</v>
      </c>
      <c r="BE33" s="670">
        <v>7.1755151239636596</v>
      </c>
      <c r="BF33" s="670">
        <v>7.0784166192176396</v>
      </c>
      <c r="BG33" s="670">
        <v>7.9720944221862897</v>
      </c>
      <c r="BH33" s="670">
        <v>8.2335253897019705</v>
      </c>
      <c r="BI33" s="738">
        <v>8.0098515918821196</v>
      </c>
      <c r="BJ33" s="9"/>
      <c r="BK33" s="258" t="str">
        <f t="shared" si="16"/>
        <v>1Q13</v>
      </c>
      <c r="BL33" s="737">
        <f t="shared" si="17"/>
        <v>0</v>
      </c>
      <c r="BM33" s="670">
        <v>12.1215106732348</v>
      </c>
      <c r="BN33" s="670">
        <v>15.3631522896699</v>
      </c>
      <c r="BO33" s="670">
        <v>11.4534820830357</v>
      </c>
      <c r="BP33" s="670">
        <v>11.7898232831689</v>
      </c>
      <c r="BQ33" s="738">
        <v>13.016877637130801</v>
      </c>
      <c r="BR33" s="737">
        <f t="shared" si="18"/>
        <v>0</v>
      </c>
      <c r="BS33" s="670">
        <v>12.199636423731601</v>
      </c>
      <c r="BT33" s="670">
        <v>14.2156089869925</v>
      </c>
      <c r="BU33" s="670">
        <v>11.5879854859982</v>
      </c>
      <c r="BV33" s="670">
        <v>12.616416059479601</v>
      </c>
      <c r="BW33" s="738">
        <v>12.604698672114401</v>
      </c>
      <c r="BX33" s="737">
        <f t="shared" si="19"/>
        <v>0</v>
      </c>
      <c r="BY33" s="670">
        <v>6.7672629406594202</v>
      </c>
      <c r="BZ33" s="670">
        <v>7.10345359639207</v>
      </c>
      <c r="CA33" s="670">
        <v>7.7810894052890296</v>
      </c>
      <c r="CB33" s="670">
        <v>8.8938680961155896</v>
      </c>
      <c r="CC33" s="738">
        <v>7.8343084438823301</v>
      </c>
      <c r="CD33" s="737">
        <f t="shared" si="23"/>
        <v>0</v>
      </c>
      <c r="CE33" s="670">
        <v>7.4277573523016596</v>
      </c>
      <c r="CF33" s="670">
        <v>8.3221430140267607</v>
      </c>
      <c r="CG33" s="670">
        <v>7.3101900362286996</v>
      </c>
      <c r="CH33" s="670">
        <v>8.0838186637965208</v>
      </c>
      <c r="CI33" s="738">
        <v>7.5550381111695497</v>
      </c>
    </row>
    <row r="34" spans="1:87" ht="14.25" customHeight="1">
      <c r="A34" s="9"/>
      <c r="B34" s="9"/>
      <c r="C34" s="9" t="s">
        <v>761</v>
      </c>
      <c r="D34" s="9"/>
      <c r="E34" s="618">
        <f>AVERAGE(M65:Q86)</f>
        <v>107.80241433829111</v>
      </c>
      <c r="F34" s="618">
        <f>AVERAGE(S65:W86)</f>
        <v>20.003318567550409</v>
      </c>
      <c r="G34" s="618">
        <f>AVERAGE(Y65:AC86)</f>
        <v>31.677601431333507</v>
      </c>
      <c r="H34" s="618">
        <f>AVERAGE(AE65:AI86)</f>
        <v>20.022466554878399</v>
      </c>
      <c r="I34" s="64">
        <f>IF(I33+1=5,1,I33+1)</f>
        <v>2</v>
      </c>
      <c r="J34" s="3">
        <f t="shared" si="20"/>
        <v>2013</v>
      </c>
      <c r="K34" s="258" t="str">
        <f t="shared" si="11"/>
        <v>2Q13</v>
      </c>
      <c r="L34" s="737"/>
      <c r="M34" s="670"/>
      <c r="N34" s="670"/>
      <c r="O34" s="670">
        <v>10.126660300133199</v>
      </c>
      <c r="P34" s="670"/>
      <c r="Q34" s="738">
        <v>33.723052567767503</v>
      </c>
      <c r="R34" s="737"/>
      <c r="S34" s="670"/>
      <c r="T34" s="670"/>
      <c r="U34" s="670">
        <v>8.5036496350364992</v>
      </c>
      <c r="V34" s="670"/>
      <c r="W34" s="738">
        <v>17.4441370504363</v>
      </c>
      <c r="X34" s="737"/>
      <c r="Y34" s="670"/>
      <c r="Z34" s="670"/>
      <c r="AA34" s="670">
        <v>14.5450193955845</v>
      </c>
      <c r="AB34" s="670"/>
      <c r="AC34" s="738">
        <v>14.7488648052513</v>
      </c>
      <c r="AD34" s="670"/>
      <c r="AE34" s="670"/>
      <c r="AF34" s="670"/>
      <c r="AG34" s="670">
        <v>18.243529670067101</v>
      </c>
      <c r="AH34" s="670"/>
      <c r="AI34" s="738">
        <v>8.7710689280147598</v>
      </c>
      <c r="AJ34" s="9"/>
      <c r="AK34" s="258" t="str">
        <f t="shared" si="12"/>
        <v>2Q13</v>
      </c>
      <c r="AL34" s="737">
        <f t="shared" si="13"/>
        <v>0</v>
      </c>
      <c r="AM34" s="670">
        <v>14.261378413524101</v>
      </c>
      <c r="AN34" s="670">
        <v>10.9403486187251</v>
      </c>
      <c r="AO34" s="670">
        <v>13.6310164596243</v>
      </c>
      <c r="AP34" s="670">
        <v>12.3939393939394</v>
      </c>
      <c r="AQ34" s="738">
        <v>15.036496350365001</v>
      </c>
      <c r="AR34" s="737">
        <f t="shared" si="14"/>
        <v>0</v>
      </c>
      <c r="AS34" s="670">
        <v>14.1894164833743</v>
      </c>
      <c r="AT34" s="670">
        <v>10.695335942745899</v>
      </c>
      <c r="AU34" s="670">
        <v>13.370814592703599</v>
      </c>
      <c r="AV34" s="670">
        <v>12.027446495670601</v>
      </c>
      <c r="AW34" s="738">
        <v>11.256830601092901</v>
      </c>
      <c r="AX34" s="737">
        <f t="shared" si="15"/>
        <v>0</v>
      </c>
      <c r="AY34" s="670">
        <v>7.6372275872717301</v>
      </c>
      <c r="AZ34" s="670">
        <v>6.5458498682912998</v>
      </c>
      <c r="BA34" s="670">
        <v>7.3848867350655203</v>
      </c>
      <c r="BB34" s="670">
        <v>7.1509670229311304</v>
      </c>
      <c r="BC34" s="738">
        <v>7.9486586605674301</v>
      </c>
      <c r="BD34" s="737">
        <f t="shared" si="22"/>
        <v>0</v>
      </c>
      <c r="BE34" s="670">
        <v>7.6570957770654102</v>
      </c>
      <c r="BF34" s="670">
        <v>6.3138780932891798</v>
      </c>
      <c r="BG34" s="670">
        <v>7.2927815151931403</v>
      </c>
      <c r="BH34" s="670">
        <v>7.0444458265683103</v>
      </c>
      <c r="BI34" s="738">
        <v>7.0598133029599301</v>
      </c>
      <c r="BJ34" s="9"/>
      <c r="BK34" s="258" t="str">
        <f t="shared" si="16"/>
        <v>2Q13</v>
      </c>
      <c r="BL34" s="737">
        <f t="shared" si="17"/>
        <v>0</v>
      </c>
      <c r="BM34" s="670">
        <v>9.8026315789473699</v>
      </c>
      <c r="BN34" s="670">
        <v>10.248447204968899</v>
      </c>
      <c r="BO34" s="670">
        <v>11.5079392957746</v>
      </c>
      <c r="BP34" s="670">
        <v>8.5249356153283404</v>
      </c>
      <c r="BQ34" s="738">
        <v>12.157894736842101</v>
      </c>
      <c r="BR34" s="737">
        <f t="shared" si="18"/>
        <v>0</v>
      </c>
      <c r="BS34" s="670">
        <v>9.8010195691498101</v>
      </c>
      <c r="BT34" s="670">
        <v>10.116492949111</v>
      </c>
      <c r="BU34" s="670">
        <v>12.1166142857143</v>
      </c>
      <c r="BV34" s="670">
        <v>10.344064135754101</v>
      </c>
      <c r="BW34" s="738">
        <v>12.140691328077599</v>
      </c>
      <c r="BX34" s="737">
        <f t="shared" si="19"/>
        <v>0</v>
      </c>
      <c r="BY34" s="670">
        <v>5.8776212254061004</v>
      </c>
      <c r="BZ34" s="670">
        <v>4.7637249584869297</v>
      </c>
      <c r="CA34" s="670">
        <v>7.5992368752733803</v>
      </c>
      <c r="CB34" s="670">
        <v>8.4334234393285996</v>
      </c>
      <c r="CC34" s="738">
        <v>7.3784026641296796</v>
      </c>
      <c r="CD34" s="737">
        <f t="shared" si="23"/>
        <v>0</v>
      </c>
      <c r="CE34" s="670">
        <v>6.2248776929543297</v>
      </c>
      <c r="CF34" s="670">
        <v>5.71660154479643</v>
      </c>
      <c r="CG34" s="670">
        <v>7.0680212994009501</v>
      </c>
      <c r="CH34" s="670">
        <v>7.0010617618764801</v>
      </c>
      <c r="CI34" s="738">
        <v>7.1465915282238601</v>
      </c>
    </row>
    <row r="35" spans="1:87" ht="14.25" customHeight="1">
      <c r="A35" s="9"/>
      <c r="B35" s="9"/>
      <c r="C35" s="736" t="s">
        <v>789</v>
      </c>
      <c r="D35" s="736"/>
      <c r="E35" s="736"/>
      <c r="F35" s="736"/>
      <c r="G35" s="736"/>
      <c r="H35" s="736"/>
      <c r="I35" s="64">
        <f>IF(I34=4,1,I34+1)</f>
        <v>3</v>
      </c>
      <c r="J35" s="3">
        <f t="shared" si="20"/>
        <v>2013</v>
      </c>
      <c r="K35" s="258" t="str">
        <f t="shared" si="11"/>
        <v>3Q13</v>
      </c>
      <c r="L35" s="737"/>
      <c r="M35" s="670"/>
      <c r="N35" s="670"/>
      <c r="O35" s="670">
        <v>8.7273862462229097</v>
      </c>
      <c r="P35" s="670"/>
      <c r="Q35" s="738">
        <v>35.181512061475999</v>
      </c>
      <c r="R35" s="737"/>
      <c r="S35" s="670"/>
      <c r="T35" s="670"/>
      <c r="U35" s="670">
        <v>9.5259259259259306</v>
      </c>
      <c r="V35" s="670"/>
      <c r="W35" s="738">
        <v>19.292278440899999</v>
      </c>
      <c r="X35" s="737"/>
      <c r="Y35" s="670"/>
      <c r="Z35" s="670"/>
      <c r="AA35" s="670">
        <v>18.733771388542699</v>
      </c>
      <c r="AB35" s="670"/>
      <c r="AC35" s="738">
        <v>15.4316891852433</v>
      </c>
      <c r="AD35" s="670"/>
      <c r="AE35" s="670"/>
      <c r="AF35" s="670"/>
      <c r="AG35" s="670">
        <v>18.6801623272424</v>
      </c>
      <c r="AH35" s="670"/>
      <c r="AI35" s="738">
        <v>9.3759074643898401</v>
      </c>
      <c r="AJ35" s="9"/>
      <c r="AK35" s="258" t="str">
        <f t="shared" si="12"/>
        <v>3Q13</v>
      </c>
      <c r="AL35" s="737">
        <f t="shared" si="13"/>
        <v>0</v>
      </c>
      <c r="AM35" s="670">
        <v>10.821106821106801</v>
      </c>
      <c r="AN35" s="670">
        <v>21.943766174006399</v>
      </c>
      <c r="AO35" s="670">
        <v>12.462136250410801</v>
      </c>
      <c r="AP35" s="670">
        <v>9.3794788273615595</v>
      </c>
      <c r="AQ35" s="738">
        <v>7.5957661290322598</v>
      </c>
      <c r="AR35" s="737">
        <f t="shared" si="14"/>
        <v>0</v>
      </c>
      <c r="AS35" s="670">
        <v>10.888370888370901</v>
      </c>
      <c r="AT35" s="670">
        <v>7.8545352971933902</v>
      </c>
      <c r="AU35" s="670">
        <v>12.649318463444899</v>
      </c>
      <c r="AV35" s="670">
        <v>9.3263157894736892</v>
      </c>
      <c r="AW35" s="738">
        <v>10.0199468085106</v>
      </c>
      <c r="AX35" s="737">
        <f t="shared" si="15"/>
        <v>0</v>
      </c>
      <c r="AY35" s="670">
        <v>5.9001176074741704</v>
      </c>
      <c r="AZ35" s="670">
        <v>4.8244746482124299</v>
      </c>
      <c r="BA35" s="670">
        <v>7.1418511387700798</v>
      </c>
      <c r="BB35" s="670">
        <v>6.0620385752608099</v>
      </c>
      <c r="BC35" s="738">
        <v>5.5076043417287401</v>
      </c>
      <c r="BD35" s="737">
        <f t="shared" si="22"/>
        <v>0</v>
      </c>
      <c r="BE35" s="670">
        <v>6.0308784768044896</v>
      </c>
      <c r="BF35" s="670">
        <v>4.6250477373843601</v>
      </c>
      <c r="BG35" s="670">
        <v>6.2991772819748997</v>
      </c>
      <c r="BH35" s="670">
        <v>5.5383386735474103</v>
      </c>
      <c r="BI35" s="738">
        <v>5.7051235878715501</v>
      </c>
      <c r="BJ35" s="9"/>
      <c r="BK35" s="258" t="str">
        <f t="shared" si="16"/>
        <v>3Q13</v>
      </c>
      <c r="BL35" s="737">
        <f t="shared" si="17"/>
        <v>0</v>
      </c>
      <c r="BM35" s="670">
        <v>7.8922261484098897</v>
      </c>
      <c r="BN35" s="670">
        <v>8.01673640167364</v>
      </c>
      <c r="BO35" s="670">
        <v>7.9857808615384602</v>
      </c>
      <c r="BP35" s="670">
        <v>6.7069184559980197</v>
      </c>
      <c r="BQ35" s="738">
        <v>10.784708249496999</v>
      </c>
      <c r="BR35" s="737">
        <f t="shared" si="18"/>
        <v>0</v>
      </c>
      <c r="BS35" s="670">
        <v>7.5711864406779696</v>
      </c>
      <c r="BT35" s="670">
        <v>8.4760008847600101</v>
      </c>
      <c r="BU35" s="670">
        <v>8.1487559811617007</v>
      </c>
      <c r="BV35" s="670">
        <v>8.3122978736571191</v>
      </c>
      <c r="BW35" s="738">
        <v>10.938775510204101</v>
      </c>
      <c r="BX35" s="737">
        <f t="shared" si="19"/>
        <v>0</v>
      </c>
      <c r="BY35" s="670">
        <v>4.3028111906212603</v>
      </c>
      <c r="BZ35" s="670">
        <v>3.8414409926750501</v>
      </c>
      <c r="CA35" s="670">
        <v>5.6458130639778403</v>
      </c>
      <c r="CB35" s="670">
        <v>6.8037030262034701</v>
      </c>
      <c r="CC35" s="738">
        <v>6.6247506250611297</v>
      </c>
      <c r="CD35" s="737">
        <f t="shared" si="23"/>
        <v>0</v>
      </c>
      <c r="CE35" s="670">
        <v>6.1701368280511204</v>
      </c>
      <c r="CF35" s="670">
        <v>4.7910434837116904</v>
      </c>
      <c r="CG35" s="670">
        <v>4.54697852739125</v>
      </c>
      <c r="CH35" s="670">
        <v>6.34376169566361</v>
      </c>
      <c r="CI35" s="738">
        <v>6.7602426331227097</v>
      </c>
    </row>
    <row r="36" spans="1:87" ht="14.25" customHeight="1">
      <c r="A36" s="9"/>
      <c r="B36" s="9"/>
      <c r="C36" s="64"/>
      <c r="D36" s="9"/>
      <c r="E36" s="64" t="s">
        <v>784</v>
      </c>
      <c r="F36" s="64" t="s">
        <v>785</v>
      </c>
      <c r="G36" s="64" t="s">
        <v>786</v>
      </c>
      <c r="H36" s="64" t="s">
        <v>787</v>
      </c>
      <c r="I36" s="64">
        <f>I32</f>
        <v>4</v>
      </c>
      <c r="J36" s="3">
        <f t="shared" si="20"/>
        <v>2013</v>
      </c>
      <c r="K36" s="258" t="str">
        <f t="shared" si="11"/>
        <v>4Q13</v>
      </c>
      <c r="L36" s="737"/>
      <c r="M36" s="670"/>
      <c r="N36" s="670"/>
      <c r="O36" s="670">
        <v>9.4938640373123206</v>
      </c>
      <c r="P36" s="670"/>
      <c r="Q36" s="738">
        <v>33.830347856090597</v>
      </c>
      <c r="R36" s="737"/>
      <c r="S36" s="670"/>
      <c r="T36" s="670"/>
      <c r="U36" s="670">
        <v>14.0901898734177</v>
      </c>
      <c r="V36" s="670"/>
      <c r="W36" s="738">
        <v>22.4095887580078</v>
      </c>
      <c r="X36" s="737"/>
      <c r="Y36" s="670"/>
      <c r="Z36" s="670"/>
      <c r="AA36" s="670">
        <v>15.7475533539259</v>
      </c>
      <c r="AB36" s="670"/>
      <c r="AC36" s="738">
        <v>17.260070176387401</v>
      </c>
      <c r="AD36" s="670"/>
      <c r="AE36" s="670"/>
      <c r="AF36" s="670"/>
      <c r="AG36" s="670">
        <v>18.709941554874899</v>
      </c>
      <c r="AH36" s="670"/>
      <c r="AI36" s="738">
        <v>7.2672889311587197</v>
      </c>
      <c r="AJ36" s="9"/>
      <c r="AK36" s="258" t="str">
        <f t="shared" si="12"/>
        <v>4Q13</v>
      </c>
      <c r="AL36" s="737">
        <f t="shared" si="13"/>
        <v>0</v>
      </c>
      <c r="AM36" s="670">
        <v>8.9417098445595808</v>
      </c>
      <c r="AN36" s="670">
        <v>18.143557999999999</v>
      </c>
      <c r="AO36" s="670">
        <v>9.1487933530985508</v>
      </c>
      <c r="AP36" s="670">
        <v>6.7736156351791497</v>
      </c>
      <c r="AQ36" s="738">
        <v>6.7439516129032304</v>
      </c>
      <c r="AR36" s="737">
        <f t="shared" si="14"/>
        <v>0</v>
      </c>
      <c r="AS36" s="670">
        <v>9.4007898679014001</v>
      </c>
      <c r="AT36" s="670">
        <v>8.1660980932343197</v>
      </c>
      <c r="AU36" s="670">
        <v>8.4194594594594605</v>
      </c>
      <c r="AV36" s="670">
        <v>6.8281070431784601</v>
      </c>
      <c r="AW36" s="738">
        <v>8.0602409638554207</v>
      </c>
      <c r="AX36" s="737">
        <f t="shared" si="15"/>
        <v>0</v>
      </c>
      <c r="AY36" s="670">
        <v>4.89790121018937</v>
      </c>
      <c r="AZ36" s="670">
        <v>4.6220094696752696</v>
      </c>
      <c r="BA36" s="670">
        <v>5.0712418496191098</v>
      </c>
      <c r="BB36" s="670">
        <v>4.5023367141351498</v>
      </c>
      <c r="BC36" s="738">
        <v>4.9020437638256702</v>
      </c>
      <c r="BD36" s="737">
        <f t="shared" si="22"/>
        <v>0</v>
      </c>
      <c r="BE36" s="670">
        <v>5.2630583207003001</v>
      </c>
      <c r="BF36" s="670">
        <v>4.9107333603227996</v>
      </c>
      <c r="BG36" s="670">
        <v>4.7682387463580902</v>
      </c>
      <c r="BH36" s="670">
        <v>4.5585638192333002</v>
      </c>
      <c r="BI36" s="738">
        <v>4.8074347810977001</v>
      </c>
      <c r="BJ36" s="9"/>
      <c r="BK36" s="258" t="str">
        <f t="shared" si="16"/>
        <v>4Q13</v>
      </c>
      <c r="BL36" s="737">
        <f t="shared" si="17"/>
        <v>0</v>
      </c>
      <c r="BM36" s="670">
        <v>6.0626101097709704</v>
      </c>
      <c r="BN36" s="670">
        <v>7.2985455977024802</v>
      </c>
      <c r="BO36" s="670">
        <v>5.5174202748305898</v>
      </c>
      <c r="BP36" s="670">
        <v>6.2027636565908297</v>
      </c>
      <c r="BQ36" s="738">
        <v>8.9672401555434398</v>
      </c>
      <c r="BR36" s="737">
        <f t="shared" si="18"/>
        <v>0</v>
      </c>
      <c r="BS36" s="670">
        <v>13.1576470588235</v>
      </c>
      <c r="BT36" s="670">
        <v>10.2303143479614</v>
      </c>
      <c r="BU36" s="670">
        <v>10.0395161714876</v>
      </c>
      <c r="BV36" s="670">
        <v>8.6477952048670108</v>
      </c>
      <c r="BW36" s="738">
        <v>10.3069544364508</v>
      </c>
      <c r="BX36" s="737">
        <f t="shared" si="19"/>
        <v>0</v>
      </c>
      <c r="BY36" s="670">
        <v>3.7364763015806002</v>
      </c>
      <c r="BZ36" s="670">
        <v>3.6600144582177201</v>
      </c>
      <c r="CA36" s="670">
        <v>4.3412557548271797</v>
      </c>
      <c r="CB36" s="670">
        <v>6.51077564649239</v>
      </c>
      <c r="CC36" s="738">
        <v>5.7618767786199703</v>
      </c>
      <c r="CD36" s="737">
        <f t="shared" si="23"/>
        <v>0</v>
      </c>
      <c r="CE36" s="670">
        <v>6.6302230892667504</v>
      </c>
      <c r="CF36" s="670">
        <v>5.8500031480394803</v>
      </c>
      <c r="CG36" s="670">
        <v>4.7291923488465599</v>
      </c>
      <c r="CH36" s="670">
        <v>5.9041605578646799</v>
      </c>
      <c r="CI36" s="738">
        <v>6.2719469757294801</v>
      </c>
    </row>
    <row r="37" spans="1:87" ht="14.25" customHeight="1">
      <c r="A37" s="9"/>
      <c r="B37" s="9"/>
      <c r="C37" s="9" t="s">
        <v>790</v>
      </c>
      <c r="D37" s="9"/>
      <c r="E37" s="618">
        <f>AVERAGE(M8:Q75)</f>
        <v>30.28974044749668</v>
      </c>
      <c r="F37" s="618">
        <f>AVERAGE(S8:W75)</f>
        <v>14.521448995377206</v>
      </c>
      <c r="G37" s="618">
        <f>AVERAGE(Y8:AC75)</f>
        <v>18.106912147052437</v>
      </c>
      <c r="H37" s="618">
        <f>AVERAGE(AE8:AI75)</f>
        <v>17.292891725473275</v>
      </c>
      <c r="I37" s="64">
        <f>IF(I36=4,1,I36+1)</f>
        <v>1</v>
      </c>
      <c r="J37" s="3">
        <f t="shared" si="20"/>
        <v>2014</v>
      </c>
      <c r="K37" s="258" t="str">
        <f t="shared" si="11"/>
        <v>1Q14</v>
      </c>
      <c r="L37" s="737"/>
      <c r="M37" s="670"/>
      <c r="N37" s="670"/>
      <c r="O37" s="670">
        <v>8.8160412813516391</v>
      </c>
      <c r="P37" s="670"/>
      <c r="Q37" s="738">
        <v>29.067786426673301</v>
      </c>
      <c r="R37" s="737"/>
      <c r="S37" s="670"/>
      <c r="T37" s="670"/>
      <c r="U37" s="670">
        <v>11.6280608868299</v>
      </c>
      <c r="V37" s="670"/>
      <c r="W37" s="738">
        <v>18.1830576258862</v>
      </c>
      <c r="X37" s="737"/>
      <c r="Y37" s="670"/>
      <c r="Z37" s="670"/>
      <c r="AA37" s="670">
        <v>15.2765623000705</v>
      </c>
      <c r="AB37" s="670"/>
      <c r="AC37" s="738">
        <v>15.217168674417501</v>
      </c>
      <c r="AD37" s="670"/>
      <c r="AE37" s="670"/>
      <c r="AF37" s="670"/>
      <c r="AG37" s="670">
        <v>18.5591179433438</v>
      </c>
      <c r="AH37" s="670"/>
      <c r="AI37" s="738">
        <v>7.7581339861207699</v>
      </c>
      <c r="AJ37" s="9"/>
      <c r="AK37" s="258" t="str">
        <f t="shared" si="12"/>
        <v>1Q14</v>
      </c>
      <c r="AL37" s="737">
        <f t="shared" si="13"/>
        <v>0</v>
      </c>
      <c r="AM37" s="670">
        <v>10.840053763440901</v>
      </c>
      <c r="AN37" s="670">
        <v>20.803155859437801</v>
      </c>
      <c r="AO37" s="670">
        <v>9.8846523585786095</v>
      </c>
      <c r="AP37" s="670">
        <v>8.8482428115015992</v>
      </c>
      <c r="AQ37" s="738">
        <v>10.990259740259701</v>
      </c>
      <c r="AR37" s="737">
        <f t="shared" si="14"/>
        <v>0</v>
      </c>
      <c r="AS37" s="670">
        <v>10.8810037776579</v>
      </c>
      <c r="AT37" s="670">
        <v>8.3497655595406002</v>
      </c>
      <c r="AU37" s="670">
        <v>9.4171259008054307</v>
      </c>
      <c r="AV37" s="670">
        <v>9.0182351025724508</v>
      </c>
      <c r="AW37" s="738">
        <v>8.0595238095238102</v>
      </c>
      <c r="AX37" s="737">
        <f t="shared" si="15"/>
        <v>0</v>
      </c>
      <c r="AY37" s="670">
        <v>5.8216725255459796</v>
      </c>
      <c r="AZ37" s="670">
        <v>5.0410018022602303</v>
      </c>
      <c r="BA37" s="670">
        <v>5.5182590928874404</v>
      </c>
      <c r="BB37" s="670">
        <v>5.7599053387207402</v>
      </c>
      <c r="BC37" s="738">
        <v>4.6355079714971703</v>
      </c>
      <c r="BD37" s="737">
        <f t="shared" si="22"/>
        <v>0</v>
      </c>
      <c r="BE37" s="670">
        <v>5.95575380710775</v>
      </c>
      <c r="BF37" s="670">
        <v>5.05876329563125</v>
      </c>
      <c r="BG37" s="670">
        <v>5.2819857287730603</v>
      </c>
      <c r="BH37" s="670">
        <v>5.8642999770834097</v>
      </c>
      <c r="BI37" s="738">
        <v>4.7163862717252103</v>
      </c>
      <c r="BJ37" s="9"/>
      <c r="BK37" s="258" t="str">
        <f t="shared" si="16"/>
        <v>1Q14</v>
      </c>
      <c r="BL37" s="737">
        <f t="shared" si="17"/>
        <v>0</v>
      </c>
      <c r="BM37" s="670">
        <v>9.1985383678440904</v>
      </c>
      <c r="BN37" s="670">
        <v>10.313305041231301</v>
      </c>
      <c r="BO37" s="670">
        <v>7.8212262850747898</v>
      </c>
      <c r="BP37" s="670">
        <v>7.6864943676242303</v>
      </c>
      <c r="BQ37" s="738">
        <v>11.229670535816901</v>
      </c>
      <c r="BR37" s="737">
        <f t="shared" si="18"/>
        <v>0</v>
      </c>
      <c r="BS37" s="670">
        <v>28.263473053892199</v>
      </c>
      <c r="BT37" s="670">
        <v>15.703616352201299</v>
      </c>
      <c r="BU37" s="670">
        <v>11.495782048979599</v>
      </c>
      <c r="BV37" s="670">
        <v>10.4776994462381</v>
      </c>
      <c r="BW37" s="738">
        <v>12.747791952895</v>
      </c>
      <c r="BX37" s="737">
        <f t="shared" si="19"/>
        <v>0</v>
      </c>
      <c r="BY37" s="670">
        <v>4.9804834814134002</v>
      </c>
      <c r="BZ37" s="670">
        <v>3.5883926004314399</v>
      </c>
      <c r="CA37" s="670">
        <v>5.6751991982419199</v>
      </c>
      <c r="CB37" s="670">
        <v>7.5850988474402401</v>
      </c>
      <c r="CC37" s="738">
        <v>7.0756691074846696</v>
      </c>
      <c r="CD37" s="737">
        <f t="shared" si="23"/>
        <v>0</v>
      </c>
      <c r="CE37" s="670">
        <v>9.8956170837326596</v>
      </c>
      <c r="CF37" s="670">
        <v>6.0908894516113801</v>
      </c>
      <c r="CG37" s="670">
        <v>6.6627964264094199</v>
      </c>
      <c r="CH37" s="670">
        <v>6.7608583949673697</v>
      </c>
      <c r="CI37" s="738">
        <v>7.4642295095456399</v>
      </c>
    </row>
    <row r="38" spans="1:87" ht="14.25" customHeight="1">
      <c r="A38" s="9"/>
      <c r="B38" s="9"/>
      <c r="C38" s="9" t="s">
        <v>791</v>
      </c>
      <c r="D38" s="9"/>
      <c r="E38" s="618">
        <f t="shared" ref="E38:H40" si="24">AVERAGE(E42,E46)</f>
        <v>24.989473212155161</v>
      </c>
      <c r="F38" s="618">
        <f t="shared" si="24"/>
        <v>13.606105627857557</v>
      </c>
      <c r="G38" s="618">
        <f t="shared" si="24"/>
        <v>13.595184637347696</v>
      </c>
      <c r="H38" s="618">
        <f t="shared" si="24"/>
        <v>15.188297122839572</v>
      </c>
      <c r="I38" s="64">
        <f>IF(I37+1=5,1,I37+1)</f>
        <v>2</v>
      </c>
      <c r="J38" s="3">
        <f t="shared" si="20"/>
        <v>2014</v>
      </c>
      <c r="K38" s="258" t="str">
        <f t="shared" si="11"/>
        <v>2Q14</v>
      </c>
      <c r="L38" s="737"/>
      <c r="M38" s="670"/>
      <c r="N38" s="670"/>
      <c r="O38" s="670">
        <v>8.0104995098404608</v>
      </c>
      <c r="P38" s="670"/>
      <c r="Q38" s="738">
        <v>27.562371271045301</v>
      </c>
      <c r="R38" s="737"/>
      <c r="S38" s="670"/>
      <c r="T38" s="670">
        <v>12.294871794871799</v>
      </c>
      <c r="U38" s="670">
        <v>11.3464751085867</v>
      </c>
      <c r="V38" s="670"/>
      <c r="W38" s="738">
        <v>17.405304635200402</v>
      </c>
      <c r="X38" s="737"/>
      <c r="Y38" s="670"/>
      <c r="Z38" s="670"/>
      <c r="AA38" s="670">
        <v>13.644909169665199</v>
      </c>
      <c r="AB38" s="670"/>
      <c r="AC38" s="738">
        <v>16.462112126225001</v>
      </c>
      <c r="AD38" s="670"/>
      <c r="AE38" s="670"/>
      <c r="AF38" s="670"/>
      <c r="AG38" s="670">
        <v>19.8330840772899</v>
      </c>
      <c r="AH38" s="670"/>
      <c r="AI38" s="738">
        <v>7.5755420852292099</v>
      </c>
      <c r="AJ38" s="9"/>
      <c r="AK38" s="258" t="str">
        <f t="shared" si="12"/>
        <v>2Q14</v>
      </c>
      <c r="AL38" s="737">
        <f t="shared" si="13"/>
        <v>0</v>
      </c>
      <c r="AM38" s="670">
        <v>10.5377576439906</v>
      </c>
      <c r="AN38" s="670">
        <v>27.485185757091099</v>
      </c>
      <c r="AO38" s="670">
        <v>10.208031467209301</v>
      </c>
      <c r="AP38" s="670">
        <v>10.157232704402499</v>
      </c>
      <c r="AQ38" s="738">
        <v>11.3376623376623</v>
      </c>
      <c r="AR38" s="737">
        <f t="shared" si="14"/>
        <v>0</v>
      </c>
      <c r="AS38" s="670">
        <v>10.5899905058999</v>
      </c>
      <c r="AT38" s="670">
        <v>9.6339947311717609</v>
      </c>
      <c r="AU38" s="670">
        <v>10.025078369906</v>
      </c>
      <c r="AV38" s="670">
        <v>10.4683195592286</v>
      </c>
      <c r="AW38" s="738">
        <v>8.6435643564356397</v>
      </c>
      <c r="AX38" s="737">
        <f t="shared" si="15"/>
        <v>0</v>
      </c>
      <c r="AY38" s="670">
        <v>5.7508682577648402</v>
      </c>
      <c r="AZ38" s="670">
        <v>5.76379770975627</v>
      </c>
      <c r="BA38" s="670">
        <v>5.6724476995598803</v>
      </c>
      <c r="BB38" s="670">
        <v>6.4189544620072398</v>
      </c>
      <c r="BC38" s="738">
        <v>4.7829807728203297</v>
      </c>
      <c r="BD38" s="737">
        <f t="shared" si="22"/>
        <v>0</v>
      </c>
      <c r="BE38" s="670">
        <v>5.8262682911125703</v>
      </c>
      <c r="BF38" s="670">
        <v>5.6401633037324803</v>
      </c>
      <c r="BG38" s="670">
        <v>5.50800076174861</v>
      </c>
      <c r="BH38" s="670">
        <v>6.5464021191348198</v>
      </c>
      <c r="BI38" s="738">
        <v>4.9052510063836898</v>
      </c>
      <c r="BJ38" s="9"/>
      <c r="BK38" s="258" t="str">
        <f t="shared" si="16"/>
        <v>2Q14</v>
      </c>
      <c r="BL38" s="737">
        <f t="shared" si="17"/>
        <v>0</v>
      </c>
      <c r="BM38" s="670">
        <v>19.4664826079701</v>
      </c>
      <c r="BN38" s="670">
        <v>12.1118500568766</v>
      </c>
      <c r="BO38" s="670">
        <v>12.9341481944021</v>
      </c>
      <c r="BP38" s="670">
        <v>10.699183871992799</v>
      </c>
      <c r="BQ38" s="738">
        <v>13.654121144525901</v>
      </c>
      <c r="BR38" s="737">
        <f t="shared" si="18"/>
        <v>0</v>
      </c>
      <c r="BS38" s="670">
        <v>35.278350515463899</v>
      </c>
      <c r="BT38" s="670">
        <v>16.3007975693126</v>
      </c>
      <c r="BU38" s="670">
        <v>16.171872938524601</v>
      </c>
      <c r="BV38" s="670">
        <v>12.6626890556961</v>
      </c>
      <c r="BW38" s="738">
        <v>14.919196865817799</v>
      </c>
      <c r="BX38" s="737">
        <f t="shared" si="19"/>
        <v>0</v>
      </c>
      <c r="BY38" s="670">
        <v>8.4288551189087499</v>
      </c>
      <c r="BZ38" s="670">
        <v>4.1188114203648203</v>
      </c>
      <c r="CA38" s="670">
        <v>8.4896052720448996</v>
      </c>
      <c r="CB38" s="670">
        <v>7.8981250506955503</v>
      </c>
      <c r="CC38" s="738">
        <v>8.3129248743540494</v>
      </c>
      <c r="CD38" s="737">
        <f t="shared" si="23"/>
        <v>0</v>
      </c>
      <c r="CE38" s="670">
        <v>13.471739507090801</v>
      </c>
      <c r="CF38" s="670">
        <v>8.5242433393943298</v>
      </c>
      <c r="CG38" s="670">
        <v>6.8403757436109496</v>
      </c>
      <c r="CH38" s="670">
        <v>7.6219259128077796</v>
      </c>
      <c r="CI38" s="738">
        <v>8.4732372972831502</v>
      </c>
    </row>
    <row r="39" spans="1:87" ht="14.25" customHeight="1">
      <c r="A39" s="9"/>
      <c r="B39" s="9"/>
      <c r="C39" s="9" t="s">
        <v>792</v>
      </c>
      <c r="D39" s="9"/>
      <c r="E39" s="618">
        <f t="shared" si="24"/>
        <v>36.710210357559447</v>
      </c>
      <c r="F39" s="618">
        <f t="shared" si="24"/>
        <v>12.459069444808552</v>
      </c>
      <c r="G39" s="618">
        <f t="shared" si="24"/>
        <v>18.06909602313662</v>
      </c>
      <c r="H39" s="618">
        <f t="shared" si="24"/>
        <v>13.804191162839803</v>
      </c>
      <c r="I39" s="64">
        <f>IF(I38=4,1,I38+1)</f>
        <v>3</v>
      </c>
      <c r="J39" s="3">
        <f t="shared" si="20"/>
        <v>2014</v>
      </c>
      <c r="K39" s="258" t="str">
        <f t="shared" si="11"/>
        <v>3Q14</v>
      </c>
      <c r="L39" s="737"/>
      <c r="M39" s="670"/>
      <c r="O39" s="670">
        <v>8.2092048201992807</v>
      </c>
      <c r="P39" s="670"/>
      <c r="Q39" s="738">
        <v>25.354999734883599</v>
      </c>
      <c r="R39" s="737"/>
      <c r="S39" s="670"/>
      <c r="T39" s="670">
        <v>11.9617224880383</v>
      </c>
      <c r="U39" s="670">
        <v>10.635474860335201</v>
      </c>
      <c r="V39" s="670"/>
      <c r="W39" s="738">
        <v>16.878106309493699</v>
      </c>
      <c r="X39" s="737"/>
      <c r="Y39" s="670"/>
      <c r="Z39" s="670"/>
      <c r="AA39" s="670">
        <v>12.486790390177999</v>
      </c>
      <c r="AB39" s="670"/>
      <c r="AC39" s="738">
        <v>14.977938898037999</v>
      </c>
      <c r="AD39" s="670"/>
      <c r="AE39" s="670"/>
      <c r="AF39" s="670">
        <v>66.491017226951698</v>
      </c>
      <c r="AG39" s="670">
        <v>20.270372600921299</v>
      </c>
      <c r="AH39" s="670"/>
      <c r="AI39" s="738">
        <v>7.5398835318820696</v>
      </c>
      <c r="AJ39" s="9"/>
      <c r="AK39" s="258" t="str">
        <f t="shared" si="12"/>
        <v>3Q14</v>
      </c>
      <c r="AL39" s="737">
        <f t="shared" si="13"/>
        <v>0</v>
      </c>
      <c r="AM39" s="670">
        <v>10.119718893414399</v>
      </c>
      <c r="AN39" s="670">
        <v>11.797038536396499</v>
      </c>
      <c r="AO39" s="670">
        <v>10.580704467082199</v>
      </c>
      <c r="AP39" s="670">
        <v>10.977455716586199</v>
      </c>
      <c r="AQ39" s="738">
        <v>11.6558441558442</v>
      </c>
      <c r="AR39" s="737">
        <f t="shared" si="14"/>
        <v>0</v>
      </c>
      <c r="AS39" s="670">
        <v>9.9327708937516501</v>
      </c>
      <c r="AT39" s="670">
        <v>9.8056678372363102</v>
      </c>
      <c r="AU39" s="670">
        <v>10.6732960430909</v>
      </c>
      <c r="AV39" s="670">
        <v>11.0147035062207</v>
      </c>
      <c r="AW39" s="738">
        <v>8.8985148514851495</v>
      </c>
      <c r="AX39" s="737">
        <f t="shared" si="15"/>
        <v>0</v>
      </c>
      <c r="AY39" s="670">
        <v>5.9145401930723596</v>
      </c>
      <c r="AZ39" s="670">
        <v>6.5705290385461899</v>
      </c>
      <c r="BA39" s="670">
        <v>5.6743148608767102</v>
      </c>
      <c r="BB39" s="670">
        <v>6.5851013982366302</v>
      </c>
      <c r="BC39" s="738">
        <v>5.0304895281220503</v>
      </c>
      <c r="BD39" s="737">
        <f t="shared" si="22"/>
        <v>0</v>
      </c>
      <c r="BE39" s="670">
        <v>6.0064613737831998</v>
      </c>
      <c r="BF39" s="670">
        <v>5.0301021445790601</v>
      </c>
      <c r="BG39" s="670">
        <v>5.8657258959571799</v>
      </c>
      <c r="BH39" s="670">
        <v>6.4555933883222201</v>
      </c>
      <c r="BI39" s="738">
        <v>4.6206697248657704</v>
      </c>
      <c r="BJ39" s="9"/>
      <c r="BK39" s="258" t="str">
        <f t="shared" si="16"/>
        <v>3Q14</v>
      </c>
      <c r="BL39" s="737">
        <f t="shared" si="17"/>
        <v>0</v>
      </c>
      <c r="BM39" s="670">
        <v>28.622427045205299</v>
      </c>
      <c r="BN39" s="670">
        <v>25.656057988667499</v>
      </c>
      <c r="BO39" s="670">
        <v>14.7276675216782</v>
      </c>
      <c r="BP39" s="670">
        <v>13.514382978831801</v>
      </c>
      <c r="BQ39" s="738">
        <v>15.4123269305155</v>
      </c>
      <c r="BR39" s="737">
        <f t="shared" si="18"/>
        <v>0</v>
      </c>
      <c r="BS39" s="670">
        <v>28.212871287128699</v>
      </c>
      <c r="BT39" s="670">
        <v>21.5326433121019</v>
      </c>
      <c r="BU39" s="670">
        <v>14.5874961705115</v>
      </c>
      <c r="BV39" s="670">
        <v>13.126449359233</v>
      </c>
      <c r="BW39" s="738">
        <v>16.863459669582099</v>
      </c>
      <c r="BX39" s="737">
        <f t="shared" si="19"/>
        <v>0</v>
      </c>
      <c r="BY39" s="670">
        <v>14.1545619542665</v>
      </c>
      <c r="BZ39" s="670">
        <v>6.03047033443133</v>
      </c>
      <c r="CA39" s="670">
        <v>7.9655337866461302</v>
      </c>
      <c r="CB39" s="670">
        <v>9.8077547202812596</v>
      </c>
      <c r="CC39" s="738">
        <v>9.2828708723068996</v>
      </c>
      <c r="CD39" s="737">
        <f t="shared" si="23"/>
        <v>0</v>
      </c>
      <c r="CE39" s="670">
        <v>9.8310099837338907</v>
      </c>
      <c r="CF39" s="670">
        <v>8.1240381305082998</v>
      </c>
      <c r="CG39" s="670">
        <v>7.31440259308921</v>
      </c>
      <c r="CH39" s="670">
        <v>8.1776714446701106</v>
      </c>
      <c r="CI39" s="738">
        <v>8.4880646744051091</v>
      </c>
    </row>
    <row r="40" spans="1:87" ht="14.25" customHeight="1">
      <c r="A40" s="9"/>
      <c r="B40" s="9"/>
      <c r="C40" s="9" t="s">
        <v>793</v>
      </c>
      <c r="D40" s="9"/>
      <c r="E40" s="618">
        <f t="shared" si="24"/>
        <v>33.422117521298347</v>
      </c>
      <c r="F40" s="618">
        <f t="shared" si="24"/>
        <v>15.691696538383908</v>
      </c>
      <c r="G40" s="618">
        <f t="shared" si="24"/>
        <v>18.874943310459603</v>
      </c>
      <c r="H40" s="618">
        <f t="shared" si="24"/>
        <v>16.802791998662254</v>
      </c>
      <c r="I40" s="64">
        <f>I36</f>
        <v>4</v>
      </c>
      <c r="J40" s="3">
        <f t="shared" si="20"/>
        <v>2014</v>
      </c>
      <c r="K40" s="258" t="str">
        <f t="shared" si="11"/>
        <v>4Q14</v>
      </c>
      <c r="L40" s="737"/>
      <c r="M40" s="670"/>
      <c r="N40" s="670">
        <v>27.713909666236599</v>
      </c>
      <c r="O40" s="670">
        <v>9.6506906209675503</v>
      </c>
      <c r="P40" s="670"/>
      <c r="Q40" s="738">
        <v>25.847065601786401</v>
      </c>
      <c r="R40" s="737"/>
      <c r="S40" s="670"/>
      <c r="T40" s="670">
        <v>12.6962962962963</v>
      </c>
      <c r="U40" s="670">
        <v>10.58506543495</v>
      </c>
      <c r="V40" s="670"/>
      <c r="W40" s="738">
        <v>18.686388448670499</v>
      </c>
      <c r="X40" s="737"/>
      <c r="Y40" s="670"/>
      <c r="Z40" s="670">
        <v>17.810660227515999</v>
      </c>
      <c r="AA40" s="670">
        <v>15.245639310728199</v>
      </c>
      <c r="AB40" s="670"/>
      <c r="AC40" s="738">
        <v>15.507892018371701</v>
      </c>
      <c r="AD40" s="670"/>
      <c r="AE40" s="670"/>
      <c r="AF40" s="670">
        <v>55.885310957303197</v>
      </c>
      <c r="AG40" s="670">
        <v>16.671409184953902</v>
      </c>
      <c r="AH40" s="670"/>
      <c r="AI40" s="738">
        <v>6.6403786729032701</v>
      </c>
      <c r="AJ40" s="9"/>
      <c r="AK40" s="258" t="str">
        <f t="shared" si="12"/>
        <v>4Q14</v>
      </c>
      <c r="AL40" s="737">
        <f t="shared" si="13"/>
        <v>0</v>
      </c>
      <c r="AM40" s="670">
        <v>11.2459018741683</v>
      </c>
      <c r="AN40" s="670">
        <v>13.1752667734563</v>
      </c>
      <c r="AO40" s="670">
        <v>11.5195012733566</v>
      </c>
      <c r="AP40" s="670">
        <v>12.431561996779401</v>
      </c>
      <c r="AQ40" s="738"/>
      <c r="AR40" s="737">
        <f t="shared" si="14"/>
        <v>0</v>
      </c>
      <c r="AS40" s="670">
        <v>11.137580299785901</v>
      </c>
      <c r="AT40" s="670">
        <v>10.206529667639</v>
      </c>
      <c r="AU40" s="670">
        <v>11.479099678456601</v>
      </c>
      <c r="AV40" s="670">
        <v>11.795263559969399</v>
      </c>
      <c r="AW40" s="738">
        <v>8.6348837209302296</v>
      </c>
      <c r="AX40" s="737">
        <f t="shared" si="15"/>
        <v>0</v>
      </c>
      <c r="AY40" s="670">
        <v>6.3734654034019602</v>
      </c>
      <c r="AZ40" s="670">
        <v>7.7922877079153903</v>
      </c>
      <c r="BA40" s="670">
        <v>6.2338907473890304</v>
      </c>
      <c r="BB40" s="670">
        <v>7.3834675741837197</v>
      </c>
      <c r="BC40" s="738">
        <v>5.1627184780484798</v>
      </c>
      <c r="BD40" s="737">
        <f t="shared" si="22"/>
        <v>0</v>
      </c>
      <c r="BE40" s="670">
        <v>6.2673500545729599</v>
      </c>
      <c r="BF40" s="670">
        <v>6.1212017796915301</v>
      </c>
      <c r="BG40" s="670">
        <v>6.4053122904091202</v>
      </c>
      <c r="BH40" s="670">
        <v>7.1946442463125901</v>
      </c>
      <c r="BI40" s="738">
        <v>4.6046051119883096</v>
      </c>
      <c r="BJ40" s="9"/>
      <c r="BK40" s="258" t="str">
        <f t="shared" si="16"/>
        <v>4Q14</v>
      </c>
      <c r="BL40" s="737">
        <f t="shared" si="17"/>
        <v>0</v>
      </c>
      <c r="BM40" s="670">
        <v>30.633028985132899</v>
      </c>
      <c r="BN40" s="670">
        <v>27.9859571305592</v>
      </c>
      <c r="BO40" s="670">
        <v>18.423834165461699</v>
      </c>
      <c r="BP40" s="670">
        <v>14.990135880328401</v>
      </c>
      <c r="BQ40" s="738">
        <v>16.064833749376401</v>
      </c>
      <c r="BR40" s="737">
        <f t="shared" si="18"/>
        <v>0</v>
      </c>
      <c r="BS40" s="670">
        <v>23.806818181818201</v>
      </c>
      <c r="BT40" s="670">
        <v>18.610328638497698</v>
      </c>
      <c r="BU40" s="670">
        <v>17.185437603143399</v>
      </c>
      <c r="BV40" s="670">
        <v>17.8308441541432</v>
      </c>
      <c r="BW40" s="738">
        <v>15.8335125833513</v>
      </c>
      <c r="BX40" s="737">
        <f t="shared" si="19"/>
        <v>0</v>
      </c>
      <c r="BY40" s="670">
        <v>12.476167804583</v>
      </c>
      <c r="BZ40" s="670">
        <v>7.6382736898547696</v>
      </c>
      <c r="CA40" s="670">
        <v>9.4385645229277095</v>
      </c>
      <c r="CB40" s="670">
        <v>10.6734174337219</v>
      </c>
      <c r="CC40" s="738">
        <v>9.6673338901233805</v>
      </c>
      <c r="CD40" s="737">
        <f t="shared" si="23"/>
        <v>0</v>
      </c>
      <c r="CE40" s="670">
        <v>10.4278073137258</v>
      </c>
      <c r="CF40" s="670">
        <v>8.8801058488865703</v>
      </c>
      <c r="CG40" s="670">
        <v>8.9840782933758003</v>
      </c>
      <c r="CH40" s="670">
        <v>9.3166420395460907</v>
      </c>
      <c r="CI40" s="738">
        <v>8.8537436509269405</v>
      </c>
    </row>
    <row r="41" spans="1:87" ht="14.25" customHeight="1">
      <c r="A41" s="9"/>
      <c r="B41" s="9"/>
      <c r="C41" s="9" t="s">
        <v>794</v>
      </c>
      <c r="D41" s="9"/>
      <c r="E41" s="618">
        <f>AVERAGE(M8:Q35)</f>
        <v>31.770651206544802</v>
      </c>
      <c r="F41" s="618">
        <f>AVERAGE(S8:W35)</f>
        <v>14.097496401600443</v>
      </c>
      <c r="G41" s="618">
        <f>AVERAGE(Y8:AC35)</f>
        <v>12.639822457228817</v>
      </c>
      <c r="H41" s="618">
        <f>AVERAGE(AE8:AI35)</f>
        <v>13.598495232236663</v>
      </c>
      <c r="I41" s="64">
        <f>IF(I40=4,1,I40+1)</f>
        <v>1</v>
      </c>
      <c r="J41" s="3">
        <f t="shared" si="20"/>
        <v>2015</v>
      </c>
      <c r="K41" s="258" t="str">
        <f t="shared" si="11"/>
        <v>1Q15</v>
      </c>
      <c r="L41" s="737"/>
      <c r="M41" s="670"/>
      <c r="N41" s="670">
        <v>25.207650399529001</v>
      </c>
      <c r="O41" s="670">
        <v>11.2679616922566</v>
      </c>
      <c r="P41" s="670"/>
      <c r="Q41" s="738">
        <v>24.214205186020301</v>
      </c>
      <c r="R41" s="737"/>
      <c r="S41" s="670"/>
      <c r="T41" s="670">
        <v>10.867526377491201</v>
      </c>
      <c r="U41" s="670">
        <v>10.540645663166099</v>
      </c>
      <c r="V41" s="670"/>
      <c r="W41" s="738">
        <v>15.647675943465</v>
      </c>
      <c r="X41" s="737"/>
      <c r="Y41" s="670"/>
      <c r="Z41" s="670">
        <v>24.906091608815299</v>
      </c>
      <c r="AA41" s="670">
        <v>14.6729664488218</v>
      </c>
      <c r="AB41" s="670"/>
      <c r="AC41" s="738">
        <v>15.1140009587278</v>
      </c>
      <c r="AD41" s="670"/>
      <c r="AE41" s="670"/>
      <c r="AF41" s="670">
        <v>59.5214608038074</v>
      </c>
      <c r="AG41" s="670">
        <v>16.4101952099189</v>
      </c>
      <c r="AH41" s="670"/>
      <c r="AI41" s="738">
        <v>6.6769909391735496</v>
      </c>
      <c r="AJ41" s="9"/>
      <c r="AK41" s="258" t="str">
        <f t="shared" si="12"/>
        <v>1Q15</v>
      </c>
      <c r="AL41" s="737">
        <f t="shared" si="13"/>
        <v>0</v>
      </c>
      <c r="AM41" s="670">
        <v>9.9999610739770297</v>
      </c>
      <c r="AN41" s="670">
        <v>9.8567090836951099</v>
      </c>
      <c r="AO41" s="670">
        <v>9.6679105685306794</v>
      </c>
      <c r="AP41" s="670">
        <v>9.4299516908212606</v>
      </c>
      <c r="AQ41" s="738">
        <v>20.389183001860101</v>
      </c>
      <c r="AR41" s="737">
        <f t="shared" si="14"/>
        <v>0</v>
      </c>
      <c r="AS41" s="670">
        <v>10.1734261914516</v>
      </c>
      <c r="AT41" s="670">
        <v>8.2366185583722498</v>
      </c>
      <c r="AU41" s="670">
        <v>9.6586826347305408</v>
      </c>
      <c r="AV41" s="670">
        <v>8.9037555116314397</v>
      </c>
      <c r="AW41" s="738">
        <v>7.2737819025522104</v>
      </c>
      <c r="AX41" s="737">
        <f t="shared" si="15"/>
        <v>0</v>
      </c>
      <c r="AY41" s="670">
        <v>5.57867980886728</v>
      </c>
      <c r="AZ41" s="670">
        <v>6.3488956339740898</v>
      </c>
      <c r="BA41" s="670">
        <v>6.1001435767028198</v>
      </c>
      <c r="BB41" s="670">
        <v>5.7419540662097397</v>
      </c>
      <c r="BC41" s="738">
        <v>4.5544976275480202</v>
      </c>
      <c r="BD41" s="737">
        <f t="shared" si="22"/>
        <v>0</v>
      </c>
      <c r="BE41" s="670">
        <v>5.4862436080116197</v>
      </c>
      <c r="BF41" s="670">
        <v>5.0172390557656596</v>
      </c>
      <c r="BG41" s="670">
        <v>5.4948169337757404</v>
      </c>
      <c r="BH41" s="670">
        <v>5.5132090277973704</v>
      </c>
      <c r="BI41" s="738">
        <v>4.3094182178329801</v>
      </c>
      <c r="BJ41" s="9"/>
      <c r="BK41" s="258" t="str">
        <f t="shared" si="16"/>
        <v>1Q15</v>
      </c>
      <c r="BL41" s="737">
        <f t="shared" si="17"/>
        <v>0</v>
      </c>
      <c r="BM41" s="670">
        <v>24.3601654723143</v>
      </c>
      <c r="BN41" s="670">
        <v>24.265275945607101</v>
      </c>
      <c r="BO41" s="670">
        <v>13.810354033387</v>
      </c>
      <c r="BP41" s="670">
        <v>12.518308364882399</v>
      </c>
      <c r="BQ41" s="738">
        <v>13.945700927772601</v>
      </c>
      <c r="BR41" s="737">
        <f t="shared" si="18"/>
        <v>0</v>
      </c>
      <c r="BS41" s="670">
        <v>18.872133207665701</v>
      </c>
      <c r="BT41" s="670">
        <v>13.2539871459176</v>
      </c>
      <c r="BU41" s="670">
        <v>12.7284161505969</v>
      </c>
      <c r="BV41" s="670">
        <v>14.9644201023031</v>
      </c>
      <c r="BW41" s="738">
        <v>13.9172384219554</v>
      </c>
      <c r="BX41" s="737">
        <f t="shared" si="19"/>
        <v>0</v>
      </c>
      <c r="BY41" s="670">
        <v>10.085262951602999</v>
      </c>
      <c r="BZ41" s="670">
        <v>5.6924125677050403</v>
      </c>
      <c r="CA41" s="670">
        <v>6.9719235348552404</v>
      </c>
      <c r="CB41" s="670">
        <v>9.3480235976562494</v>
      </c>
      <c r="CC41" s="738">
        <v>8.3064868487700405</v>
      </c>
      <c r="CD41" s="737">
        <f t="shared" si="23"/>
        <v>0</v>
      </c>
      <c r="CE41" s="670">
        <v>8.8661907877634896</v>
      </c>
      <c r="CF41" s="670">
        <v>6.4451868598823303</v>
      </c>
      <c r="CG41" s="670">
        <v>6.0558564496601504</v>
      </c>
      <c r="CH41" s="670">
        <v>8.0255848476999301</v>
      </c>
      <c r="CI41" s="738">
        <v>7.9146342421646798</v>
      </c>
    </row>
    <row r="42" spans="1:87" ht="14.25" customHeight="1">
      <c r="A42" s="9"/>
      <c r="B42" s="9"/>
      <c r="C42" s="9" t="s">
        <v>795</v>
      </c>
      <c r="D42" s="9"/>
      <c r="E42" s="618">
        <f>AVERAGE(M8:Q19)</f>
        <v>29.238927357623982</v>
      </c>
      <c r="F42" s="618">
        <f>AVERAGE(S8:W19)</f>
        <v>14.73053576099125</v>
      </c>
      <c r="G42" s="618">
        <f>AVERAGE(Y8:AC19)</f>
        <v>10.051684740603063</v>
      </c>
      <c r="H42" s="618">
        <f>AVERAGE(AE8:AI19)</f>
        <v>13.303532210594501</v>
      </c>
      <c r="I42" s="64">
        <f>IF(I41+1=5,1,I41+1)</f>
        <v>2</v>
      </c>
      <c r="J42" s="3">
        <f t="shared" si="20"/>
        <v>2015</v>
      </c>
      <c r="K42" s="258" t="str">
        <f t="shared" si="11"/>
        <v>2Q15</v>
      </c>
      <c r="L42" s="737"/>
      <c r="M42" s="670"/>
      <c r="N42" s="670">
        <v>19.734343731732402</v>
      </c>
      <c r="O42" s="670">
        <v>15.2308872654633</v>
      </c>
      <c r="P42" s="670"/>
      <c r="Q42" s="738">
        <v>23.181336161187701</v>
      </c>
      <c r="R42" s="737"/>
      <c r="S42" s="670"/>
      <c r="T42" s="670">
        <v>11.3219094247246</v>
      </c>
      <c r="U42" s="670">
        <v>10.5707848291401</v>
      </c>
      <c r="V42" s="670"/>
      <c r="W42" s="738">
        <v>15.9271402550091</v>
      </c>
      <c r="X42" s="737"/>
      <c r="Y42" s="670"/>
      <c r="Z42" s="670">
        <v>33.707476397884101</v>
      </c>
      <c r="AA42" s="670">
        <v>15.031174621375801</v>
      </c>
      <c r="AB42" s="670"/>
      <c r="AC42" s="738">
        <v>15.2181929409257</v>
      </c>
      <c r="AD42" s="670"/>
      <c r="AE42" s="670"/>
      <c r="AF42" s="670">
        <v>57.215267139222298</v>
      </c>
      <c r="AG42" s="670">
        <v>18.602223028868298</v>
      </c>
      <c r="AH42" s="670"/>
      <c r="AI42" s="738">
        <v>6.7111758692474597</v>
      </c>
      <c r="AJ42" s="9"/>
      <c r="AK42" s="258" t="str">
        <f t="shared" si="12"/>
        <v>2Q15</v>
      </c>
      <c r="AL42" s="737">
        <f t="shared" si="13"/>
        <v>0</v>
      </c>
      <c r="AM42" s="670">
        <v>9.6204043269145103</v>
      </c>
      <c r="AN42" s="670">
        <v>10.369148843188499</v>
      </c>
      <c r="AO42" s="670">
        <v>9.1214238919844597</v>
      </c>
      <c r="AP42" s="670">
        <v>10.001592356687899</v>
      </c>
      <c r="AQ42" s="738">
        <v>22.262256272844301</v>
      </c>
      <c r="AR42" s="737">
        <f t="shared" si="14"/>
        <v>0</v>
      </c>
      <c r="AS42" s="670">
        <v>9.7416974169741692</v>
      </c>
      <c r="AT42" s="670">
        <v>8.0213207054105293</v>
      </c>
      <c r="AU42" s="670">
        <v>10.8368895211</v>
      </c>
      <c r="AV42" s="670">
        <v>9.4224422442244204</v>
      </c>
      <c r="AW42" s="738">
        <v>7.9790209790209801</v>
      </c>
      <c r="AX42" s="737">
        <f t="shared" si="15"/>
        <v>0</v>
      </c>
      <c r="AY42" s="670">
        <v>5.4694720210755303</v>
      </c>
      <c r="AZ42" s="670">
        <v>6.5458067336104904</v>
      </c>
      <c r="BA42" s="670">
        <v>5.7612245937373903</v>
      </c>
      <c r="BB42" s="670">
        <v>6.03174555515099</v>
      </c>
      <c r="BC42" s="738">
        <v>4.9273381045377702</v>
      </c>
      <c r="BD42" s="737">
        <f t="shared" si="22"/>
        <v>0</v>
      </c>
      <c r="BE42" s="670">
        <v>5.2421652159577397</v>
      </c>
      <c r="BF42" s="670">
        <v>5.2578672817923602</v>
      </c>
      <c r="BG42" s="670">
        <v>5.7519578678377696</v>
      </c>
      <c r="BH42" s="670">
        <v>5.8083747252702196</v>
      </c>
      <c r="BI42" s="738">
        <v>4.6354962113398201</v>
      </c>
      <c r="BJ42" s="9"/>
      <c r="BK42" s="258" t="str">
        <f t="shared" si="16"/>
        <v>2Q15</v>
      </c>
      <c r="BL42" s="737">
        <f t="shared" si="17"/>
        <v>0</v>
      </c>
      <c r="BM42" s="670">
        <v>24.165108997909702</v>
      </c>
      <c r="BN42" s="670">
        <v>25.4241271250078</v>
      </c>
      <c r="BO42" s="670">
        <v>14.8512626154585</v>
      </c>
      <c r="BP42" s="670">
        <v>14.001235439937499</v>
      </c>
      <c r="BQ42" s="738">
        <v>14.8656322568568</v>
      </c>
      <c r="BR42" s="737">
        <f t="shared" si="18"/>
        <v>0</v>
      </c>
      <c r="BS42" s="670">
        <v>20.998131838804401</v>
      </c>
      <c r="BT42" s="670">
        <v>15.5793703951775</v>
      </c>
      <c r="BU42" s="670">
        <v>14.0344431716083</v>
      </c>
      <c r="BV42" s="670">
        <v>16.625988505336</v>
      </c>
      <c r="BW42" s="738">
        <v>15.097498940228901</v>
      </c>
      <c r="BX42" s="737">
        <f t="shared" si="19"/>
        <v>0</v>
      </c>
      <c r="BY42" s="670">
        <v>10.6384200202094</v>
      </c>
      <c r="BZ42" s="670">
        <v>6.7226025644169001</v>
      </c>
      <c r="CA42" s="670">
        <v>7.2666825847504999</v>
      </c>
      <c r="CB42" s="670">
        <v>10.394219186316899</v>
      </c>
      <c r="CC42" s="738">
        <v>8.7331252074086994</v>
      </c>
      <c r="CD42" s="737">
        <f t="shared" si="23"/>
        <v>0</v>
      </c>
      <c r="CE42" s="670">
        <v>9.9402623212929893</v>
      </c>
      <c r="CF42" s="670">
        <v>7.97901468449838</v>
      </c>
      <c r="CG42" s="670">
        <v>6.4556760118559904</v>
      </c>
      <c r="CH42" s="670">
        <v>8.6540000206489101</v>
      </c>
      <c r="CI42" s="738">
        <v>8.3565512796683201</v>
      </c>
    </row>
    <row r="43" spans="1:87" ht="14.25" customHeight="1">
      <c r="A43" s="9"/>
      <c r="B43" s="9"/>
      <c r="C43" s="9" t="s">
        <v>796</v>
      </c>
      <c r="D43" s="9"/>
      <c r="E43" s="618">
        <f>AVERAGE(M16:Q27)</f>
        <v>40.076329236253628</v>
      </c>
      <c r="F43" s="618">
        <f>AVERAGE(S16:W27)</f>
        <v>13.030066991519275</v>
      </c>
      <c r="G43" s="618">
        <f>AVERAGE(Y16:AC27)</f>
        <v>13.288877415003421</v>
      </c>
      <c r="H43" s="618">
        <f>AVERAGE(AE16:AI27)</f>
        <v>11.590264804798874</v>
      </c>
      <c r="I43" s="64">
        <f>IF(I42=4,1,I42+1)</f>
        <v>3</v>
      </c>
      <c r="J43" s="3">
        <f t="shared" si="20"/>
        <v>2015</v>
      </c>
      <c r="K43" s="258" t="str">
        <f t="shared" si="11"/>
        <v>3Q15</v>
      </c>
      <c r="L43" s="737"/>
      <c r="M43" s="670"/>
      <c r="N43" s="670">
        <v>23.5710076605775</v>
      </c>
      <c r="O43" s="670">
        <v>28.9148166060546</v>
      </c>
      <c r="P43" s="670"/>
      <c r="Q43" s="738">
        <v>17.8672936259143</v>
      </c>
      <c r="R43" s="737"/>
      <c r="S43" s="670"/>
      <c r="T43" s="670">
        <v>12.9866270430906</v>
      </c>
      <c r="U43" s="670">
        <v>7.7669902912621396</v>
      </c>
      <c r="V43" s="670"/>
      <c r="W43" s="738">
        <v>12.8767226447775</v>
      </c>
      <c r="X43" s="737"/>
      <c r="Y43" s="670"/>
      <c r="Z43" s="670">
        <v>14.701382099980901</v>
      </c>
      <c r="AA43" s="670">
        <v>15.479471099950199</v>
      </c>
      <c r="AB43" s="670"/>
      <c r="AC43" s="738">
        <v>12.390873248079901</v>
      </c>
      <c r="AD43" s="670"/>
      <c r="AE43" s="670"/>
      <c r="AF43" s="670">
        <v>21.169810938824899</v>
      </c>
      <c r="AG43" s="670">
        <v>19.4659097668907</v>
      </c>
      <c r="AH43" s="670"/>
      <c r="AI43" s="738">
        <v>6.8958525923936396</v>
      </c>
      <c r="AJ43" s="9"/>
      <c r="AK43" s="258" t="str">
        <f t="shared" si="12"/>
        <v>3Q15</v>
      </c>
      <c r="AL43" s="737">
        <f t="shared" si="13"/>
        <v>0</v>
      </c>
      <c r="AM43" s="670">
        <v>9.0620006242682702</v>
      </c>
      <c r="AN43" s="670">
        <v>9.6317891842749095</v>
      </c>
      <c r="AO43" s="670">
        <v>8.8928566219733796</v>
      </c>
      <c r="AP43" s="670">
        <v>10.389458272328</v>
      </c>
      <c r="AQ43" s="738">
        <v>11.8536611648916</v>
      </c>
      <c r="AR43" s="737">
        <f t="shared" si="14"/>
        <v>0</v>
      </c>
      <c r="AS43" s="670">
        <v>9.9914248963841601</v>
      </c>
      <c r="AT43" s="670">
        <v>8.8331556233278192</v>
      </c>
      <c r="AU43" s="670">
        <v>10.089266274765899</v>
      </c>
      <c r="AV43" s="670">
        <v>10.504811250925201</v>
      </c>
      <c r="AW43" s="738">
        <v>7.8014184397163104</v>
      </c>
      <c r="AX43" s="737">
        <f t="shared" si="15"/>
        <v>0</v>
      </c>
      <c r="AY43" s="670">
        <v>5.3793556144224901</v>
      </c>
      <c r="AZ43" s="670">
        <v>5.8953343077061202</v>
      </c>
      <c r="BA43" s="670">
        <v>5.6164263581300196</v>
      </c>
      <c r="BB43" s="670">
        <v>6.0688318330818003</v>
      </c>
      <c r="BC43" s="738">
        <v>4.6436106780451896</v>
      </c>
      <c r="BD43" s="737">
        <f t="shared" si="22"/>
        <v>0</v>
      </c>
      <c r="BE43" s="670">
        <v>5.4853607215587497</v>
      </c>
      <c r="BF43" s="670">
        <v>5.3183414379838503</v>
      </c>
      <c r="BG43" s="670">
        <v>5.7875481144032603</v>
      </c>
      <c r="BH43" s="670">
        <v>6.1217222110684402</v>
      </c>
      <c r="BI43" s="738">
        <v>4.1203890954194202</v>
      </c>
      <c r="BJ43" s="9"/>
      <c r="BK43" s="258" t="str">
        <f t="shared" si="16"/>
        <v>3Q15</v>
      </c>
      <c r="BL43" s="737">
        <f t="shared" si="17"/>
        <v>0</v>
      </c>
      <c r="BM43" s="670">
        <v>21.605346942748799</v>
      </c>
      <c r="BN43" s="670">
        <v>18.758399494054</v>
      </c>
      <c r="BO43" s="670">
        <v>15.243961913696699</v>
      </c>
      <c r="BP43" s="670">
        <v>16.769620095024599</v>
      </c>
      <c r="BQ43" s="738">
        <v>15.978646422717601</v>
      </c>
      <c r="BR43" s="737">
        <f t="shared" si="18"/>
        <v>0</v>
      </c>
      <c r="BS43" s="670">
        <v>23.4384384384384</v>
      </c>
      <c r="BT43" s="670">
        <v>15.297476515012001</v>
      </c>
      <c r="BU43" s="670">
        <v>15.683575473684201</v>
      </c>
      <c r="BV43" s="670">
        <v>16.897645925900299</v>
      </c>
      <c r="BW43" s="738">
        <v>16.674433382757901</v>
      </c>
      <c r="BX43" s="737">
        <f t="shared" si="19"/>
        <v>0</v>
      </c>
      <c r="BY43" s="670">
        <v>10.140000975353299</v>
      </c>
      <c r="BZ43" s="670">
        <v>11.1988774428578</v>
      </c>
      <c r="CA43" s="670">
        <v>7.6879706231656399</v>
      </c>
      <c r="CB43" s="670">
        <v>11.3236402907469</v>
      </c>
      <c r="CC43" s="738">
        <v>9.4462181552704507</v>
      </c>
      <c r="CD43" s="737">
        <f t="shared" si="23"/>
        <v>0</v>
      </c>
      <c r="CE43" s="670">
        <v>11.0350072347685</v>
      </c>
      <c r="CF43" s="670">
        <v>12.8452543560021</v>
      </c>
      <c r="CG43" s="670">
        <v>6.9489849153165402</v>
      </c>
      <c r="CH43" s="670">
        <v>10.370362845866801</v>
      </c>
      <c r="CI43" s="738">
        <v>9.12801964987489</v>
      </c>
    </row>
    <row r="44" spans="1:87" ht="14.25" customHeight="1">
      <c r="A44" s="180"/>
      <c r="B44" s="9"/>
      <c r="C44" s="9" t="s">
        <v>797</v>
      </c>
      <c r="D44" s="9"/>
      <c r="E44" s="618">
        <f>AVERAGE(M24:Q35)</f>
        <v>31.024611439101456</v>
      </c>
      <c r="F44" s="618">
        <f>AVERAGE(S24:W35)</f>
        <v>13.902576200065827</v>
      </c>
      <c r="G44" s="618">
        <f>AVERAGE(Y24:AC35)</f>
        <v>13.835330462544597</v>
      </c>
      <c r="H44" s="618">
        <f>AVERAGE(AE24:AI35)</f>
        <v>14.349993788145289</v>
      </c>
      <c r="I44" s="64">
        <f>I40</f>
        <v>4</v>
      </c>
      <c r="J44" s="3">
        <f t="shared" si="20"/>
        <v>2015</v>
      </c>
      <c r="K44" s="258" t="str">
        <f t="shared" si="11"/>
        <v>4Q15</v>
      </c>
      <c r="L44" s="737"/>
      <c r="M44" s="670"/>
      <c r="N44" s="670">
        <v>16.9378513163186</v>
      </c>
      <c r="O44" s="670">
        <v>35.189770185118</v>
      </c>
      <c r="P44" s="670"/>
      <c r="Q44" s="738">
        <v>17.327548806941401</v>
      </c>
      <c r="R44" s="737"/>
      <c r="S44" s="670"/>
      <c r="T44" s="670">
        <v>12.480694980695</v>
      </c>
      <c r="U44" s="670">
        <v>11.6047548291233</v>
      </c>
      <c r="V44" s="670"/>
      <c r="W44" s="738">
        <v>12.7096260938743</v>
      </c>
      <c r="X44" s="737"/>
      <c r="Y44" s="670"/>
      <c r="Z44" s="670">
        <v>22.346888613019399</v>
      </c>
      <c r="AA44" s="670">
        <v>6.4164773675184801</v>
      </c>
      <c r="AB44" s="670"/>
      <c r="AC44" s="738">
        <v>11.8582836177887</v>
      </c>
      <c r="AD44" s="670"/>
      <c r="AE44" s="670"/>
      <c r="AF44" s="670">
        <v>14.0849014480363</v>
      </c>
      <c r="AG44" s="670">
        <v>12.5938395611891</v>
      </c>
      <c r="AH44" s="670"/>
      <c r="AI44" s="738">
        <v>6.7939406099721404</v>
      </c>
      <c r="AJ44" s="9"/>
      <c r="AK44" s="258" t="str">
        <f t="shared" si="12"/>
        <v>4Q15</v>
      </c>
      <c r="AL44" s="737">
        <f t="shared" si="13"/>
        <v>0</v>
      </c>
      <c r="AM44" s="670">
        <v>10.5091692501708</v>
      </c>
      <c r="AN44" s="670">
        <v>9.7506638179158802</v>
      </c>
      <c r="AO44" s="670">
        <v>9.7621842114757396</v>
      </c>
      <c r="AP44" s="670">
        <v>11.209370424597401</v>
      </c>
      <c r="AQ44" s="738">
        <v>11.670468219616</v>
      </c>
      <c r="AR44" s="737">
        <f t="shared" si="14"/>
        <v>0</v>
      </c>
      <c r="AS44" s="670">
        <v>11.5301878674889</v>
      </c>
      <c r="AT44" s="670">
        <v>9.2945012598191799</v>
      </c>
      <c r="AU44" s="670">
        <v>10.173999999999999</v>
      </c>
      <c r="AV44" s="670">
        <v>10.706194937770899</v>
      </c>
      <c r="AW44" s="738">
        <v>7.7541766109785204</v>
      </c>
      <c r="AX44" s="737">
        <f t="shared" si="15"/>
        <v>0</v>
      </c>
      <c r="AY44" s="670">
        <v>5.7719211459488999</v>
      </c>
      <c r="AZ44" s="670">
        <v>5.19886979324506</v>
      </c>
      <c r="BA44" s="670">
        <v>6.0804868822000104</v>
      </c>
      <c r="BB44" s="670">
        <v>6.4630731003760902</v>
      </c>
      <c r="BC44" s="738">
        <v>4.5750262092020302</v>
      </c>
      <c r="BD44" s="737">
        <f t="shared" si="22"/>
        <v>0</v>
      </c>
      <c r="BE44" s="670">
        <v>6.2759801428242596</v>
      </c>
      <c r="BF44" s="670">
        <v>4.6276705795283197</v>
      </c>
      <c r="BG44" s="670">
        <v>5.7092746360968896</v>
      </c>
      <c r="BH44" s="670">
        <v>6.3650271472023103</v>
      </c>
      <c r="BI44" s="738">
        <v>4.1614766159540304</v>
      </c>
      <c r="BJ44" s="9"/>
      <c r="BK44" s="258" t="str">
        <f t="shared" si="16"/>
        <v>4Q15</v>
      </c>
      <c r="BL44" s="737">
        <f t="shared" si="17"/>
        <v>0</v>
      </c>
      <c r="BM44" s="670">
        <v>19.5893812359237</v>
      </c>
      <c r="BN44" s="670">
        <v>19.158254817246199</v>
      </c>
      <c r="BO44" s="670">
        <v>15.8492421790324</v>
      </c>
      <c r="BP44" s="670">
        <v>17.562715794490899</v>
      </c>
      <c r="BQ44" s="738">
        <v>16.7394614065933</v>
      </c>
      <c r="BR44" s="737">
        <f t="shared" si="18"/>
        <v>0</v>
      </c>
      <c r="BS44" s="670">
        <v>17.939423231835001</v>
      </c>
      <c r="BT44" s="670">
        <v>15.695771909930301</v>
      </c>
      <c r="BU44" s="670">
        <v>14.382903410447801</v>
      </c>
      <c r="BV44" s="670">
        <v>14.8263081664242</v>
      </c>
      <c r="BW44" s="738">
        <v>15.7693740685544</v>
      </c>
      <c r="BX44" s="737">
        <f t="shared" si="19"/>
        <v>0</v>
      </c>
      <c r="BY44" s="670">
        <v>9.6084032677444196</v>
      </c>
      <c r="BZ44" s="670">
        <v>8.1692260490010806</v>
      </c>
      <c r="CA44" s="670">
        <v>8.1872919029328095</v>
      </c>
      <c r="CB44" s="670">
        <v>12.135236426954799</v>
      </c>
      <c r="CC44" s="738">
        <v>9.8779039587798003</v>
      </c>
      <c r="CD44" s="737">
        <f t="shared" si="23"/>
        <v>0</v>
      </c>
      <c r="CE44" s="670">
        <v>8.9282098595308401</v>
      </c>
      <c r="CF44" s="670">
        <v>9.1988416237324806</v>
      </c>
      <c r="CG44" s="670">
        <v>6.3241620101164902</v>
      </c>
      <c r="CH44" s="670">
        <v>8.8863638105699003</v>
      </c>
      <c r="CI44" s="738">
        <v>8.8499357763455198</v>
      </c>
    </row>
    <row r="45" spans="1:87" ht="14.25" customHeight="1">
      <c r="A45" s="9"/>
      <c r="B45" s="9"/>
      <c r="C45" s="9" t="s">
        <v>798</v>
      </c>
      <c r="D45" s="9"/>
      <c r="E45" s="618">
        <f>AVERAGE(M36:Q75)</f>
        <v>29.91344345134511</v>
      </c>
      <c r="F45" s="618">
        <f>AVERAGE(S36:W75)</f>
        <v>14.628222241217282</v>
      </c>
      <c r="G45" s="618">
        <f>AVERAGE(Y36:AC75)</f>
        <v>19.618140191393934</v>
      </c>
      <c r="H45" s="618">
        <f>AVERAGE(AE36:AI75)</f>
        <v>17.927004556401947</v>
      </c>
      <c r="I45" s="64">
        <f>IF(I44=4,1,I44+1)</f>
        <v>1</v>
      </c>
      <c r="J45" s="3">
        <f t="shared" si="20"/>
        <v>2016</v>
      </c>
      <c r="K45" s="258" t="str">
        <f t="shared" si="11"/>
        <v>1Q16</v>
      </c>
      <c r="L45" s="737"/>
      <c r="M45" s="670"/>
      <c r="N45" s="670">
        <v>21.8162448859322</v>
      </c>
      <c r="O45" s="670">
        <v>37.9607956222304</v>
      </c>
      <c r="P45" s="670"/>
      <c r="Q45" s="738">
        <v>18.371040723981899</v>
      </c>
      <c r="R45" s="737"/>
      <c r="S45" s="670"/>
      <c r="T45" s="670">
        <v>11.249086924762601</v>
      </c>
      <c r="U45" s="670">
        <v>12.6821938392186</v>
      </c>
      <c r="V45" s="670"/>
      <c r="W45" s="738">
        <v>12.2974405573224</v>
      </c>
      <c r="X45" s="737"/>
      <c r="Y45" s="670"/>
      <c r="Z45" s="670">
        <v>32.1629103447885</v>
      </c>
      <c r="AA45" s="670">
        <v>5.6118251841253404</v>
      </c>
      <c r="AB45" s="670"/>
      <c r="AC45" s="738">
        <v>13.464921463212599</v>
      </c>
      <c r="AD45" s="670"/>
      <c r="AE45" s="670"/>
      <c r="AF45" s="670">
        <v>20.904484159210199</v>
      </c>
      <c r="AG45" s="670">
        <v>11.357197927016401</v>
      </c>
      <c r="AH45" s="670"/>
      <c r="AI45" s="738">
        <v>7.3339785413580598</v>
      </c>
      <c r="AJ45" s="9"/>
      <c r="AK45" s="258" t="str">
        <f t="shared" si="12"/>
        <v>1Q16</v>
      </c>
      <c r="AL45" s="737">
        <f t="shared" si="13"/>
        <v>0</v>
      </c>
      <c r="AM45" s="670">
        <v>10.360250621589399</v>
      </c>
      <c r="AN45" s="670">
        <v>10.610981378837</v>
      </c>
      <c r="AO45" s="670">
        <v>9.7850104631892201</v>
      </c>
      <c r="AP45" s="670">
        <v>10.753246753246801</v>
      </c>
      <c r="AQ45" s="738">
        <v>11.911217487238</v>
      </c>
      <c r="AR45" s="737">
        <f t="shared" si="14"/>
        <v>0</v>
      </c>
      <c r="AS45" s="670">
        <v>11.1498209859543</v>
      </c>
      <c r="AT45" s="670">
        <v>10.333780360602001</v>
      </c>
      <c r="AU45" s="670">
        <v>10.1321138211382</v>
      </c>
      <c r="AV45" s="670">
        <v>10.4574796519787</v>
      </c>
      <c r="AW45" s="738">
        <v>7.7305825242718402</v>
      </c>
      <c r="AX45" s="737">
        <f t="shared" si="15"/>
        <v>0</v>
      </c>
      <c r="AY45" s="670">
        <v>5.9342711326619</v>
      </c>
      <c r="AZ45" s="670">
        <v>5.6618821978602103</v>
      </c>
      <c r="BA45" s="670">
        <v>6.4812835745831103</v>
      </c>
      <c r="BB45" s="670">
        <v>6.2851866440240798</v>
      </c>
      <c r="BC45" s="738">
        <v>5.0582831174011602</v>
      </c>
      <c r="BD45" s="737">
        <f t="shared" si="22"/>
        <v>0</v>
      </c>
      <c r="BE45" s="670">
        <v>6.3857361563320802</v>
      </c>
      <c r="BF45" s="670">
        <v>5.4605792553048902</v>
      </c>
      <c r="BG45" s="670">
        <v>6.0368814914483702</v>
      </c>
      <c r="BH45" s="670">
        <v>6.2530343016821499</v>
      </c>
      <c r="BI45" s="738">
        <v>4.4398047960153502</v>
      </c>
      <c r="BJ45" s="9"/>
      <c r="BK45" s="258" t="str">
        <f t="shared" si="16"/>
        <v>1Q16</v>
      </c>
      <c r="BL45" s="737">
        <f t="shared" si="17"/>
        <v>0</v>
      </c>
      <c r="BM45" s="670">
        <v>16.68959147028</v>
      </c>
      <c r="BN45" s="670">
        <v>13.9808558081172</v>
      </c>
      <c r="BO45" s="670">
        <v>14.468751868729999</v>
      </c>
      <c r="BP45" s="670">
        <v>16.205048980257601</v>
      </c>
      <c r="BQ45" s="738">
        <v>17.184909509831101</v>
      </c>
      <c r="BR45" s="737">
        <f t="shared" si="18"/>
        <v>0</v>
      </c>
      <c r="BS45" s="670">
        <v>15.241231209735099</v>
      </c>
      <c r="BT45" s="670">
        <v>12.9049929566442</v>
      </c>
      <c r="BU45" s="670">
        <v>13.108605498192301</v>
      </c>
      <c r="BV45" s="670">
        <v>14.300434892270401</v>
      </c>
      <c r="BW45" s="738">
        <v>16.252295262577999</v>
      </c>
      <c r="BX45" s="737">
        <f t="shared" si="19"/>
        <v>0</v>
      </c>
      <c r="BY45" s="670">
        <v>8.3694625048910805</v>
      </c>
      <c r="BZ45" s="670">
        <v>5.8871772792342698</v>
      </c>
      <c r="CA45" s="670">
        <v>7.7302288075718204</v>
      </c>
      <c r="CB45" s="670">
        <v>11.214687895444699</v>
      </c>
      <c r="CC45" s="738">
        <v>9.9399214641402391</v>
      </c>
      <c r="CD45" s="737">
        <f t="shared" si="23"/>
        <v>0</v>
      </c>
      <c r="CE45" s="670">
        <v>7.7878401119748304</v>
      </c>
      <c r="CF45" s="670">
        <v>7.0981511174056404</v>
      </c>
      <c r="CG45" s="670">
        <v>6.0878290524664997</v>
      </c>
      <c r="CH45" s="670">
        <v>8.4494736155836296</v>
      </c>
      <c r="CI45" s="738">
        <v>9.1474541842588604</v>
      </c>
    </row>
    <row r="46" spans="1:87" ht="14.25" customHeight="1">
      <c r="A46" s="9"/>
      <c r="B46" s="9"/>
      <c r="C46" s="9" t="s">
        <v>799</v>
      </c>
      <c r="D46" s="9"/>
      <c r="E46" s="618">
        <f>AVERAGE(M36:Q51)</f>
        <v>20.74001906668634</v>
      </c>
      <c r="F46" s="618">
        <f>AVERAGE(S36:W51)</f>
        <v>12.481675494723865</v>
      </c>
      <c r="G46" s="618">
        <f>AVERAGE(Y36:AC51)</f>
        <v>17.138684534092331</v>
      </c>
      <c r="H46" s="618">
        <f>AVERAGE(AE36:AI51)</f>
        <v>17.073062035084643</v>
      </c>
      <c r="I46" s="64">
        <f>IF(I45+1=5,1,I45+1)</f>
        <v>2</v>
      </c>
      <c r="J46" s="3">
        <f t="shared" si="20"/>
        <v>2016</v>
      </c>
      <c r="K46" s="258" t="str">
        <f t="shared" si="11"/>
        <v>2Q16</v>
      </c>
      <c r="L46" s="737"/>
      <c r="M46" s="670"/>
      <c r="N46" s="670">
        <v>12.420739549697499</v>
      </c>
      <c r="O46" s="670"/>
      <c r="P46" s="670"/>
      <c r="Q46" s="738">
        <v>16.5417156286722</v>
      </c>
      <c r="R46" s="737"/>
      <c r="S46" s="670"/>
      <c r="T46" s="670">
        <v>13.561116458132799</v>
      </c>
      <c r="U46" s="670">
        <v>11.2630117973629</v>
      </c>
      <c r="V46" s="670"/>
      <c r="W46" s="738">
        <v>10.653095202058401</v>
      </c>
      <c r="X46" s="737"/>
      <c r="Y46" s="670"/>
      <c r="Z46" s="670">
        <v>33.642126517885302</v>
      </c>
      <c r="AA46" s="670">
        <v>13.7353586828378</v>
      </c>
      <c r="AB46" s="670"/>
      <c r="AC46" s="738">
        <v>12.5797539434057</v>
      </c>
      <c r="AD46" s="670"/>
      <c r="AE46" s="670"/>
      <c r="AF46" s="670">
        <v>24.711927026216099</v>
      </c>
      <c r="AG46" s="670">
        <v>10.5029963280759</v>
      </c>
      <c r="AH46" s="670"/>
      <c r="AI46" s="738">
        <v>7.3260852691848797</v>
      </c>
      <c r="AJ46" s="9"/>
      <c r="AK46" s="258" t="str">
        <f t="shared" si="12"/>
        <v>2Q16</v>
      </c>
      <c r="AL46" s="737">
        <f t="shared" si="13"/>
        <v>0</v>
      </c>
      <c r="AM46" s="670">
        <v>9.0442537177124596</v>
      </c>
      <c r="AN46" s="670">
        <v>7.5765915416947802</v>
      </c>
      <c r="AO46" s="670">
        <v>7.8850172710238802</v>
      </c>
      <c r="AP46" s="670">
        <v>7.9925124109429904</v>
      </c>
      <c r="AQ46" s="738">
        <v>9.9964472035752294</v>
      </c>
      <c r="AR46" s="737">
        <f t="shared" si="14"/>
        <v>0</v>
      </c>
      <c r="AS46" s="670">
        <v>9.6853333333333307</v>
      </c>
      <c r="AT46" s="670">
        <v>7.58726003490401</v>
      </c>
      <c r="AU46" s="670">
        <v>8.1593132361748903</v>
      </c>
      <c r="AV46" s="670">
        <v>7.9189866369710504</v>
      </c>
      <c r="AW46" s="738">
        <v>6.6825000000000001</v>
      </c>
      <c r="AX46" s="737">
        <f t="shared" si="15"/>
        <v>0</v>
      </c>
      <c r="AY46" s="670">
        <v>5.1725328882019399</v>
      </c>
      <c r="AZ46" s="670">
        <v>4.1998426941363496</v>
      </c>
      <c r="BA46" s="670">
        <v>4.9072512661100998</v>
      </c>
      <c r="BB46" s="670">
        <v>5.11248886371017</v>
      </c>
      <c r="BC46" s="738">
        <v>4.1756043541247401</v>
      </c>
      <c r="BD46" s="737">
        <f t="shared" si="22"/>
        <v>0</v>
      </c>
      <c r="BE46" s="670">
        <v>5.7395595802065698</v>
      </c>
      <c r="BF46" s="670">
        <v>4.13814087690871</v>
      </c>
      <c r="BG46" s="670">
        <v>5.1077271800270996</v>
      </c>
      <c r="BH46" s="670">
        <v>5.1134671020105698</v>
      </c>
      <c r="BI46" s="738">
        <v>3.8065533789962802</v>
      </c>
      <c r="BJ46" s="9"/>
      <c r="BK46" s="258" t="str">
        <f t="shared" si="16"/>
        <v>2Q16</v>
      </c>
      <c r="BL46" s="737">
        <f t="shared" si="17"/>
        <v>0</v>
      </c>
      <c r="BM46" s="670">
        <v>10.518527508712999</v>
      </c>
      <c r="BN46" s="670">
        <v>10.5037129820166</v>
      </c>
      <c r="BO46" s="670">
        <v>12.230878232496501</v>
      </c>
      <c r="BP46" s="670">
        <v>11.8037669920092</v>
      </c>
      <c r="BQ46" s="738">
        <v>13.3534736207215</v>
      </c>
      <c r="BR46" s="737">
        <f t="shared" si="18"/>
        <v>0</v>
      </c>
      <c r="BS46" s="670">
        <v>11.112114371708101</v>
      </c>
      <c r="BT46" s="670">
        <v>10.02484086322</v>
      </c>
      <c r="BU46" s="670">
        <v>10.586285316932001</v>
      </c>
      <c r="BV46" s="670">
        <v>10.5668420137303</v>
      </c>
      <c r="BW46" s="738">
        <v>12.8911689263466</v>
      </c>
      <c r="BX46" s="737">
        <f t="shared" si="19"/>
        <v>0</v>
      </c>
      <c r="BY46" s="670">
        <v>6.2721458318024998</v>
      </c>
      <c r="BZ46" s="670">
        <v>4.4281218063482299</v>
      </c>
      <c r="CA46" s="670">
        <v>6.4556485602435796</v>
      </c>
      <c r="CB46" s="670">
        <v>8.29363910369546</v>
      </c>
      <c r="CC46" s="738">
        <v>7.7537626450537704</v>
      </c>
      <c r="CD46" s="737">
        <f t="shared" si="23"/>
        <v>0</v>
      </c>
      <c r="CE46" s="670">
        <v>6.1966563888391502</v>
      </c>
      <c r="CF46" s="670">
        <v>5.6364424865086598</v>
      </c>
      <c r="CG46" s="670">
        <v>5.04933041465077</v>
      </c>
      <c r="CH46" s="670">
        <v>6.5951797733904902</v>
      </c>
      <c r="CI46" s="738">
        <v>7.2000449757373097</v>
      </c>
    </row>
    <row r="47" spans="1:87" ht="14.25" customHeight="1">
      <c r="A47" s="9"/>
      <c r="B47" s="9"/>
      <c r="C47" s="9" t="s">
        <v>800</v>
      </c>
      <c r="D47" s="9"/>
      <c r="E47" s="618">
        <f>AVERAGE(M48:Q63)</f>
        <v>33.344091478865259</v>
      </c>
      <c r="F47" s="618">
        <f>AVERAGE(S48:W63)</f>
        <v>11.888071898097827</v>
      </c>
      <c r="G47" s="618">
        <f>AVERAGE(Y48:AC63)</f>
        <v>22.849314631269817</v>
      </c>
      <c r="H47" s="618">
        <f>AVERAGE(AE48:AI63)</f>
        <v>16.018117520880732</v>
      </c>
      <c r="I47" s="64">
        <f>IF(I46=4,1,I46+1)</f>
        <v>3</v>
      </c>
      <c r="J47" s="3">
        <f t="shared" si="20"/>
        <v>2016</v>
      </c>
      <c r="K47" s="258" t="str">
        <f t="shared" si="11"/>
        <v>3Q16</v>
      </c>
      <c r="L47" s="737"/>
      <c r="M47" s="670"/>
      <c r="N47" s="670">
        <v>21.204193582960599</v>
      </c>
      <c r="O47" s="670">
        <v>31.6431900074993</v>
      </c>
      <c r="P47" s="670"/>
      <c r="Q47" s="738">
        <v>16.884480746791098</v>
      </c>
      <c r="R47" s="737"/>
      <c r="S47" s="670"/>
      <c r="T47" s="670">
        <v>14.352844187963701</v>
      </c>
      <c r="U47" s="670">
        <v>11.628080657206899</v>
      </c>
      <c r="V47" s="670"/>
      <c r="W47" s="738">
        <v>11.2501943710154</v>
      </c>
      <c r="X47" s="737"/>
      <c r="Y47" s="670"/>
      <c r="Z47" s="670">
        <v>23.425791420607201</v>
      </c>
      <c r="AA47" s="670">
        <v>10.076277892917901</v>
      </c>
      <c r="AB47" s="670"/>
      <c r="AC47" s="738">
        <v>12.976976833234399</v>
      </c>
      <c r="AD47" s="670"/>
      <c r="AE47" s="670"/>
      <c r="AF47" s="670">
        <v>25.943381809588502</v>
      </c>
      <c r="AG47" s="670">
        <v>10.350715150376301</v>
      </c>
      <c r="AH47" s="670"/>
      <c r="AI47" s="738">
        <v>7.5509686094398001</v>
      </c>
      <c r="AJ47" s="9"/>
      <c r="AK47" s="258" t="str">
        <f t="shared" si="12"/>
        <v>3Q16</v>
      </c>
      <c r="AL47" s="737">
        <f t="shared" si="13"/>
        <v>0</v>
      </c>
      <c r="AM47" s="670">
        <v>10.2927177685897</v>
      </c>
      <c r="AN47" s="670">
        <v>7.8669368437521099</v>
      </c>
      <c r="AO47" s="670">
        <v>9.1934574811142706</v>
      </c>
      <c r="AP47" s="670">
        <v>9.1696224120428695</v>
      </c>
      <c r="AQ47" s="738">
        <v>7.6852161349104504</v>
      </c>
      <c r="AR47" s="737">
        <f t="shared" si="14"/>
        <v>0</v>
      </c>
      <c r="AS47" s="670">
        <v>10.6363397317907</v>
      </c>
      <c r="AT47" s="670">
        <v>8.3399885909868807</v>
      </c>
      <c r="AU47" s="670">
        <v>9.5783013264700099</v>
      </c>
      <c r="AV47" s="670">
        <v>9.1726519337016601</v>
      </c>
      <c r="AW47" s="738">
        <v>7.0920398009950301</v>
      </c>
      <c r="AX47" s="737">
        <f t="shared" si="15"/>
        <v>0</v>
      </c>
      <c r="AY47" s="670">
        <v>5.0727873397035799</v>
      </c>
      <c r="AZ47" s="670">
        <v>4.2475628329771302</v>
      </c>
      <c r="BA47" s="670">
        <v>5.3476842685669199</v>
      </c>
      <c r="BB47" s="670">
        <v>5.6429267951685604</v>
      </c>
      <c r="BC47" s="738">
        <v>4.6642162199263097</v>
      </c>
      <c r="BD47" s="737">
        <f t="shared" si="22"/>
        <v>0</v>
      </c>
      <c r="BE47" s="670">
        <v>6.0754015039439304</v>
      </c>
      <c r="BF47" s="670">
        <v>4.6526810266066603</v>
      </c>
      <c r="BG47" s="670">
        <v>5.4675375684290399</v>
      </c>
      <c r="BH47" s="670">
        <v>5.3194890952561096</v>
      </c>
      <c r="BI47" s="738">
        <v>4.1959826963148199</v>
      </c>
      <c r="BJ47" s="9"/>
      <c r="BK47" s="258" t="str">
        <f t="shared" si="16"/>
        <v>3Q16</v>
      </c>
      <c r="BL47" s="737">
        <f t="shared" si="17"/>
        <v>0</v>
      </c>
      <c r="BM47" s="670">
        <v>11.136940235073</v>
      </c>
      <c r="BN47" s="670">
        <v>11.6666666666667</v>
      </c>
      <c r="BO47" s="670">
        <v>17.1928194605477</v>
      </c>
      <c r="BP47" s="670">
        <v>19.4974550891937</v>
      </c>
      <c r="BQ47" s="738">
        <v>13.712994474089101</v>
      </c>
      <c r="BR47" s="737">
        <f t="shared" si="18"/>
        <v>0</v>
      </c>
      <c r="BS47" s="670">
        <v>13.3372589430296</v>
      </c>
      <c r="BT47" s="670">
        <v>9.89889941131303</v>
      </c>
      <c r="BU47" s="670">
        <v>12.5756118144631</v>
      </c>
      <c r="BV47" s="670">
        <v>12.835855233946299</v>
      </c>
      <c r="BW47" s="738">
        <v>13.330293634871399</v>
      </c>
      <c r="BX47" s="737">
        <f t="shared" si="19"/>
        <v>0</v>
      </c>
      <c r="BY47" s="670">
        <v>6.8532861845158397</v>
      </c>
      <c r="BZ47" s="670">
        <v>4.8116381420894303</v>
      </c>
      <c r="CA47" s="670">
        <v>7.4767744896099497</v>
      </c>
      <c r="CB47" s="670">
        <v>13.0253702514268</v>
      </c>
      <c r="CC47" s="738">
        <v>7.8806177904984098</v>
      </c>
      <c r="CD47" s="737">
        <f t="shared" si="23"/>
        <v>0</v>
      </c>
      <c r="CE47" s="670">
        <v>5.8599294656551697</v>
      </c>
      <c r="CF47" s="670">
        <v>5.4586822092923004</v>
      </c>
      <c r="CG47" s="670">
        <v>6.4343046300791302</v>
      </c>
      <c r="CH47" s="670">
        <v>7.2176928467072701</v>
      </c>
      <c r="CI47" s="738">
        <v>6.8736532340427301</v>
      </c>
    </row>
    <row r="48" spans="1:87" ht="14.25" customHeight="1">
      <c r="A48" s="9"/>
      <c r="B48" s="9"/>
      <c r="C48" s="9" t="s">
        <v>801</v>
      </c>
      <c r="D48" s="9"/>
      <c r="E48" s="618">
        <f>AVERAGE(M60:Q75)</f>
        <v>35.819623603495231</v>
      </c>
      <c r="F48" s="618">
        <f>AVERAGE(S60:W75)</f>
        <v>17.48081687670199</v>
      </c>
      <c r="G48" s="618">
        <f>AVERAGE(Y60:AC75)</f>
        <v>23.914556158374609</v>
      </c>
      <c r="H48" s="618">
        <f>AVERAGE(AE60:AI75)</f>
        <v>19.255590209179221</v>
      </c>
      <c r="I48" s="64">
        <f>I44</f>
        <v>4</v>
      </c>
      <c r="J48" s="3">
        <f t="shared" si="20"/>
        <v>2016</v>
      </c>
      <c r="K48" s="258" t="str">
        <f t="shared" si="11"/>
        <v>4Q16</v>
      </c>
      <c r="L48" s="737"/>
      <c r="M48" s="670"/>
      <c r="N48" s="670">
        <v>22.410192902738601</v>
      </c>
      <c r="O48" s="670">
        <v>79.303996921444806</v>
      </c>
      <c r="P48" s="670"/>
      <c r="Q48" s="738">
        <v>16.954492415402601</v>
      </c>
      <c r="R48" s="737"/>
      <c r="S48" s="670"/>
      <c r="T48" s="670">
        <v>14.468726450640499</v>
      </c>
      <c r="U48" s="670">
        <v>13.459841129743999</v>
      </c>
      <c r="V48" s="670"/>
      <c r="W48" s="738">
        <v>11.358661663539699</v>
      </c>
      <c r="X48" s="737"/>
      <c r="Y48" s="670"/>
      <c r="Z48" s="670">
        <v>20.964897937186802</v>
      </c>
      <c r="AA48" s="670">
        <v>11.830249532568899</v>
      </c>
      <c r="AB48" s="670"/>
      <c r="AC48" s="738">
        <v>13.3207674868135</v>
      </c>
      <c r="AD48" s="670"/>
      <c r="AE48" s="670"/>
      <c r="AF48" s="670">
        <v>19.105143177636801</v>
      </c>
      <c r="AG48" s="670">
        <v>8.51469466870555</v>
      </c>
      <c r="AH48" s="670"/>
      <c r="AI48" s="738">
        <v>6.4564547915527699</v>
      </c>
      <c r="AJ48" s="9"/>
      <c r="AK48" s="258" t="str">
        <f t="shared" si="12"/>
        <v>4Q16</v>
      </c>
      <c r="AL48" s="737">
        <f t="shared" si="13"/>
        <v>0</v>
      </c>
      <c r="AM48" s="670">
        <v>10.800576832053601</v>
      </c>
      <c r="AN48" s="670">
        <v>7.9081852954622596</v>
      </c>
      <c r="AO48" s="670">
        <v>9.5463149108266006</v>
      </c>
      <c r="AP48" s="670">
        <v>10.230896470800801</v>
      </c>
      <c r="AQ48" s="738">
        <v>8.0841680773751108</v>
      </c>
      <c r="AR48" s="737">
        <f t="shared" si="14"/>
        <v>0</v>
      </c>
      <c r="AS48" s="670">
        <v>11.412242824485601</v>
      </c>
      <c r="AT48" s="670">
        <v>9.2925604746691004</v>
      </c>
      <c r="AU48" s="670">
        <v>10.414364640883999</v>
      </c>
      <c r="AV48" s="670">
        <v>10.002726281352199</v>
      </c>
      <c r="AW48" s="738">
        <v>7.4049382716049399</v>
      </c>
      <c r="AX48" s="737">
        <f t="shared" si="15"/>
        <v>0</v>
      </c>
      <c r="AY48" s="670">
        <v>5.4596028791895099</v>
      </c>
      <c r="AZ48" s="670">
        <v>4.3853182636826604</v>
      </c>
      <c r="BA48" s="670">
        <v>5.6389101658389302</v>
      </c>
      <c r="BB48" s="670">
        <v>6.3445682479438403</v>
      </c>
      <c r="BC48" s="738">
        <v>4.8978949619362604</v>
      </c>
      <c r="BD48" s="737">
        <f t="shared" si="22"/>
        <v>0</v>
      </c>
      <c r="BE48" s="670">
        <v>6.7238118912100804</v>
      </c>
      <c r="BF48" s="670">
        <v>5.0324558356480802</v>
      </c>
      <c r="BG48" s="670">
        <v>6.0317740360888701</v>
      </c>
      <c r="BH48" s="670">
        <v>6.0858725996610499</v>
      </c>
      <c r="BI48" s="738">
        <v>4.4959076817347503</v>
      </c>
      <c r="BJ48" s="9"/>
      <c r="BK48" s="258" t="str">
        <f t="shared" si="16"/>
        <v>4Q16</v>
      </c>
      <c r="BL48" s="737">
        <f t="shared" si="17"/>
        <v>0</v>
      </c>
      <c r="BM48" s="670">
        <v>12.2734575189388</v>
      </c>
      <c r="BN48" s="670">
        <v>12.020802377414601</v>
      </c>
      <c r="BO48" s="670">
        <v>18.892142241050099</v>
      </c>
      <c r="BP48" s="670">
        <v>20.566111479131099</v>
      </c>
      <c r="BQ48" s="738">
        <v>15.502253191008201</v>
      </c>
      <c r="BR48" s="737">
        <f t="shared" si="18"/>
        <v>0</v>
      </c>
      <c r="BS48" s="670">
        <v>11.185550771815601</v>
      </c>
      <c r="BT48" s="670">
        <v>10.1049213090182</v>
      </c>
      <c r="BU48" s="670">
        <v>12.535617672514601</v>
      </c>
      <c r="BV48" s="670">
        <v>13.0753090608726</v>
      </c>
      <c r="BW48" s="738">
        <v>15.0280847979706</v>
      </c>
      <c r="BX48" s="737">
        <f t="shared" si="19"/>
        <v>0</v>
      </c>
      <c r="BY48" s="670">
        <v>7.5665220163616098</v>
      </c>
      <c r="BZ48" s="670">
        <v>5.6916000078695399</v>
      </c>
      <c r="CA48" s="670">
        <v>8.5718704479234198</v>
      </c>
      <c r="CB48" s="670">
        <v>13.8815772921564</v>
      </c>
      <c r="CC48" s="738">
        <v>8.7722503879114395</v>
      </c>
      <c r="CD48" s="737">
        <f t="shared" si="23"/>
        <v>0</v>
      </c>
      <c r="CE48" s="670">
        <v>6.5048980462069697</v>
      </c>
      <c r="CF48" s="670">
        <v>6.4048413447981503</v>
      </c>
      <c r="CG48" s="670">
        <v>6.9806056585949499</v>
      </c>
      <c r="CH48" s="670">
        <v>8.1589451904695505</v>
      </c>
      <c r="CI48" s="738">
        <v>8.0195826003854709</v>
      </c>
    </row>
    <row r="49" spans="1:87" ht="14.25" customHeight="1">
      <c r="A49" s="9"/>
      <c r="B49" s="9"/>
      <c r="C49" s="9"/>
      <c r="D49" s="9"/>
      <c r="E49" s="9"/>
      <c r="F49" s="9"/>
      <c r="G49" s="9"/>
      <c r="H49" s="9"/>
      <c r="I49" s="64">
        <f>IF(I48=4,1,I48+1)</f>
        <v>1</v>
      </c>
      <c r="J49" s="3">
        <f t="shared" si="20"/>
        <v>2017</v>
      </c>
      <c r="K49" s="258" t="str">
        <f t="shared" si="11"/>
        <v>1Q17</v>
      </c>
      <c r="L49" s="737"/>
      <c r="M49" s="670"/>
      <c r="N49" s="670">
        <v>10.117977216130701</v>
      </c>
      <c r="O49" s="670">
        <v>14.3052534810198</v>
      </c>
      <c r="P49" s="670"/>
      <c r="Q49" s="738">
        <v>18.6295454545455</v>
      </c>
      <c r="R49" s="737"/>
      <c r="S49" s="670"/>
      <c r="T49" s="670">
        <v>10.5277777777778</v>
      </c>
      <c r="U49" s="670">
        <v>9.4771241830065396</v>
      </c>
      <c r="V49" s="670"/>
      <c r="W49" s="738">
        <v>11.0942681193747</v>
      </c>
      <c r="X49" s="737"/>
      <c r="Y49" s="670"/>
      <c r="Z49" s="670">
        <v>41.9964325253369</v>
      </c>
      <c r="AA49" s="670">
        <v>6.1758389801886002</v>
      </c>
      <c r="AB49" s="670"/>
      <c r="AC49" s="738">
        <v>15.1722098275444</v>
      </c>
      <c r="AD49" s="670"/>
      <c r="AE49" s="670"/>
      <c r="AF49" s="670">
        <v>18.9782542773712</v>
      </c>
      <c r="AG49" s="670">
        <v>9.7339152100877495</v>
      </c>
      <c r="AH49" s="670"/>
      <c r="AI49" s="738">
        <v>6.3995874857203701</v>
      </c>
      <c r="AJ49" s="9"/>
      <c r="AK49" s="258" t="str">
        <f t="shared" si="12"/>
        <v>1Q17</v>
      </c>
      <c r="AL49" s="737">
        <f t="shared" si="13"/>
        <v>0</v>
      </c>
      <c r="AM49" s="670">
        <v>10.1080216461171</v>
      </c>
      <c r="AN49" s="670">
        <v>8.1848758019837504</v>
      </c>
      <c r="AO49" s="670">
        <v>9.8608863994172999</v>
      </c>
      <c r="AP49" s="670">
        <v>9.1327083880243496</v>
      </c>
      <c r="AQ49" s="738">
        <v>8.1531872577492006</v>
      </c>
      <c r="AR49" s="737">
        <f t="shared" si="14"/>
        <v>0</v>
      </c>
      <c r="AS49" s="670">
        <v>11.043753963221301</v>
      </c>
      <c r="AT49" s="670">
        <v>9.2435878858136498</v>
      </c>
      <c r="AU49" s="670">
        <v>10.886879569065</v>
      </c>
      <c r="AV49" s="670">
        <v>9.19559459082671</v>
      </c>
      <c r="AW49" s="738">
        <v>7.1259259259259302</v>
      </c>
      <c r="AX49" s="737">
        <f t="shared" si="15"/>
        <v>0</v>
      </c>
      <c r="AY49" s="670">
        <v>5.0938422904182499</v>
      </c>
      <c r="AZ49" s="670">
        <v>4.5162177579657596</v>
      </c>
      <c r="BA49" s="670">
        <v>5.9616220191103997</v>
      </c>
      <c r="BB49" s="670">
        <v>5.7406774276128099</v>
      </c>
      <c r="BC49" s="738">
        <v>4.6919011230468799</v>
      </c>
      <c r="BD49" s="737">
        <f t="shared" si="22"/>
        <v>0</v>
      </c>
      <c r="BE49" s="670">
        <v>6.3667476843007504</v>
      </c>
      <c r="BF49" s="670">
        <v>4.9854819313623802</v>
      </c>
      <c r="BG49" s="670">
        <v>6.4298645083485404</v>
      </c>
      <c r="BH49" s="670">
        <v>5.6189714790247196</v>
      </c>
      <c r="BI49" s="738">
        <v>4.2346854791344999</v>
      </c>
      <c r="BJ49" s="9"/>
      <c r="BK49" s="258" t="str">
        <f t="shared" si="16"/>
        <v>1Q17</v>
      </c>
      <c r="BL49" s="737">
        <f t="shared" si="17"/>
        <v>0</v>
      </c>
      <c r="BM49" s="670">
        <v>9.0476464984031004</v>
      </c>
      <c r="BN49" s="670">
        <v>11.2008310249307</v>
      </c>
      <c r="BO49" s="670">
        <v>19.056518630840099</v>
      </c>
      <c r="BP49" s="670">
        <v>17.744420077930101</v>
      </c>
      <c r="BQ49" s="738">
        <v>13.557266662622</v>
      </c>
      <c r="BR49" s="737">
        <f t="shared" si="18"/>
        <v>0</v>
      </c>
      <c r="BS49" s="670">
        <v>8.7382937120510409</v>
      </c>
      <c r="BT49" s="670">
        <v>9.8012362137922704</v>
      </c>
      <c r="BU49" s="670">
        <v>12.932523677211099</v>
      </c>
      <c r="BV49" s="670">
        <v>11.7818741310035</v>
      </c>
      <c r="BW49" s="738">
        <v>13.737722808293899</v>
      </c>
      <c r="BX49" s="737">
        <f t="shared" si="19"/>
        <v>0</v>
      </c>
      <c r="BY49" s="670">
        <v>5.6087294252266497</v>
      </c>
      <c r="BZ49" s="670">
        <v>4.9802570793535903</v>
      </c>
      <c r="CA49" s="670">
        <v>9.2226650563073296</v>
      </c>
      <c r="CB49" s="670">
        <v>12.458154399644</v>
      </c>
      <c r="CC49" s="738">
        <v>9.2789607868954995</v>
      </c>
      <c r="CD49" s="737">
        <f t="shared" si="23"/>
        <v>0</v>
      </c>
      <c r="CE49" s="670">
        <v>5.2765147437542899</v>
      </c>
      <c r="CF49" s="670">
        <v>5.61804636350975</v>
      </c>
      <c r="CG49" s="670">
        <v>8.3266432742954208</v>
      </c>
      <c r="CH49" s="670">
        <v>7.4694688739111097</v>
      </c>
      <c r="CI49" s="738">
        <v>8.6931720305652007</v>
      </c>
    </row>
    <row r="50" spans="1:87" ht="14.25" customHeight="1">
      <c r="A50" s="180" t="s">
        <v>0</v>
      </c>
      <c r="B50" s="9"/>
      <c r="C50" s="728" t="str">
        <f>Comparables!S87</f>
        <v>Defense Peer Group</v>
      </c>
      <c r="D50" s="76"/>
      <c r="E50" s="76"/>
      <c r="F50" s="76"/>
      <c r="G50" s="76"/>
      <c r="H50" s="78"/>
      <c r="I50" s="64">
        <f>IF(I49+1=5,1,I49+1)</f>
        <v>2</v>
      </c>
      <c r="J50" s="3">
        <f t="shared" si="20"/>
        <v>2017</v>
      </c>
      <c r="K50" s="258" t="str">
        <f t="shared" si="11"/>
        <v>2Q17</v>
      </c>
      <c r="L50" s="737"/>
      <c r="M50" s="670"/>
      <c r="N50" s="670">
        <v>8.6386910655297502</v>
      </c>
      <c r="O50" s="670">
        <v>12.160251800333</v>
      </c>
      <c r="P50" s="670"/>
      <c r="Q50" s="738">
        <v>18.347345132743399</v>
      </c>
      <c r="R50" s="737"/>
      <c r="S50" s="670"/>
      <c r="T50" s="670">
        <v>9.9282956425813609</v>
      </c>
      <c r="U50" s="670">
        <v>7.8466428287644003</v>
      </c>
      <c r="V50" s="670"/>
      <c r="W50" s="738">
        <v>11.350944429236201</v>
      </c>
      <c r="X50" s="737"/>
      <c r="Y50" s="670"/>
      <c r="Z50" s="670">
        <v>34.171101877817499</v>
      </c>
      <c r="AA50" s="670">
        <v>6.3851642909502297</v>
      </c>
      <c r="AB50" s="670"/>
      <c r="AC50" s="738">
        <v>14.995089162311899</v>
      </c>
      <c r="AD50" s="670"/>
      <c r="AE50" s="670"/>
      <c r="AF50" s="670">
        <v>18.903327258688002</v>
      </c>
      <c r="AG50" s="670">
        <v>9.01859411555143</v>
      </c>
      <c r="AH50" s="670"/>
      <c r="AI50" s="738">
        <v>6.6094397455054104</v>
      </c>
      <c r="AJ50" s="9"/>
      <c r="AK50" s="258" t="str">
        <f t="shared" si="12"/>
        <v>2Q17</v>
      </c>
      <c r="AL50" s="737">
        <f t="shared" si="13"/>
        <v>0</v>
      </c>
      <c r="AM50" s="670">
        <v>10.604506858633499</v>
      </c>
      <c r="AN50" s="670">
        <v>8.5675855852532798</v>
      </c>
      <c r="AO50" s="670">
        <v>9.8064192930491192</v>
      </c>
      <c r="AP50" s="670">
        <v>9.3462699731994405</v>
      </c>
      <c r="AQ50" s="738">
        <v>9.1843422643598895</v>
      </c>
      <c r="AR50" s="737">
        <f t="shared" si="14"/>
        <v>0</v>
      </c>
      <c r="AS50" s="670">
        <v>11.5326664196616</v>
      </c>
      <c r="AT50" s="670">
        <v>9.2046556741028098</v>
      </c>
      <c r="AU50" s="670">
        <v>10.7262150497279</v>
      </c>
      <c r="AV50" s="670">
        <v>9.3113645965357001</v>
      </c>
      <c r="AW50" s="738">
        <v>8.0271604938271608</v>
      </c>
      <c r="AX50" s="737">
        <f t="shared" si="15"/>
        <v>0</v>
      </c>
      <c r="AY50" s="670">
        <v>5.2099114328871901</v>
      </c>
      <c r="AZ50" s="670">
        <v>4.6320341329997197</v>
      </c>
      <c r="BA50" s="670">
        <v>5.6791544496353099</v>
      </c>
      <c r="BB50" s="670">
        <v>5.6690001212186596</v>
      </c>
      <c r="BC50" s="738">
        <v>5.2383286313449604</v>
      </c>
      <c r="BD50" s="737">
        <f t="shared" si="22"/>
        <v>0</v>
      </c>
      <c r="BE50" s="670">
        <v>6.4001431778441704</v>
      </c>
      <c r="BF50" s="670">
        <v>4.8363259735022304</v>
      </c>
      <c r="BG50" s="670">
        <v>6.1715329463913404</v>
      </c>
      <c r="BH50" s="670">
        <v>5.4748344797844402</v>
      </c>
      <c r="BI50" s="738">
        <v>4.73882668145305</v>
      </c>
      <c r="BJ50" s="9"/>
      <c r="BK50" s="258" t="str">
        <f t="shared" si="16"/>
        <v>2Q17</v>
      </c>
      <c r="BL50" s="737">
        <f t="shared" si="17"/>
        <v>0</v>
      </c>
      <c r="BM50" s="670">
        <v>8.7278773820466</v>
      </c>
      <c r="BN50" s="670">
        <v>10.981358189081201</v>
      </c>
      <c r="BO50" s="670">
        <v>18.6636395296049</v>
      </c>
      <c r="BP50" s="670">
        <v>17.144196181385301</v>
      </c>
      <c r="BQ50" s="738">
        <v>14.213143045327</v>
      </c>
      <c r="BR50" s="737">
        <f t="shared" si="18"/>
        <v>0</v>
      </c>
      <c r="BS50" s="670">
        <v>9.0682967959527794</v>
      </c>
      <c r="BT50" s="670">
        <v>10.6098031648012</v>
      </c>
      <c r="BU50" s="670">
        <v>14.1845479493177</v>
      </c>
      <c r="BV50" s="670">
        <v>12.6292508009654</v>
      </c>
      <c r="BW50" s="738">
        <v>14.7355543007717</v>
      </c>
      <c r="BX50" s="737">
        <f t="shared" si="19"/>
        <v>0</v>
      </c>
      <c r="BY50" s="670">
        <v>5.2022216107864798</v>
      </c>
      <c r="BZ50" s="670">
        <v>4.8894015398405699</v>
      </c>
      <c r="CA50" s="670">
        <v>10.3988669282679</v>
      </c>
      <c r="CB50" s="670">
        <v>12.060953090903</v>
      </c>
      <c r="CC50" s="738">
        <v>10.432918866032299</v>
      </c>
      <c r="CD50" s="737">
        <f t="shared" si="23"/>
        <v>0</v>
      </c>
      <c r="CE50" s="670">
        <v>5.4005266591104304</v>
      </c>
      <c r="CF50" s="670">
        <v>6.0121299580673702</v>
      </c>
      <c r="CG50" s="670">
        <v>9.2814803373105494</v>
      </c>
      <c r="CH50" s="670">
        <v>7.9211118503344</v>
      </c>
      <c r="CI50" s="738">
        <v>10.098826534220001</v>
      </c>
    </row>
    <row r="51" spans="1:87" ht="14.25" customHeight="1">
      <c r="A51" s="9"/>
      <c r="B51" s="9"/>
      <c r="C51" s="736" t="s">
        <v>788</v>
      </c>
      <c r="D51" s="736"/>
      <c r="E51" s="736"/>
      <c r="F51" s="736"/>
      <c r="G51" s="736"/>
      <c r="H51" s="736"/>
      <c r="I51" s="64">
        <f>IF(I50=4,1,I50+1)</f>
        <v>3</v>
      </c>
      <c r="J51" s="3">
        <f t="shared" si="20"/>
        <v>2017</v>
      </c>
      <c r="K51" s="258" t="str">
        <f t="shared" si="11"/>
        <v>3Q17</v>
      </c>
      <c r="L51" s="737"/>
      <c r="M51" s="670"/>
      <c r="N51" s="670">
        <v>9.0075644221973405</v>
      </c>
      <c r="O51" s="670">
        <v>12.357282549789099</v>
      </c>
      <c r="P51" s="670"/>
      <c r="Q51" s="738">
        <v>20.544372294372302</v>
      </c>
      <c r="R51" s="737">
        <v>20.698447893569799</v>
      </c>
      <c r="S51" s="670"/>
      <c r="T51" s="670">
        <v>10.157952069716799</v>
      </c>
      <c r="U51" s="670">
        <v>8.3806818181818201</v>
      </c>
      <c r="V51" s="670"/>
      <c r="W51" s="738">
        <v>13.067391753287</v>
      </c>
      <c r="X51" s="737"/>
      <c r="Y51" s="670"/>
      <c r="Z51" s="670">
        <v>37.717742654124002</v>
      </c>
      <c r="AA51" s="670">
        <v>6.5756688528307699</v>
      </c>
      <c r="AB51" s="670"/>
      <c r="AC51" s="738">
        <v>15.6404384209628</v>
      </c>
      <c r="AD51" s="670">
        <v>11.7803331929719</v>
      </c>
      <c r="AE51" s="670"/>
      <c r="AF51" s="670">
        <v>21.148019506366602</v>
      </c>
      <c r="AG51" s="670">
        <v>11.5106824504961</v>
      </c>
      <c r="AH51" s="670"/>
      <c r="AI51" s="738">
        <v>6.5848954101831501</v>
      </c>
      <c r="AJ51" s="9"/>
      <c r="AK51" s="258" t="str">
        <f t="shared" si="12"/>
        <v>3Q17</v>
      </c>
      <c r="AL51" s="737">
        <f t="shared" si="13"/>
        <v>0</v>
      </c>
      <c r="AM51" s="670">
        <v>10.939313538814</v>
      </c>
      <c r="AN51" s="670">
        <v>8.6596550540837605</v>
      </c>
      <c r="AO51" s="670">
        <v>10.0778388743355</v>
      </c>
      <c r="AP51" s="670">
        <v>10.943077827921501</v>
      </c>
      <c r="AQ51" s="738">
        <v>11.533681842924199</v>
      </c>
      <c r="AR51" s="737">
        <f t="shared" si="14"/>
        <v>20.698447893569799</v>
      </c>
      <c r="AS51" s="670">
        <v>10.9842894548917</v>
      </c>
      <c r="AT51" s="670">
        <v>9.1373715521903698</v>
      </c>
      <c r="AU51" s="670">
        <v>10.4030363274896</v>
      </c>
      <c r="AV51" s="670">
        <v>9.9056199056199006</v>
      </c>
      <c r="AW51" s="738">
        <v>8.4861460957178796</v>
      </c>
      <c r="AX51" s="737">
        <f t="shared" si="15"/>
        <v>0</v>
      </c>
      <c r="AY51" s="670">
        <v>6.3212617783667797</v>
      </c>
      <c r="AZ51" s="670">
        <v>4.5769500874110598</v>
      </c>
      <c r="BA51" s="670">
        <v>5.7602046379062797</v>
      </c>
      <c r="BB51" s="670">
        <v>17.2533686233174</v>
      </c>
      <c r="BC51" s="738">
        <v>4.8420267576111904</v>
      </c>
      <c r="BD51" s="737">
        <f t="shared" si="22"/>
        <v>11.7803331929719</v>
      </c>
      <c r="BE51" s="670">
        <v>6.78215566248927</v>
      </c>
      <c r="BF51" s="670">
        <v>5.09924907976123</v>
      </c>
      <c r="BG51" s="670">
        <v>6.1027920648129204</v>
      </c>
      <c r="BH51" s="670">
        <v>5.6231538759320303</v>
      </c>
      <c r="BI51" s="738">
        <v>4.4171100759988402</v>
      </c>
      <c r="BJ51" s="9"/>
      <c r="BK51" s="258" t="str">
        <f t="shared" si="16"/>
        <v>3Q17</v>
      </c>
      <c r="BL51" s="737">
        <f t="shared" si="17"/>
        <v>0</v>
      </c>
      <c r="BM51" s="670">
        <v>10.410691881697</v>
      </c>
      <c r="BN51" s="670">
        <v>11.1961858862244</v>
      </c>
      <c r="BO51" s="670">
        <v>14.1480637413155</v>
      </c>
      <c r="BP51" s="670">
        <v>14.881808397399199</v>
      </c>
      <c r="BQ51" s="738">
        <v>15.085911145988399</v>
      </c>
      <c r="BR51" s="737">
        <f t="shared" si="18"/>
        <v>20.698447893569799</v>
      </c>
      <c r="BS51" s="670">
        <v>9.8405996046562692</v>
      </c>
      <c r="BT51" s="670">
        <v>10.3459834789896</v>
      </c>
      <c r="BU51" s="670">
        <v>13.4242627318696</v>
      </c>
      <c r="BV51" s="670">
        <v>13.4783838217687</v>
      </c>
      <c r="BW51" s="738">
        <v>15.403831705484601</v>
      </c>
      <c r="BX51" s="737">
        <f t="shared" si="19"/>
        <v>0</v>
      </c>
      <c r="BY51" s="670">
        <v>5.7814877370529096</v>
      </c>
      <c r="BZ51" s="670">
        <v>4.7203507561979903</v>
      </c>
      <c r="CA51" s="670">
        <v>9.1583822684634502</v>
      </c>
      <c r="CB51" s="670">
        <v>9.0303024554116096</v>
      </c>
      <c r="CC51" s="738">
        <v>10.3128599049214</v>
      </c>
      <c r="CD51" s="737">
        <f t="shared" si="23"/>
        <v>11.7803331929719</v>
      </c>
      <c r="CE51" s="670">
        <v>5.9061216351418304</v>
      </c>
      <c r="CF51" s="670">
        <v>5.2990035348640001</v>
      </c>
      <c r="CG51" s="670">
        <v>7.8207329634217704</v>
      </c>
      <c r="CH51" s="670">
        <v>7.5038676076876598</v>
      </c>
      <c r="CI51" s="738">
        <v>8.6161712792805591</v>
      </c>
    </row>
    <row r="52" spans="1:87" ht="14.25" customHeight="1">
      <c r="A52" s="9"/>
      <c r="B52" s="9"/>
      <c r="C52" s="64"/>
      <c r="D52" s="9"/>
      <c r="E52" s="64" t="s">
        <v>784</v>
      </c>
      <c r="F52" s="64" t="s">
        <v>785</v>
      </c>
      <c r="G52" s="64" t="s">
        <v>786</v>
      </c>
      <c r="H52" s="64" t="s">
        <v>787</v>
      </c>
      <c r="I52" s="64">
        <f>I48</f>
        <v>4</v>
      </c>
      <c r="J52" s="3">
        <f t="shared" si="20"/>
        <v>2017</v>
      </c>
      <c r="K52" s="258" t="str">
        <f t="shared" si="11"/>
        <v>4Q17</v>
      </c>
      <c r="L52" s="737"/>
      <c r="M52" s="670"/>
      <c r="N52" s="670">
        <v>11.343044870249701</v>
      </c>
      <c r="O52" s="670">
        <v>7.8285860992343403</v>
      </c>
      <c r="P52" s="670"/>
      <c r="Q52" s="738">
        <v>23.5285405495625</v>
      </c>
      <c r="R52" s="737">
        <v>21.0632183908046</v>
      </c>
      <c r="S52" s="670"/>
      <c r="T52" s="670">
        <v>11.0071546505228</v>
      </c>
      <c r="U52" s="670">
        <v>7.9707622694048004</v>
      </c>
      <c r="V52" s="670"/>
      <c r="W52" s="738">
        <v>14.2051353034812</v>
      </c>
      <c r="X52" s="737"/>
      <c r="Y52" s="670"/>
      <c r="Z52" s="670">
        <v>34.633235543671098</v>
      </c>
      <c r="AA52" s="670">
        <v>5.59138270104605</v>
      </c>
      <c r="AB52" s="670"/>
      <c r="AC52" s="738">
        <v>15.8410435374243</v>
      </c>
      <c r="AD52" s="670">
        <v>12.1625914140044</v>
      </c>
      <c r="AE52" s="670"/>
      <c r="AF52" s="670">
        <v>23.451411186071802</v>
      </c>
      <c r="AG52" s="670">
        <v>10.4544258038925</v>
      </c>
      <c r="AH52" s="670"/>
      <c r="AI52" s="738">
        <v>6.0007394220058501</v>
      </c>
      <c r="AJ52" s="9"/>
      <c r="AK52" s="258" t="str">
        <f t="shared" si="12"/>
        <v>4Q17</v>
      </c>
      <c r="AL52" s="737">
        <f t="shared" si="13"/>
        <v>0</v>
      </c>
      <c r="AM52" s="670">
        <v>10.9747005408781</v>
      </c>
      <c r="AN52" s="670">
        <v>8.9090610294175505</v>
      </c>
      <c r="AO52" s="670">
        <v>9.9958445579010906</v>
      </c>
      <c r="AP52" s="670">
        <v>11.0516739030497</v>
      </c>
      <c r="AQ52" s="738">
        <v>13.498755567423601</v>
      </c>
      <c r="AR52" s="737">
        <f t="shared" si="14"/>
        <v>21.0632183908046</v>
      </c>
      <c r="AS52" s="670">
        <v>10.7964205816555</v>
      </c>
      <c r="AT52" s="670">
        <v>9.9545906059315996</v>
      </c>
      <c r="AU52" s="670">
        <v>11.0217472815898</v>
      </c>
      <c r="AV52" s="670">
        <v>10.410453270338101</v>
      </c>
      <c r="AW52" s="738">
        <v>9.4330143540669908</v>
      </c>
      <c r="AX52" s="737">
        <f t="shared" si="15"/>
        <v>0</v>
      </c>
      <c r="AY52" s="670">
        <v>6.2522265132100596</v>
      </c>
      <c r="AZ52" s="670">
        <v>4.8395278735310798</v>
      </c>
      <c r="BA52" s="670">
        <v>5.8358753185715804</v>
      </c>
      <c r="BB52" s="670">
        <v>17.595878849189798</v>
      </c>
      <c r="BC52" s="738">
        <v>5.6852747232923804</v>
      </c>
      <c r="BD52" s="737">
        <f t="shared" si="22"/>
        <v>12.1625914140044</v>
      </c>
      <c r="BE52" s="670">
        <v>6.4006594115313096</v>
      </c>
      <c r="BF52" s="670">
        <v>5.3891891710549098</v>
      </c>
      <c r="BG52" s="670">
        <v>6.3709681153098501</v>
      </c>
      <c r="BH52" s="670">
        <v>6.0659536779070899</v>
      </c>
      <c r="BI52" s="738">
        <v>5.2266664649215997</v>
      </c>
      <c r="BJ52" s="9"/>
      <c r="BK52" s="258" t="str">
        <f t="shared" si="16"/>
        <v>4Q17</v>
      </c>
      <c r="BL52" s="737">
        <f t="shared" si="17"/>
        <v>0</v>
      </c>
      <c r="BM52" s="670">
        <v>11.397949234108101</v>
      </c>
      <c r="BN52" s="670">
        <v>10.6559916715208</v>
      </c>
      <c r="BO52" s="670">
        <v>16.3110862969049</v>
      </c>
      <c r="BP52" s="670">
        <v>16.9422737201693</v>
      </c>
      <c r="BQ52" s="738">
        <v>16.594655252830901</v>
      </c>
      <c r="BR52" s="737">
        <f t="shared" si="18"/>
        <v>21.0632183908046</v>
      </c>
      <c r="BS52" s="670">
        <v>10.861745972274299</v>
      </c>
      <c r="BT52" s="670">
        <v>10.012810061721201</v>
      </c>
      <c r="BU52" s="670">
        <v>13.252315067382201</v>
      </c>
      <c r="BV52" s="670">
        <v>14.4974502069346</v>
      </c>
      <c r="BW52" s="738">
        <v>15.2838213643056</v>
      </c>
      <c r="BX52" s="737">
        <f t="shared" si="19"/>
        <v>0</v>
      </c>
      <c r="BY52" s="670">
        <v>6.1782432602623603</v>
      </c>
      <c r="BZ52" s="670">
        <v>5.3687123589161496</v>
      </c>
      <c r="CA52" s="670">
        <v>9.7439555047569293</v>
      </c>
      <c r="CB52" s="670">
        <v>10.559128703337301</v>
      </c>
      <c r="CC52" s="738">
        <v>10.940341244788</v>
      </c>
      <c r="CD52" s="737">
        <f t="shared" si="23"/>
        <v>12.1625914140044</v>
      </c>
      <c r="CE52" s="670">
        <v>6.05796027145949</v>
      </c>
      <c r="CF52" s="670">
        <v>6.0386841822049799</v>
      </c>
      <c r="CG52" s="670">
        <v>7.7790305096280203</v>
      </c>
      <c r="CH52" s="670">
        <v>9.0216648635803995</v>
      </c>
      <c r="CI52" s="738">
        <v>9.7673827715197099</v>
      </c>
    </row>
    <row r="53" spans="1:87" ht="14.25" customHeight="1">
      <c r="A53" s="9"/>
      <c r="B53" s="9"/>
      <c r="C53" s="9" t="s">
        <v>758</v>
      </c>
      <c r="D53" s="9"/>
      <c r="E53" s="618">
        <f>AVERAGE(AM81:AQ86)</f>
        <v>16.2811317957635</v>
      </c>
      <c r="F53" s="618">
        <f>AVERAGE(AS81:AW86)</f>
        <v>16.207046180263625</v>
      </c>
      <c r="G53" s="618">
        <f>AVERAGE(AY81:BC86)</f>
        <v>12.026952580590283</v>
      </c>
      <c r="H53" s="618">
        <f>AVERAGE(BE81:BI86)</f>
        <v>12.189450395723325</v>
      </c>
      <c r="I53" s="64">
        <f>IF(I52=4,1,I52+1)</f>
        <v>1</v>
      </c>
      <c r="J53" s="3">
        <f t="shared" si="20"/>
        <v>2018</v>
      </c>
      <c r="K53" s="258" t="str">
        <f t="shared" si="11"/>
        <v>1Q18</v>
      </c>
      <c r="L53" s="737"/>
      <c r="M53" s="670"/>
      <c r="N53" s="670">
        <v>23.403324584426901</v>
      </c>
      <c r="O53" s="670">
        <v>9.2630073665855797</v>
      </c>
      <c r="P53" s="670"/>
      <c r="Q53" s="738">
        <v>20.246815062143799</v>
      </c>
      <c r="R53" s="737">
        <v>24.8611111111111</v>
      </c>
      <c r="S53" s="670"/>
      <c r="T53" s="670">
        <v>12.0972300734878</v>
      </c>
      <c r="U53" s="670">
        <v>8.3300819352321493</v>
      </c>
      <c r="V53" s="670"/>
      <c r="W53" s="738">
        <v>10.775876769169599</v>
      </c>
      <c r="X53" s="737"/>
      <c r="Y53" s="670"/>
      <c r="Z53" s="670">
        <v>18.561025230709198</v>
      </c>
      <c r="AA53" s="670">
        <v>6.6783491604868601</v>
      </c>
      <c r="AB53" s="670"/>
      <c r="AC53" s="738">
        <v>14.5093096527421</v>
      </c>
      <c r="AD53" s="670">
        <v>14.7421960626546</v>
      </c>
      <c r="AE53" s="670"/>
      <c r="AF53" s="670">
        <v>23.547463477481301</v>
      </c>
      <c r="AG53" s="670">
        <v>10.737579208102201</v>
      </c>
      <c r="AH53" s="670"/>
      <c r="AI53" s="738">
        <v>5.8980916692743399</v>
      </c>
      <c r="AJ53" s="9"/>
      <c r="AK53" s="258" t="str">
        <f t="shared" si="12"/>
        <v>1Q18</v>
      </c>
      <c r="AL53" s="737">
        <f t="shared" si="13"/>
        <v>0</v>
      </c>
      <c r="AM53" s="670">
        <v>11.9782130374776</v>
      </c>
      <c r="AN53" s="670">
        <v>10.1920161063397</v>
      </c>
      <c r="AO53" s="670">
        <v>11.0652994919033</v>
      </c>
      <c r="AP53" s="670">
        <v>12.1382016308239</v>
      </c>
      <c r="AQ53" s="738">
        <v>13.1569455274973</v>
      </c>
      <c r="AR53" s="737">
        <f t="shared" si="14"/>
        <v>24.8611111111111</v>
      </c>
      <c r="AS53" s="670">
        <v>12.041745309204</v>
      </c>
      <c r="AT53" s="670">
        <v>11.5031953320367</v>
      </c>
      <c r="AU53" s="670">
        <v>12.081125525306</v>
      </c>
      <c r="AV53" s="670">
        <v>11.602725522144899</v>
      </c>
      <c r="AW53" s="738">
        <v>9.0543735224586293</v>
      </c>
      <c r="AX53" s="737">
        <f t="shared" si="15"/>
        <v>0</v>
      </c>
      <c r="AY53" s="670">
        <v>6.7806384916956501</v>
      </c>
      <c r="AZ53" s="670">
        <v>5.6668475002618903</v>
      </c>
      <c r="BA53" s="670">
        <v>6.6173009488541998</v>
      </c>
      <c r="BB53" s="670">
        <v>19.9828410370048</v>
      </c>
      <c r="BC53" s="738">
        <v>6.5182717307446802</v>
      </c>
      <c r="BD53" s="737">
        <f t="shared" si="22"/>
        <v>14.7421960626546</v>
      </c>
      <c r="BE53" s="670">
        <v>7.0939731276136504</v>
      </c>
      <c r="BF53" s="670">
        <v>6.3386203367406901</v>
      </c>
      <c r="BG53" s="670">
        <v>7.2843249653187199</v>
      </c>
      <c r="BH53" s="670">
        <v>6.6810589837152801</v>
      </c>
      <c r="BI53" s="738">
        <v>5.7374152984278499</v>
      </c>
      <c r="BJ53" s="9"/>
      <c r="BK53" s="258" t="str">
        <f t="shared" si="16"/>
        <v>1Q18</v>
      </c>
      <c r="BL53" s="737">
        <f t="shared" si="17"/>
        <v>0</v>
      </c>
      <c r="BM53" s="670">
        <v>12.7998713961279</v>
      </c>
      <c r="BN53" s="670">
        <v>9.88599170185066</v>
      </c>
      <c r="BO53" s="670">
        <v>16.8796644924156</v>
      </c>
      <c r="BP53" s="670">
        <v>17.154354094817101</v>
      </c>
      <c r="BQ53" s="738">
        <v>16.296834549429501</v>
      </c>
      <c r="BR53" s="737">
        <f t="shared" si="18"/>
        <v>24.8611111111111</v>
      </c>
      <c r="BS53" s="670">
        <v>12.059941520467801</v>
      </c>
      <c r="BT53" s="670">
        <v>9.5431054733380307</v>
      </c>
      <c r="BU53" s="670">
        <v>13.428566244578301</v>
      </c>
      <c r="BV53" s="670">
        <v>15.258964312591599</v>
      </c>
      <c r="BW53" s="738">
        <v>15.211129296235701</v>
      </c>
      <c r="BX53" s="737">
        <f t="shared" si="19"/>
        <v>0</v>
      </c>
      <c r="BY53" s="670">
        <v>8.31815669163724</v>
      </c>
      <c r="BZ53" s="670">
        <v>4.3612406942406299</v>
      </c>
      <c r="CA53" s="670">
        <v>9.9897928444639295</v>
      </c>
      <c r="CB53" s="670">
        <v>10.904739652265199</v>
      </c>
      <c r="CC53" s="738">
        <v>10.2848031066489</v>
      </c>
      <c r="CD53" s="737">
        <f t="shared" si="23"/>
        <v>14.7421960626546</v>
      </c>
      <c r="CE53" s="670">
        <v>8.6052754409505301</v>
      </c>
      <c r="CF53" s="670">
        <v>5.3071131009190902</v>
      </c>
      <c r="CG53" s="670">
        <v>8.22929198083086</v>
      </c>
      <c r="CH53" s="670">
        <v>9.5034929444433693</v>
      </c>
      <c r="CI53" s="738">
        <v>9.4614600438574801</v>
      </c>
    </row>
    <row r="54" spans="1:87" ht="14.25" customHeight="1">
      <c r="A54" s="9"/>
      <c r="B54" s="9"/>
      <c r="C54" s="9" t="s">
        <v>760</v>
      </c>
      <c r="D54" s="9"/>
      <c r="E54" s="618">
        <f>AVERAGE(AM77:AQ86)</f>
        <v>16.167189775700525</v>
      </c>
      <c r="F54" s="618">
        <f>AVERAGE(AS77:AW86)</f>
        <v>16.123041845273583</v>
      </c>
      <c r="G54" s="618">
        <f>AVERAGE(AY77:BC86)</f>
        <v>11.956183028879179</v>
      </c>
      <c r="H54" s="618">
        <f>AVERAGE(BE77:BI86)</f>
        <v>12.126972274067899</v>
      </c>
      <c r="I54" s="64">
        <f>IF(I53+1=5,1,I53+1)</f>
        <v>2</v>
      </c>
      <c r="J54" s="3">
        <f t="shared" si="20"/>
        <v>2018</v>
      </c>
      <c r="K54" s="258" t="str">
        <f t="shared" si="11"/>
        <v>2Q18</v>
      </c>
      <c r="L54" s="737">
        <v>31.768630295370201</v>
      </c>
      <c r="M54" s="670"/>
      <c r="N54" s="670">
        <v>22.911198600174998</v>
      </c>
      <c r="O54" s="670">
        <v>9.4407151895788708</v>
      </c>
      <c r="P54" s="670"/>
      <c r="Q54" s="738">
        <v>15.980096841515101</v>
      </c>
      <c r="R54" s="737">
        <v>30.8813263525305</v>
      </c>
      <c r="S54" s="670"/>
      <c r="T54" s="670">
        <v>12.4924562462281</v>
      </c>
      <c r="U54" s="670">
        <v>9.1929218817436293</v>
      </c>
      <c r="V54" s="670"/>
      <c r="W54" s="738">
        <v>9.1247775118148908</v>
      </c>
      <c r="X54" s="737">
        <v>15.2472649876368</v>
      </c>
      <c r="Y54" s="670"/>
      <c r="Z54" s="670">
        <v>22.865247994439599</v>
      </c>
      <c r="AA54" s="670">
        <v>6.9929140903188198</v>
      </c>
      <c r="AB54" s="670"/>
      <c r="AC54" s="738">
        <v>11.822845913110299</v>
      </c>
      <c r="AD54" s="670">
        <v>18.939602967457098</v>
      </c>
      <c r="AE54" s="670"/>
      <c r="AF54" s="670">
        <v>28.445877762376199</v>
      </c>
      <c r="AG54" s="670">
        <v>12.475378130653899</v>
      </c>
      <c r="AH54" s="670"/>
      <c r="AI54" s="738">
        <v>6.2634160700678896</v>
      </c>
      <c r="AJ54" s="9"/>
      <c r="AK54" s="258" t="str">
        <f t="shared" si="12"/>
        <v>2Q18</v>
      </c>
      <c r="AL54" s="737">
        <f t="shared" si="13"/>
        <v>31.768630295370201</v>
      </c>
      <c r="AM54" s="670">
        <v>13.61392571717</v>
      </c>
      <c r="AN54" s="670">
        <v>11.2813752145605</v>
      </c>
      <c r="AO54" s="670">
        <v>12.858861853077601</v>
      </c>
      <c r="AP54" s="670">
        <v>13.2005714616677</v>
      </c>
      <c r="AQ54" s="738">
        <v>15.609702474398899</v>
      </c>
      <c r="AR54" s="737">
        <f t="shared" si="14"/>
        <v>30.8813263525305</v>
      </c>
      <c r="AS54" s="670">
        <v>13.3532244556114</v>
      </c>
      <c r="AT54" s="670">
        <v>12.3698221010258</v>
      </c>
      <c r="AU54" s="670">
        <v>13.561499208164699</v>
      </c>
      <c r="AV54" s="670">
        <v>12.572906191639101</v>
      </c>
      <c r="AW54" s="738">
        <v>10.616822429906501</v>
      </c>
      <c r="AX54" s="737">
        <f t="shared" si="15"/>
        <v>15.2472649876368</v>
      </c>
      <c r="AY54" s="670">
        <v>7.7770805792906197</v>
      </c>
      <c r="AZ54" s="670">
        <v>6.2543088314255302</v>
      </c>
      <c r="BA54" s="670">
        <v>7.5394697268294202</v>
      </c>
      <c r="BB54" s="670">
        <v>21.457728598780601</v>
      </c>
      <c r="BC54" s="738">
        <v>7.6117751832051903</v>
      </c>
      <c r="BD54" s="737">
        <f t="shared" si="22"/>
        <v>18.939602967457098</v>
      </c>
      <c r="BE54" s="670">
        <v>7.8494887814227701</v>
      </c>
      <c r="BF54" s="670">
        <v>6.6309938124452001</v>
      </c>
      <c r="BG54" s="670">
        <v>7.9693008206548201</v>
      </c>
      <c r="BH54" s="670">
        <v>7.1844435802312399</v>
      </c>
      <c r="BI54" s="738">
        <v>6.6235016333890897</v>
      </c>
      <c r="BJ54" s="9"/>
      <c r="BK54" s="258" t="str">
        <f t="shared" si="16"/>
        <v>2Q18</v>
      </c>
      <c r="BL54" s="737">
        <f t="shared" si="17"/>
        <v>31.768630295370201</v>
      </c>
      <c r="BM54" s="670">
        <v>14.9862401518031</v>
      </c>
      <c r="BN54" s="670">
        <v>9.1330031881912603</v>
      </c>
      <c r="BO54" s="670">
        <v>17.601504697710901</v>
      </c>
      <c r="BP54" s="670">
        <v>17.716476072070002</v>
      </c>
      <c r="BQ54" s="738">
        <v>18.2145269890738</v>
      </c>
      <c r="BR54" s="737">
        <f t="shared" si="18"/>
        <v>30.8813263525305</v>
      </c>
      <c r="BS54" s="670">
        <v>13.265468426912699</v>
      </c>
      <c r="BT54" s="670">
        <v>9.1841570751523296</v>
      </c>
      <c r="BU54" s="670">
        <v>13.8673284698068</v>
      </c>
      <c r="BV54" s="670">
        <v>15.9802470919811</v>
      </c>
      <c r="BW54" s="738">
        <v>17.520311992200199</v>
      </c>
      <c r="BX54" s="737">
        <f t="shared" si="19"/>
        <v>15.2472649876368</v>
      </c>
      <c r="BY54" s="670">
        <v>7.2208145104475596</v>
      </c>
      <c r="BZ54" s="670">
        <v>4.0539397398064798</v>
      </c>
      <c r="CA54" s="670">
        <v>10.600398887944101</v>
      </c>
      <c r="CB54" s="670">
        <v>11.019232208217501</v>
      </c>
      <c r="CC54" s="738">
        <v>11.200809889294501</v>
      </c>
      <c r="CD54" s="737">
        <f t="shared" si="23"/>
        <v>18.939602967457098</v>
      </c>
      <c r="CE54" s="670">
        <v>6.9112131795103</v>
      </c>
      <c r="CF54" s="670">
        <v>4.8679646795903597</v>
      </c>
      <c r="CG54" s="670">
        <v>9.2467997269908206</v>
      </c>
      <c r="CH54" s="670">
        <v>10.154798257915299</v>
      </c>
      <c r="CI54" s="738">
        <v>10.8621545004283</v>
      </c>
    </row>
    <row r="55" spans="1:87" ht="14.25" customHeight="1">
      <c r="A55" s="9"/>
      <c r="B55" s="9"/>
      <c r="C55" s="9" t="s">
        <v>755</v>
      </c>
      <c r="D55" s="9"/>
      <c r="E55" s="618">
        <f>AVERAGE(AM73:AQ86)</f>
        <v>16.693825092020955</v>
      </c>
      <c r="F55" s="618">
        <f>AVERAGE(AS73:AW86)</f>
        <v>16.078511393647254</v>
      </c>
      <c r="G55" s="618">
        <f>AVERAGE(AY73:BC86)</f>
        <v>11.965668501832177</v>
      </c>
      <c r="H55" s="618">
        <f>AVERAGE(BE73:BI86)</f>
        <v>11.894008260500881</v>
      </c>
      <c r="I55" s="64">
        <f>IF(I54=4,1,I54+1)</f>
        <v>3</v>
      </c>
      <c r="J55" s="3">
        <f t="shared" si="20"/>
        <v>2018</v>
      </c>
      <c r="K55" s="258" t="str">
        <f t="shared" si="11"/>
        <v>3Q18</v>
      </c>
      <c r="L55" s="737">
        <v>38.7617076390653</v>
      </c>
      <c r="M55" s="670"/>
      <c r="N55" s="670"/>
      <c r="O55" s="670">
        <v>10.2625623092267</v>
      </c>
      <c r="P55" s="670"/>
      <c r="Q55" s="738">
        <v>14.5084898860799</v>
      </c>
      <c r="R55" s="737">
        <v>25.8541666666667</v>
      </c>
      <c r="S55" s="670"/>
      <c r="T55" s="670">
        <v>15.1931892599869</v>
      </c>
      <c r="U55" s="670">
        <v>9.0019960079840295</v>
      </c>
      <c r="V55" s="670"/>
      <c r="W55" s="738">
        <v>8.8537754176920096</v>
      </c>
      <c r="X55" s="737">
        <v>19.227874919972798</v>
      </c>
      <c r="Y55" s="670"/>
      <c r="Z55" s="670">
        <v>23.677682912205</v>
      </c>
      <c r="AA55" s="670">
        <v>8.2151875919606194</v>
      </c>
      <c r="AB55" s="670"/>
      <c r="AC55" s="738">
        <v>11.0218045813158</v>
      </c>
      <c r="AD55" s="670">
        <v>17.417586387517101</v>
      </c>
      <c r="AE55" s="670"/>
      <c r="AF55" s="670">
        <v>32.129521123114401</v>
      </c>
      <c r="AG55" s="670">
        <v>12.6945783460455</v>
      </c>
      <c r="AH55" s="670"/>
      <c r="AI55" s="738">
        <v>6.6840318223341999</v>
      </c>
      <c r="AJ55" s="9"/>
      <c r="AK55" s="258" t="str">
        <f t="shared" si="12"/>
        <v>3Q18</v>
      </c>
      <c r="AL55" s="737">
        <f t="shared" si="13"/>
        <v>38.7617076390653</v>
      </c>
      <c r="AM55" s="670">
        <v>14.899093867297999</v>
      </c>
      <c r="AN55" s="670">
        <v>13.4652467749377</v>
      </c>
      <c r="AO55" s="670">
        <v>14.8842735424243</v>
      </c>
      <c r="AP55" s="670">
        <v>13.457771119862601</v>
      </c>
      <c r="AQ55" s="738">
        <v>83.653846153846104</v>
      </c>
      <c r="AR55" s="737">
        <f t="shared" si="14"/>
        <v>25.8541666666667</v>
      </c>
      <c r="AS55" s="670">
        <v>15.3669629935911</v>
      </c>
      <c r="AT55" s="670">
        <v>14.1145320197044</v>
      </c>
      <c r="AU55" s="670">
        <v>15.565471082889999</v>
      </c>
      <c r="AV55" s="670">
        <v>13.595617529880499</v>
      </c>
      <c r="AW55" s="738">
        <v>10.0694444444444</v>
      </c>
      <c r="AX55" s="737">
        <f t="shared" si="15"/>
        <v>19.227874919972798</v>
      </c>
      <c r="AY55" s="670">
        <v>9.3088036269655703</v>
      </c>
      <c r="AZ55" s="670">
        <v>7.2477448823505997</v>
      </c>
      <c r="BA55" s="670">
        <v>8.7422728427725698</v>
      </c>
      <c r="BB55" s="670">
        <v>7.6902364817677302</v>
      </c>
      <c r="BC55" s="738">
        <v>6.9857466980330596</v>
      </c>
      <c r="BD55" s="737">
        <f t="shared" si="22"/>
        <v>17.417586387517101</v>
      </c>
      <c r="BE55" s="670">
        <v>8.4763377880131205</v>
      </c>
      <c r="BF55" s="670">
        <v>7.4726684860347303</v>
      </c>
      <c r="BG55" s="670">
        <v>8.5401097886188708</v>
      </c>
      <c r="BH55" s="670">
        <v>7.4476937680323898</v>
      </c>
      <c r="BI55" s="738">
        <v>6.37364243076596</v>
      </c>
      <c r="BJ55" s="9"/>
      <c r="BK55" s="258" t="str">
        <f t="shared" si="16"/>
        <v>3Q18</v>
      </c>
      <c r="BL55" s="737">
        <f t="shared" si="17"/>
        <v>38.7617076390653</v>
      </c>
      <c r="BM55" s="670">
        <v>16.2012154925796</v>
      </c>
      <c r="BN55" s="670">
        <v>9.7899129487758092</v>
      </c>
      <c r="BO55" s="670">
        <v>20.0747118434189</v>
      </c>
      <c r="BP55" s="670">
        <v>16.408602409626901</v>
      </c>
      <c r="BQ55" s="738">
        <v>18.1950160365563</v>
      </c>
      <c r="BR55" s="737">
        <f t="shared" si="18"/>
        <v>25.8541666666667</v>
      </c>
      <c r="BS55" s="670">
        <v>16.6014625228519</v>
      </c>
      <c r="BT55" s="670">
        <v>10.950839328537199</v>
      </c>
      <c r="BU55" s="670">
        <v>16.459301613927899</v>
      </c>
      <c r="BV55" s="670">
        <v>17.586830299998802</v>
      </c>
      <c r="BW55" s="738">
        <v>18.504065040650399</v>
      </c>
      <c r="BX55" s="737">
        <f t="shared" si="19"/>
        <v>19.227874919972798</v>
      </c>
      <c r="BY55" s="670">
        <v>7.1178990247401401</v>
      </c>
      <c r="BZ55" s="670">
        <v>4.2890281594581401</v>
      </c>
      <c r="CA55" s="670">
        <v>15.144914733762</v>
      </c>
      <c r="CB55" s="670">
        <v>11.4352152994917</v>
      </c>
      <c r="CC55" s="738">
        <v>11.102597606948899</v>
      </c>
      <c r="CD55" s="737">
        <f t="shared" si="23"/>
        <v>17.417586387517101</v>
      </c>
      <c r="CE55" s="670">
        <v>7.5133221977130003</v>
      </c>
      <c r="CF55" s="670">
        <v>5.6327910831685397</v>
      </c>
      <c r="CG55" s="670">
        <v>9.1631024619332102</v>
      </c>
      <c r="CH55" s="670">
        <v>9.4597631359393599</v>
      </c>
      <c r="CI55" s="738">
        <v>10.199800616474</v>
      </c>
    </row>
    <row r="56" spans="1:87" ht="14.25" customHeight="1">
      <c r="A56" s="9"/>
      <c r="B56" s="9"/>
      <c r="C56" s="9" t="s">
        <v>761</v>
      </c>
      <c r="D56" s="9"/>
      <c r="E56" s="618">
        <f>AVERAGE(AM65:AQ86)</f>
        <v>18.270614828253066</v>
      </c>
      <c r="F56" s="618">
        <f>AVERAGE(AS65:AW86)</f>
        <v>17.344062816540788</v>
      </c>
      <c r="G56" s="618">
        <f>AVERAGE(AY65:BC86)</f>
        <v>12.110641773518143</v>
      </c>
      <c r="H56" s="618">
        <f>AVERAGE(BE65:BI86)</f>
        <v>11.961096449914985</v>
      </c>
      <c r="I56" s="64">
        <f>I52</f>
        <v>4</v>
      </c>
      <c r="J56" s="3">
        <f t="shared" si="20"/>
        <v>2018</v>
      </c>
      <c r="K56" s="258" t="str">
        <f t="shared" si="11"/>
        <v>4Q18</v>
      </c>
      <c r="L56" s="737">
        <v>45.664665049634301</v>
      </c>
      <c r="M56" s="670"/>
      <c r="N56" s="670">
        <v>137.150086008069</v>
      </c>
      <c r="O56" s="670">
        <v>13.140330385449699</v>
      </c>
      <c r="P56" s="670"/>
      <c r="Q56" s="738">
        <v>22.1958997722096</v>
      </c>
      <c r="R56" s="737">
        <v>27.9871645274212</v>
      </c>
      <c r="S56" s="670"/>
      <c r="T56" s="670">
        <v>12.884057971014499</v>
      </c>
      <c r="U56" s="670">
        <v>8.1690871369294609</v>
      </c>
      <c r="V56" s="670"/>
      <c r="W56" s="738">
        <v>6.6029680829436899</v>
      </c>
      <c r="X56" s="737">
        <v>17.7779063999063</v>
      </c>
      <c r="Y56" s="670"/>
      <c r="Z56" s="670">
        <v>26.864794969392101</v>
      </c>
      <c r="AA56" s="670">
        <v>10.5208172263359</v>
      </c>
      <c r="AB56" s="670"/>
      <c r="AC56" s="738">
        <v>8.7494422597919908</v>
      </c>
      <c r="AD56" s="670">
        <v>20.6846682852456</v>
      </c>
      <c r="AE56" s="670"/>
      <c r="AF56" s="670">
        <v>24.884677584064701</v>
      </c>
      <c r="AG56" s="670">
        <v>8.7500740177486502</v>
      </c>
      <c r="AH56" s="670"/>
      <c r="AI56" s="738">
        <v>7.1204658017928599</v>
      </c>
      <c r="AJ56" s="9"/>
      <c r="AK56" s="258" t="str">
        <f t="shared" si="12"/>
        <v>4Q18</v>
      </c>
      <c r="AL56" s="737">
        <f t="shared" si="13"/>
        <v>45.664665049634301</v>
      </c>
      <c r="AM56" s="670">
        <v>15.606776538093101</v>
      </c>
      <c r="AN56" s="670">
        <v>13.893918837352199</v>
      </c>
      <c r="AO56" s="670">
        <v>15.856414938254799</v>
      </c>
      <c r="AP56" s="670">
        <v>15.035329296764299</v>
      </c>
      <c r="AQ56" s="738">
        <v>79.653846153846104</v>
      </c>
      <c r="AR56" s="737">
        <f t="shared" si="14"/>
        <v>27.9871645274212</v>
      </c>
      <c r="AS56" s="670">
        <v>15.385485391140399</v>
      </c>
      <c r="AT56" s="670">
        <v>13.9113767053783</v>
      </c>
      <c r="AU56" s="670">
        <v>14.2184801381693</v>
      </c>
      <c r="AV56" s="670">
        <v>15.102606766500299</v>
      </c>
      <c r="AW56" s="738">
        <v>10.5394402035623</v>
      </c>
      <c r="AX56" s="737">
        <f t="shared" si="15"/>
        <v>17.7779063999063</v>
      </c>
      <c r="AY56" s="670">
        <v>9.5231854188198195</v>
      </c>
      <c r="AZ56" s="670">
        <v>7.7728979535042297</v>
      </c>
      <c r="BA56" s="670">
        <v>9.0760232030326708</v>
      </c>
      <c r="BB56" s="670">
        <v>8.8211581325825801</v>
      </c>
      <c r="BC56" s="738">
        <v>6.5831371911597696</v>
      </c>
      <c r="BD56" s="737">
        <f t="shared" si="22"/>
        <v>20.6846682852456</v>
      </c>
      <c r="BE56" s="670">
        <v>8.7556190237559903</v>
      </c>
      <c r="BF56" s="670">
        <v>7.9119304202545404</v>
      </c>
      <c r="BG56" s="670">
        <v>8.4781336647996302</v>
      </c>
      <c r="BH56" s="670">
        <v>8.7691625251534209</v>
      </c>
      <c r="BI56" s="738">
        <v>6.3986023556328204</v>
      </c>
      <c r="BJ56" s="9"/>
      <c r="BK56" s="258" t="str">
        <f t="shared" si="16"/>
        <v>4Q18</v>
      </c>
      <c r="BL56" s="737">
        <f t="shared" si="17"/>
        <v>45.664665049634301</v>
      </c>
      <c r="BM56" s="670">
        <v>17.051631075941302</v>
      </c>
      <c r="BN56" s="670">
        <v>9.4996478957599901</v>
      </c>
      <c r="BO56" s="670">
        <v>18.027276007093</v>
      </c>
      <c r="BP56" s="670">
        <v>16.522340445452102</v>
      </c>
      <c r="BQ56" s="738">
        <v>18.345178251574499</v>
      </c>
      <c r="BR56" s="737">
        <f t="shared" si="18"/>
        <v>27.9871645274212</v>
      </c>
      <c r="BS56" s="670">
        <v>17.112106078870301</v>
      </c>
      <c r="BT56" s="670">
        <v>10.8172504169645</v>
      </c>
      <c r="BU56" s="670">
        <v>14.665173097230401</v>
      </c>
      <c r="BV56" s="670">
        <v>15.914173013362699</v>
      </c>
      <c r="BW56" s="738">
        <v>17.086867505118501</v>
      </c>
      <c r="BX56" s="737">
        <f t="shared" si="19"/>
        <v>17.7779063999063</v>
      </c>
      <c r="BY56" s="670">
        <v>7.6170450798860401</v>
      </c>
      <c r="BZ56" s="670">
        <v>4.9037833624295999</v>
      </c>
      <c r="CA56" s="670">
        <v>13.700333923274799</v>
      </c>
      <c r="CB56" s="670">
        <v>11.524812180155999</v>
      </c>
      <c r="CC56" s="738">
        <v>11.2269030250655</v>
      </c>
      <c r="CD56" s="737">
        <f t="shared" si="23"/>
        <v>20.6846682852456</v>
      </c>
      <c r="CE56" s="670">
        <v>8.3598022589928096</v>
      </c>
      <c r="CF56" s="670">
        <v>6.5698991592929596</v>
      </c>
      <c r="CG56" s="670">
        <v>9.6957042583094903</v>
      </c>
      <c r="CH56" s="670">
        <v>9.5916604776471708</v>
      </c>
      <c r="CI56" s="738">
        <v>10.1585096304399</v>
      </c>
    </row>
    <row r="57" spans="1:87" ht="14.25" customHeight="1">
      <c r="A57" s="9"/>
      <c r="B57" s="9"/>
      <c r="C57" s="736" t="s">
        <v>789</v>
      </c>
      <c r="D57" s="736"/>
      <c r="E57" s="736"/>
      <c r="F57" s="736"/>
      <c r="G57" s="736"/>
      <c r="H57" s="736"/>
      <c r="I57" s="64">
        <f>IF(I56=4,1,I56+1)</f>
        <v>1</v>
      </c>
      <c r="J57" s="3">
        <f t="shared" si="20"/>
        <v>2019</v>
      </c>
      <c r="K57" s="258" t="str">
        <f t="shared" si="11"/>
        <v>1Q19</v>
      </c>
      <c r="L57" s="737">
        <v>21.374844684817599</v>
      </c>
      <c r="M57" s="670"/>
      <c r="N57" s="670">
        <v>236.515749034474</v>
      </c>
      <c r="O57" s="670">
        <v>8.5873039435831107</v>
      </c>
      <c r="P57" s="670"/>
      <c r="Q57" s="738">
        <v>24.218678815489699</v>
      </c>
      <c r="R57" s="737">
        <v>25.8343057176196</v>
      </c>
      <c r="S57" s="670"/>
      <c r="T57" s="670">
        <v>14.878205128205099</v>
      </c>
      <c r="U57" s="670">
        <v>9.2556962025316505</v>
      </c>
      <c r="V57" s="670"/>
      <c r="W57" s="738">
        <v>7.5744289654196999</v>
      </c>
      <c r="X57" s="737">
        <v>15.7034544070086</v>
      </c>
      <c r="Y57" s="670"/>
      <c r="Z57" s="670">
        <v>23.9447809167381</v>
      </c>
      <c r="AA57" s="670">
        <v>7.6099011649662804</v>
      </c>
      <c r="AB57" s="670"/>
      <c r="AC57" s="738">
        <v>9.4557490109968398</v>
      </c>
      <c r="AD57" s="670">
        <v>19.9697351231579</v>
      </c>
      <c r="AE57" s="670"/>
      <c r="AF57" s="670">
        <v>29.483070376571401</v>
      </c>
      <c r="AG57" s="670">
        <v>13.273527294724101</v>
      </c>
      <c r="AH57" s="670"/>
      <c r="AI57" s="738">
        <v>7.9818528589797904</v>
      </c>
      <c r="AJ57" s="9"/>
      <c r="AK57" s="258" t="str">
        <f t="shared" si="12"/>
        <v>1Q19</v>
      </c>
      <c r="AL57" s="737">
        <f t="shared" si="13"/>
        <v>21.374844684817599</v>
      </c>
      <c r="AM57" s="670">
        <v>15.192504715933801</v>
      </c>
      <c r="AN57" s="670">
        <v>13.1171174490227</v>
      </c>
      <c r="AO57" s="670">
        <v>14.557299503379101</v>
      </c>
      <c r="AP57" s="670">
        <v>16.0071527457314</v>
      </c>
      <c r="AQ57" s="738">
        <v>72.150000000000006</v>
      </c>
      <c r="AR57" s="737">
        <f t="shared" si="14"/>
        <v>25.8343057176196</v>
      </c>
      <c r="AS57" s="670">
        <v>14.6771984293672</v>
      </c>
      <c r="AT57" s="670">
        <v>13.0886214442013</v>
      </c>
      <c r="AU57" s="670">
        <v>13.288677614520299</v>
      </c>
      <c r="AV57" s="670">
        <v>15.9069196123925</v>
      </c>
      <c r="AW57" s="738">
        <v>11.1285347043702</v>
      </c>
      <c r="AX57" s="737">
        <f t="shared" si="15"/>
        <v>15.7034544070086</v>
      </c>
      <c r="AY57" s="670">
        <v>9.0434145029534303</v>
      </c>
      <c r="AZ57" s="670">
        <v>7.5654992588176899</v>
      </c>
      <c r="BA57" s="670">
        <v>8.5685078929964096</v>
      </c>
      <c r="BB57" s="670">
        <v>9.5376260796983896</v>
      </c>
      <c r="BC57" s="738">
        <v>7.3059059511382003</v>
      </c>
      <c r="BD57" s="737">
        <f t="shared" si="22"/>
        <v>19.9697351231579</v>
      </c>
      <c r="BE57" s="670">
        <v>8.3419120553681605</v>
      </c>
      <c r="BF57" s="670">
        <v>7.6867847043769402</v>
      </c>
      <c r="BG57" s="670">
        <v>8.0144088845310897</v>
      </c>
      <c r="BH57" s="670">
        <v>9.3871322553164003</v>
      </c>
      <c r="BI57" s="738">
        <v>6.9825748968034604</v>
      </c>
      <c r="BJ57" s="9"/>
      <c r="BK57" s="258" t="str">
        <f t="shared" si="16"/>
        <v>1Q19</v>
      </c>
      <c r="BL57" s="737">
        <f t="shared" si="17"/>
        <v>21.374844684817599</v>
      </c>
      <c r="BM57" s="670">
        <v>17.512265595980299</v>
      </c>
      <c r="BN57" s="670">
        <v>9.5728267463193504</v>
      </c>
      <c r="BO57" s="670">
        <v>18.8148107152353</v>
      </c>
      <c r="BP57" s="670">
        <v>16.3834695861817</v>
      </c>
      <c r="BQ57" s="738">
        <v>18.814468481079999</v>
      </c>
      <c r="BR57" s="737">
        <f t="shared" si="18"/>
        <v>25.8343057176196</v>
      </c>
      <c r="BS57" s="670">
        <v>17.533075185543701</v>
      </c>
      <c r="BT57" s="670">
        <v>10.6919352934231</v>
      </c>
      <c r="BU57" s="670">
        <v>14.9212562268163</v>
      </c>
      <c r="BV57" s="670">
        <v>15.961151968645201</v>
      </c>
      <c r="BW57" s="738">
        <v>16.8392648774796</v>
      </c>
      <c r="BX57" s="737">
        <f t="shared" si="19"/>
        <v>15.7034544070086</v>
      </c>
      <c r="BY57" s="670">
        <v>8.0171363602344705</v>
      </c>
      <c r="BZ57" s="670">
        <v>4.4017090889173804</v>
      </c>
      <c r="CA57" s="670">
        <v>16.4908873645734</v>
      </c>
      <c r="CB57" s="670">
        <v>11.2461348569961</v>
      </c>
      <c r="CC57" s="738">
        <v>11.2015939345566</v>
      </c>
      <c r="CD57" s="737">
        <f t="shared" si="23"/>
        <v>19.9697351231579</v>
      </c>
      <c r="CE57" s="670">
        <v>8.4088038740911699</v>
      </c>
      <c r="CF57" s="670">
        <v>5.6617114377559297</v>
      </c>
      <c r="CG57" s="670">
        <v>12.2215912297605</v>
      </c>
      <c r="CH57" s="670">
        <v>9.9476157319819993</v>
      </c>
      <c r="CI57" s="738">
        <v>10.0975235451036</v>
      </c>
    </row>
    <row r="58" spans="1:87" ht="14.25" customHeight="1">
      <c r="A58" s="9"/>
      <c r="B58" s="9"/>
      <c r="C58" s="64"/>
      <c r="D58" s="9"/>
      <c r="E58" s="64" t="s">
        <v>784</v>
      </c>
      <c r="F58" s="64" t="s">
        <v>785</v>
      </c>
      <c r="G58" s="64" t="s">
        <v>786</v>
      </c>
      <c r="H58" s="64" t="s">
        <v>787</v>
      </c>
      <c r="I58" s="64">
        <f>IF(I57+1=5,1,I57+1)</f>
        <v>2</v>
      </c>
      <c r="J58" s="3">
        <f t="shared" si="20"/>
        <v>2019</v>
      </c>
      <c r="K58" s="258" t="str">
        <f t="shared" si="11"/>
        <v>2Q19</v>
      </c>
      <c r="L58" s="737">
        <v>14.1513854015073</v>
      </c>
      <c r="M58" s="670"/>
      <c r="N58" s="670">
        <v>29.324133078003101</v>
      </c>
      <c r="O58" s="670">
        <v>7.8125485908733099</v>
      </c>
      <c r="P58" s="670"/>
      <c r="Q58" s="738"/>
      <c r="R58" s="737">
        <v>21.022727272727298</v>
      </c>
      <c r="S58" s="670"/>
      <c r="T58" s="670">
        <v>16.883870967741899</v>
      </c>
      <c r="U58" s="670">
        <v>13.394549763033201</v>
      </c>
      <c r="V58" s="670"/>
      <c r="W58" s="738">
        <v>6.7245657568238197</v>
      </c>
      <c r="X58" s="737">
        <v>21.3684867533362</v>
      </c>
      <c r="Y58" s="670"/>
      <c r="Z58" s="670">
        <v>23.670736870810401</v>
      </c>
      <c r="AA58" s="670">
        <v>7.2260058808105896</v>
      </c>
      <c r="AB58" s="670"/>
      <c r="AC58" s="738">
        <v>8.6165812563789306</v>
      </c>
      <c r="AD58" s="670">
        <v>17.048368035555601</v>
      </c>
      <c r="AE58" s="670"/>
      <c r="AF58" s="670">
        <v>30.773967116673798</v>
      </c>
      <c r="AG58" s="670">
        <v>14.8318114590751</v>
      </c>
      <c r="AH58" s="670"/>
      <c r="AI58" s="738">
        <v>7.8029416906610702</v>
      </c>
      <c r="AJ58" s="9"/>
      <c r="AK58" s="258" t="str">
        <f t="shared" si="12"/>
        <v>2Q19</v>
      </c>
      <c r="AL58" s="737">
        <f t="shared" si="13"/>
        <v>14.1513854015073</v>
      </c>
      <c r="AM58" s="670">
        <v>16.971911291818</v>
      </c>
      <c r="AN58" s="670">
        <v>14.2595180334852</v>
      </c>
      <c r="AO58" s="670">
        <v>15.677518897643001</v>
      </c>
      <c r="AP58" s="670">
        <v>17.0492565080697</v>
      </c>
      <c r="AQ58" s="738">
        <v>78.5833333333333</v>
      </c>
      <c r="AR58" s="737">
        <f t="shared" si="14"/>
        <v>21.022727272727298</v>
      </c>
      <c r="AS58" s="670">
        <v>16.284746970776901</v>
      </c>
      <c r="AT58" s="670">
        <v>14.1723136495644</v>
      </c>
      <c r="AU58" s="670">
        <v>14.7510524023806</v>
      </c>
      <c r="AV58" s="670">
        <v>16.821972203838499</v>
      </c>
      <c r="AW58" s="738">
        <v>12.3429319371728</v>
      </c>
      <c r="AX58" s="737">
        <f t="shared" si="15"/>
        <v>21.3684867533362</v>
      </c>
      <c r="AY58" s="670">
        <v>10.041696900795801</v>
      </c>
      <c r="AZ58" s="670">
        <v>8.14425798294657</v>
      </c>
      <c r="BA58" s="670">
        <v>9.3576941846112494</v>
      </c>
      <c r="BB58" s="670">
        <v>9.7576119785272795</v>
      </c>
      <c r="BC58" s="738">
        <v>7.8963804486655196</v>
      </c>
      <c r="BD58" s="737">
        <f t="shared" si="22"/>
        <v>17.048368035555601</v>
      </c>
      <c r="BE58" s="670">
        <v>9.2948278991056998</v>
      </c>
      <c r="BF58" s="670">
        <v>8.1221508765867796</v>
      </c>
      <c r="BG58" s="670">
        <v>8.8848842596178592</v>
      </c>
      <c r="BH58" s="670">
        <v>9.5330447993826493</v>
      </c>
      <c r="BI58" s="738">
        <v>7.7405887083420097</v>
      </c>
      <c r="BJ58" s="9"/>
      <c r="BK58" s="258" t="str">
        <f t="shared" si="16"/>
        <v>2Q19</v>
      </c>
      <c r="BL58" s="737">
        <f t="shared" si="17"/>
        <v>14.1513854015073</v>
      </c>
      <c r="BM58" s="670">
        <v>15.332360616874</v>
      </c>
      <c r="BN58" s="670">
        <v>8.9939480898144293</v>
      </c>
      <c r="BO58" s="670">
        <v>18.9573315361765</v>
      </c>
      <c r="BP58" s="670">
        <v>15.737742409832499</v>
      </c>
      <c r="BQ58" s="738">
        <v>16.456241824473601</v>
      </c>
      <c r="BR58" s="737">
        <f t="shared" si="18"/>
        <v>21.022727272727298</v>
      </c>
      <c r="BS58" s="670">
        <v>15.756563245823401</v>
      </c>
      <c r="BT58" s="670">
        <v>9.7921891795055505</v>
      </c>
      <c r="BU58" s="670">
        <v>14.7116253691756</v>
      </c>
      <c r="BV58" s="670">
        <v>16.004778286414499</v>
      </c>
      <c r="BW58" s="738">
        <v>15.4003208400175</v>
      </c>
      <c r="BX58" s="737">
        <f t="shared" si="19"/>
        <v>21.3684867533362</v>
      </c>
      <c r="BY58" s="670">
        <v>7.5754462504368201</v>
      </c>
      <c r="BZ58" s="670">
        <v>4.0560381611917302</v>
      </c>
      <c r="CA58" s="670">
        <v>17.7328149474707</v>
      </c>
      <c r="CB58" s="670">
        <v>10.9756319204545</v>
      </c>
      <c r="CC58" s="738">
        <v>10.141556987726499</v>
      </c>
      <c r="CD58" s="737">
        <f t="shared" si="23"/>
        <v>17.048368035555601</v>
      </c>
      <c r="CE58" s="670">
        <v>7.9679959335905099</v>
      </c>
      <c r="CF58" s="670">
        <v>5.3607663011854996</v>
      </c>
      <c r="CG58" s="670">
        <v>9.6745143171590104</v>
      </c>
      <c r="CH58" s="670">
        <v>9.9254800396091998</v>
      </c>
      <c r="CI58" s="738">
        <v>9.5160045403397593</v>
      </c>
    </row>
    <row r="59" spans="1:87" ht="14.25" customHeight="1">
      <c r="A59" s="9"/>
      <c r="B59" s="9"/>
      <c r="C59" s="9" t="s">
        <v>790</v>
      </c>
      <c r="D59" s="9"/>
      <c r="E59" s="618">
        <f>AVERAGE(AM8:AQ75)</f>
        <v>17.451844369442512</v>
      </c>
      <c r="F59" s="618">
        <f>AVERAGE(AS8:AW75)</f>
        <v>14.789390590177238</v>
      </c>
      <c r="G59" s="618">
        <f>AVERAGE(AY8:BC75)</f>
        <v>9.0736330644380931</v>
      </c>
      <c r="H59" s="618">
        <f>AVERAGE(BE8:BI75)</f>
        <v>8.2467031760817928</v>
      </c>
      <c r="I59" s="64">
        <f>IF(I58=4,1,I58+1)</f>
        <v>3</v>
      </c>
      <c r="J59" s="3">
        <f t="shared" si="20"/>
        <v>2019</v>
      </c>
      <c r="K59" s="258" t="str">
        <f t="shared" si="11"/>
        <v>3Q19</v>
      </c>
      <c r="L59" s="737">
        <v>18.711949756826201</v>
      </c>
      <c r="M59" s="670"/>
      <c r="N59" s="670">
        <v>24.695178959449599</v>
      </c>
      <c r="O59" s="670">
        <v>7.7248222474880697</v>
      </c>
      <c r="P59" s="670"/>
      <c r="Q59" s="738"/>
      <c r="R59" s="737">
        <v>22.463917525773201</v>
      </c>
      <c r="S59" s="670"/>
      <c r="T59" s="670">
        <v>18.287858117326099</v>
      </c>
      <c r="U59" s="670">
        <v>15.323741007194201</v>
      </c>
      <c r="V59" s="670"/>
      <c r="W59" s="738">
        <v>6.1754463954952996</v>
      </c>
      <c r="X59" s="737">
        <v>26.188706706219499</v>
      </c>
      <c r="Y59" s="670"/>
      <c r="Z59" s="670">
        <v>21.804048801655799</v>
      </c>
      <c r="AA59" s="670">
        <v>6.5465906264408797</v>
      </c>
      <c r="AB59" s="670"/>
      <c r="AC59" s="738">
        <v>8.2090574370396308</v>
      </c>
      <c r="AD59" s="670">
        <v>20.5019182994643</v>
      </c>
      <c r="AE59" s="670"/>
      <c r="AF59" s="670">
        <v>32.433901783892502</v>
      </c>
      <c r="AG59" s="670">
        <v>18.152282690681901</v>
      </c>
      <c r="AH59" s="670"/>
      <c r="AI59" s="738">
        <v>8.0463686861156098</v>
      </c>
      <c r="AJ59" s="9"/>
      <c r="AK59" s="258" t="str">
        <f t="shared" si="12"/>
        <v>3Q19</v>
      </c>
      <c r="AL59" s="737">
        <f t="shared" si="13"/>
        <v>18.711949756826201</v>
      </c>
      <c r="AM59" s="670">
        <v>16.681755641083299</v>
      </c>
      <c r="AN59" s="670">
        <v>15.918574316111</v>
      </c>
      <c r="AO59" s="670">
        <v>15.8996603114082</v>
      </c>
      <c r="AP59" s="670">
        <v>17.454977522372399</v>
      </c>
      <c r="AQ59" s="738">
        <v>20.170940170940199</v>
      </c>
      <c r="AR59" s="737">
        <f t="shared" si="14"/>
        <v>22.463917525773201</v>
      </c>
      <c r="AS59" s="670">
        <v>17.198356702688201</v>
      </c>
      <c r="AT59" s="670">
        <v>15.743430890835301</v>
      </c>
      <c r="AU59" s="670">
        <v>15.704123112659699</v>
      </c>
      <c r="AV59" s="670">
        <v>17.745970341715001</v>
      </c>
      <c r="AW59" s="738">
        <v>12.4867724867725</v>
      </c>
      <c r="AX59" s="737">
        <f t="shared" si="15"/>
        <v>26.188706706219499</v>
      </c>
      <c r="AY59" s="670">
        <v>9.9504570543443798</v>
      </c>
      <c r="AZ59" s="670">
        <v>8.7035741654818892</v>
      </c>
      <c r="BA59" s="670">
        <v>9.4411740744080994</v>
      </c>
      <c r="BB59" s="670">
        <v>10.271142080477199</v>
      </c>
      <c r="BC59" s="738">
        <v>8.4878109366662198</v>
      </c>
      <c r="BD59" s="737">
        <f t="shared" si="22"/>
        <v>20.5019182994643</v>
      </c>
      <c r="BE59" s="670">
        <v>9.9348698981558492</v>
      </c>
      <c r="BF59" s="670">
        <v>9.3674134068342898</v>
      </c>
      <c r="BG59" s="670">
        <v>9.33322544205644</v>
      </c>
      <c r="BH59" s="670">
        <v>9.8450672080491106</v>
      </c>
      <c r="BI59" s="738">
        <v>7.5029045732606097</v>
      </c>
      <c r="BJ59" s="9"/>
      <c r="BK59" s="258" t="str">
        <f t="shared" si="16"/>
        <v>3Q19</v>
      </c>
      <c r="BL59" s="737">
        <f t="shared" si="17"/>
        <v>18.711949756826201</v>
      </c>
      <c r="BM59" s="670">
        <v>14.352246111620101</v>
      </c>
      <c r="BN59" s="670">
        <v>10.168876685674901</v>
      </c>
      <c r="BO59" s="670">
        <v>19.5619707538714</v>
      </c>
      <c r="BP59" s="670">
        <v>16.904715221389601</v>
      </c>
      <c r="BQ59" s="738">
        <v>18.013544619158399</v>
      </c>
      <c r="BR59" s="737">
        <f t="shared" si="18"/>
        <v>22.463917525773201</v>
      </c>
      <c r="BS59" s="670">
        <v>14.0146991272393</v>
      </c>
      <c r="BT59" s="670">
        <v>16.030077912665298</v>
      </c>
      <c r="BU59" s="670">
        <v>14.730638494845399</v>
      </c>
      <c r="BV59" s="670">
        <v>17.164215716291199</v>
      </c>
      <c r="BW59" s="738">
        <v>16.847348373864602</v>
      </c>
      <c r="BX59" s="737">
        <f t="shared" si="19"/>
        <v>26.188706706219499</v>
      </c>
      <c r="BY59" s="670">
        <v>6.9743443752455496</v>
      </c>
      <c r="BZ59" s="670">
        <v>4.0880982203765299</v>
      </c>
      <c r="CA59" s="670">
        <v>14.0383531727903</v>
      </c>
      <c r="CB59" s="670">
        <v>11.5358113174269</v>
      </c>
      <c r="CC59" s="738">
        <v>10.8198573575872</v>
      </c>
      <c r="CD59" s="737">
        <f t="shared" si="23"/>
        <v>20.5019182994643</v>
      </c>
      <c r="CE59" s="670">
        <v>6.5203668116549496</v>
      </c>
      <c r="CF59" s="670">
        <v>7.5844817938716096</v>
      </c>
      <c r="CG59" s="670">
        <v>8.7501011127384505</v>
      </c>
      <c r="CH59" s="670">
        <v>9.6780065637342094</v>
      </c>
      <c r="CI59" s="738">
        <v>9.6148317438143795</v>
      </c>
    </row>
    <row r="60" spans="1:87" ht="14.25" customHeight="1">
      <c r="A60" s="180"/>
      <c r="B60" s="9"/>
      <c r="C60" s="9" t="s">
        <v>791</v>
      </c>
      <c r="D60" s="9"/>
      <c r="E60" s="618">
        <f t="shared" ref="E60:H62" si="25">AVERAGE(E64,E68)</f>
        <v>16.511356338309774</v>
      </c>
      <c r="F60" s="618">
        <f t="shared" si="25"/>
        <v>14.249403727801335</v>
      </c>
      <c r="G60" s="618">
        <f t="shared" si="25"/>
        <v>8.0081879799852764</v>
      </c>
      <c r="H60" s="618" t="e">
        <f t="shared" si="25"/>
        <v>#DIV/0!</v>
      </c>
      <c r="I60" s="64">
        <f>I56</f>
        <v>4</v>
      </c>
      <c r="J60" s="3">
        <f t="shared" si="20"/>
        <v>2019</v>
      </c>
      <c r="K60" s="258" t="str">
        <f t="shared" si="11"/>
        <v>4Q19</v>
      </c>
      <c r="L60" s="737">
        <v>24.188287120818099</v>
      </c>
      <c r="M60" s="670"/>
      <c r="N60" s="670">
        <v>41.222181668661001</v>
      </c>
      <c r="O60" s="670">
        <v>9.5813219177816293</v>
      </c>
      <c r="P60" s="670"/>
      <c r="Q60" s="738">
        <v>206.68292682926901</v>
      </c>
      <c r="R60" s="737">
        <v>27.538610038609999</v>
      </c>
      <c r="S60" s="670"/>
      <c r="T60" s="670">
        <v>23.667108753315599</v>
      </c>
      <c r="U60" s="670">
        <v>19.2788461538461</v>
      </c>
      <c r="V60" s="670"/>
      <c r="W60" s="738">
        <v>6.1410247119356498</v>
      </c>
      <c r="X60" s="737">
        <v>25.261122870601199</v>
      </c>
      <c r="Y60" s="670"/>
      <c r="Z60" s="670">
        <v>22.382746451769499</v>
      </c>
      <c r="AA60" s="670">
        <v>8.4588913113275197</v>
      </c>
      <c r="AB60" s="670"/>
      <c r="AC60" s="738">
        <v>8.0072131142459693</v>
      </c>
      <c r="AD60" s="670">
        <v>20.925877915922701</v>
      </c>
      <c r="AE60" s="670"/>
      <c r="AF60" s="670">
        <v>27.206622281442801</v>
      </c>
      <c r="AG60" s="670">
        <v>15.7746282646967</v>
      </c>
      <c r="AH60" s="670"/>
      <c r="AI60" s="738">
        <v>8.5250889384746493</v>
      </c>
      <c r="AJ60" s="9"/>
      <c r="AK60" s="258" t="str">
        <f t="shared" si="12"/>
        <v>4Q19</v>
      </c>
      <c r="AL60" s="737">
        <f t="shared" si="13"/>
        <v>24.188287120818099</v>
      </c>
      <c r="AM60" s="670">
        <v>17.7316040068742</v>
      </c>
      <c r="AN60" s="670">
        <v>17.362804075599001</v>
      </c>
      <c r="AO60" s="670">
        <v>16.701723724901701</v>
      </c>
      <c r="AP60" s="670">
        <v>17.2152601301526</v>
      </c>
      <c r="AQ60" s="738">
        <v>22.371794871794901</v>
      </c>
      <c r="AR60" s="737">
        <f t="shared" si="14"/>
        <v>27.538610038609999</v>
      </c>
      <c r="AS60" s="670">
        <v>18.1945316001793</v>
      </c>
      <c r="AT60" s="670">
        <v>16.9806941660513</v>
      </c>
      <c r="AU60" s="670">
        <v>17.0676456803624</v>
      </c>
      <c r="AV60" s="670">
        <v>16.272629181153299</v>
      </c>
      <c r="AW60" s="738">
        <v>13.286802030456901</v>
      </c>
      <c r="AX60" s="737">
        <f t="shared" si="15"/>
        <v>25.261122870601199</v>
      </c>
      <c r="AY60" s="670">
        <v>10.6046500596097</v>
      </c>
      <c r="AZ60" s="670">
        <v>9.9657818359920096</v>
      </c>
      <c r="BA60" s="670">
        <v>9.5272581843654205</v>
      </c>
      <c r="BB60" s="670">
        <v>10.0912602544482</v>
      </c>
      <c r="BC60" s="738">
        <v>10.2362649676181</v>
      </c>
      <c r="BD60" s="737">
        <f t="shared" si="22"/>
        <v>20.925877915922701</v>
      </c>
      <c r="BE60" s="670">
        <v>10.6614615642502</v>
      </c>
      <c r="BF60" s="670">
        <v>10.2604777628974</v>
      </c>
      <c r="BG60" s="670">
        <v>10.278063739100901</v>
      </c>
      <c r="BH60" s="670">
        <v>9.71505194619394</v>
      </c>
      <c r="BI60" s="738">
        <v>9.25020942552141</v>
      </c>
      <c r="BJ60" s="9"/>
      <c r="BK60" s="258" t="str">
        <f t="shared" si="16"/>
        <v>4Q19</v>
      </c>
      <c r="BL60" s="737">
        <f t="shared" si="17"/>
        <v>24.188287120818099</v>
      </c>
      <c r="BM60" s="670">
        <v>11.933163548308199</v>
      </c>
      <c r="BN60" s="670">
        <v>11.0429443217241</v>
      </c>
      <c r="BO60" s="670">
        <v>20.870326430420398</v>
      </c>
      <c r="BP60" s="670">
        <v>17.1616901526493</v>
      </c>
      <c r="BQ60" s="738">
        <v>18.1428389425202</v>
      </c>
      <c r="BR60" s="737">
        <f t="shared" si="18"/>
        <v>27.538610038609999</v>
      </c>
      <c r="BS60" s="670">
        <v>16.823628337187301</v>
      </c>
      <c r="BT60" s="670">
        <v>16.4090568862275</v>
      </c>
      <c r="BU60" s="670">
        <v>13.793318238288</v>
      </c>
      <c r="BV60" s="670">
        <v>16.2845808786291</v>
      </c>
      <c r="BW60" s="738">
        <v>16.7740088736224</v>
      </c>
      <c r="BX60" s="737">
        <f t="shared" si="19"/>
        <v>25.261122870601199</v>
      </c>
      <c r="BY60" s="670">
        <v>5.9788422712741802</v>
      </c>
      <c r="BZ60" s="670">
        <v>5.0997884348216402</v>
      </c>
      <c r="CA60" s="670">
        <v>16.395215797510499</v>
      </c>
      <c r="CB60" s="670">
        <v>12.1321311527739</v>
      </c>
      <c r="CC60" s="738">
        <v>11.1062594072335</v>
      </c>
      <c r="CD60" s="737">
        <f t="shared" si="23"/>
        <v>20.925877915922701</v>
      </c>
      <c r="CE60" s="670">
        <v>7.1875639175984203</v>
      </c>
      <c r="CF60" s="670">
        <v>10.405610801995</v>
      </c>
      <c r="CG60" s="670">
        <v>9.4890909221203508</v>
      </c>
      <c r="CH60" s="670">
        <v>10.6121068424686</v>
      </c>
      <c r="CI60" s="738">
        <v>10.0928444397349</v>
      </c>
    </row>
    <row r="61" spans="1:87" ht="14.25" customHeight="1">
      <c r="A61" s="9"/>
      <c r="B61" s="9"/>
      <c r="C61" s="9" t="s">
        <v>792</v>
      </c>
      <c r="D61" s="9"/>
      <c r="E61" s="618">
        <f t="shared" si="25"/>
        <v>18.174451528888053</v>
      </c>
      <c r="F61" s="618">
        <f t="shared" si="25"/>
        <v>15.177675768515218</v>
      </c>
      <c r="G61" s="618">
        <f t="shared" si="25"/>
        <v>9.1033872247162755</v>
      </c>
      <c r="H61" s="618">
        <f t="shared" si="25"/>
        <v>8.1673101789748106</v>
      </c>
      <c r="I61" s="64">
        <f>IF(I60=4,1,I60+1)</f>
        <v>1</v>
      </c>
      <c r="J61" s="3">
        <f t="shared" si="20"/>
        <v>2020</v>
      </c>
      <c r="K61" s="258" t="str">
        <f t="shared" si="11"/>
        <v>1Q20</v>
      </c>
      <c r="L61" s="737">
        <v>35.055284694946401</v>
      </c>
      <c r="M61" s="670"/>
      <c r="N61" s="670">
        <v>15.445893429827301</v>
      </c>
      <c r="O61" s="670">
        <v>65.395013063899796</v>
      </c>
      <c r="P61" s="670"/>
      <c r="Q61" s="738">
        <v>14.9721518987342</v>
      </c>
      <c r="R61" s="737">
        <v>28.551378446115301</v>
      </c>
      <c r="S61" s="670"/>
      <c r="T61" s="670">
        <v>16.9945054945055</v>
      </c>
      <c r="U61" s="670">
        <v>11.3173026659697</v>
      </c>
      <c r="V61" s="670"/>
      <c r="W61" s="738">
        <v>4.6181477432453502</v>
      </c>
      <c r="X61" s="737">
        <v>26.130056492888901</v>
      </c>
      <c r="Y61" s="670"/>
      <c r="Z61" s="670">
        <v>45.705914120259997</v>
      </c>
      <c r="AA61" s="670">
        <v>29.032362454808599</v>
      </c>
      <c r="AB61" s="670"/>
      <c r="AC61" s="738">
        <v>6.3268820338963199</v>
      </c>
      <c r="AD61" s="670">
        <v>22.875188673939402</v>
      </c>
      <c r="AE61" s="670"/>
      <c r="AF61" s="670">
        <v>31.512333942560701</v>
      </c>
      <c r="AG61" s="670">
        <v>12.9079703357918</v>
      </c>
      <c r="AH61" s="670"/>
      <c r="AI61" s="738">
        <v>8.9387195927043592</v>
      </c>
      <c r="AJ61" s="9"/>
      <c r="AK61" s="258" t="str">
        <f t="shared" si="12"/>
        <v>1Q20</v>
      </c>
      <c r="AL61" s="737">
        <f t="shared" si="13"/>
        <v>35.055284694946401</v>
      </c>
      <c r="AM61" s="670">
        <v>15.955842056904601</v>
      </c>
      <c r="AN61" s="670">
        <v>16.454725077569499</v>
      </c>
      <c r="AO61" s="670">
        <v>15.071863077920799</v>
      </c>
      <c r="AP61" s="670">
        <v>17.153753026634401</v>
      </c>
      <c r="AQ61" s="738">
        <v>20.324324324324301</v>
      </c>
      <c r="AR61" s="737">
        <f t="shared" si="14"/>
        <v>28.551378446115301</v>
      </c>
      <c r="AS61" s="670">
        <v>16.662185175226298</v>
      </c>
      <c r="AT61" s="670">
        <v>16.515356585111899</v>
      </c>
      <c r="AU61" s="670">
        <v>14.0478637498165</v>
      </c>
      <c r="AV61" s="670">
        <v>16.4813306967547</v>
      </c>
      <c r="AW61" s="738">
        <v>11.539641943734001</v>
      </c>
      <c r="AX61" s="737">
        <f t="shared" si="15"/>
        <v>26.130056492888901</v>
      </c>
      <c r="AY61" s="670">
        <v>9.7421991223443207</v>
      </c>
      <c r="AZ61" s="670">
        <v>9.8326539192146498</v>
      </c>
      <c r="BA61" s="670">
        <v>9.1354420629513093</v>
      </c>
      <c r="BB61" s="670">
        <v>10.0301823820195</v>
      </c>
      <c r="BC61" s="738">
        <v>8.5575226430084701</v>
      </c>
      <c r="BD61" s="737">
        <f t="shared" si="22"/>
        <v>22.875188673939402</v>
      </c>
      <c r="BE61" s="670">
        <v>9.6946287353799292</v>
      </c>
      <c r="BF61" s="670">
        <v>10.038852223917701</v>
      </c>
      <c r="BG61" s="670">
        <v>9.46400162584521</v>
      </c>
      <c r="BH61" s="670">
        <v>9.8743163848070896</v>
      </c>
      <c r="BI61" s="738">
        <v>7.5679134780037103</v>
      </c>
      <c r="BJ61" s="9"/>
      <c r="BK61" s="258" t="str">
        <f t="shared" si="16"/>
        <v>1Q20</v>
      </c>
      <c r="BL61" s="737">
        <f t="shared" si="17"/>
        <v>35.055284694946401</v>
      </c>
      <c r="BM61" s="670">
        <v>13.2951376349264</v>
      </c>
      <c r="BN61" s="670">
        <v>13.2763337893297</v>
      </c>
      <c r="BO61" s="670">
        <v>23.801267295453901</v>
      </c>
      <c r="BP61" s="670">
        <v>16.379993668319099</v>
      </c>
      <c r="BQ61" s="738">
        <v>16.591943342394899</v>
      </c>
      <c r="BR61" s="737">
        <f t="shared" si="18"/>
        <v>28.551378446115301</v>
      </c>
      <c r="BS61" s="670">
        <v>17.049246231155799</v>
      </c>
      <c r="BT61" s="670">
        <v>17.095296811696301</v>
      </c>
      <c r="BU61" s="670">
        <v>19.798798215503901</v>
      </c>
      <c r="BV61" s="670">
        <v>15.924489582583</v>
      </c>
      <c r="BW61" s="738">
        <v>16.041937816341299</v>
      </c>
      <c r="BX61" s="737">
        <f t="shared" si="19"/>
        <v>26.130056492888901</v>
      </c>
      <c r="BY61" s="670">
        <v>6.3198598389438603</v>
      </c>
      <c r="BZ61" s="670">
        <v>4.9359877663941196</v>
      </c>
      <c r="CA61" s="670">
        <v>17.383003839682701</v>
      </c>
      <c r="CB61" s="670">
        <v>11.7950653273586</v>
      </c>
      <c r="CC61" s="738">
        <v>10.3600924530421</v>
      </c>
      <c r="CD61" s="737">
        <f t="shared" si="23"/>
        <v>22.875188673939402</v>
      </c>
      <c r="CE61" s="670">
        <v>7.7212457311679499</v>
      </c>
      <c r="CF61" s="670">
        <v>9.0079669398661206</v>
      </c>
      <c r="CG61" s="670">
        <v>12.531851583217</v>
      </c>
      <c r="CH61" s="670">
        <v>10.499869312052001</v>
      </c>
      <c r="CI61" s="738">
        <v>9.6355215467831101</v>
      </c>
    </row>
    <row r="62" spans="1:87" ht="14.25" customHeight="1">
      <c r="A62" s="9"/>
      <c r="B62" s="9"/>
      <c r="C62" s="9" t="s">
        <v>793</v>
      </c>
      <c r="D62" s="9"/>
      <c r="E62" s="618">
        <f t="shared" si="25"/>
        <v>18.375615705208343</v>
      </c>
      <c r="F62" s="618">
        <f t="shared" si="25"/>
        <v>16.379830180926785</v>
      </c>
      <c r="G62" s="618">
        <f t="shared" si="25"/>
        <v>10.316037257276058</v>
      </c>
      <c r="H62" s="618">
        <f t="shared" si="25"/>
        <v>9.7916138824697967</v>
      </c>
      <c r="I62" s="64">
        <f>IF(I61+1=5,1,I61+1)</f>
        <v>2</v>
      </c>
      <c r="J62" s="3">
        <f t="shared" si="20"/>
        <v>2020</v>
      </c>
      <c r="K62" s="258" t="str">
        <f t="shared" si="11"/>
        <v>2Q20</v>
      </c>
      <c r="L62" s="737">
        <v>31.959469387010898</v>
      </c>
      <c r="M62" s="670"/>
      <c r="N62" s="670">
        <v>24.359908131852801</v>
      </c>
      <c r="O62" s="670">
        <v>82.430942564149007</v>
      </c>
      <c r="P62" s="670"/>
      <c r="Q62" s="738">
        <v>29.943775100401599</v>
      </c>
      <c r="R62" s="737">
        <v>30.532786885245901</v>
      </c>
      <c r="S62" s="670"/>
      <c r="T62" s="670">
        <v>23.6591179976162</v>
      </c>
      <c r="U62" s="670">
        <v>18.8896411645227</v>
      </c>
      <c r="V62" s="670"/>
      <c r="W62" s="738">
        <v>6.2771510355278703</v>
      </c>
      <c r="X62" s="737">
        <v>23.8444455056799</v>
      </c>
      <c r="Y62" s="670"/>
      <c r="Z62" s="670">
        <v>37.656021946442003</v>
      </c>
      <c r="AA62" s="670">
        <v>269.05412163615</v>
      </c>
      <c r="AB62" s="670"/>
      <c r="AC62" s="738">
        <v>7.5980408660808401</v>
      </c>
      <c r="AD62" s="670">
        <v>24.951297907326701</v>
      </c>
      <c r="AE62" s="670"/>
      <c r="AF62" s="670">
        <v>37.995841131144502</v>
      </c>
      <c r="AG62" s="670">
        <v>21.213769009652498</v>
      </c>
      <c r="AH62" s="670"/>
      <c r="AI62" s="738">
        <v>10.244887932268</v>
      </c>
      <c r="AJ62" s="9"/>
      <c r="AK62" s="258" t="str">
        <f t="shared" si="12"/>
        <v>2Q20</v>
      </c>
      <c r="AL62" s="737">
        <f t="shared" si="13"/>
        <v>31.959469387010898</v>
      </c>
      <c r="AM62" s="670">
        <v>18.277944487279001</v>
      </c>
      <c r="AN62" s="670">
        <v>16.381399653636301</v>
      </c>
      <c r="AO62" s="670">
        <v>17.773286649310901</v>
      </c>
      <c r="AP62" s="670">
        <v>15.9479768786127</v>
      </c>
      <c r="AQ62" s="738">
        <v>20.1666666666667</v>
      </c>
      <c r="AR62" s="737">
        <f t="shared" si="14"/>
        <v>30.532786885245901</v>
      </c>
      <c r="AS62" s="670">
        <v>18.242696233720501</v>
      </c>
      <c r="AT62" s="670">
        <v>17.050241446624899</v>
      </c>
      <c r="AU62" s="670">
        <v>16.5320018157059</v>
      </c>
      <c r="AV62" s="670">
        <v>15.619338768115901</v>
      </c>
      <c r="AW62" s="738">
        <v>11.7815789473684</v>
      </c>
      <c r="AX62" s="737">
        <f t="shared" si="15"/>
        <v>23.8444455056799</v>
      </c>
      <c r="AY62" s="670">
        <v>10.9794454706282</v>
      </c>
      <c r="AZ62" s="670">
        <v>10.0118264817743</v>
      </c>
      <c r="BA62" s="670">
        <v>10.225250052137399</v>
      </c>
      <c r="BB62" s="670">
        <v>9.4047158300927691</v>
      </c>
      <c r="BC62" s="738">
        <v>8.4983885933869292</v>
      </c>
      <c r="BD62" s="737">
        <f t="shared" si="22"/>
        <v>24.951297907326701</v>
      </c>
      <c r="BE62" s="670">
        <v>10.5132240979169</v>
      </c>
      <c r="BF62" s="670">
        <v>10.299049845344101</v>
      </c>
      <c r="BG62" s="670">
        <v>10.320699660105101</v>
      </c>
      <c r="BH62" s="670">
        <v>9.3266401834669495</v>
      </c>
      <c r="BI62" s="738">
        <v>7.73541989514516</v>
      </c>
      <c r="BJ62" s="9"/>
      <c r="BK62" s="258" t="str">
        <f t="shared" si="16"/>
        <v>2Q20</v>
      </c>
      <c r="BL62" s="737">
        <f t="shared" si="17"/>
        <v>31.959469387010898</v>
      </c>
      <c r="BM62" s="670">
        <v>11.434005530167999</v>
      </c>
      <c r="BN62" s="670">
        <v>11.367127496159799</v>
      </c>
      <c r="BO62" s="670">
        <v>23.189227331859001</v>
      </c>
      <c r="BP62" s="670">
        <v>14.860151345119601</v>
      </c>
      <c r="BQ62" s="738">
        <v>13.777493251753199</v>
      </c>
      <c r="BR62" s="737">
        <f t="shared" si="18"/>
        <v>30.532786885245901</v>
      </c>
      <c r="BS62" s="670">
        <v>14.0498710232158</v>
      </c>
      <c r="BT62" s="670">
        <v>13.595443689142</v>
      </c>
      <c r="BU62" s="670">
        <v>18.6196315729647</v>
      </c>
      <c r="BV62" s="670">
        <v>14.765783907363801</v>
      </c>
      <c r="BW62" s="738">
        <v>14.327805506359701</v>
      </c>
      <c r="BX62" s="737">
        <f t="shared" si="19"/>
        <v>23.8444455056799</v>
      </c>
      <c r="BY62" s="670">
        <v>5.4645320974003404</v>
      </c>
      <c r="BZ62" s="670">
        <v>3.97258403706561</v>
      </c>
      <c r="CA62" s="670">
        <v>17.696597926342399</v>
      </c>
      <c r="CB62" s="670">
        <v>10.3345445475001</v>
      </c>
      <c r="CC62" s="738">
        <v>8.8796425471765108</v>
      </c>
      <c r="CD62" s="737">
        <f t="shared" si="23"/>
        <v>24.951297907326701</v>
      </c>
      <c r="CE62" s="670">
        <v>6.6162899663212604</v>
      </c>
      <c r="CF62" s="670">
        <v>7.1279661477878502</v>
      </c>
      <c r="CG62" s="670">
        <v>9.5245217113368401</v>
      </c>
      <c r="CH62" s="670">
        <v>9.3224285404756806</v>
      </c>
      <c r="CI62" s="738">
        <v>8.6477165502680702</v>
      </c>
    </row>
    <row r="63" spans="1:87" ht="14.25" customHeight="1">
      <c r="A63" s="9"/>
      <c r="B63" s="9"/>
      <c r="C63" s="9" t="s">
        <v>794</v>
      </c>
      <c r="D63" s="9"/>
      <c r="E63" s="618">
        <f>AVERAGE(AM8:AQ35)</f>
        <v>19.372174186392851</v>
      </c>
      <c r="F63" s="618">
        <f>AVERAGE(AS8:AW35)</f>
        <v>16.698670553729919</v>
      </c>
      <c r="G63" s="618">
        <f>AVERAGE(AY8:BC35)</f>
        <v>9.6234398026286101</v>
      </c>
      <c r="H63" s="618">
        <f>AVERAGE(BE8:BI35)</f>
        <v>8.299118515323439</v>
      </c>
      <c r="I63" s="64">
        <f>IF(I62=4,1,I62+1)</f>
        <v>3</v>
      </c>
      <c r="J63" s="3">
        <f t="shared" si="20"/>
        <v>2020</v>
      </c>
      <c r="K63" s="258" t="str">
        <f t="shared" si="11"/>
        <v>3Q20</v>
      </c>
      <c r="L63" s="737">
        <v>25.845794392523398</v>
      </c>
      <c r="M63" s="670"/>
      <c r="N63" s="670">
        <v>24.6461010136486</v>
      </c>
      <c r="O63" s="670"/>
      <c r="P63" s="670"/>
      <c r="Q63" s="738">
        <v>29.601731601731601</v>
      </c>
      <c r="R63" s="737">
        <v>29.1105263157895</v>
      </c>
      <c r="S63" s="670"/>
      <c r="T63" s="670">
        <v>24.088200238378999</v>
      </c>
      <c r="U63" s="670">
        <v>14.4522554188635</v>
      </c>
      <c r="V63" s="670"/>
      <c r="W63" s="738">
        <v>5.7260090437112696</v>
      </c>
      <c r="X63" s="737">
        <v>28.488599678158199</v>
      </c>
      <c r="Y63" s="670"/>
      <c r="Z63" s="670">
        <v>37.643846216332399</v>
      </c>
      <c r="AA63" s="670">
        <v>48.931184143831501</v>
      </c>
      <c r="AB63" s="670"/>
      <c r="AC63" s="738">
        <v>7.3957411263827604</v>
      </c>
      <c r="AD63" s="670">
        <v>25.014606345882299</v>
      </c>
      <c r="AE63" s="670"/>
      <c r="AF63" s="670">
        <v>44.218728384455801</v>
      </c>
      <c r="AG63" s="670">
        <v>15.235159240647301</v>
      </c>
      <c r="AH63" s="670"/>
      <c r="AI63" s="738">
        <v>9.8154284681694008</v>
      </c>
      <c r="AJ63" s="9"/>
      <c r="AK63" s="258" t="str">
        <f t="shared" si="12"/>
        <v>3Q20</v>
      </c>
      <c r="AL63" s="737">
        <f t="shared" si="13"/>
        <v>25.845794392523398</v>
      </c>
      <c r="AM63" s="670">
        <v>19.615028752299001</v>
      </c>
      <c r="AN63" s="670">
        <v>18.761351357850401</v>
      </c>
      <c r="AO63" s="670">
        <v>20.3668719163684</v>
      </c>
      <c r="AP63" s="670">
        <v>14.749642641156701</v>
      </c>
      <c r="AQ63" s="738">
        <v>17.234896180103998</v>
      </c>
      <c r="AR63" s="737">
        <f t="shared" si="14"/>
        <v>29.1105263157895</v>
      </c>
      <c r="AS63" s="670">
        <v>19.113634363172299</v>
      </c>
      <c r="AT63" s="670">
        <v>19.1607469048102</v>
      </c>
      <c r="AU63" s="670">
        <v>18.625486090338001</v>
      </c>
      <c r="AV63" s="670">
        <v>15.184611983197</v>
      </c>
      <c r="AW63" s="738">
        <v>13.147368421052599</v>
      </c>
      <c r="AX63" s="737">
        <f t="shared" si="15"/>
        <v>28.488599678158199</v>
      </c>
      <c r="AY63" s="670">
        <v>13.2211502199879</v>
      </c>
      <c r="AZ63" s="670">
        <v>10.8983183864816</v>
      </c>
      <c r="BA63" s="670">
        <v>11.474224139550699</v>
      </c>
      <c r="BB63" s="670">
        <v>9.2205540111036992</v>
      </c>
      <c r="BC63" s="738">
        <v>9.3118232464059094</v>
      </c>
      <c r="BD63" s="737">
        <f t="shared" si="22"/>
        <v>25.014606345882299</v>
      </c>
      <c r="BE63" s="670">
        <v>11.1083674198787</v>
      </c>
      <c r="BF63" s="670">
        <v>10.8722348425467</v>
      </c>
      <c r="BG63" s="670">
        <v>10.7747774030119</v>
      </c>
      <c r="BH63" s="670">
        <v>9.1390090216859505</v>
      </c>
      <c r="BI63" s="738">
        <v>8.2823917207974294</v>
      </c>
      <c r="BJ63" s="9"/>
      <c r="BK63" s="258" t="str">
        <f t="shared" si="16"/>
        <v>3Q20</v>
      </c>
      <c r="BL63" s="737">
        <f t="shared" si="17"/>
        <v>25.845794392523398</v>
      </c>
      <c r="BM63" s="670">
        <v>13.047724606230799</v>
      </c>
      <c r="BN63" s="670">
        <v>13.0830374054452</v>
      </c>
      <c r="BO63" s="670">
        <v>30.398533533533499</v>
      </c>
      <c r="BP63" s="670">
        <v>15.1654976430214</v>
      </c>
      <c r="BQ63" s="738">
        <v>16.426796453234601</v>
      </c>
      <c r="BR63" s="737">
        <f t="shared" si="18"/>
        <v>29.1105263157895</v>
      </c>
      <c r="BS63" s="670">
        <v>14.8416684865691</v>
      </c>
      <c r="BT63" s="670">
        <v>18.0734597156398</v>
      </c>
      <c r="BU63" s="670">
        <v>23.157758012374298</v>
      </c>
      <c r="BV63" s="670">
        <v>16.1584549974664</v>
      </c>
      <c r="BW63" s="738">
        <v>15.3246131759451</v>
      </c>
      <c r="BX63" s="737">
        <f t="shared" si="19"/>
        <v>28.488599678158199</v>
      </c>
      <c r="BY63" s="670">
        <v>6.33942479775392</v>
      </c>
      <c r="BZ63" s="670">
        <v>5.3993013760985704</v>
      </c>
      <c r="CA63" s="670">
        <v>29.4939880182529</v>
      </c>
      <c r="CB63" s="670">
        <v>10.9915068013633</v>
      </c>
      <c r="CC63" s="738">
        <v>10.943205290701201</v>
      </c>
      <c r="CD63" s="737">
        <f t="shared" si="23"/>
        <v>25.014606345882299</v>
      </c>
      <c r="CE63" s="670">
        <v>7.1880837900999301</v>
      </c>
      <c r="CF63" s="670">
        <v>11.002715913029601</v>
      </c>
      <c r="CG63" s="670">
        <v>17.926023127558199</v>
      </c>
      <c r="CH63" s="670">
        <v>9.8729907958619005</v>
      </c>
      <c r="CI63" s="738">
        <v>9.0273841277273501</v>
      </c>
    </row>
    <row r="64" spans="1:87" ht="14.25" customHeight="1">
      <c r="A64" s="9"/>
      <c r="B64" s="9"/>
      <c r="C64" s="9" t="s">
        <v>795</v>
      </c>
      <c r="D64" s="9"/>
      <c r="E64" s="618">
        <f>AVERAGE(AM8:AQ19)</f>
        <v>22.394953041679578</v>
      </c>
      <c r="F64" s="618">
        <f>AVERAGE(AS8:AW19)</f>
        <v>19.063007806196822</v>
      </c>
      <c r="G64" s="618">
        <f>AVERAGE(AY8:BC19)</f>
        <v>10.384988120065191</v>
      </c>
      <c r="H64" s="618" t="e">
        <f>AVERAGE(BE8:BI19)</f>
        <v>#DIV/0!</v>
      </c>
      <c r="I64" s="64">
        <f>I60</f>
        <v>4</v>
      </c>
      <c r="J64" s="3">
        <f t="shared" si="20"/>
        <v>2020</v>
      </c>
      <c r="K64" s="258" t="str">
        <f t="shared" si="11"/>
        <v>4Q20</v>
      </c>
      <c r="L64" s="737">
        <v>36.814207650273197</v>
      </c>
      <c r="M64" s="670"/>
      <c r="N64" s="670">
        <v>27.490007484526998</v>
      </c>
      <c r="O64" s="670">
        <v>29.376231601312998</v>
      </c>
      <c r="P64" s="670"/>
      <c r="Q64" s="738">
        <v>23.166287015945301</v>
      </c>
      <c r="R64" s="737">
        <v>36.475365457498597</v>
      </c>
      <c r="S64" s="670"/>
      <c r="T64" s="670">
        <v>26.717773992049999</v>
      </c>
      <c r="U64" s="670">
        <v>17.418282548476501</v>
      </c>
      <c r="V64" s="670"/>
      <c r="W64" s="738">
        <v>8.0306380290587498</v>
      </c>
      <c r="X64" s="737">
        <v>25.1142281478702</v>
      </c>
      <c r="Y64" s="670"/>
      <c r="Z64" s="670">
        <v>32.0098337479997</v>
      </c>
      <c r="AA64" s="670">
        <v>13.7076250182682</v>
      </c>
      <c r="AB64" s="670"/>
      <c r="AC64" s="738">
        <v>9.2163155368927008</v>
      </c>
      <c r="AD64" s="670">
        <v>26.2013327703085</v>
      </c>
      <c r="AE64" s="670"/>
      <c r="AF64" s="670">
        <v>31.743780393957501</v>
      </c>
      <c r="AG64" s="670">
        <v>13.4139374798037</v>
      </c>
      <c r="AH64" s="670"/>
      <c r="AI64" s="738">
        <v>9.1116046842302207</v>
      </c>
      <c r="AJ64" s="9"/>
      <c r="AK64" s="258" t="str">
        <f t="shared" si="12"/>
        <v>4Q20</v>
      </c>
      <c r="AL64" s="737">
        <f t="shared" si="13"/>
        <v>36.814207650273197</v>
      </c>
      <c r="AM64" s="670">
        <v>19.997181435645999</v>
      </c>
      <c r="AN64" s="670">
        <v>18.5234169124132</v>
      </c>
      <c r="AO64" s="670">
        <v>20.0561270625894</v>
      </c>
      <c r="AP64" s="670">
        <v>14.106439675078301</v>
      </c>
      <c r="AQ64" s="738">
        <v>17.559171648664801</v>
      </c>
      <c r="AR64" s="737">
        <f t="shared" si="14"/>
        <v>36.475365457498597</v>
      </c>
      <c r="AS64" s="670">
        <v>18.771186440678001</v>
      </c>
      <c r="AT64" s="670">
        <v>19.371574001566199</v>
      </c>
      <c r="AU64" s="670">
        <v>17.428936895963599</v>
      </c>
      <c r="AV64" s="670">
        <v>14.0337570772353</v>
      </c>
      <c r="AW64" s="738">
        <v>13.0179028132992</v>
      </c>
      <c r="AX64" s="737">
        <f t="shared" si="15"/>
        <v>25.1142281478702</v>
      </c>
      <c r="AY64" s="670">
        <v>13.616533231839</v>
      </c>
      <c r="AZ64" s="670">
        <v>11.671039259236499</v>
      </c>
      <c r="BA64" s="670">
        <v>11.237328099240401</v>
      </c>
      <c r="BB64" s="670">
        <v>8.5636391786993808</v>
      </c>
      <c r="BC64" s="738">
        <v>9.4807678314934005</v>
      </c>
      <c r="BD64" s="737">
        <f t="shared" si="22"/>
        <v>26.2013327703085</v>
      </c>
      <c r="BE64" s="670">
        <v>11.355119303791399</v>
      </c>
      <c r="BF64" s="670">
        <v>11.846434747342601</v>
      </c>
      <c r="BG64" s="670">
        <v>10.611930261701501</v>
      </c>
      <c r="BH64" s="670">
        <v>8.6543815287443895</v>
      </c>
      <c r="BI64" s="738">
        <v>8.2379108421674392</v>
      </c>
      <c r="BJ64" s="9"/>
      <c r="BK64" s="258" t="str">
        <f t="shared" si="16"/>
        <v>4Q20</v>
      </c>
      <c r="BL64" s="737">
        <f t="shared" si="17"/>
        <v>36.814207650273197</v>
      </c>
      <c r="BM64" s="670">
        <v>19.384227863700598</v>
      </c>
      <c r="BN64" s="670">
        <v>13.908477197883499</v>
      </c>
      <c r="BO64" s="670">
        <v>33.2283092526121</v>
      </c>
      <c r="BP64" s="670">
        <v>16.0444901612988</v>
      </c>
      <c r="BQ64" s="738">
        <v>17.191582410452199</v>
      </c>
      <c r="BR64" s="737">
        <f t="shared" si="18"/>
        <v>36.475365457498597</v>
      </c>
      <c r="BS64" s="670">
        <v>20.975609756097601</v>
      </c>
      <c r="BT64" s="670">
        <v>18.8101636941119</v>
      </c>
      <c r="BU64" s="670">
        <v>20.277493036496299</v>
      </c>
      <c r="BV64" s="670">
        <v>16.155061799158801</v>
      </c>
      <c r="BW64" s="738">
        <v>15.4</v>
      </c>
      <c r="BX64" s="737">
        <f t="shared" si="19"/>
        <v>25.1142281478702</v>
      </c>
      <c r="BY64" s="670">
        <v>8.8108588558203795</v>
      </c>
      <c r="BZ64" s="670">
        <v>5.7308744067364401</v>
      </c>
      <c r="CA64" s="670">
        <v>31.517612592006198</v>
      </c>
      <c r="CB64" s="670">
        <v>11.8960133684471</v>
      </c>
      <c r="CC64" s="738">
        <v>11.3467411692216</v>
      </c>
      <c r="CD64" s="737">
        <f t="shared" si="23"/>
        <v>26.2013327703085</v>
      </c>
      <c r="CE64" s="670">
        <v>8.6006847953429606</v>
      </c>
      <c r="CF64" s="670">
        <v>11.055244811169899</v>
      </c>
      <c r="CG64" s="670">
        <v>18.195775926978001</v>
      </c>
      <c r="CH64" s="670">
        <v>10.898807331445401</v>
      </c>
      <c r="CI64" s="738">
        <v>9.3971229634638203</v>
      </c>
    </row>
    <row r="65" spans="1:87" ht="14.25" customHeight="1">
      <c r="A65" s="9"/>
      <c r="B65" s="9"/>
      <c r="C65" s="9" t="s">
        <v>796</v>
      </c>
      <c r="D65" s="9"/>
      <c r="E65" s="618">
        <f>AVERAGE(AM16:AQ27)</f>
        <v>19.262472338714346</v>
      </c>
      <c r="F65" s="618">
        <f>AVERAGE(AS16:AW27)</f>
        <v>17.294949146403418</v>
      </c>
      <c r="G65" s="618">
        <f>AVERAGE(AY16:BC27)</f>
        <v>9.8177655309079377</v>
      </c>
      <c r="H65" s="618">
        <f>AVERAGE(BE16:BI27)</f>
        <v>8.656236152701716</v>
      </c>
      <c r="I65" s="64">
        <f>IF(I64=4,1,I64+1)</f>
        <v>1</v>
      </c>
      <c r="J65" s="3">
        <f t="shared" si="20"/>
        <v>2021</v>
      </c>
      <c r="K65" s="258" t="str">
        <f t="shared" si="11"/>
        <v>1Q21</v>
      </c>
      <c r="L65" s="737">
        <v>33.466321243523304</v>
      </c>
      <c r="M65" s="670"/>
      <c r="N65" s="670">
        <v>108.74100698481</v>
      </c>
      <c r="O65" s="670">
        <v>6.9821220826705304</v>
      </c>
      <c r="P65" s="670"/>
      <c r="Q65" s="738">
        <v>18.3308733087331</v>
      </c>
      <c r="R65" s="737">
        <v>37.313691507799</v>
      </c>
      <c r="S65" s="670"/>
      <c r="T65" s="670">
        <v>24.574561403508799</v>
      </c>
      <c r="U65" s="670">
        <v>16.410714285714299</v>
      </c>
      <c r="V65" s="670"/>
      <c r="W65" s="738">
        <v>9.1541769041769001</v>
      </c>
      <c r="X65" s="737">
        <v>27.5730621932018</v>
      </c>
      <c r="Y65" s="670"/>
      <c r="Z65" s="670">
        <v>22.1387227397936</v>
      </c>
      <c r="AA65" s="670">
        <v>5.0979805174002202</v>
      </c>
      <c r="AB65" s="670"/>
      <c r="AC65" s="738">
        <v>11.5674053935565</v>
      </c>
      <c r="AD65" s="670">
        <v>26.3860292848669</v>
      </c>
      <c r="AE65" s="670"/>
      <c r="AF65" s="670">
        <v>33.521957214353698</v>
      </c>
      <c r="AG65" s="670">
        <v>14.9951023761569</v>
      </c>
      <c r="AH65" s="670"/>
      <c r="AI65" s="738">
        <v>7.7896076647794397</v>
      </c>
      <c r="AJ65" s="9"/>
      <c r="AK65" s="258" t="str">
        <f t="shared" si="12"/>
        <v>1Q21</v>
      </c>
      <c r="AL65" s="737">
        <f t="shared" si="13"/>
        <v>33.466321243523304</v>
      </c>
      <c r="AM65" s="670">
        <v>22.475329167076101</v>
      </c>
      <c r="AN65" s="670">
        <v>20.593353168224599</v>
      </c>
      <c r="AO65" s="670">
        <v>22.034457060929199</v>
      </c>
      <c r="AP65" s="670">
        <v>15.0484698200582</v>
      </c>
      <c r="AQ65" s="738">
        <v>17.710061951419</v>
      </c>
      <c r="AR65" s="737">
        <f t="shared" si="14"/>
        <v>37.313691507799</v>
      </c>
      <c r="AS65" s="670">
        <v>20.958533907609201</v>
      </c>
      <c r="AT65" s="670">
        <v>20.7874310296456</v>
      </c>
      <c r="AU65" s="670">
        <v>19.019306099608301</v>
      </c>
      <c r="AV65" s="670">
        <v>14.6337362059905</v>
      </c>
      <c r="AW65" s="738">
        <v>13.4704370179949</v>
      </c>
      <c r="AX65" s="737">
        <f t="shared" si="15"/>
        <v>27.5730621932018</v>
      </c>
      <c r="AY65" s="670">
        <v>14.964076135473301</v>
      </c>
      <c r="AZ65" s="670">
        <v>13.0378810681472</v>
      </c>
      <c r="BA65" s="670">
        <v>13.237373175453</v>
      </c>
      <c r="BB65" s="670">
        <v>9.4429334346529998</v>
      </c>
      <c r="BC65" s="738">
        <v>9.6626506732740101</v>
      </c>
      <c r="BD65" s="737">
        <f t="shared" si="22"/>
        <v>26.3860292848669</v>
      </c>
      <c r="BE65" s="670">
        <v>12.700347002688099</v>
      </c>
      <c r="BF65" s="670">
        <v>13.273740829749199</v>
      </c>
      <c r="BG65" s="670">
        <v>11.9112839944216</v>
      </c>
      <c r="BH65" s="670">
        <v>9.2980473345789996</v>
      </c>
      <c r="BI65" s="738">
        <v>8.6781159357397808</v>
      </c>
      <c r="BJ65" s="9"/>
      <c r="BK65" s="258" t="str">
        <f t="shared" si="16"/>
        <v>1Q21</v>
      </c>
      <c r="BL65" s="737">
        <f t="shared" si="17"/>
        <v>33.466321243523304</v>
      </c>
      <c r="BM65" s="670">
        <v>20.835102571861299</v>
      </c>
      <c r="BN65" s="670">
        <v>15.761428299699</v>
      </c>
      <c r="BO65" s="670">
        <v>32.483285140441502</v>
      </c>
      <c r="BP65" s="670">
        <v>16.165528201573299</v>
      </c>
      <c r="BQ65" s="738">
        <v>17.8036123538146</v>
      </c>
      <c r="BR65" s="737">
        <f t="shared" si="18"/>
        <v>37.313691507799</v>
      </c>
      <c r="BS65" s="670">
        <v>21.336898395721899</v>
      </c>
      <c r="BT65" s="670">
        <v>20.8168507577704</v>
      </c>
      <c r="BU65" s="670">
        <v>20.106441243853801</v>
      </c>
      <c r="BV65" s="670">
        <v>16.634658775064899</v>
      </c>
      <c r="BW65" s="738">
        <v>15.6780308821281</v>
      </c>
      <c r="BX65" s="737">
        <f t="shared" si="19"/>
        <v>27.5730621932018</v>
      </c>
      <c r="BY65" s="670">
        <v>9.5962061947483903</v>
      </c>
      <c r="BZ65" s="670">
        <v>5.11271417938661</v>
      </c>
      <c r="CA65" s="670">
        <v>26.051184266846999</v>
      </c>
      <c r="CB65" s="670">
        <v>12.257617505758001</v>
      </c>
      <c r="CC65" s="738">
        <v>11.6439186851917</v>
      </c>
      <c r="CD65" s="737">
        <f t="shared" si="23"/>
        <v>26.3860292848669</v>
      </c>
      <c r="CE65" s="670">
        <v>9.4467034692216405</v>
      </c>
      <c r="CF65" s="670">
        <v>9.3415389650446894</v>
      </c>
      <c r="CG65" s="670">
        <v>17.722520144499502</v>
      </c>
      <c r="CH65" s="670">
        <v>11.4820845836601</v>
      </c>
      <c r="CI65" s="738">
        <v>9.5855066578281196</v>
      </c>
    </row>
    <row r="66" spans="1:87" ht="14.25" customHeight="1">
      <c r="A66" s="9"/>
      <c r="B66" s="9"/>
      <c r="C66" s="9" t="s">
        <v>797</v>
      </c>
      <c r="D66" s="9"/>
      <c r="E66" s="618">
        <f>AVERAGE(AM24:AQ35)</f>
        <v>17.224511078395345</v>
      </c>
      <c r="F66" s="618">
        <f>AVERAGE(AS24:AW35)</f>
        <v>14.896640295870613</v>
      </c>
      <c r="G66" s="618">
        <f>AVERAGE(AY24:BC35)</f>
        <v>8.9307838896084188</v>
      </c>
      <c r="H66" s="618">
        <f>AVERAGE(BE24:BI35)</f>
        <v>8.2881320038219322</v>
      </c>
      <c r="I66" s="64">
        <f>IF(I65+1=5,1,I65+1)</f>
        <v>2</v>
      </c>
      <c r="J66" s="3">
        <f t="shared" si="20"/>
        <v>2021</v>
      </c>
      <c r="K66" s="258" t="str">
        <f t="shared" si="11"/>
        <v>2Q21</v>
      </c>
      <c r="L66" s="737">
        <v>32.119341563786001</v>
      </c>
      <c r="M66" s="670"/>
      <c r="N66" s="670">
        <v>45.9744021122631</v>
      </c>
      <c r="O66" s="670">
        <v>6.1726534189235602</v>
      </c>
      <c r="P66" s="670"/>
      <c r="Q66" s="738">
        <v>15.3748753738784</v>
      </c>
      <c r="R66" s="737">
        <v>38.486193293885599</v>
      </c>
      <c r="S66" s="670">
        <v>61.993769470404999</v>
      </c>
      <c r="T66" s="670">
        <v>28.6054880791723</v>
      </c>
      <c r="U66" s="670">
        <v>18.606885508406702</v>
      </c>
      <c r="V66" s="670"/>
      <c r="W66" s="738">
        <v>9.2718855218855207</v>
      </c>
      <c r="X66" s="737">
        <v>30.778734837620998</v>
      </c>
      <c r="Y66" s="670"/>
      <c r="Z66" s="670">
        <v>23.414467644178799</v>
      </c>
      <c r="AA66" s="670">
        <v>4.5916058785307401</v>
      </c>
      <c r="AB66" s="670"/>
      <c r="AC66" s="738">
        <v>10.776445169510501</v>
      </c>
      <c r="AD66" s="670">
        <v>29.868208047500001</v>
      </c>
      <c r="AE66" s="670">
        <v>36.316027157990902</v>
      </c>
      <c r="AF66" s="670">
        <v>33.437247481526697</v>
      </c>
      <c r="AG66" s="670">
        <v>18.978642739867201</v>
      </c>
      <c r="AH66" s="670"/>
      <c r="AI66" s="738">
        <v>7.4819345957921</v>
      </c>
      <c r="AJ66" s="9"/>
      <c r="AK66" s="258" t="str">
        <f t="shared" si="12"/>
        <v>2Q21</v>
      </c>
      <c r="AL66" s="737">
        <f t="shared" si="13"/>
        <v>32.119341563786001</v>
      </c>
      <c r="AM66" s="670">
        <v>20.218534252416902</v>
      </c>
      <c r="AN66" s="670">
        <v>18.7777991734784</v>
      </c>
      <c r="AO66" s="670">
        <v>19.449682429963001</v>
      </c>
      <c r="AP66" s="670">
        <v>16.572022290843901</v>
      </c>
      <c r="AQ66" s="738">
        <v>17.710061951419</v>
      </c>
      <c r="AR66" s="737">
        <f t="shared" si="14"/>
        <v>38.486193293885599</v>
      </c>
      <c r="AS66" s="670">
        <v>19.8855246785566</v>
      </c>
      <c r="AT66" s="670">
        <v>19.339238904456298</v>
      </c>
      <c r="AU66" s="670">
        <v>18.3909754120508</v>
      </c>
      <c r="AV66" s="670">
        <v>15.9416418370492</v>
      </c>
      <c r="AW66" s="738">
        <v>13.3333333333333</v>
      </c>
      <c r="AX66" s="737">
        <f t="shared" si="15"/>
        <v>30.778734837620998</v>
      </c>
      <c r="AY66" s="670">
        <v>13.1266307559514</v>
      </c>
      <c r="AZ66" s="670">
        <v>12.3867992139277</v>
      </c>
      <c r="BA66" s="670">
        <v>11.466262650738599</v>
      </c>
      <c r="BB66" s="670">
        <v>10.687788081140001</v>
      </c>
      <c r="BC66" s="738">
        <v>9.6667809175315593</v>
      </c>
      <c r="BD66" s="737">
        <f t="shared" si="22"/>
        <v>29.868208047500001</v>
      </c>
      <c r="BE66" s="670">
        <v>12.4195386896497</v>
      </c>
      <c r="BF66" s="670">
        <v>12.663318332875701</v>
      </c>
      <c r="BG66" s="670">
        <v>11.541856278119299</v>
      </c>
      <c r="BH66" s="670">
        <v>10.2055491446263</v>
      </c>
      <c r="BI66" s="738">
        <v>8.5830829229704602</v>
      </c>
      <c r="BJ66" s="9"/>
      <c r="BK66" s="258" t="str">
        <f t="shared" si="16"/>
        <v>2Q21</v>
      </c>
      <c r="BL66" s="737">
        <f t="shared" si="17"/>
        <v>32.119341563786001</v>
      </c>
      <c r="BM66" s="670">
        <v>25.815956686658499</v>
      </c>
      <c r="BN66" s="670">
        <v>17.0264463502361</v>
      </c>
      <c r="BO66" s="670">
        <v>29.025166871739799</v>
      </c>
      <c r="BP66" s="670">
        <v>16.2119049357539</v>
      </c>
      <c r="BQ66" s="738">
        <v>17.3509445420435</v>
      </c>
      <c r="BR66" s="737">
        <f t="shared" si="18"/>
        <v>38.486193293885599</v>
      </c>
      <c r="BS66" s="670">
        <v>25.175836642087301</v>
      </c>
      <c r="BT66" s="670">
        <v>19.871944121071</v>
      </c>
      <c r="BU66" s="670">
        <v>18.931028236702101</v>
      </c>
      <c r="BV66" s="670">
        <v>16.638279736708501</v>
      </c>
      <c r="BW66" s="738">
        <v>15.468940316687</v>
      </c>
      <c r="BX66" s="737">
        <f t="shared" si="19"/>
        <v>30.778734837620998</v>
      </c>
      <c r="BY66" s="670">
        <v>12.1990038422253</v>
      </c>
      <c r="BZ66" s="670">
        <v>5.0333249197971401</v>
      </c>
      <c r="CA66" s="670">
        <v>24.0965972999172</v>
      </c>
      <c r="CB66" s="670">
        <v>12.327696931207401</v>
      </c>
      <c r="CC66" s="738">
        <v>11.5890282932563</v>
      </c>
      <c r="CD66" s="737">
        <f t="shared" si="23"/>
        <v>29.868208047500001</v>
      </c>
      <c r="CE66" s="670">
        <v>10.9486870372588</v>
      </c>
      <c r="CF66" s="670">
        <v>8.4251849217201293</v>
      </c>
      <c r="CG66" s="670">
        <v>16.1964084418045</v>
      </c>
      <c r="CH66" s="670">
        <v>11.286621192426299</v>
      </c>
      <c r="CI66" s="738">
        <v>9.3998419809461708</v>
      </c>
    </row>
    <row r="67" spans="1:87" ht="14.25" customHeight="1">
      <c r="A67" s="9"/>
      <c r="B67" s="9"/>
      <c r="C67" s="9" t="s">
        <v>798</v>
      </c>
      <c r="D67" s="9"/>
      <c r="E67" s="618">
        <f>AVERAGE(AM36:AQ75)</f>
        <v>16.187707655771675</v>
      </c>
      <c r="F67" s="618">
        <f>AVERAGE(AS36:AW75)</f>
        <v>13.567451413503498</v>
      </c>
      <c r="G67" s="618">
        <f>AVERAGE(AY36:BC75)</f>
        <v>8.6942664150866467</v>
      </c>
      <c r="H67" s="618">
        <f>AVERAGE(BE36:BI75)</f>
        <v>8.2278336539548018</v>
      </c>
      <c r="I67" s="64">
        <f>IF(I66=4,1,I66+1)</f>
        <v>3</v>
      </c>
      <c r="J67" s="3">
        <f t="shared" si="20"/>
        <v>2021</v>
      </c>
      <c r="K67" s="258" t="str">
        <f t="shared" si="11"/>
        <v>3Q21</v>
      </c>
      <c r="L67" s="737">
        <v>31.49439406187</v>
      </c>
      <c r="M67" s="670"/>
      <c r="N67" s="670">
        <v>46.242796289302099</v>
      </c>
      <c r="O67" s="670">
        <v>5.7580550050139401</v>
      </c>
      <c r="P67" s="670"/>
      <c r="Q67" s="738">
        <v>13.138260869565199</v>
      </c>
      <c r="R67" s="737">
        <v>34.893617021276597</v>
      </c>
      <c r="S67" s="670">
        <v>44.987244897959201</v>
      </c>
      <c r="T67" s="670">
        <v>29.818255250403901</v>
      </c>
      <c r="U67" s="670">
        <v>14.592592592592601</v>
      </c>
      <c r="V67" s="670"/>
      <c r="W67" s="738">
        <v>8.7940166462953293</v>
      </c>
      <c r="X67" s="737">
        <v>30.2782515535262</v>
      </c>
      <c r="Y67" s="670"/>
      <c r="Z67" s="670">
        <v>26.1077574897174</v>
      </c>
      <c r="AA67" s="670">
        <v>4.1652681284692497</v>
      </c>
      <c r="AB67" s="670"/>
      <c r="AC67" s="738">
        <v>10.0748010633164</v>
      </c>
      <c r="AD67" s="670">
        <v>31.952832045804701</v>
      </c>
      <c r="AE67" s="670">
        <v>28.4826374053386</v>
      </c>
      <c r="AF67" s="670">
        <v>35.332733322041001</v>
      </c>
      <c r="AG67" s="670">
        <v>15.583082416600799</v>
      </c>
      <c r="AH67" s="670"/>
      <c r="AI67" s="738">
        <v>7.3109825388937297</v>
      </c>
      <c r="AJ67" s="9"/>
      <c r="AK67" s="258" t="str">
        <f t="shared" si="12"/>
        <v>3Q21</v>
      </c>
      <c r="AL67" s="737">
        <f t="shared" si="13"/>
        <v>31.49439406187</v>
      </c>
      <c r="AM67" s="670">
        <v>20.668809737379402</v>
      </c>
      <c r="AN67" s="670">
        <v>15.9005325905884</v>
      </c>
      <c r="AO67" s="670">
        <v>20.3173920023305</v>
      </c>
      <c r="AP67" s="670">
        <v>20.006952491309399</v>
      </c>
      <c r="AQ67" s="738">
        <v>20.5307092900158</v>
      </c>
      <c r="AR67" s="737">
        <f t="shared" si="14"/>
        <v>34.893617021276597</v>
      </c>
      <c r="AS67" s="670">
        <v>20.4015998693984</v>
      </c>
      <c r="AT67" s="670">
        <v>19.895637296834899</v>
      </c>
      <c r="AU67" s="670">
        <v>19.111709286675602</v>
      </c>
      <c r="AV67" s="670">
        <v>17.639967306906399</v>
      </c>
      <c r="AW67" s="738">
        <v>14.750623441396501</v>
      </c>
      <c r="AX67" s="737">
        <f t="shared" si="15"/>
        <v>30.2782515535262</v>
      </c>
      <c r="AY67" s="670">
        <v>12.074723405307701</v>
      </c>
      <c r="AZ67" s="670">
        <v>12.195018424916301</v>
      </c>
      <c r="BA67" s="670">
        <v>11.569258386006201</v>
      </c>
      <c r="BB67" s="670">
        <v>12.928671491471199</v>
      </c>
      <c r="BC67" s="738">
        <v>10.222826802459499</v>
      </c>
      <c r="BD67" s="737">
        <f t="shared" si="22"/>
        <v>31.952832045804701</v>
      </c>
      <c r="BE67" s="670">
        <v>11.8871481239925</v>
      </c>
      <c r="BF67" s="670">
        <v>11.964258549333101</v>
      </c>
      <c r="BG67" s="670">
        <v>11.817655580723001</v>
      </c>
      <c r="BH67" s="670">
        <v>11.2019939501488</v>
      </c>
      <c r="BI67" s="738">
        <v>8.8425288587657693</v>
      </c>
      <c r="BJ67" s="9"/>
      <c r="BK67" s="258" t="str">
        <f t="shared" si="16"/>
        <v>3Q21</v>
      </c>
      <c r="BL67" s="737">
        <f t="shared" si="17"/>
        <v>31.49439406187</v>
      </c>
      <c r="BM67" s="670">
        <v>28.066034167082801</v>
      </c>
      <c r="BN67" s="670">
        <v>21.307420333945799</v>
      </c>
      <c r="BO67" s="670">
        <v>26.889103128374899</v>
      </c>
      <c r="BP67" s="670">
        <v>16.423273947979698</v>
      </c>
      <c r="BQ67" s="738">
        <v>17.1725751374574</v>
      </c>
      <c r="BR67" s="737">
        <f t="shared" si="18"/>
        <v>34.893617021276597</v>
      </c>
      <c r="BS67" s="670">
        <v>28.456581773550202</v>
      </c>
      <c r="BT67" s="670">
        <v>23.082437275985701</v>
      </c>
      <c r="BU67" s="670">
        <v>20.345307595445401</v>
      </c>
      <c r="BV67" s="670">
        <v>16.801093827897802</v>
      </c>
      <c r="BW67" s="738">
        <v>16.611607819366601</v>
      </c>
      <c r="BX67" s="737">
        <f t="shared" si="19"/>
        <v>30.2782515535262</v>
      </c>
      <c r="BY67" s="670">
        <v>13.7639728827608</v>
      </c>
      <c r="BZ67" s="670">
        <v>7.5504903192001098</v>
      </c>
      <c r="CA67" s="670">
        <v>23.121079340232299</v>
      </c>
      <c r="CB67" s="670">
        <v>12.2357248665092</v>
      </c>
      <c r="CC67" s="738">
        <v>10.7451877747124</v>
      </c>
      <c r="CD67" s="737">
        <f t="shared" si="23"/>
        <v>31.952832045804701</v>
      </c>
      <c r="CE67" s="670">
        <v>11.1463692074734</v>
      </c>
      <c r="CF67" s="670">
        <v>12.6304413193167</v>
      </c>
      <c r="CG67" s="670">
        <v>16.374575188527999</v>
      </c>
      <c r="CH67" s="670">
        <v>10.8915082737996</v>
      </c>
      <c r="CI67" s="738">
        <v>10.199528117422799</v>
      </c>
    </row>
    <row r="68" spans="1:87" ht="14.25" customHeight="1">
      <c r="A68" s="9"/>
      <c r="B68" s="9"/>
      <c r="C68" s="9" t="s">
        <v>799</v>
      </c>
      <c r="D68" s="9"/>
      <c r="E68" s="618">
        <f>AVERAGE(AM36:AQ51)</f>
        <v>10.627759634939974</v>
      </c>
      <c r="F68" s="618">
        <f>AVERAGE(AS36:AW51)</f>
        <v>9.4357996494058476</v>
      </c>
      <c r="G68" s="618">
        <f>AVERAGE(AY36:BC51)</f>
        <v>5.6313878399053614</v>
      </c>
      <c r="H68" s="618">
        <f>AVERAGE(BE36:BI51)</f>
        <v>5.4314602700251715</v>
      </c>
      <c r="I68" s="64">
        <f>I64</f>
        <v>4</v>
      </c>
      <c r="J68" s="3">
        <f t="shared" si="20"/>
        <v>2021</v>
      </c>
      <c r="K68" s="258" t="str">
        <f t="shared" si="11"/>
        <v>4Q21</v>
      </c>
      <c r="L68" s="737">
        <v>25.818465473044299</v>
      </c>
      <c r="N68" s="670">
        <v>43.773423117236497</v>
      </c>
      <c r="O68" s="670">
        <v>6.4503015427852404</v>
      </c>
      <c r="P68" s="670"/>
      <c r="Q68" s="738">
        <v>12.529322162985499</v>
      </c>
      <c r="R68" s="737">
        <v>34.725609756097597</v>
      </c>
      <c r="S68" s="670">
        <v>36.595744680851098</v>
      </c>
      <c r="T68" s="670">
        <v>33.212096444626098</v>
      </c>
      <c r="U68" s="670">
        <v>13.2801161103048</v>
      </c>
      <c r="V68" s="670"/>
      <c r="W68" s="738">
        <v>9.0919641870233203</v>
      </c>
      <c r="X68" s="737">
        <v>26.9421416710538</v>
      </c>
      <c r="Y68" s="670"/>
      <c r="Z68" s="670"/>
      <c r="AA68" s="670">
        <v>4.5213852226242697</v>
      </c>
      <c r="AB68" s="670"/>
      <c r="AC68" s="738">
        <v>10.4451653076532</v>
      </c>
      <c r="AD68" s="670">
        <v>31.6235908912365</v>
      </c>
      <c r="AE68" s="670">
        <v>25.084650798566301</v>
      </c>
      <c r="AF68" s="670">
        <v>42.2915097004187</v>
      </c>
      <c r="AG68" s="670">
        <v>13.7855015503185</v>
      </c>
      <c r="AH68" s="670"/>
      <c r="AI68" s="738">
        <v>6.9615991221642597</v>
      </c>
      <c r="AJ68" s="9"/>
      <c r="AK68" s="258" t="str">
        <f t="shared" si="12"/>
        <v>4Q21</v>
      </c>
      <c r="AL68" s="737">
        <f t="shared" si="13"/>
        <v>25.818465473044299</v>
      </c>
      <c r="AM68" s="670">
        <v>21.591940880684898</v>
      </c>
      <c r="AN68" s="670">
        <v>16.3220713054363</v>
      </c>
      <c r="AO68" s="670">
        <v>20.9216903189234</v>
      </c>
      <c r="AP68" s="670">
        <v>20.7308970099668</v>
      </c>
      <c r="AQ68" s="738">
        <v>22.300897242324801</v>
      </c>
      <c r="AR68" s="737">
        <f t="shared" si="14"/>
        <v>34.725609756097597</v>
      </c>
      <c r="AS68" s="670">
        <v>21.109095211800899</v>
      </c>
      <c r="AT68" s="670">
        <v>20.016832183134198</v>
      </c>
      <c r="AU68" s="670">
        <v>20.596974608319801</v>
      </c>
      <c r="AV68" s="670">
        <v>19.1940941248847</v>
      </c>
      <c r="AW68" s="738">
        <v>14.7025171624714</v>
      </c>
      <c r="AX68" s="737">
        <f t="shared" si="15"/>
        <v>26.9421416710538</v>
      </c>
      <c r="AY68" s="670">
        <v>12.2299186581744</v>
      </c>
      <c r="AZ68" s="670">
        <v>12.2332703953318</v>
      </c>
      <c r="BA68" s="670">
        <v>11.5069141760127</v>
      </c>
      <c r="BB68" s="670">
        <v>13.594794257068299</v>
      </c>
      <c r="BC68" s="738">
        <v>11.0410116059098</v>
      </c>
      <c r="BD68" s="737">
        <f t="shared" si="22"/>
        <v>31.6235908912365</v>
      </c>
      <c r="BE68" s="670">
        <v>12.6639328350543</v>
      </c>
      <c r="BF68" s="670">
        <v>12.5960409466614</v>
      </c>
      <c r="BG68" s="670">
        <v>12.3328687695918</v>
      </c>
      <c r="BH68" s="670">
        <v>12.4744740331326</v>
      </c>
      <c r="BI68" s="738">
        <v>9.4987184392038593</v>
      </c>
      <c r="BJ68" s="9"/>
      <c r="BK68" s="258" t="str">
        <f t="shared" si="16"/>
        <v>4Q21</v>
      </c>
      <c r="BL68" s="737">
        <f t="shared" si="17"/>
        <v>25.818465473044299</v>
      </c>
      <c r="BM68" s="670">
        <v>23.6974210277568</v>
      </c>
      <c r="BN68" s="670">
        <v>23.589525782489201</v>
      </c>
      <c r="BO68" s="670">
        <v>25.791558894553301</v>
      </c>
      <c r="BP68" s="670">
        <v>17.307023437642702</v>
      </c>
      <c r="BQ68" s="738">
        <v>17.537528451010001</v>
      </c>
      <c r="BR68" s="737">
        <f t="shared" si="18"/>
        <v>34.725609756097597</v>
      </c>
      <c r="BS68" s="670">
        <v>29.616858237547898</v>
      </c>
      <c r="BT68" s="670">
        <v>22.745507730881702</v>
      </c>
      <c r="BU68" s="670">
        <v>17.6495944054221</v>
      </c>
      <c r="BV68" s="670">
        <v>16.987359911395298</v>
      </c>
      <c r="BW68" s="738">
        <v>17.128682643871201</v>
      </c>
      <c r="BX68" s="737">
        <f t="shared" si="19"/>
        <v>26.9421416710538</v>
      </c>
      <c r="BY68" s="670">
        <v>13.8194579192422</v>
      </c>
      <c r="BZ68" s="670">
        <v>7.9942188901472404</v>
      </c>
      <c r="CA68" s="670">
        <v>22.026197427592699</v>
      </c>
      <c r="CB68" s="670">
        <v>13.3849672643896</v>
      </c>
      <c r="CC68" s="738">
        <v>10.5374575768322</v>
      </c>
      <c r="CD68" s="737">
        <f t="shared" si="23"/>
        <v>31.6235908912365</v>
      </c>
      <c r="CE68" s="670">
        <v>10.810994531561599</v>
      </c>
      <c r="CF68" s="670">
        <v>11.5073082924952</v>
      </c>
      <c r="CG68" s="670">
        <v>16.071896079336099</v>
      </c>
      <c r="CH68" s="670">
        <v>11.679860272055899</v>
      </c>
      <c r="CI68" s="738">
        <v>10.218256912726</v>
      </c>
    </row>
    <row r="69" spans="1:87" ht="14.25" customHeight="1">
      <c r="A69" s="9"/>
      <c r="B69" s="9"/>
      <c r="C69" s="9" t="s">
        <v>800</v>
      </c>
      <c r="D69" s="9"/>
      <c r="E69" s="618">
        <f>AVERAGE(AM48:AQ63)</f>
        <v>17.086430719061759</v>
      </c>
      <c r="F69" s="618">
        <f>AVERAGE(AS48:AW63)</f>
        <v>13.060402390627019</v>
      </c>
      <c r="G69" s="618">
        <f>AVERAGE(AY48:BC63)</f>
        <v>8.3890089185246133</v>
      </c>
      <c r="H69" s="618">
        <f>AVERAGE(BE48:BI63)</f>
        <v>7.6783842052479061</v>
      </c>
      <c r="I69" s="64">
        <f>IF(I68=4,1,I68+1)</f>
        <v>1</v>
      </c>
      <c r="J69" s="3">
        <f t="shared" si="20"/>
        <v>2022</v>
      </c>
      <c r="K69" s="258" t="str">
        <f t="shared" si="11"/>
        <v>1Q22</v>
      </c>
      <c r="L69" s="737">
        <v>19.936069195694099</v>
      </c>
      <c r="M69" s="670">
        <v>16.966437529163301</v>
      </c>
      <c r="N69" s="670">
        <v>40.826788967770298</v>
      </c>
      <c r="O69" s="670">
        <v>6.3495286341542103</v>
      </c>
      <c r="P69" s="670"/>
      <c r="Q69" s="738">
        <v>10.7104863221884</v>
      </c>
      <c r="R69" s="737">
        <v>28.3678929765886</v>
      </c>
      <c r="S69" s="670">
        <v>34.442649434571898</v>
      </c>
      <c r="T69" s="670">
        <v>24.2622461170848</v>
      </c>
      <c r="U69" s="670">
        <v>11.473140980530101</v>
      </c>
      <c r="V69" s="670">
        <v>18.4455324357405</v>
      </c>
      <c r="W69" s="738">
        <v>7.2282051282051301</v>
      </c>
      <c r="X69" s="737">
        <v>32.881638874411102</v>
      </c>
      <c r="Y69" s="670"/>
      <c r="Z69" s="670"/>
      <c r="AA69" s="670">
        <v>4.7857494278009103</v>
      </c>
      <c r="AB69" s="670">
        <v>2.1294675336740498</v>
      </c>
      <c r="AC69" s="738">
        <v>9.4154216839934808</v>
      </c>
      <c r="AD69" s="670">
        <v>28.580038003001398</v>
      </c>
      <c r="AE69" s="670">
        <v>30.106419619891899</v>
      </c>
      <c r="AF69" s="670">
        <v>30.7609202969956</v>
      </c>
      <c r="AG69" s="670">
        <v>12.5578366751713</v>
      </c>
      <c r="AH69" s="670">
        <v>21.065565826809301</v>
      </c>
      <c r="AI69" s="738">
        <v>6.73678761390285</v>
      </c>
      <c r="AJ69" s="9"/>
      <c r="AK69" s="258" t="str">
        <f t="shared" si="12"/>
        <v>1Q22</v>
      </c>
      <c r="AL69" s="737">
        <f t="shared" si="13"/>
        <v>19.936069195694099</v>
      </c>
      <c r="AM69" s="670">
        <v>21.784416902937199</v>
      </c>
      <c r="AN69" s="670">
        <v>17.250068540648599</v>
      </c>
      <c r="AO69" s="670">
        <v>22.120547945205502</v>
      </c>
      <c r="AP69" s="670">
        <v>21.579520697167801</v>
      </c>
      <c r="AQ69" s="738">
        <v>18.736782952041501</v>
      </c>
      <c r="AR69" s="737">
        <f t="shared" si="14"/>
        <v>28.3678929765886</v>
      </c>
      <c r="AS69" s="670">
        <v>22.1397240609299</v>
      </c>
      <c r="AT69" s="670">
        <v>20.814886888834799</v>
      </c>
      <c r="AU69" s="670">
        <v>21.559412550066799</v>
      </c>
      <c r="AV69" s="670">
        <v>20.203977562468101</v>
      </c>
      <c r="AW69" s="738">
        <v>14.4305239179954</v>
      </c>
      <c r="AX69" s="737">
        <f t="shared" si="15"/>
        <v>32.881638874411102</v>
      </c>
      <c r="AY69" s="670">
        <v>12.0202300603609</v>
      </c>
      <c r="AZ69" s="670">
        <v>12.6144758164482</v>
      </c>
      <c r="BA69" s="670">
        <v>11.7393095004713</v>
      </c>
      <c r="BB69" s="670">
        <v>14.265995216413099</v>
      </c>
      <c r="BC69" s="738">
        <v>10.3526050422766</v>
      </c>
      <c r="BD69" s="737">
        <f t="shared" si="22"/>
        <v>28.580038003001398</v>
      </c>
      <c r="BE69" s="670">
        <v>13.3289772635557</v>
      </c>
      <c r="BF69" s="670">
        <v>13.1897408687117</v>
      </c>
      <c r="BG69" s="670">
        <v>12.849733579212099</v>
      </c>
      <c r="BH69" s="670">
        <v>13.133248032386</v>
      </c>
      <c r="BI69" s="738">
        <v>9.4087010231322701</v>
      </c>
      <c r="BJ69" s="9"/>
      <c r="BK69" s="258" t="str">
        <f t="shared" si="16"/>
        <v>1Q22</v>
      </c>
      <c r="BL69" s="737">
        <f t="shared" si="17"/>
        <v>19.936069195694099</v>
      </c>
      <c r="BM69" s="670">
        <v>24.742040170703</v>
      </c>
      <c r="BN69" s="670">
        <v>24.021492034170802</v>
      </c>
      <c r="BO69" s="670">
        <v>23.4933771233793</v>
      </c>
      <c r="BP69" s="670">
        <v>18.0285981640464</v>
      </c>
      <c r="BQ69" s="738">
        <v>18.379104744491201</v>
      </c>
      <c r="BR69" s="737">
        <f t="shared" si="18"/>
        <v>28.3678929765886</v>
      </c>
      <c r="BS69" s="670">
        <v>25.962792945155801</v>
      </c>
      <c r="BT69" s="670">
        <v>19.639281741617701</v>
      </c>
      <c r="BU69" s="670">
        <v>15.870049091686999</v>
      </c>
      <c r="BV69" s="670">
        <v>18.0227065984269</v>
      </c>
      <c r="BW69" s="738">
        <v>18.523968446601899</v>
      </c>
      <c r="BX69" s="737">
        <f t="shared" si="19"/>
        <v>32.881638874411102</v>
      </c>
      <c r="BY69" s="670">
        <v>14.326424404120401</v>
      </c>
      <c r="BZ69" s="670">
        <v>7.1606597322998997</v>
      </c>
      <c r="CA69" s="670">
        <v>25.6475468440842</v>
      </c>
      <c r="CB69" s="670">
        <v>14.752252083434</v>
      </c>
      <c r="CC69" s="738">
        <v>11.3109397504525</v>
      </c>
      <c r="CD69" s="737">
        <f t="shared" si="23"/>
        <v>28.580038003001398</v>
      </c>
      <c r="CE69" s="670">
        <v>11.112001785686999</v>
      </c>
      <c r="CF69" s="670">
        <v>11.7841043437958</v>
      </c>
      <c r="CG69" s="670">
        <v>15.946937408692801</v>
      </c>
      <c r="CH69" s="670">
        <v>12.6190343687216</v>
      </c>
      <c r="CI69" s="738">
        <v>10.944111913626999</v>
      </c>
    </row>
    <row r="70" spans="1:87" ht="14.25" customHeight="1">
      <c r="A70" s="9"/>
      <c r="B70" s="9"/>
      <c r="C70" s="9" t="s">
        <v>801</v>
      </c>
      <c r="D70" s="9"/>
      <c r="E70" s="618">
        <f>AVERAGE(AM60:AQ75)</f>
        <v>19.526720332021341</v>
      </c>
      <c r="F70" s="618">
        <f>AVERAGE(AS60:AW75)</f>
        <v>17.863020065982958</v>
      </c>
      <c r="G70" s="618">
        <f>AVERAGE(AY60:BC75)</f>
        <v>11.701290624943695</v>
      </c>
      <c r="H70" s="618">
        <f>AVERAGE(BE60:BI75)</f>
        <v>11.295095761117661</v>
      </c>
      <c r="I70" s="64">
        <f>IF(I69+1=5,1,I69+1)</f>
        <v>2</v>
      </c>
      <c r="J70" s="3">
        <f t="shared" si="20"/>
        <v>2022</v>
      </c>
      <c r="K70" s="258" t="str">
        <f t="shared" si="11"/>
        <v>2Q22</v>
      </c>
      <c r="L70" s="737">
        <v>24.501858211279199</v>
      </c>
      <c r="M70" s="670">
        <v>10.959567479395099</v>
      </c>
      <c r="N70" s="670">
        <v>32.502349360813803</v>
      </c>
      <c r="O70" s="670">
        <v>5.4733742643532599</v>
      </c>
      <c r="P70" s="670"/>
      <c r="Q70" s="738">
        <v>8.7735139202407808</v>
      </c>
      <c r="R70" s="737">
        <v>26.991404011461299</v>
      </c>
      <c r="S70" s="670">
        <v>28.1639566395664</v>
      </c>
      <c r="T70" s="670">
        <v>17.746566791510599</v>
      </c>
      <c r="U70" s="670">
        <v>7.9969689315483699</v>
      </c>
      <c r="V70" s="670">
        <v>14.2491060786651</v>
      </c>
      <c r="W70" s="738">
        <v>6.26848018923714</v>
      </c>
      <c r="X70" s="737">
        <v>24.699545985747299</v>
      </c>
      <c r="Y70" s="670"/>
      <c r="Z70" s="670"/>
      <c r="AA70" s="670">
        <v>4.2515131831257298</v>
      </c>
      <c r="AB70" s="670">
        <v>1.6613215252878799</v>
      </c>
      <c r="AC70" s="738">
        <v>7.9368242708794501</v>
      </c>
      <c r="AD70" s="670">
        <v>33.029336698471603</v>
      </c>
      <c r="AE70" s="670">
        <v>24.259555786740599</v>
      </c>
      <c r="AF70" s="670">
        <v>35.770916839592999</v>
      </c>
      <c r="AG70" s="670">
        <v>14.7081278468023</v>
      </c>
      <c r="AH70" s="670">
        <v>15.944099200044</v>
      </c>
      <c r="AI70" s="738">
        <v>7.2499588553293304</v>
      </c>
      <c r="AJ70" s="9"/>
      <c r="AK70" s="258" t="str">
        <f t="shared" si="12"/>
        <v>2Q22</v>
      </c>
      <c r="AL70" s="737">
        <f t="shared" si="13"/>
        <v>24.501858211279199</v>
      </c>
      <c r="AM70" s="670">
        <v>24.245630293402701</v>
      </c>
      <c r="AN70" s="670">
        <v>18.926855452818401</v>
      </c>
      <c r="AO70" s="670">
        <v>25.111709286675602</v>
      </c>
      <c r="AP70" s="670">
        <v>22.0107066381156</v>
      </c>
      <c r="AQ70" s="738">
        <v>18.677629730409201</v>
      </c>
      <c r="AR70" s="737">
        <f t="shared" si="14"/>
        <v>26.991404011461299</v>
      </c>
      <c r="AS70" s="670">
        <v>24.559917682444201</v>
      </c>
      <c r="AT70" s="670">
        <v>22.898527656187799</v>
      </c>
      <c r="AU70" s="670">
        <v>24.575869336143299</v>
      </c>
      <c r="AV70" s="670">
        <v>20.983974686128398</v>
      </c>
      <c r="AW70" s="738">
        <v>14.7202797202797</v>
      </c>
      <c r="AX70" s="737">
        <f t="shared" si="15"/>
        <v>24.699545985747299</v>
      </c>
      <c r="AY70" s="670">
        <v>12.9700972455721</v>
      </c>
      <c r="AZ70" s="670">
        <v>13.7961004266903</v>
      </c>
      <c r="BA70" s="670">
        <v>12.589375476923101</v>
      </c>
      <c r="BB70" s="670">
        <v>14.538753651645001</v>
      </c>
      <c r="BC70" s="738">
        <v>10.3251758897163</v>
      </c>
      <c r="BD70" s="737">
        <f t="shared" si="22"/>
        <v>33.029336698471603</v>
      </c>
      <c r="BE70" s="670">
        <v>14.403700175227801</v>
      </c>
      <c r="BF70" s="670">
        <v>14.572876084436899</v>
      </c>
      <c r="BG70" s="670">
        <v>14.6792074636279</v>
      </c>
      <c r="BH70" s="670">
        <v>13.6358243911247</v>
      </c>
      <c r="BI70" s="738">
        <v>9.4601225986614104</v>
      </c>
      <c r="BJ70" s="9"/>
      <c r="BK70" s="258" t="str">
        <f t="shared" si="16"/>
        <v>2Q22</v>
      </c>
      <c r="BL70" s="737">
        <f t="shared" si="17"/>
        <v>24.501858211279199</v>
      </c>
      <c r="BM70" s="670">
        <v>22.911092065994101</v>
      </c>
      <c r="BN70" s="670">
        <v>22.684546980981001</v>
      </c>
      <c r="BO70" s="670">
        <v>23.0472722740321</v>
      </c>
      <c r="BP70" s="670">
        <v>18.562480488484098</v>
      </c>
      <c r="BQ70" s="738">
        <v>17.196000181915</v>
      </c>
      <c r="BR70" s="737">
        <f t="shared" si="18"/>
        <v>26.991404011461299</v>
      </c>
      <c r="BS70" s="670">
        <v>24.196740395809101</v>
      </c>
      <c r="BT70" s="670">
        <v>19.250459840588601</v>
      </c>
      <c r="BU70" s="670">
        <v>14.9761977139175</v>
      </c>
      <c r="BV70" s="670">
        <v>19.154446768158</v>
      </c>
      <c r="BW70" s="738">
        <v>17.6816450875857</v>
      </c>
      <c r="BX70" s="737">
        <f t="shared" si="19"/>
        <v>24.699545985747299</v>
      </c>
      <c r="BY70" s="670">
        <v>13.667693155228401</v>
      </c>
      <c r="BZ70" s="670">
        <v>7.4503412945722296</v>
      </c>
      <c r="CA70" s="670">
        <v>30.114087931275598</v>
      </c>
      <c r="CB70" s="670">
        <v>15.5163968058044</v>
      </c>
      <c r="CC70" s="738">
        <v>11.1544756048268</v>
      </c>
      <c r="CD70" s="737">
        <f t="shared" si="23"/>
        <v>33.029336698471603</v>
      </c>
      <c r="CE70" s="670">
        <v>11.266430673689401</v>
      </c>
      <c r="CF70" s="670">
        <v>12.2155263486962</v>
      </c>
      <c r="CG70" s="670">
        <v>15.5063637404971</v>
      </c>
      <c r="CH70" s="670">
        <v>13.3370545414741</v>
      </c>
      <c r="CI70" s="738">
        <v>10.5691443030444</v>
      </c>
    </row>
    <row r="71" spans="1:87" ht="14.25" customHeight="1">
      <c r="A71" s="9"/>
      <c r="B71" s="9"/>
      <c r="C71" s="9"/>
      <c r="D71" s="9"/>
      <c r="E71" s="9"/>
      <c r="F71" s="9"/>
      <c r="G71" s="9"/>
      <c r="H71" s="9"/>
      <c r="I71" s="64">
        <f>IF(I70=4,1,I70+1)</f>
        <v>3</v>
      </c>
      <c r="J71" s="3">
        <f t="shared" si="20"/>
        <v>2022</v>
      </c>
      <c r="K71" s="258" t="str">
        <f t="shared" si="11"/>
        <v>3Q22</v>
      </c>
      <c r="L71" s="737">
        <v>22.413228125425899</v>
      </c>
      <c r="M71" s="670">
        <v>9.2318151212108805</v>
      </c>
      <c r="N71" s="670">
        <v>40.722313264036401</v>
      </c>
      <c r="O71" s="670">
        <v>5.1047248930605598</v>
      </c>
      <c r="Q71" s="738">
        <v>8.5446906035141303</v>
      </c>
      <c r="R71" s="737">
        <v>18.020517603170902</v>
      </c>
      <c r="S71" s="670">
        <v>20.4579207920792</v>
      </c>
      <c r="T71" s="670">
        <v>19.311097256857899</v>
      </c>
      <c r="U71" s="670">
        <v>6.4166873603178498</v>
      </c>
      <c r="V71" s="670">
        <v>15.188216039279901</v>
      </c>
      <c r="W71" s="738">
        <v>6.0659471771788098</v>
      </c>
      <c r="X71" s="737">
        <v>19.103018596340998</v>
      </c>
      <c r="Y71" s="670"/>
      <c r="Z71" s="670">
        <v>25.271231432301398</v>
      </c>
      <c r="AA71" s="670">
        <v>3.98675930314774</v>
      </c>
      <c r="AB71" s="670">
        <v>1.9577852810866201</v>
      </c>
      <c r="AC71" s="738">
        <v>7.7804025586873804</v>
      </c>
      <c r="AD71" s="670">
        <v>26.1278613216232</v>
      </c>
      <c r="AE71" s="670">
        <v>18.206015123453799</v>
      </c>
      <c r="AF71" s="670">
        <v>43.468510891221101</v>
      </c>
      <c r="AG71" s="670">
        <v>4.4838099756695202</v>
      </c>
      <c r="AH71" s="670">
        <v>14.0294354606485</v>
      </c>
      <c r="AI71" s="738">
        <v>7.3599366583975296</v>
      </c>
      <c r="AJ71" s="9"/>
      <c r="AK71" s="258" t="str">
        <f t="shared" si="12"/>
        <v>3Q22</v>
      </c>
      <c r="AL71" s="737">
        <f t="shared" si="13"/>
        <v>22.413228125425899</v>
      </c>
      <c r="AM71" s="670">
        <v>24.598213221955302</v>
      </c>
      <c r="AN71" s="670">
        <v>21.862621869104199</v>
      </c>
      <c r="AO71" s="670">
        <v>24.9480221869395</v>
      </c>
      <c r="AP71" s="670">
        <v>21.303664921466002</v>
      </c>
      <c r="AQ71" s="738">
        <v>22.038037730043701</v>
      </c>
      <c r="AR71" s="737">
        <f t="shared" si="14"/>
        <v>18.020517603170902</v>
      </c>
      <c r="AS71" s="670">
        <v>24.500152625152602</v>
      </c>
      <c r="AT71" s="670">
        <v>23.289573531643601</v>
      </c>
      <c r="AU71" s="670">
        <v>24.616695059625201</v>
      </c>
      <c r="AV71" s="670">
        <v>20.707379134859998</v>
      </c>
      <c r="AW71" s="738">
        <v>13.419203747072601</v>
      </c>
      <c r="AX71" s="737">
        <f t="shared" si="15"/>
        <v>19.103018596340998</v>
      </c>
      <c r="AY71" s="670">
        <v>13.040938255454099</v>
      </c>
      <c r="AZ71" s="670">
        <v>15.552757560763199</v>
      </c>
      <c r="BA71" s="670">
        <v>11.8107075820958</v>
      </c>
      <c r="BB71" s="670">
        <v>13.201985791394099</v>
      </c>
      <c r="BC71" s="738">
        <v>9.3627293419853004</v>
      </c>
      <c r="BD71" s="737">
        <f t="shared" si="22"/>
        <v>26.1278613216232</v>
      </c>
      <c r="BE71" s="670">
        <v>14.363320845507699</v>
      </c>
      <c r="BF71" s="670">
        <v>13.597737754988501</v>
      </c>
      <c r="BG71" s="670">
        <v>13.6092786505394</v>
      </c>
      <c r="BH71" s="670">
        <v>12.6617017462373</v>
      </c>
      <c r="BI71" s="738">
        <v>8.0837870522272794</v>
      </c>
      <c r="BJ71" s="9"/>
      <c r="BK71" s="258" t="str">
        <f t="shared" si="16"/>
        <v>3Q22</v>
      </c>
      <c r="BL71" s="737">
        <f t="shared" si="17"/>
        <v>22.413228125425899</v>
      </c>
      <c r="BM71" s="670">
        <v>22.941199164636402</v>
      </c>
      <c r="BN71" s="670">
        <v>25.1826307908707</v>
      </c>
      <c r="BO71" s="670">
        <v>742.46799442280303</v>
      </c>
      <c r="BP71" s="670">
        <v>51.539734556059202</v>
      </c>
      <c r="BQ71" s="738">
        <v>18.773529455913501</v>
      </c>
      <c r="BR71" s="737">
        <f t="shared" si="18"/>
        <v>18.020517603170902</v>
      </c>
      <c r="BS71" s="670">
        <v>24.4120836560806</v>
      </c>
      <c r="BT71" s="670">
        <v>19.315068493150701</v>
      </c>
      <c r="BU71" s="670">
        <v>15.750081624413101</v>
      </c>
      <c r="BV71" s="670">
        <v>20.6897066816639</v>
      </c>
      <c r="BW71" s="738">
        <v>19.252942952007199</v>
      </c>
      <c r="BX71" s="737">
        <f t="shared" si="19"/>
        <v>19.103018596340998</v>
      </c>
      <c r="BY71" s="670">
        <v>12.8627005385798</v>
      </c>
      <c r="BZ71" s="670">
        <v>8.3525767950180292</v>
      </c>
      <c r="CA71" s="670">
        <v>24.2403751473379</v>
      </c>
      <c r="CB71" s="670">
        <v>16.729522716731399</v>
      </c>
      <c r="CC71" s="738">
        <v>11.7565902366369</v>
      </c>
      <c r="CD71" s="737">
        <f t="shared" si="23"/>
        <v>26.1278613216232</v>
      </c>
      <c r="CE71" s="670">
        <v>10.591679578122401</v>
      </c>
      <c r="CF71" s="670">
        <v>10.7911630214727</v>
      </c>
      <c r="CG71" s="670">
        <v>13.760511897776</v>
      </c>
      <c r="CH71" s="670">
        <v>13.3151035628192</v>
      </c>
      <c r="CI71" s="738">
        <v>11.118698209023799</v>
      </c>
    </row>
    <row r="72" spans="1:87" ht="14.25" customHeight="1">
      <c r="A72" s="180" t="s">
        <v>0</v>
      </c>
      <c r="B72" s="9"/>
      <c r="C72" s="728" t="str">
        <f>Comparables!S88</f>
        <v>Cap. Goods Peer Group</v>
      </c>
      <c r="D72" s="76"/>
      <c r="E72" s="76"/>
      <c r="F72" s="76"/>
      <c r="G72" s="76"/>
      <c r="H72" s="78"/>
      <c r="I72" s="64">
        <f>I68</f>
        <v>4</v>
      </c>
      <c r="J72" s="3">
        <f t="shared" si="20"/>
        <v>2022</v>
      </c>
      <c r="K72" s="258" t="str">
        <f t="shared" si="11"/>
        <v>4Q22</v>
      </c>
      <c r="L72" s="737">
        <v>19.281648107338899</v>
      </c>
      <c r="M72" s="670">
        <v>9.1162280701754401</v>
      </c>
      <c r="N72" s="670">
        <v>48.377679539577898</v>
      </c>
      <c r="O72" s="670">
        <v>7.87062631616707</v>
      </c>
      <c r="P72" s="670">
        <v>150.48611937231701</v>
      </c>
      <c r="Q72" s="738">
        <v>11.4818816661027</v>
      </c>
      <c r="R72" s="737">
        <v>20.168117682377702</v>
      </c>
      <c r="S72" s="670">
        <v>18.8623188405797</v>
      </c>
      <c r="T72" s="670">
        <v>21.2943372744244</v>
      </c>
      <c r="U72" s="670">
        <v>7.0145745181006101</v>
      </c>
      <c r="V72" s="670">
        <v>15.1744820065431</v>
      </c>
      <c r="W72" s="738">
        <v>8.1125505658251793</v>
      </c>
      <c r="X72" s="737">
        <v>15.3388404122704</v>
      </c>
      <c r="Y72" s="670"/>
      <c r="Z72" s="670">
        <v>26.401635152790401</v>
      </c>
      <c r="AA72" s="670">
        <v>6.0458545094974196</v>
      </c>
      <c r="AB72" s="670">
        <v>81.249876498142299</v>
      </c>
      <c r="AC72" s="738">
        <v>6.4094078149885103</v>
      </c>
      <c r="AD72" s="670">
        <v>20.023898822395299</v>
      </c>
      <c r="AE72" s="670">
        <v>15.235305453456</v>
      </c>
      <c r="AF72" s="670">
        <v>28.248901823267701</v>
      </c>
      <c r="AG72" s="670">
        <v>8.1647651817484803</v>
      </c>
      <c r="AH72" s="670">
        <v>15.4063690597812</v>
      </c>
      <c r="AI72" s="738">
        <v>7.5819069981944596</v>
      </c>
      <c r="AJ72" s="9"/>
      <c r="AK72" s="258" t="str">
        <f t="shared" si="12"/>
        <v>4Q22</v>
      </c>
      <c r="AL72" s="737">
        <f t="shared" si="13"/>
        <v>19.281648107338899</v>
      </c>
      <c r="AM72" s="670">
        <v>24.150938326094799</v>
      </c>
      <c r="AN72" s="670">
        <v>22.022785811754598</v>
      </c>
      <c r="AO72" s="670">
        <v>26.978663454861501</v>
      </c>
      <c r="AP72" s="670">
        <v>22.726337448559701</v>
      </c>
      <c r="AQ72" s="738">
        <v>22.361108440222299</v>
      </c>
      <c r="AR72" s="737">
        <f t="shared" si="14"/>
        <v>20.168117682377702</v>
      </c>
      <c r="AS72" s="670">
        <v>21.676074406670899</v>
      </c>
      <c r="AT72" s="670">
        <v>22.413970210580398</v>
      </c>
      <c r="AU72" s="670">
        <v>22.254073004743201</v>
      </c>
      <c r="AV72" s="670">
        <v>19.7144132083891</v>
      </c>
      <c r="AW72" s="738">
        <v>13.365517241379299</v>
      </c>
      <c r="AX72" s="737">
        <f t="shared" si="15"/>
        <v>15.3388404122704</v>
      </c>
      <c r="AY72" s="670">
        <v>13.140693534794099</v>
      </c>
      <c r="AZ72" s="670">
        <v>17.753029920302801</v>
      </c>
      <c r="BA72" s="670">
        <v>13.334774527567101</v>
      </c>
      <c r="BB72" s="670">
        <v>14.6630133422256</v>
      </c>
      <c r="BC72" s="738">
        <v>9.5006017082676504</v>
      </c>
      <c r="BD72" s="737">
        <f t="shared" si="22"/>
        <v>20.023898822395299</v>
      </c>
      <c r="BE72" s="670">
        <v>13.4225475232659</v>
      </c>
      <c r="BF72" s="670">
        <v>15.691728942063</v>
      </c>
      <c r="BG72" s="670">
        <v>13.1858626537768</v>
      </c>
      <c r="BH72" s="670">
        <v>14.2275973172747</v>
      </c>
      <c r="BI72" s="738">
        <v>8.7443957905330993</v>
      </c>
      <c r="BJ72" s="9"/>
      <c r="BK72" s="258" t="str">
        <f t="shared" si="16"/>
        <v>4Q22</v>
      </c>
      <c r="BL72" s="737">
        <f t="shared" si="17"/>
        <v>19.281648107338899</v>
      </c>
      <c r="BM72" s="670">
        <v>17.5267411238021</v>
      </c>
      <c r="BN72" s="670">
        <v>22.261822364933099</v>
      </c>
      <c r="BO72" s="670">
        <v>649.50721162907303</v>
      </c>
      <c r="BP72" s="670">
        <v>42.8914940993145</v>
      </c>
      <c r="BQ72" s="738">
        <v>17.734212611249301</v>
      </c>
      <c r="BR72" s="737">
        <f t="shared" si="18"/>
        <v>20.168117682377702</v>
      </c>
      <c r="BS72" s="670">
        <v>16.112386574833302</v>
      </c>
      <c r="BT72" s="670">
        <v>16.481324278437999</v>
      </c>
      <c r="BU72" s="670">
        <v>13.6540241011591</v>
      </c>
      <c r="BV72" s="670">
        <v>17.353743580307398</v>
      </c>
      <c r="BW72" s="738">
        <v>17.773696849837499</v>
      </c>
      <c r="BX72" s="737">
        <f t="shared" si="19"/>
        <v>15.3388404122704</v>
      </c>
      <c r="BY72" s="670">
        <v>9.8614526646038101</v>
      </c>
      <c r="BZ72" s="670">
        <v>8.9144088443626295</v>
      </c>
      <c r="CA72" s="670"/>
      <c r="CB72" s="670">
        <v>15.2716598940273</v>
      </c>
      <c r="CC72" s="738">
        <v>11.9371984794053</v>
      </c>
      <c r="CD72" s="737">
        <f t="shared" si="23"/>
        <v>20.023898822395299</v>
      </c>
      <c r="CE72" s="670">
        <v>9.0120718721198898</v>
      </c>
      <c r="CF72" s="670">
        <v>10.990644209248201</v>
      </c>
      <c r="CG72" s="670">
        <v>11.741001553121899</v>
      </c>
      <c r="CH72" s="670">
        <v>12.427811782767201</v>
      </c>
      <c r="CI72" s="738">
        <v>11.240920086014601</v>
      </c>
    </row>
    <row r="73" spans="1:87" ht="14.25" customHeight="1">
      <c r="A73" s="9"/>
      <c r="B73" s="9"/>
      <c r="C73" s="736" t="s">
        <v>788</v>
      </c>
      <c r="D73" s="736"/>
      <c r="E73" s="736"/>
      <c r="F73" s="736"/>
      <c r="G73" s="736"/>
      <c r="H73" s="736"/>
      <c r="I73" s="64">
        <f>IF(I72=4,1,I72+1)</f>
        <v>1</v>
      </c>
      <c r="J73" s="3">
        <f t="shared" si="20"/>
        <v>2023</v>
      </c>
      <c r="K73" s="258" t="str">
        <f t="shared" si="11"/>
        <v>1Q23</v>
      </c>
      <c r="L73" s="737">
        <v>19.449666768249099</v>
      </c>
      <c r="M73" s="670">
        <v>8.2050905314843696</v>
      </c>
      <c r="N73" s="670">
        <v>56.496218802326197</v>
      </c>
      <c r="O73" s="670">
        <v>12.4419961031636</v>
      </c>
      <c r="P73" s="670">
        <v>200.386699187658</v>
      </c>
      <c r="Q73" s="738">
        <v>10.6127242405591</v>
      </c>
      <c r="R73" s="737">
        <v>18.929818990155599</v>
      </c>
      <c r="S73" s="670">
        <v>18.195991091313999</v>
      </c>
      <c r="T73" s="670">
        <v>20.577065351418</v>
      </c>
      <c r="U73" s="670">
        <v>8.5002736726874595</v>
      </c>
      <c r="V73" s="670">
        <v>16.330734966592399</v>
      </c>
      <c r="W73" s="738">
        <v>7.3545055512522604</v>
      </c>
      <c r="X73" s="737">
        <v>14.0110230831422</v>
      </c>
      <c r="Y73" s="670">
        <v>9.4203322825201905</v>
      </c>
      <c r="Z73" s="670">
        <v>26.246062744900701</v>
      </c>
      <c r="AA73" s="670">
        <v>8.4924672891772701</v>
      </c>
      <c r="AB73" s="670">
        <v>84.733970154388103</v>
      </c>
      <c r="AC73" s="738">
        <v>5.8964158273664697</v>
      </c>
      <c r="AD73" s="670">
        <v>17.005697999720901</v>
      </c>
      <c r="AE73" s="670">
        <v>14.3704563888022</v>
      </c>
      <c r="AF73" s="670">
        <v>32.081451141488898</v>
      </c>
      <c r="AG73" s="670">
        <v>9.0823155532931192</v>
      </c>
      <c r="AH73" s="670">
        <v>17.2337905828741</v>
      </c>
      <c r="AI73" s="738">
        <v>7.4374745029563902</v>
      </c>
      <c r="AJ73" s="9"/>
      <c r="AK73" s="258" t="str">
        <f t="shared" si="12"/>
        <v>1Q23</v>
      </c>
      <c r="AL73" s="737">
        <f t="shared" si="13"/>
        <v>19.449666768249099</v>
      </c>
      <c r="AM73" s="670">
        <v>19.659771428122699</v>
      </c>
      <c r="AN73" s="670">
        <v>17.897159906266999</v>
      </c>
      <c r="AO73" s="670">
        <v>22.5695103649992</v>
      </c>
      <c r="AP73" s="670">
        <v>18.503614364069701</v>
      </c>
      <c r="AQ73" s="738">
        <v>28.2439248051353</v>
      </c>
      <c r="AR73" s="737">
        <f t="shared" si="14"/>
        <v>18.929818990155599</v>
      </c>
      <c r="AS73" s="670">
        <v>18.406853582554501</v>
      </c>
      <c r="AT73" s="670">
        <v>18.7006199100523</v>
      </c>
      <c r="AU73" s="670">
        <v>19.4875416120246</v>
      </c>
      <c r="AV73" s="670">
        <v>16.7891560839413</v>
      </c>
      <c r="AW73" s="738">
        <v>14.9032258064516</v>
      </c>
      <c r="AX73" s="737">
        <f t="shared" si="15"/>
        <v>14.0110230831422</v>
      </c>
      <c r="AY73" s="670">
        <v>11.7060983861026</v>
      </c>
      <c r="AZ73" s="670">
        <v>18.210129401083101</v>
      </c>
      <c r="BA73" s="670">
        <v>11.756786004056799</v>
      </c>
      <c r="BB73" s="670">
        <v>14.219845002532001</v>
      </c>
      <c r="BC73" s="738">
        <v>11.6540606664239</v>
      </c>
      <c r="BD73" s="737">
        <f t="shared" si="22"/>
        <v>17.005697999720901</v>
      </c>
      <c r="BE73" s="670">
        <v>11.8571842051646</v>
      </c>
      <c r="BF73" s="670">
        <v>15.8835936734414</v>
      </c>
      <c r="BG73" s="670">
        <v>11.272551051406699</v>
      </c>
      <c r="BH73" s="670">
        <v>13.1408227441087</v>
      </c>
      <c r="BI73" s="738">
        <v>10.252465604512</v>
      </c>
      <c r="BJ73" s="9"/>
      <c r="BK73" s="258" t="str">
        <f t="shared" si="16"/>
        <v>1Q23</v>
      </c>
      <c r="BL73" s="737">
        <f t="shared" si="17"/>
        <v>19.449666768249099</v>
      </c>
      <c r="BM73" s="670">
        <v>13.7596348884381</v>
      </c>
      <c r="BN73" s="670">
        <v>17.5804740540875</v>
      </c>
      <c r="BO73" s="670">
        <v>666.37127127819599</v>
      </c>
      <c r="BP73" s="670">
        <v>37.906538616739098</v>
      </c>
      <c r="BQ73" s="738">
        <v>17.318721686355602</v>
      </c>
      <c r="BR73" s="737">
        <f t="shared" si="18"/>
        <v>18.929818990155599</v>
      </c>
      <c r="BS73" s="670">
        <v>12.5249261447563</v>
      </c>
      <c r="BT73" s="670">
        <v>14.533735315521399</v>
      </c>
      <c r="BU73" s="670">
        <v>13.977170463675201</v>
      </c>
      <c r="BV73" s="670">
        <v>17.160752720790999</v>
      </c>
      <c r="BW73" s="738">
        <v>17.516110955449701</v>
      </c>
      <c r="BX73" s="737">
        <f t="shared" si="19"/>
        <v>14.0110230831422</v>
      </c>
      <c r="BY73" s="670">
        <v>8.1510109918097093</v>
      </c>
      <c r="BZ73" s="670">
        <v>7.5611859674321797</v>
      </c>
      <c r="CA73" s="670"/>
      <c r="CB73" s="670">
        <v>14.727524945524401</v>
      </c>
      <c r="CC73" s="738">
        <v>10.944667815762701</v>
      </c>
      <c r="CD73" s="737">
        <f t="shared" si="23"/>
        <v>17.005697999720901</v>
      </c>
      <c r="CE73" s="670">
        <v>7.5157935811650098</v>
      </c>
      <c r="CF73" s="670">
        <v>10.075354706715499</v>
      </c>
      <c r="CG73" s="670">
        <v>11.693477565016501</v>
      </c>
      <c r="CH73" s="670">
        <v>12.3198580391385</v>
      </c>
      <c r="CI73" s="738">
        <v>10.8240208659149</v>
      </c>
    </row>
    <row r="74" spans="1:87" ht="14.25" customHeight="1">
      <c r="A74" s="9"/>
      <c r="B74" s="9"/>
      <c r="C74" s="64"/>
      <c r="D74" s="9"/>
      <c r="E74" s="64" t="s">
        <v>784</v>
      </c>
      <c r="F74" s="64" t="s">
        <v>785</v>
      </c>
      <c r="G74" s="64" t="s">
        <v>786</v>
      </c>
      <c r="H74" s="64" t="s">
        <v>787</v>
      </c>
      <c r="I74" s="64">
        <f>IF(I73+1=5,1,I73+1)</f>
        <v>2</v>
      </c>
      <c r="J74" s="3">
        <f t="shared" si="20"/>
        <v>2023</v>
      </c>
      <c r="K74" s="258" t="str">
        <f t="shared" si="11"/>
        <v>2Q23</v>
      </c>
      <c r="L74" s="737">
        <v>28.0095218343168</v>
      </c>
      <c r="M74" s="670">
        <v>9.3324049926753307</v>
      </c>
      <c r="N74" s="670">
        <v>45.3464046443002</v>
      </c>
      <c r="O74" s="670">
        <v>20.984863312679099</v>
      </c>
      <c r="P74" s="670">
        <v>85.742082190496305</v>
      </c>
      <c r="Q74" s="738">
        <v>10.9489805556069</v>
      </c>
      <c r="R74" s="737">
        <v>17.5205704882063</v>
      </c>
      <c r="S74" s="670">
        <v>19.090219863533001</v>
      </c>
      <c r="T74" s="670">
        <v>25.700186716457701</v>
      </c>
      <c r="U74" s="670">
        <v>11.277797387928</v>
      </c>
      <c r="V74" s="670">
        <v>19.2880685563612</v>
      </c>
      <c r="W74" s="738">
        <v>7.7937811980033302</v>
      </c>
      <c r="X74" s="737">
        <v>16.315196700480801</v>
      </c>
      <c r="Y74" s="670">
        <v>10.7013285208446</v>
      </c>
      <c r="Z74" s="670">
        <v>22.517927700550199</v>
      </c>
      <c r="AA74" s="670">
        <v>10.5867554367231</v>
      </c>
      <c r="AB74" s="670">
        <v>84.577867831312801</v>
      </c>
      <c r="AC74" s="738">
        <v>6.4294844299523399</v>
      </c>
      <c r="AD74" s="670">
        <v>14.5701338556718</v>
      </c>
      <c r="AE74" s="670">
        <v>15.6805943238264</v>
      </c>
      <c r="AF74" s="670">
        <v>36.968989835593199</v>
      </c>
      <c r="AG74" s="670">
        <v>9.4600768845253604</v>
      </c>
      <c r="AH74" s="670">
        <v>19.705026220667602</v>
      </c>
      <c r="AI74" s="738">
        <v>7.4504978958097796</v>
      </c>
      <c r="AJ74" s="9"/>
      <c r="AK74" s="258" t="str">
        <f t="shared" si="12"/>
        <v>2Q23</v>
      </c>
      <c r="AL74" s="737">
        <f t="shared" si="13"/>
        <v>28.0095218343168</v>
      </c>
      <c r="AM74" s="670">
        <v>20.535244780224598</v>
      </c>
      <c r="AN74" s="670">
        <v>15.8189298015738</v>
      </c>
      <c r="AO74" s="670">
        <v>23.379586812808899</v>
      </c>
      <c r="AP74" s="670">
        <v>19.6012197335797</v>
      </c>
      <c r="AQ74" s="738">
        <v>27.501582934870399</v>
      </c>
      <c r="AR74" s="737">
        <f t="shared" si="14"/>
        <v>17.5205704882063</v>
      </c>
      <c r="AS74" s="670">
        <v>20.239864271924201</v>
      </c>
      <c r="AT74" s="670">
        <v>18.7604185139209</v>
      </c>
      <c r="AU74" s="670">
        <v>20.767762033966399</v>
      </c>
      <c r="AV74" s="670">
        <v>18.423326133909299</v>
      </c>
      <c r="AW74" s="738">
        <v>14.680652680652701</v>
      </c>
      <c r="AX74" s="737">
        <f t="shared" si="15"/>
        <v>16.315196700480801</v>
      </c>
      <c r="AY74" s="670">
        <v>13.064953230283599</v>
      </c>
      <c r="AZ74" s="670">
        <v>16.512227422282599</v>
      </c>
      <c r="BA74" s="670">
        <v>12.523413146292601</v>
      </c>
      <c r="BB74" s="670">
        <v>14.6980062164592</v>
      </c>
      <c r="BC74" s="738">
        <v>11.3790542079959</v>
      </c>
      <c r="BD74" s="737">
        <f t="shared" si="22"/>
        <v>14.5701338556718</v>
      </c>
      <c r="BE74" s="670">
        <v>13.2572136445254</v>
      </c>
      <c r="BF74" s="670">
        <v>16.3477708057932</v>
      </c>
      <c r="BG74" s="670">
        <v>12.122566750727399</v>
      </c>
      <c r="BH74" s="670">
        <v>13.9077997746548</v>
      </c>
      <c r="BI74" s="738">
        <v>10.072731572447299</v>
      </c>
      <c r="BJ74" s="9"/>
      <c r="BK74" s="258" t="str">
        <f t="shared" si="16"/>
        <v>2Q23</v>
      </c>
      <c r="BL74" s="737">
        <f t="shared" si="17"/>
        <v>28.0095218343168</v>
      </c>
      <c r="BM74" s="670">
        <v>13.9515096065874</v>
      </c>
      <c r="BN74" s="670">
        <v>17.179660415722001</v>
      </c>
      <c r="BO74" s="670"/>
      <c r="BP74" s="670">
        <v>39.415229490272601</v>
      </c>
      <c r="BQ74" s="738">
        <v>18.420867479112001</v>
      </c>
      <c r="BR74" s="737">
        <f t="shared" si="18"/>
        <v>17.5205704882063</v>
      </c>
      <c r="BS74" s="670">
        <v>13.143423547664201</v>
      </c>
      <c r="BT74" s="670">
        <v>15.7926252757643</v>
      </c>
      <c r="BU74" s="670">
        <v>11.5207306857749</v>
      </c>
      <c r="BV74" s="670">
        <v>19.577294570659198</v>
      </c>
      <c r="BW74" s="738">
        <v>19.348187102131199</v>
      </c>
      <c r="BX74" s="737">
        <f t="shared" si="19"/>
        <v>16.315196700480801</v>
      </c>
      <c r="BY74" s="670">
        <v>8.6475229941545404</v>
      </c>
      <c r="BZ74" s="670">
        <v>7.5663032963924399</v>
      </c>
      <c r="CA74" s="670"/>
      <c r="CB74" s="670">
        <v>16.398589972675801</v>
      </c>
      <c r="CC74" s="738">
        <v>13.0317764934829</v>
      </c>
      <c r="CD74" s="737">
        <f t="shared" si="23"/>
        <v>14.5701338556718</v>
      </c>
      <c r="CE74" s="670">
        <v>8.0574066310076304</v>
      </c>
      <c r="CF74" s="670">
        <v>11.455186403480299</v>
      </c>
      <c r="CG74" s="670">
        <v>12.1940402897499</v>
      </c>
      <c r="CH74" s="670">
        <v>14.1615035463187</v>
      </c>
      <c r="CI74" s="738">
        <v>12.6911814506045</v>
      </c>
    </row>
    <row r="75" spans="1:87" ht="14.25" customHeight="1">
      <c r="A75" s="9"/>
      <c r="B75" s="9"/>
      <c r="C75" s="9" t="s">
        <v>758</v>
      </c>
      <c r="D75" s="9"/>
      <c r="E75" s="618">
        <f>AVERAGE(BM81:BQ86)</f>
        <v>15.683339457774522</v>
      </c>
      <c r="F75" s="618">
        <f>AVERAGE(BS81:BW86)</f>
        <v>16.168745623234717</v>
      </c>
      <c r="G75" s="618">
        <f>AVERAGE(BY81:CC86)</f>
        <v>10.768373282856134</v>
      </c>
      <c r="H75" s="618">
        <f>AVERAGE(CE81:CI86)</f>
        <v>11.620890184734101</v>
      </c>
      <c r="I75" s="64">
        <f>IF(I74=4,1,I74+1)</f>
        <v>3</v>
      </c>
      <c r="J75" s="3">
        <f t="shared" si="20"/>
        <v>2023</v>
      </c>
      <c r="K75" s="258" t="str">
        <f t="shared" si="11"/>
        <v>3Q23</v>
      </c>
      <c r="L75" s="737">
        <v>29.001710779478799</v>
      </c>
      <c r="M75" s="670">
        <v>28.526337106584499</v>
      </c>
      <c r="N75" s="670">
        <v>54.381987070335001</v>
      </c>
      <c r="O75" s="670">
        <v>30.275652994438801</v>
      </c>
      <c r="P75" s="670">
        <v>116.905043761765</v>
      </c>
      <c r="Q75" s="738">
        <v>9.6709925945008592</v>
      </c>
      <c r="R75" s="737">
        <v>23.213053027925898</v>
      </c>
      <c r="S75" s="670">
        <v>18.7703016241299</v>
      </c>
      <c r="T75" s="670">
        <v>27.660661468136599</v>
      </c>
      <c r="U75" s="670">
        <v>9.9768441945087698</v>
      </c>
      <c r="V75" s="670">
        <v>24.115292233786999</v>
      </c>
      <c r="W75" s="738">
        <v>7.1808715773235603</v>
      </c>
      <c r="X75" s="737">
        <v>18.069345738380299</v>
      </c>
      <c r="Y75" s="670">
        <v>17.619468061037299</v>
      </c>
      <c r="Z75" s="670">
        <v>20.1391977178749</v>
      </c>
      <c r="AA75" s="670">
        <v>11.039147626825599</v>
      </c>
      <c r="AB75" s="670">
        <v>86.552796127122306</v>
      </c>
      <c r="AC75" s="738">
        <v>5.0363725051657102</v>
      </c>
      <c r="AD75" s="670">
        <v>16.482917247766999</v>
      </c>
      <c r="AE75" s="670">
        <v>15.0500700099713</v>
      </c>
      <c r="AF75" s="670">
        <v>41.426030045369203</v>
      </c>
      <c r="AG75" s="670">
        <v>9.1163589544574197</v>
      </c>
      <c r="AH75" s="670">
        <v>22.1007088895938</v>
      </c>
      <c r="AI75" s="738">
        <v>7.8926610154939603</v>
      </c>
      <c r="AJ75" s="9"/>
      <c r="AK75" s="258" t="str">
        <f t="shared" si="12"/>
        <v>3Q23</v>
      </c>
      <c r="AL75" s="737">
        <f t="shared" si="13"/>
        <v>29.001710779478799</v>
      </c>
      <c r="AM75" s="670">
        <v>14.4221283831607</v>
      </c>
      <c r="AN75" s="670">
        <v>10.8122994961928</v>
      </c>
      <c r="AO75" s="670">
        <v>15.600711315119099</v>
      </c>
      <c r="AP75" s="670">
        <v>13.773136872442199</v>
      </c>
      <c r="AQ75" s="738">
        <v>14.6417832875778</v>
      </c>
      <c r="AR75" s="737">
        <f t="shared" si="14"/>
        <v>23.213053027925898</v>
      </c>
      <c r="AS75" s="670">
        <v>14.8865768377963</v>
      </c>
      <c r="AT75" s="670">
        <v>12.8079075362167</v>
      </c>
      <c r="AU75" s="670">
        <v>15.177157561361801</v>
      </c>
      <c r="AV75" s="670">
        <v>14.103346191800499</v>
      </c>
      <c r="AW75" s="738">
        <v>10.7540983606557</v>
      </c>
      <c r="AX75" s="737">
        <f t="shared" si="15"/>
        <v>18.069345738380299</v>
      </c>
      <c r="AY75" s="670">
        <v>10.342674767029999</v>
      </c>
      <c r="AZ75" s="670">
        <v>12.114813261602499</v>
      </c>
      <c r="BA75" s="670">
        <v>9.0373840481786107</v>
      </c>
      <c r="BB75" s="670">
        <v>11.113353061982799</v>
      </c>
      <c r="BC75" s="738">
        <v>8.3832981092451995</v>
      </c>
      <c r="BD75" s="737">
        <f t="shared" si="22"/>
        <v>16.482917247766999</v>
      </c>
      <c r="BE75" s="670">
        <v>9.7555816796082606</v>
      </c>
      <c r="BF75" s="670">
        <v>11.082343072522599</v>
      </c>
      <c r="BG75" s="670">
        <v>8.6945520377183794</v>
      </c>
      <c r="BH75" s="670">
        <v>10.407686029648</v>
      </c>
      <c r="BI75" s="738">
        <v>6.865640275054</v>
      </c>
      <c r="BJ75" s="9"/>
      <c r="BK75" s="258" t="str">
        <f t="shared" si="16"/>
        <v>3Q23</v>
      </c>
      <c r="BL75" s="737">
        <f t="shared" si="17"/>
        <v>29.001710779478799</v>
      </c>
      <c r="BM75" s="670">
        <v>11.1878312459125</v>
      </c>
      <c r="BN75" s="670">
        <v>15.8605218246713</v>
      </c>
      <c r="BO75" s="670">
        <v>13.074326127188</v>
      </c>
      <c r="BP75" s="670">
        <v>14.3644481864395</v>
      </c>
      <c r="BQ75" s="738">
        <v>13.5962086905669</v>
      </c>
      <c r="BR75" s="737">
        <f t="shared" si="18"/>
        <v>23.213053027925898</v>
      </c>
      <c r="BS75" s="670">
        <v>10.9166666666667</v>
      </c>
      <c r="BT75" s="670">
        <v>13.0018303843807</v>
      </c>
      <c r="BU75" s="670">
        <v>10.365631193732201</v>
      </c>
      <c r="BV75" s="670">
        <v>16.529463280370301</v>
      </c>
      <c r="BW75" s="738">
        <v>14.8943908238915</v>
      </c>
      <c r="BX75" s="737">
        <f t="shared" si="19"/>
        <v>18.069345738380299</v>
      </c>
      <c r="BY75" s="670">
        <v>6.8788190403083496</v>
      </c>
      <c r="BZ75" s="670">
        <v>7.0102347385175099</v>
      </c>
      <c r="CA75" s="670"/>
      <c r="CB75" s="670">
        <v>13.2075042312185</v>
      </c>
      <c r="CC75" s="738">
        <v>12.1601264994065</v>
      </c>
      <c r="CD75" s="737">
        <f t="shared" si="23"/>
        <v>16.482917247766999</v>
      </c>
      <c r="CE75" s="670">
        <v>6.2097034226505503</v>
      </c>
      <c r="CF75" s="670">
        <v>8.9033540715749595</v>
      </c>
      <c r="CG75" s="670">
        <v>8.6851186752440697</v>
      </c>
      <c r="CH75" s="670">
        <v>11.793632965070399</v>
      </c>
      <c r="CI75" s="738">
        <v>9.8597315777774401</v>
      </c>
    </row>
    <row r="76" spans="1:87" ht="14.25" customHeight="1">
      <c r="A76" s="180"/>
      <c r="B76" s="9"/>
      <c r="C76" s="9" t="s">
        <v>760</v>
      </c>
      <c r="D76" s="9"/>
      <c r="E76" s="618">
        <f>AVERAGE(BM77:BQ86)</f>
        <v>15.757842039857469</v>
      </c>
      <c r="F76" s="618">
        <f>AVERAGE(BS77:BW86)</f>
        <v>16.211283525086312</v>
      </c>
      <c r="G76" s="618">
        <f>AVERAGE(BY77:CC86)</f>
        <v>10.797620950823877</v>
      </c>
      <c r="H76" s="618">
        <f>AVERAGE(CE77:CI86)</f>
        <v>11.601419698040905</v>
      </c>
      <c r="I76" s="64">
        <f>I72</f>
        <v>4</v>
      </c>
      <c r="J76" s="3">
        <f t="shared" si="20"/>
        <v>2023</v>
      </c>
      <c r="K76" s="258" t="str">
        <f t="shared" si="11"/>
        <v>4Q23</v>
      </c>
      <c r="L76" s="737">
        <v>32.169873665471101</v>
      </c>
      <c r="M76" s="670">
        <v>29.422513343715</v>
      </c>
      <c r="N76" s="670">
        <v>66.287108127361293</v>
      </c>
      <c r="O76" s="670">
        <v>41.859904836475302</v>
      </c>
      <c r="P76" s="670">
        <v>177.68795739111101</v>
      </c>
      <c r="Q76" s="738">
        <v>13.5158113659744</v>
      </c>
      <c r="R76" s="737">
        <v>22.403361344537799</v>
      </c>
      <c r="S76" s="670">
        <v>18.982402448355</v>
      </c>
      <c r="T76" s="670">
        <v>33.367003367003399</v>
      </c>
      <c r="U76" s="670">
        <v>12.8603034134008</v>
      </c>
      <c r="V76" s="670">
        <v>29.307535641547901</v>
      </c>
      <c r="W76" s="738">
        <v>8.1654443485763597</v>
      </c>
      <c r="X76" s="737">
        <v>21.2615098092535</v>
      </c>
      <c r="Y76" s="670">
        <v>18.097732866516399</v>
      </c>
      <c r="Z76" s="670">
        <v>19.385467223369702</v>
      </c>
      <c r="AA76" s="670">
        <v>92.683437383808396</v>
      </c>
      <c r="AB76" s="670">
        <v>134.62914355492401</v>
      </c>
      <c r="AC76" s="738">
        <v>9.34485919627061</v>
      </c>
      <c r="AD76" s="670">
        <v>19.610179488187601</v>
      </c>
      <c r="AE76" s="670">
        <v>15.6141494551677</v>
      </c>
      <c r="AF76" s="670">
        <v>45.251072950124701</v>
      </c>
      <c r="AG76" s="670">
        <v>6.6416030002133501</v>
      </c>
      <c r="AH76" s="670">
        <v>19.177673205154999</v>
      </c>
      <c r="AI76" s="738">
        <v>8.1728602716932794</v>
      </c>
      <c r="AJ76" s="9"/>
      <c r="AK76" s="258" t="str">
        <f t="shared" si="12"/>
        <v>4Q23</v>
      </c>
      <c r="AL76" s="737">
        <f t="shared" si="13"/>
        <v>32.169873665471101</v>
      </c>
      <c r="AM76" s="670">
        <v>15.014176832348801</v>
      </c>
      <c r="AN76" s="670">
        <v>11.762100009524</v>
      </c>
      <c r="AO76" s="670">
        <v>17.508231022493</v>
      </c>
      <c r="AP76" s="670">
        <v>14.9484539723962</v>
      </c>
      <c r="AQ76" s="738">
        <v>15.3815249519327</v>
      </c>
      <c r="AR76" s="737">
        <f t="shared" si="14"/>
        <v>22.403361344537799</v>
      </c>
      <c r="AS76" s="670">
        <v>15.4657873042045</v>
      </c>
      <c r="AT76" s="670">
        <v>14.209666367996601</v>
      </c>
      <c r="AU76" s="670">
        <v>15.693845888639901</v>
      </c>
      <c r="AV76" s="670">
        <v>14.443686006825899</v>
      </c>
      <c r="AW76" s="738">
        <v>10.8648648648649</v>
      </c>
      <c r="AX76" s="737">
        <f t="shared" si="15"/>
        <v>21.2615098092535</v>
      </c>
      <c r="AY76" s="670">
        <v>10.6573226693313</v>
      </c>
      <c r="AZ76" s="670">
        <v>11.9267964065934</v>
      </c>
      <c r="BA76" s="670">
        <v>10.5195834978257</v>
      </c>
      <c r="BB76" s="670">
        <v>11.128020294465101</v>
      </c>
      <c r="BC76" s="738">
        <v>8.7923965197611906</v>
      </c>
      <c r="BD76" s="737">
        <f t="shared" si="22"/>
        <v>19.610179488187601</v>
      </c>
      <c r="BE76" s="670">
        <v>10.7614328987076</v>
      </c>
      <c r="BF76" s="670">
        <v>12.3090957616733</v>
      </c>
      <c r="BG76" s="670">
        <v>10.549168640280101</v>
      </c>
      <c r="BH76" s="670">
        <v>11.755398185119301</v>
      </c>
      <c r="BI76" s="738">
        <v>7.1011861923879298</v>
      </c>
      <c r="BJ76" s="9"/>
      <c r="BK76" s="258" t="str">
        <f t="shared" si="16"/>
        <v>4Q23</v>
      </c>
      <c r="BL76" s="737">
        <f t="shared" si="17"/>
        <v>32.169873665471101</v>
      </c>
      <c r="BM76" s="670">
        <v>11.734944254467701</v>
      </c>
      <c r="BN76" s="670">
        <v>16.687423284989801</v>
      </c>
      <c r="BO76" s="670">
        <v>16.284706883426601</v>
      </c>
      <c r="BP76" s="670">
        <v>17.633680373897899</v>
      </c>
      <c r="BQ76" s="738">
        <v>16.522907924111799</v>
      </c>
      <c r="BR76" s="737">
        <f t="shared" si="18"/>
        <v>22.403361344537799</v>
      </c>
      <c r="BS76" s="670">
        <v>11.0082872928177</v>
      </c>
      <c r="BT76" s="670">
        <v>14.284182305630001</v>
      </c>
      <c r="BU76" s="670">
        <v>18.097826086956498</v>
      </c>
      <c r="BV76" s="670">
        <v>19.927272727272701</v>
      </c>
      <c r="BW76" s="738">
        <v>16.362828488003</v>
      </c>
      <c r="BX76" s="737">
        <f t="shared" si="19"/>
        <v>21.2615098092535</v>
      </c>
      <c r="BY76" s="670">
        <v>6.9750558793405997</v>
      </c>
      <c r="BZ76" s="670">
        <v>7.3011178257355196</v>
      </c>
      <c r="CA76" s="670"/>
      <c r="CB76" s="670">
        <v>15.4025408311834</v>
      </c>
      <c r="CC76" s="738">
        <v>12.8108272529198</v>
      </c>
      <c r="CD76" s="737">
        <f t="shared" si="23"/>
        <v>19.610179488187601</v>
      </c>
      <c r="CE76" s="670">
        <v>6.3968599404937896</v>
      </c>
      <c r="CF76" s="670">
        <v>10.4551699244796</v>
      </c>
      <c r="CG76" s="670">
        <v>12.507422464210901</v>
      </c>
      <c r="CH76" s="670">
        <v>13.9698695489038</v>
      </c>
      <c r="CI76" s="738">
        <v>11.484140436493</v>
      </c>
    </row>
    <row r="77" spans="1:87" ht="14.25" customHeight="1">
      <c r="A77" s="9"/>
      <c r="B77" s="9"/>
      <c r="C77" s="9" t="s">
        <v>755</v>
      </c>
      <c r="D77" s="9"/>
      <c r="E77" s="618">
        <f>AVERAGE(BM73:BQ86)</f>
        <v>26.530528095386988</v>
      </c>
      <c r="F77" s="618">
        <f>AVERAGE(BS73:BW86)</f>
        <v>15.846016840935276</v>
      </c>
      <c r="G77" s="618">
        <f>AVERAGE(BY73:CC86)</f>
        <v>10.720945442413932</v>
      </c>
      <c r="H77" s="618">
        <f>AVERAGE(CE73:CI86)</f>
        <v>11.2817955771977</v>
      </c>
      <c r="I77" s="64">
        <f>IF(I76=4,1,I76+1)</f>
        <v>1</v>
      </c>
      <c r="J77" s="3">
        <f t="shared" si="20"/>
        <v>2024</v>
      </c>
      <c r="K77" s="258" t="str">
        <f t="shared" si="11"/>
        <v>1Q24</v>
      </c>
      <c r="L77" s="737">
        <v>34.965278287892097</v>
      </c>
      <c r="M77" s="670"/>
      <c r="N77" s="670">
        <v>86.143011131609995</v>
      </c>
      <c r="O77" s="670"/>
      <c r="P77" s="670">
        <v>229.624074055048</v>
      </c>
      <c r="Q77" s="738">
        <v>13.635738907720899</v>
      </c>
      <c r="R77" s="737">
        <v>23.345379452762</v>
      </c>
      <c r="S77" s="670">
        <v>25.324779470729698</v>
      </c>
      <c r="T77" s="670">
        <v>28.883579496090402</v>
      </c>
      <c r="U77" s="670">
        <v>11.9333502925464</v>
      </c>
      <c r="V77" s="670">
        <v>21.154756270705199</v>
      </c>
      <c r="W77" s="738">
        <v>7.7813400241613202</v>
      </c>
      <c r="X77" s="737">
        <v>26.9579008186405</v>
      </c>
      <c r="Y77" s="670">
        <v>64.7399982014568</v>
      </c>
      <c r="Z77" s="670">
        <v>20.566822433971499</v>
      </c>
      <c r="AA77" s="670">
        <v>118.979374083916</v>
      </c>
      <c r="AB77" s="670"/>
      <c r="AC77" s="738">
        <v>9.9998039647712709</v>
      </c>
      <c r="AD77" s="670">
        <v>20.8684920611907</v>
      </c>
      <c r="AE77" s="670">
        <v>17.7934419549388</v>
      </c>
      <c r="AF77" s="670">
        <v>46.137281501826898</v>
      </c>
      <c r="AG77" s="670">
        <v>9.7776501589278997</v>
      </c>
      <c r="AH77" s="670">
        <v>20.0918012412594</v>
      </c>
      <c r="AI77" s="738">
        <v>7.7687557467808501</v>
      </c>
      <c r="AJ77" s="9"/>
      <c r="AK77" s="258" t="str">
        <f t="shared" si="12"/>
        <v>1Q24</v>
      </c>
      <c r="AL77" s="737">
        <f t="shared" si="13"/>
        <v>34.965278287892097</v>
      </c>
      <c r="AM77" s="670">
        <v>17.363472686895399</v>
      </c>
      <c r="AN77" s="670">
        <v>13.7604420785299</v>
      </c>
      <c r="AO77" s="670">
        <v>15.996320147194099</v>
      </c>
      <c r="AP77" s="670">
        <v>16.104517271922099</v>
      </c>
      <c r="AQ77" s="738">
        <v>11.919455853020599</v>
      </c>
      <c r="AR77" s="737">
        <f t="shared" si="14"/>
        <v>23.345379452762</v>
      </c>
      <c r="AS77" s="670">
        <v>17.697400447862901</v>
      </c>
      <c r="AT77" s="670">
        <v>16.781448010803</v>
      </c>
      <c r="AU77" s="670">
        <v>14.9961190168176</v>
      </c>
      <c r="AV77" s="670">
        <v>15.4753596050728</v>
      </c>
      <c r="AW77" s="738">
        <v>11.157657657657699</v>
      </c>
      <c r="AX77" s="737">
        <f t="shared" si="15"/>
        <v>26.9579008186405</v>
      </c>
      <c r="AY77" s="670">
        <v>12.228317582731201</v>
      </c>
      <c r="AZ77" s="670">
        <v>13.107899317428799</v>
      </c>
      <c r="BA77" s="670">
        <v>9.7187249681421797</v>
      </c>
      <c r="BB77" s="670">
        <v>11.921419388362199</v>
      </c>
      <c r="BC77" s="738">
        <v>9.2022807879390491</v>
      </c>
      <c r="BD77" s="737">
        <f t="shared" si="22"/>
        <v>20.8684920611907</v>
      </c>
      <c r="BE77" s="670">
        <v>12.426935441913599</v>
      </c>
      <c r="BF77" s="670">
        <v>13.999081760165801</v>
      </c>
      <c r="BG77" s="670">
        <v>10.1973626177734</v>
      </c>
      <c r="BH77" s="670">
        <v>12.511625560959599</v>
      </c>
      <c r="BI77" s="738">
        <v>8.2885651531940798</v>
      </c>
      <c r="BJ77" s="9"/>
      <c r="BK77" s="258" t="str">
        <f t="shared" si="16"/>
        <v>1Q24</v>
      </c>
      <c r="BL77" s="737">
        <f t="shared" si="17"/>
        <v>34.965278287892097</v>
      </c>
      <c r="BM77" s="670">
        <v>11.792353858178</v>
      </c>
      <c r="BN77" s="670">
        <v>16.642521235007401</v>
      </c>
      <c r="BO77" s="670">
        <v>17.271668541876402</v>
      </c>
      <c r="BP77" s="670">
        <v>19.735925873675601</v>
      </c>
      <c r="BQ77" s="738">
        <v>16.227004577211801</v>
      </c>
      <c r="BR77" s="737">
        <f t="shared" si="18"/>
        <v>23.345379452762</v>
      </c>
      <c r="BS77" s="670">
        <v>11.049047426023501</v>
      </c>
      <c r="BT77" s="670">
        <v>16.125924484235099</v>
      </c>
      <c r="BU77" s="670">
        <v>18.1034482758621</v>
      </c>
      <c r="BV77" s="670">
        <v>21.538366641993601</v>
      </c>
      <c r="BW77" s="738">
        <v>16.321925535915799</v>
      </c>
      <c r="BX77" s="737">
        <f t="shared" si="19"/>
        <v>26.9579008186405</v>
      </c>
      <c r="BY77" s="670">
        <v>6.96557670431564</v>
      </c>
      <c r="BZ77" s="670">
        <v>7.30308788720167</v>
      </c>
      <c r="CA77" s="670"/>
      <c r="CB77" s="670">
        <v>16.936945454512699</v>
      </c>
      <c r="CC77" s="738">
        <v>12.720418557455099</v>
      </c>
      <c r="CD77" s="737">
        <f t="shared" si="23"/>
        <v>20.8684920611907</v>
      </c>
      <c r="CE77" s="670">
        <v>6.7674809046734801</v>
      </c>
      <c r="CF77" s="670">
        <v>11.657693955115199</v>
      </c>
      <c r="CG77" s="670">
        <v>12.7447865854973</v>
      </c>
      <c r="CH77" s="670">
        <v>15.2325098937223</v>
      </c>
      <c r="CI77" s="738">
        <v>11.569936532439099</v>
      </c>
    </row>
    <row r="78" spans="1:87" ht="14.25" customHeight="1">
      <c r="A78" s="9"/>
      <c r="B78" s="9"/>
      <c r="C78" s="9" t="s">
        <v>761</v>
      </c>
      <c r="D78" s="9"/>
      <c r="E78" s="618">
        <f>AVERAGE(BM65:BQ86)</f>
        <v>37.962569353978218</v>
      </c>
      <c r="F78" s="618">
        <f>AVERAGE(BS65:BW86)</f>
        <v>17.182365546775141</v>
      </c>
      <c r="G78" s="618">
        <f>AVERAGE(BY65:CC86)</f>
        <v>12.017610025365714</v>
      </c>
      <c r="H78" s="618">
        <f>AVERAGE(CE65:CI86)</f>
        <v>11.514027269594164</v>
      </c>
      <c r="I78" s="64">
        <f>IF(I77+1=5,1,I77+1)</f>
        <v>2</v>
      </c>
      <c r="J78" s="3">
        <f t="shared" si="20"/>
        <v>2024</v>
      </c>
      <c r="K78" s="258" t="str">
        <f t="shared" si="11"/>
        <v>2Q24</v>
      </c>
      <c r="L78" s="737">
        <v>38.502789958863403</v>
      </c>
      <c r="M78" s="670">
        <v>118.142857142857</v>
      </c>
      <c r="N78" s="670">
        <v>323.04351198324701</v>
      </c>
      <c r="O78" s="670"/>
      <c r="P78" s="670">
        <v>215.086353035456</v>
      </c>
      <c r="Q78" s="738">
        <v>13.477890023074499</v>
      </c>
      <c r="R78" s="670">
        <v>30.775908844275602</v>
      </c>
      <c r="S78" s="670">
        <v>30.547024952015398</v>
      </c>
      <c r="T78" s="670">
        <v>30.9521597770553</v>
      </c>
      <c r="U78" s="670">
        <v>10.2895950794464</v>
      </c>
      <c r="V78" s="670">
        <v>20.5401387512388</v>
      </c>
      <c r="W78" s="738">
        <v>7.2348800592757199</v>
      </c>
      <c r="X78" s="670">
        <v>23.482398873550899</v>
      </c>
      <c r="Y78" s="670">
        <v>30.100163930177199</v>
      </c>
      <c r="Z78" s="670">
        <v>21.2675318988213</v>
      </c>
      <c r="AA78" s="670">
        <v>32.941679326887296</v>
      </c>
      <c r="AB78" s="670"/>
      <c r="AC78" s="738">
        <v>9.3129199355170798</v>
      </c>
      <c r="AD78" s="670">
        <v>25.724269228187399</v>
      </c>
      <c r="AE78" s="670">
        <v>20.3461996760098</v>
      </c>
      <c r="AF78" s="670">
        <v>37.696202880309897</v>
      </c>
      <c r="AG78" s="670">
        <v>12.333807271904799</v>
      </c>
      <c r="AH78" s="670">
        <v>19.041273439056098</v>
      </c>
      <c r="AI78" s="738">
        <v>7.1657279529081297</v>
      </c>
      <c r="AJ78" s="9"/>
      <c r="AK78" s="258" t="str">
        <f t="shared" si="12"/>
        <v>2Q24</v>
      </c>
      <c r="AL78" s="737">
        <f t="shared" si="13"/>
        <v>38.502789958863403</v>
      </c>
      <c r="AM78" s="670">
        <v>18.630126413188201</v>
      </c>
      <c r="AN78" s="670">
        <v>15.9613632713695</v>
      </c>
      <c r="AO78" s="670">
        <v>18.048758049678</v>
      </c>
      <c r="AP78" s="670">
        <v>16.185119574845</v>
      </c>
      <c r="AQ78" s="738">
        <v>13.714351708158601</v>
      </c>
      <c r="AR78" s="737">
        <f t="shared" si="14"/>
        <v>30.775908844275602</v>
      </c>
      <c r="AS78" s="670">
        <v>18.3782510365624</v>
      </c>
      <c r="AT78" s="670">
        <v>19.062611260871801</v>
      </c>
      <c r="AU78" s="670">
        <v>16.939216024866202</v>
      </c>
      <c r="AV78" s="670">
        <v>15.3839030139754</v>
      </c>
      <c r="AW78" s="738">
        <v>12.4183006535948</v>
      </c>
      <c r="AX78" s="737">
        <f t="shared" si="15"/>
        <v>23.482398873550899</v>
      </c>
      <c r="AY78" s="670">
        <v>13.0108331657086</v>
      </c>
      <c r="AZ78" s="670">
        <v>14.7207664372533</v>
      </c>
      <c r="BA78" s="670">
        <v>10.8634721764166</v>
      </c>
      <c r="BB78" s="670">
        <v>11.9670120353024</v>
      </c>
      <c r="BC78" s="738">
        <v>10.344170119618999</v>
      </c>
      <c r="BD78" s="737">
        <f t="shared" si="22"/>
        <v>25.724269228187399</v>
      </c>
      <c r="BE78" s="670">
        <v>12.963830585001499</v>
      </c>
      <c r="BF78" s="670">
        <v>15.8491313030872</v>
      </c>
      <c r="BG78" s="670">
        <v>11.268157797573</v>
      </c>
      <c r="BH78" s="670">
        <v>12.447252760254701</v>
      </c>
      <c r="BI78" s="738">
        <v>9.1310455028163098</v>
      </c>
      <c r="BJ78" s="9"/>
      <c r="BK78" s="258" t="str">
        <f t="shared" si="16"/>
        <v>2Q24</v>
      </c>
      <c r="BL78" s="737">
        <f t="shared" si="17"/>
        <v>38.502789958863403</v>
      </c>
      <c r="BM78" s="670">
        <v>10.928844492086499</v>
      </c>
      <c r="BN78" s="670">
        <v>16.7407934072159</v>
      </c>
      <c r="BO78" s="670">
        <v>14.7055920727976</v>
      </c>
      <c r="BP78" s="670">
        <v>19.126631867953002</v>
      </c>
      <c r="BQ78" s="738">
        <v>17.014674845475799</v>
      </c>
      <c r="BR78" s="737">
        <f t="shared" si="18"/>
        <v>30.775908844275602</v>
      </c>
      <c r="BS78" s="670">
        <v>10.6852212164791</v>
      </c>
      <c r="BT78" s="670">
        <v>16.9204534055572</v>
      </c>
      <c r="BU78" s="670">
        <v>14.9748743718593</v>
      </c>
      <c r="BV78" s="670">
        <v>20.881155127730501</v>
      </c>
      <c r="BW78" s="738">
        <v>17.001245330012502</v>
      </c>
      <c r="BX78" s="737">
        <f t="shared" si="19"/>
        <v>23.482398873550899</v>
      </c>
      <c r="BY78" s="670">
        <v>6.3599718964184504</v>
      </c>
      <c r="BZ78" s="670">
        <v>7.4825752744952396</v>
      </c>
      <c r="CA78" s="670"/>
      <c r="CB78" s="670">
        <v>16.265938004998699</v>
      </c>
      <c r="CC78" s="738">
        <v>13.1653885302904</v>
      </c>
      <c r="CD78" s="737">
        <f t="shared" si="23"/>
        <v>25.724269228187399</v>
      </c>
      <c r="CE78" s="670">
        <v>6.44909324484202</v>
      </c>
      <c r="CF78" s="670">
        <v>12.6021043694989</v>
      </c>
      <c r="CG78" s="670">
        <v>11.8642050200603</v>
      </c>
      <c r="CH78" s="670">
        <v>14.642263970264301</v>
      </c>
      <c r="CI78" s="738">
        <v>11.8026554700342</v>
      </c>
    </row>
    <row r="79" spans="1:87" ht="14.25" customHeight="1">
      <c r="A79" s="9"/>
      <c r="B79" s="9"/>
      <c r="C79" s="736" t="s">
        <v>789</v>
      </c>
      <c r="D79" s="736"/>
      <c r="E79" s="736"/>
      <c r="F79" s="736"/>
      <c r="G79" s="736"/>
      <c r="H79" s="736"/>
      <c r="I79" s="64">
        <f>IF(I78=4,1,I78+1)</f>
        <v>3</v>
      </c>
      <c r="J79" s="3">
        <f t="shared" si="20"/>
        <v>2024</v>
      </c>
      <c r="K79" s="258" t="str">
        <f t="shared" si="11"/>
        <v>3Q24</v>
      </c>
      <c r="L79" s="737">
        <v>31.02253590798</v>
      </c>
      <c r="M79" s="670">
        <v>116.962962962963</v>
      </c>
      <c r="N79" s="670">
        <v>173.06806003631499</v>
      </c>
      <c r="O79" s="670">
        <v>63.130054362805801</v>
      </c>
      <c r="P79" s="670"/>
      <c r="Q79" s="738">
        <v>14.1837770776122</v>
      </c>
      <c r="R79" s="670">
        <v>31.4269788182832</v>
      </c>
      <c r="S79" s="670">
        <v>30.863557858376499</v>
      </c>
      <c r="T79" s="670">
        <v>37.5880366618427</v>
      </c>
      <c r="U79" s="670">
        <v>11.479605438549701</v>
      </c>
      <c r="V79" s="670">
        <v>28.9682939104177</v>
      </c>
      <c r="W79" s="738">
        <v>8.0481622306717409</v>
      </c>
      <c r="X79" s="670">
        <v>22.7370756227938</v>
      </c>
      <c r="Y79" s="670">
        <v>18.4826410862164</v>
      </c>
      <c r="Z79" s="670">
        <v>23.9604330345656</v>
      </c>
      <c r="AA79" s="670">
        <v>14.6128503310333</v>
      </c>
      <c r="AB79" s="670"/>
      <c r="AC79" s="738">
        <v>11.9036775638773</v>
      </c>
      <c r="AD79" s="670">
        <v>26.537458752167499</v>
      </c>
      <c r="AE79" s="670">
        <v>26.2809642648077</v>
      </c>
      <c r="AF79" s="670">
        <v>43.468033723372002</v>
      </c>
      <c r="AG79" s="670">
        <v>11.0820284353617</v>
      </c>
      <c r="AH79" s="670">
        <v>26.9691706296936</v>
      </c>
      <c r="AI79" s="738">
        <v>7.17383793170817</v>
      </c>
      <c r="AJ79" s="9"/>
      <c r="AK79" s="739" t="str">
        <f t="shared" si="12"/>
        <v>3Q24</v>
      </c>
      <c r="AL79" s="737">
        <f t="shared" si="13"/>
        <v>31.02253590798</v>
      </c>
      <c r="AM79" s="670">
        <v>18.285283104649</v>
      </c>
      <c r="AN79" s="670">
        <v>15.531229783089</v>
      </c>
      <c r="AO79" s="670">
        <v>18.434223080295499</v>
      </c>
      <c r="AP79" s="670">
        <v>15.7918506010747</v>
      </c>
      <c r="AQ79" s="738">
        <v>13.3630724097093</v>
      </c>
      <c r="AR79" s="737">
        <f t="shared" si="14"/>
        <v>31.4269788182832</v>
      </c>
      <c r="AS79" s="670">
        <v>18.0372200865908</v>
      </c>
      <c r="AT79" s="670">
        <v>18.548904045644001</v>
      </c>
      <c r="AU79" s="670">
        <v>17.3009847075473</v>
      </c>
      <c r="AV79" s="670">
        <v>15.0214839738927</v>
      </c>
      <c r="AW79" s="738">
        <v>12.1266380876433</v>
      </c>
      <c r="AX79" s="737">
        <f t="shared" si="15"/>
        <v>22.7370756227938</v>
      </c>
      <c r="AY79" s="670">
        <v>12.796323855725401</v>
      </c>
      <c r="AZ79" s="670">
        <v>14.3983930880516</v>
      </c>
      <c r="BA79" s="670">
        <v>11.0784790142357</v>
      </c>
      <c r="BB79" s="670">
        <v>11.740186808549501</v>
      </c>
      <c r="BC79" s="738">
        <v>10.121380136389201</v>
      </c>
      <c r="BD79" s="737">
        <f t="shared" si="22"/>
        <v>26.537458752167499</v>
      </c>
      <c r="BE79" s="670">
        <v>12.783834567162399</v>
      </c>
      <c r="BF79" s="670">
        <v>15.506245752162901</v>
      </c>
      <c r="BG79" s="670">
        <v>11.493190886357301</v>
      </c>
      <c r="BH79" s="670">
        <v>12.2156576237082</v>
      </c>
      <c r="BI79" s="738">
        <v>8.9483231492258302</v>
      </c>
      <c r="BJ79" s="9"/>
      <c r="BK79" s="739" t="str">
        <f t="shared" si="16"/>
        <v>3Q24</v>
      </c>
      <c r="BL79" s="737">
        <f t="shared" si="17"/>
        <v>31.02253590798</v>
      </c>
      <c r="BM79" s="670">
        <v>11.264557763490499</v>
      </c>
      <c r="BN79" s="670">
        <v>16.9769983363012</v>
      </c>
      <c r="BO79" s="670">
        <v>14.639794612769601</v>
      </c>
      <c r="BP79" s="670">
        <v>18.4969909334805</v>
      </c>
      <c r="BQ79" s="738">
        <v>17.038355642830801</v>
      </c>
      <c r="BR79" s="737">
        <f t="shared" si="18"/>
        <v>31.4269788182832</v>
      </c>
      <c r="BS79" s="670">
        <v>11.098891938738801</v>
      </c>
      <c r="BT79" s="670">
        <v>17.1678038497184</v>
      </c>
      <c r="BU79" s="670">
        <v>15.3184158666614</v>
      </c>
      <c r="BV79" s="670">
        <v>20.233709024707899</v>
      </c>
      <c r="BW79" s="738">
        <v>17.0249074363471</v>
      </c>
      <c r="BX79" s="737">
        <f t="shared" si="19"/>
        <v>22.7370756227938</v>
      </c>
      <c r="BY79" s="670">
        <v>6.5521070460169701</v>
      </c>
      <c r="BZ79" s="670">
        <v>7.5805714791436696</v>
      </c>
      <c r="CA79" s="670"/>
      <c r="CB79" s="670">
        <v>15.7600485469973</v>
      </c>
      <c r="CC79" s="738">
        <v>13.180766059266601</v>
      </c>
      <c r="CD79" s="737">
        <f t="shared" si="23"/>
        <v>26.537458752167499</v>
      </c>
      <c r="CE79" s="670">
        <v>6.6876218938895002</v>
      </c>
      <c r="CF79" s="670">
        <v>13.011960831629301</v>
      </c>
      <c r="CG79" s="670">
        <v>12.452113855824701</v>
      </c>
      <c r="CH79" s="670">
        <v>14.1638045774507</v>
      </c>
      <c r="CI79" s="738">
        <v>11.7889497648763</v>
      </c>
    </row>
    <row r="80" spans="1:87" ht="14.25" customHeight="1">
      <c r="A80" s="9"/>
      <c r="B80" s="9"/>
      <c r="C80" s="64"/>
      <c r="D80" s="9"/>
      <c r="E80" s="64" t="s">
        <v>784</v>
      </c>
      <c r="F80" s="64" t="s">
        <v>785</v>
      </c>
      <c r="G80" s="64" t="s">
        <v>786</v>
      </c>
      <c r="H80" s="64" t="s">
        <v>787</v>
      </c>
      <c r="I80" s="64">
        <f>I76</f>
        <v>4</v>
      </c>
      <c r="J80" s="3">
        <f t="shared" si="20"/>
        <v>2024</v>
      </c>
      <c r="K80" s="258" t="str">
        <f t="shared" si="11"/>
        <v>4Q24</v>
      </c>
      <c r="L80" s="737">
        <v>28.8137268800036</v>
      </c>
      <c r="M80" s="670">
        <v>530.5</v>
      </c>
      <c r="N80" s="670">
        <v>175.15721901429899</v>
      </c>
      <c r="O80" s="670">
        <v>16.185462511853</v>
      </c>
      <c r="P80" s="670"/>
      <c r="Q80" s="738">
        <v>12.4513270743172</v>
      </c>
      <c r="R80" s="670">
        <v>27.352810978309002</v>
      </c>
      <c r="S80" s="670">
        <v>26.7892586106246</v>
      </c>
      <c r="T80" s="670">
        <v>43.507004177930703</v>
      </c>
      <c r="U80" s="670">
        <v>13.417486048365699</v>
      </c>
      <c r="V80" s="670">
        <v>32.358393408856799</v>
      </c>
      <c r="W80" s="738">
        <v>8.7752099843401492</v>
      </c>
      <c r="X80" s="670">
        <v>29.3252776475099</v>
      </c>
      <c r="Y80" s="670">
        <v>30.136981437554201</v>
      </c>
      <c r="Z80" s="670">
        <v>29.2216782471587</v>
      </c>
      <c r="AA80" s="670">
        <v>8.5427793884819305</v>
      </c>
      <c r="AB80" s="670">
        <v>139.63559009087999</v>
      </c>
      <c r="AC80" s="738">
        <v>12.0841538377646</v>
      </c>
      <c r="AD80" s="670">
        <v>23.221841792255901</v>
      </c>
      <c r="AE80" s="670">
        <v>19.763171506537901</v>
      </c>
      <c r="AF80" s="670">
        <v>34.745410429400899</v>
      </c>
      <c r="AG80" s="670">
        <v>13.0049648376403</v>
      </c>
      <c r="AH80" s="670">
        <v>24.374598671737498</v>
      </c>
      <c r="AI80" s="738">
        <v>7.3164349841877501</v>
      </c>
      <c r="AJ80" s="9"/>
      <c r="AK80" s="739" t="str">
        <f t="shared" si="12"/>
        <v>4Q24</v>
      </c>
      <c r="AL80" s="737">
        <f t="shared" si="13"/>
        <v>28.8137268800036</v>
      </c>
      <c r="AM80" s="670">
        <v>18.285283104649</v>
      </c>
      <c r="AN80" s="670">
        <v>15.531229783089</v>
      </c>
      <c r="AO80" s="670">
        <v>18.434223080295499</v>
      </c>
      <c r="AP80" s="670">
        <v>15.7918506010747</v>
      </c>
      <c r="AQ80" s="738">
        <v>13.3630724097093</v>
      </c>
      <c r="AR80" s="737">
        <f t="shared" si="14"/>
        <v>27.352810978309002</v>
      </c>
      <c r="AS80" s="670">
        <v>18.0372200865908</v>
      </c>
      <c r="AT80" s="670">
        <v>18.548904045644001</v>
      </c>
      <c r="AU80" s="670">
        <v>17.3009847075473</v>
      </c>
      <c r="AV80" s="670">
        <v>15.0214839738927</v>
      </c>
      <c r="AW80" s="738">
        <v>12.1266380876433</v>
      </c>
      <c r="AX80" s="737">
        <f t="shared" si="15"/>
        <v>29.3252776475099</v>
      </c>
      <c r="AY80" s="670">
        <v>12.796323855725401</v>
      </c>
      <c r="AZ80" s="670">
        <v>14.3983930880516</v>
      </c>
      <c r="BA80" s="670">
        <v>11.0784790142357</v>
      </c>
      <c r="BB80" s="670">
        <v>11.740186808549501</v>
      </c>
      <c r="BC80" s="738">
        <v>10.121380136389201</v>
      </c>
      <c r="BD80" s="737">
        <f t="shared" si="22"/>
        <v>23.221841792255901</v>
      </c>
      <c r="BE80" s="670">
        <v>12.783834567162399</v>
      </c>
      <c r="BF80" s="670">
        <v>15.506245752162901</v>
      </c>
      <c r="BG80" s="670">
        <v>11.493190886357301</v>
      </c>
      <c r="BH80" s="670">
        <v>12.2156576237082</v>
      </c>
      <c r="BI80" s="738">
        <v>8.9483231492258302</v>
      </c>
      <c r="BJ80" s="9"/>
      <c r="BK80" s="739" t="str">
        <f t="shared" si="16"/>
        <v>4Q24</v>
      </c>
      <c r="BL80" s="737">
        <f t="shared" si="17"/>
        <v>28.8137268800036</v>
      </c>
      <c r="BM80" s="670">
        <v>11.264557763490499</v>
      </c>
      <c r="BN80" s="670">
        <v>16.9769983363012</v>
      </c>
      <c r="BO80" s="670">
        <v>14.639794612769601</v>
      </c>
      <c r="BP80" s="670">
        <v>18.4969909334805</v>
      </c>
      <c r="BQ80" s="738">
        <v>17.038355642830801</v>
      </c>
      <c r="BR80" s="737">
        <f t="shared" si="18"/>
        <v>27.352810978309002</v>
      </c>
      <c r="BS80" s="670">
        <v>11.098891938738801</v>
      </c>
      <c r="BT80" s="670">
        <v>17.1678038497184</v>
      </c>
      <c r="BU80" s="670">
        <v>15.3184158666614</v>
      </c>
      <c r="BV80" s="670">
        <v>20.233709024707899</v>
      </c>
      <c r="BW80" s="738">
        <v>17.0249074363471</v>
      </c>
      <c r="BX80" s="737">
        <f t="shared" si="19"/>
        <v>29.3252776475099</v>
      </c>
      <c r="BY80" s="670">
        <v>6.5521070460169701</v>
      </c>
      <c r="BZ80" s="670">
        <v>7.5805714791436696</v>
      </c>
      <c r="CA80" s="670"/>
      <c r="CB80" s="670">
        <v>15.7600485469973</v>
      </c>
      <c r="CC80" s="738">
        <v>13.180766059266601</v>
      </c>
      <c r="CD80" s="737">
        <f t="shared" si="23"/>
        <v>23.221841792255901</v>
      </c>
      <c r="CE80" s="670">
        <v>6.6876218938895002</v>
      </c>
      <c r="CF80" s="670">
        <v>13.011960831629301</v>
      </c>
      <c r="CG80" s="670">
        <v>12.452113855824701</v>
      </c>
      <c r="CH80" s="670">
        <v>14.1638045774507</v>
      </c>
      <c r="CI80" s="738">
        <v>11.7889497648763</v>
      </c>
    </row>
    <row r="81" spans="1:87" ht="14.25" customHeight="1">
      <c r="A81" s="9"/>
      <c r="B81" s="9"/>
      <c r="C81" s="9" t="s">
        <v>790</v>
      </c>
      <c r="D81" s="9"/>
      <c r="E81" s="618">
        <f>AVERAGE(BM8:BQ75)</f>
        <v>23.989111745649577</v>
      </c>
      <c r="F81" s="618">
        <f>AVERAGE(BS8:BW75)</f>
        <v>16.203546988432574</v>
      </c>
      <c r="G81" s="618">
        <f>AVERAGE(BY8:CC75)</f>
        <v>9.8661131234978807</v>
      </c>
      <c r="H81" s="618">
        <f>AVERAGE(CE8:CI75)</f>
        <v>9.2441464344112774</v>
      </c>
      <c r="I81" s="64">
        <f>IF(I80=4,1,I80+1)</f>
        <v>1</v>
      </c>
      <c r="J81" s="3">
        <f t="shared" si="20"/>
        <v>2025</v>
      </c>
      <c r="K81" s="258" t="str">
        <f t="shared" si="11"/>
        <v>1Q25</v>
      </c>
      <c r="L81" s="737">
        <v>36.940949763467401</v>
      </c>
      <c r="M81" s="670">
        <v>446.75</v>
      </c>
      <c r="N81" s="670">
        <v>190.14183146230599</v>
      </c>
      <c r="O81" s="670">
        <v>12.507941208372101</v>
      </c>
      <c r="P81" s="670"/>
      <c r="Q81" s="738">
        <v>13.014051349389799</v>
      </c>
      <c r="R81" s="670">
        <v>33.318163830629203</v>
      </c>
      <c r="S81" s="670">
        <v>30.652642934196301</v>
      </c>
      <c r="T81" s="670">
        <v>28.215935334872999</v>
      </c>
      <c r="U81" s="670">
        <v>10.317159763313599</v>
      </c>
      <c r="V81" s="670">
        <v>19.705027004569999</v>
      </c>
      <c r="W81" s="738">
        <v>7.4133062737139301</v>
      </c>
      <c r="X81" s="670">
        <v>24.299923028118702</v>
      </c>
      <c r="Y81" s="670">
        <v>34.880703630199001</v>
      </c>
      <c r="Z81" s="670">
        <v>27.891518123475901</v>
      </c>
      <c r="AA81" s="670">
        <v>7.5830654802129498</v>
      </c>
      <c r="AB81" s="670">
        <v>109.628566036026</v>
      </c>
      <c r="AC81" s="738">
        <v>11.2683613673665</v>
      </c>
      <c r="AD81" s="670">
        <v>29.726910430368001</v>
      </c>
      <c r="AE81" s="670">
        <v>22.998946436915499</v>
      </c>
      <c r="AF81" s="670">
        <v>32.418340671575997</v>
      </c>
      <c r="AG81" s="670">
        <v>10.5564433061593</v>
      </c>
      <c r="AH81" s="670">
        <v>18.8626094911974</v>
      </c>
      <c r="AI81" s="738">
        <v>9.1508941090353204</v>
      </c>
      <c r="AJ81" s="9"/>
      <c r="AK81" s="739" t="str">
        <f t="shared" si="12"/>
        <v>1Q25</v>
      </c>
      <c r="AL81" s="737">
        <f t="shared" si="13"/>
        <v>36.940949763467401</v>
      </c>
      <c r="AM81" s="670">
        <v>18.285283104649</v>
      </c>
      <c r="AN81" s="670">
        <v>15.531229783089</v>
      </c>
      <c r="AO81" s="670">
        <v>18.434223080295499</v>
      </c>
      <c r="AP81" s="670">
        <v>15.7918506010747</v>
      </c>
      <c r="AQ81" s="738">
        <v>13.3630724097093</v>
      </c>
      <c r="AR81" s="737">
        <f t="shared" si="14"/>
        <v>33.318163830629203</v>
      </c>
      <c r="AS81" s="670">
        <v>18.0372200865908</v>
      </c>
      <c r="AT81" s="670">
        <v>18.548904045644001</v>
      </c>
      <c r="AU81" s="670">
        <v>17.3009847075473</v>
      </c>
      <c r="AV81" s="670">
        <v>15.0214839738927</v>
      </c>
      <c r="AW81" s="738">
        <v>12.1266380876433</v>
      </c>
      <c r="AX81" s="737">
        <f t="shared" si="15"/>
        <v>24.299923028118702</v>
      </c>
      <c r="AY81" s="670">
        <v>12.796323855725401</v>
      </c>
      <c r="AZ81" s="670">
        <v>14.3983930880516</v>
      </c>
      <c r="BA81" s="670">
        <v>11.0784790142357</v>
      </c>
      <c r="BB81" s="670">
        <v>11.740186808549501</v>
      </c>
      <c r="BC81" s="738">
        <v>10.121380136389201</v>
      </c>
      <c r="BD81" s="737">
        <f t="shared" si="22"/>
        <v>29.726910430368001</v>
      </c>
      <c r="BE81" s="670">
        <v>12.783834567162399</v>
      </c>
      <c r="BF81" s="670">
        <v>15.506245752162901</v>
      </c>
      <c r="BG81" s="670">
        <v>11.493190886357301</v>
      </c>
      <c r="BH81" s="670">
        <v>12.2156576237082</v>
      </c>
      <c r="BI81" s="738">
        <v>8.9483231492258302</v>
      </c>
      <c r="BJ81" s="9"/>
      <c r="BK81" s="739" t="str">
        <f t="shared" si="16"/>
        <v>1Q25</v>
      </c>
      <c r="BL81" s="737">
        <f t="shared" si="17"/>
        <v>36.940949763467401</v>
      </c>
      <c r="BM81" s="670">
        <v>11.264557763490499</v>
      </c>
      <c r="BN81" s="670">
        <v>16.9769983363012</v>
      </c>
      <c r="BO81" s="670">
        <v>14.639794612769601</v>
      </c>
      <c r="BP81" s="670">
        <v>18.4969909334805</v>
      </c>
      <c r="BQ81" s="738">
        <v>17.038355642830801</v>
      </c>
      <c r="BR81" s="737">
        <f t="shared" si="18"/>
        <v>33.318163830629203</v>
      </c>
      <c r="BS81" s="670">
        <v>11.098891938738801</v>
      </c>
      <c r="BT81" s="670">
        <v>17.1678038497184</v>
      </c>
      <c r="BU81" s="670">
        <v>15.3184158666614</v>
      </c>
      <c r="BV81" s="670">
        <v>20.233709024707899</v>
      </c>
      <c r="BW81" s="738">
        <v>17.0249074363471</v>
      </c>
      <c r="BX81" s="737">
        <f t="shared" si="19"/>
        <v>24.299923028118702</v>
      </c>
      <c r="BY81" s="670">
        <v>6.5521070460169701</v>
      </c>
      <c r="BZ81" s="670">
        <v>7.5805714791436696</v>
      </c>
      <c r="CA81" s="670"/>
      <c r="CB81" s="670">
        <v>15.7600485469973</v>
      </c>
      <c r="CC81" s="738">
        <v>13.180766059266601</v>
      </c>
      <c r="CD81" s="737">
        <f t="shared" si="23"/>
        <v>29.726910430368001</v>
      </c>
      <c r="CE81" s="670">
        <v>6.6876218938895002</v>
      </c>
      <c r="CF81" s="670">
        <v>13.011960831629301</v>
      </c>
      <c r="CG81" s="670">
        <v>12.452113855824701</v>
      </c>
      <c r="CH81" s="670">
        <v>14.1638045774507</v>
      </c>
      <c r="CI81" s="738">
        <v>11.7889497648763</v>
      </c>
    </row>
    <row r="82" spans="1:87" ht="14.25" customHeight="1">
      <c r="A82" s="9"/>
      <c r="B82" s="9"/>
      <c r="C82" s="9" t="s">
        <v>791</v>
      </c>
      <c r="D82" s="9"/>
      <c r="E82" s="618">
        <f t="shared" ref="E82:H84" si="26">AVERAGE(E86,E90)</f>
        <v>20.103998318150133</v>
      </c>
      <c r="F82" s="618">
        <f t="shared" si="26"/>
        <v>16.997209724820074</v>
      </c>
      <c r="G82" s="618">
        <f t="shared" si="26"/>
        <v>9.076301266902977</v>
      </c>
      <c r="H82" s="618" t="e">
        <f t="shared" si="26"/>
        <v>#DIV/0!</v>
      </c>
      <c r="I82" s="64">
        <f>IF(I81+1=5,1,I81+1)</f>
        <v>2</v>
      </c>
      <c r="J82" s="3">
        <f t="shared" si="20"/>
        <v>2025</v>
      </c>
      <c r="K82" s="258" t="str">
        <f t="shared" si="11"/>
        <v>2Q25</v>
      </c>
      <c r="L82" s="737">
        <v>27.825788199986299</v>
      </c>
      <c r="M82" s="670">
        <v>1874.7446686820799</v>
      </c>
      <c r="N82" s="670">
        <v>212.445217468099</v>
      </c>
      <c r="O82" s="670">
        <v>13.062464246586799</v>
      </c>
      <c r="P82" s="670">
        <v>453.06520856548099</v>
      </c>
      <c r="Q82" s="738">
        <v>14.6281856002065</v>
      </c>
      <c r="R82" s="670">
        <v>30.444170265268401</v>
      </c>
      <c r="S82" s="670">
        <v>31.337303735787799</v>
      </c>
      <c r="T82" s="670">
        <v>33.591931730023298</v>
      </c>
      <c r="U82" s="670">
        <v>12.830753869196201</v>
      </c>
      <c r="V82" s="670">
        <v>25.837438423645299</v>
      </c>
      <c r="W82" s="738">
        <v>8.5012529162706301</v>
      </c>
      <c r="X82" s="670">
        <v>23.773991185311601</v>
      </c>
      <c r="Y82" s="670">
        <v>45.147483020271203</v>
      </c>
      <c r="Z82" s="670">
        <v>32.450880828001601</v>
      </c>
      <c r="AA82" s="670">
        <v>7.9990494917961801</v>
      </c>
      <c r="AB82" s="670">
        <v>119.40977413668899</v>
      </c>
      <c r="AC82" s="738">
        <v>14.010870050138699</v>
      </c>
      <c r="AD82" s="670">
        <v>26.302085505642602</v>
      </c>
      <c r="AE82" s="670">
        <v>23.3864620205287</v>
      </c>
      <c r="AF82" s="670">
        <v>38.877953505899697</v>
      </c>
      <c r="AG82" s="670">
        <v>9.9713490286106197</v>
      </c>
      <c r="AH82" s="670">
        <v>23.452709373021101</v>
      </c>
      <c r="AI82" s="738">
        <v>9.3037512799860504</v>
      </c>
      <c r="AJ82" s="9"/>
      <c r="AK82" s="739" t="str">
        <f t="shared" si="12"/>
        <v>2Q25</v>
      </c>
      <c r="AL82" s="737">
        <f t="shared" si="13"/>
        <v>27.825788199986299</v>
      </c>
      <c r="AM82" s="670">
        <v>18.285283104649</v>
      </c>
      <c r="AN82" s="670">
        <v>15.531229783089</v>
      </c>
      <c r="AO82" s="670">
        <v>18.434223080295499</v>
      </c>
      <c r="AP82" s="670">
        <v>15.7918506010747</v>
      </c>
      <c r="AQ82" s="738">
        <v>13.3630724097093</v>
      </c>
      <c r="AR82" s="737">
        <f t="shared" si="14"/>
        <v>30.444170265268401</v>
      </c>
      <c r="AS82" s="670">
        <v>18.0372200865908</v>
      </c>
      <c r="AT82" s="670">
        <v>18.548904045644001</v>
      </c>
      <c r="AU82" s="670">
        <v>17.3009847075473</v>
      </c>
      <c r="AV82" s="670">
        <v>15.0214839738927</v>
      </c>
      <c r="AW82" s="738">
        <v>12.1266380876433</v>
      </c>
      <c r="AX82" s="737">
        <f t="shared" si="15"/>
        <v>23.773991185311601</v>
      </c>
      <c r="AY82" s="670">
        <v>12.796323855725401</v>
      </c>
      <c r="AZ82" s="670">
        <v>14.3983930880516</v>
      </c>
      <c r="BA82" s="670">
        <v>11.0784790142357</v>
      </c>
      <c r="BB82" s="670">
        <v>11.740186808549501</v>
      </c>
      <c r="BC82" s="738">
        <v>10.121380136389201</v>
      </c>
      <c r="BD82" s="737">
        <f t="shared" si="22"/>
        <v>26.302085505642602</v>
      </c>
      <c r="BE82" s="670">
        <v>12.783834567162399</v>
      </c>
      <c r="BF82" s="670">
        <v>15.506245752162901</v>
      </c>
      <c r="BG82" s="670">
        <v>11.493190886357301</v>
      </c>
      <c r="BH82" s="670">
        <v>12.2156576237082</v>
      </c>
      <c r="BI82" s="738">
        <v>8.9483231492258302</v>
      </c>
      <c r="BJ82" s="9"/>
      <c r="BK82" s="739" t="str">
        <f t="shared" si="16"/>
        <v>2Q25</v>
      </c>
      <c r="BL82" s="737">
        <f t="shared" si="17"/>
        <v>27.825788199986299</v>
      </c>
      <c r="BM82" s="670">
        <v>11.264557763490499</v>
      </c>
      <c r="BN82" s="670">
        <v>16.9769983363012</v>
      </c>
      <c r="BO82" s="670">
        <v>14.639794612769601</v>
      </c>
      <c r="BP82" s="670">
        <v>18.4969909334805</v>
      </c>
      <c r="BQ82" s="738">
        <v>17.038355642830801</v>
      </c>
      <c r="BR82" s="737">
        <f t="shared" si="18"/>
        <v>30.444170265268401</v>
      </c>
      <c r="BS82" s="670">
        <v>11.098891938738801</v>
      </c>
      <c r="BT82" s="670">
        <v>17.1678038497184</v>
      </c>
      <c r="BU82" s="670">
        <v>15.3184158666614</v>
      </c>
      <c r="BV82" s="670">
        <v>20.233709024707899</v>
      </c>
      <c r="BW82" s="738">
        <v>17.0249074363471</v>
      </c>
      <c r="BX82" s="737">
        <f t="shared" si="19"/>
        <v>23.773991185311601</v>
      </c>
      <c r="BY82" s="670">
        <v>6.5521070460169701</v>
      </c>
      <c r="BZ82" s="670">
        <v>7.5805714791436696</v>
      </c>
      <c r="CA82" s="670"/>
      <c r="CB82" s="670">
        <v>15.7600485469973</v>
      </c>
      <c r="CC82" s="738">
        <v>13.180766059266601</v>
      </c>
      <c r="CD82" s="737">
        <f t="shared" si="23"/>
        <v>26.302085505642602</v>
      </c>
      <c r="CE82" s="670">
        <v>6.6876218938895002</v>
      </c>
      <c r="CF82" s="670">
        <v>13.011960831629301</v>
      </c>
      <c r="CG82" s="670">
        <v>12.452113855824701</v>
      </c>
      <c r="CH82" s="670">
        <v>14.1638045774507</v>
      </c>
      <c r="CI82" s="738">
        <v>11.7889497648763</v>
      </c>
    </row>
    <row r="83" spans="1:87" ht="14.25" customHeight="1">
      <c r="A83" s="9"/>
      <c r="B83" s="9"/>
      <c r="C83" s="9" t="s">
        <v>792</v>
      </c>
      <c r="D83" s="9"/>
      <c r="E83" s="618">
        <f t="shared" si="26"/>
        <v>16.107894681806094</v>
      </c>
      <c r="F83" s="618">
        <f t="shared" si="26"/>
        <v>15.302983644943669</v>
      </c>
      <c r="G83" s="618">
        <f t="shared" si="26"/>
        <v>9.9751232285254474</v>
      </c>
      <c r="H83" s="618">
        <f t="shared" si="26"/>
        <v>9.3757588494886495</v>
      </c>
      <c r="I83" s="64">
        <f>IF(I82=4,1,I82+1)</f>
        <v>3</v>
      </c>
      <c r="J83" s="3">
        <f t="shared" si="20"/>
        <v>2025</v>
      </c>
      <c r="K83" s="258" t="str">
        <f t="shared" si="11"/>
        <v>3Q25</v>
      </c>
      <c r="L83" s="737">
        <v>28.653101847158499</v>
      </c>
      <c r="M83" s="670">
        <v>69.085573478336499</v>
      </c>
      <c r="N83" s="670">
        <v>196.119317673062</v>
      </c>
      <c r="O83" s="670">
        <v>15.934173312470699</v>
      </c>
      <c r="P83" s="670">
        <v>496.255409572676</v>
      </c>
      <c r="Q83" s="738">
        <v>17.725254320563302</v>
      </c>
      <c r="R83" s="670">
        <v>29.901448109412701</v>
      </c>
      <c r="S83" s="670">
        <v>28.509825327510899</v>
      </c>
      <c r="T83" s="670">
        <v>31.806246270141202</v>
      </c>
      <c r="U83" s="670">
        <v>15.262901655306701</v>
      </c>
      <c r="V83" s="670">
        <v>23.535436296599801</v>
      </c>
      <c r="W83" s="738">
        <v>9.8573672895650706</v>
      </c>
      <c r="X83" s="670">
        <v>22.121386336262599</v>
      </c>
      <c r="Y83" s="670">
        <v>58.433456331039601</v>
      </c>
      <c r="Z83" s="670">
        <v>30.566279691877899</v>
      </c>
      <c r="AA83" s="670">
        <v>9.6187675266181394</v>
      </c>
      <c r="AB83" s="670">
        <v>131.63714559613999</v>
      </c>
      <c r="AC83" s="738">
        <v>15.8301297489057</v>
      </c>
      <c r="AD83" s="670">
        <v>26.011219626953199</v>
      </c>
      <c r="AE83" s="670">
        <v>21.240632180289602</v>
      </c>
      <c r="AF83" s="670">
        <v>42.954997782361701</v>
      </c>
      <c r="AG83" s="670">
        <v>9.6650878400670006</v>
      </c>
      <c r="AH83" s="670">
        <v>23.170432228718301</v>
      </c>
      <c r="AI83" s="738">
        <v>10.559998391445999</v>
      </c>
      <c r="AJ83" s="9"/>
      <c r="AK83" s="739" t="str">
        <f t="shared" si="12"/>
        <v>3Q25</v>
      </c>
      <c r="AL83" s="737">
        <f t="shared" si="13"/>
        <v>28.653101847158499</v>
      </c>
      <c r="AM83" s="670">
        <v>18.285283104649</v>
      </c>
      <c r="AN83" s="670">
        <v>15.531229783089</v>
      </c>
      <c r="AO83" s="670">
        <v>18.434223080295499</v>
      </c>
      <c r="AP83" s="670">
        <v>15.7918506010747</v>
      </c>
      <c r="AQ83" s="738">
        <v>13.3630724097093</v>
      </c>
      <c r="AR83" s="737">
        <f t="shared" si="14"/>
        <v>29.901448109412701</v>
      </c>
      <c r="AS83" s="670">
        <v>18.0372200865908</v>
      </c>
      <c r="AT83" s="670">
        <v>18.548904045644001</v>
      </c>
      <c r="AU83" s="670">
        <v>17.3009847075473</v>
      </c>
      <c r="AV83" s="670">
        <v>15.0214839738927</v>
      </c>
      <c r="AW83" s="738">
        <v>12.1266380876433</v>
      </c>
      <c r="AX83" s="737">
        <f t="shared" si="15"/>
        <v>22.121386336262599</v>
      </c>
      <c r="AY83" s="670">
        <v>12.796323855725401</v>
      </c>
      <c r="AZ83" s="670">
        <v>14.3983930880516</v>
      </c>
      <c r="BA83" s="670">
        <v>11.0784790142357</v>
      </c>
      <c r="BB83" s="670">
        <v>11.740186808549501</v>
      </c>
      <c r="BC83" s="738">
        <v>10.121380136389201</v>
      </c>
      <c r="BD83" s="737">
        <f t="shared" si="22"/>
        <v>26.011219626953199</v>
      </c>
      <c r="BE83" s="670">
        <v>12.783834567162399</v>
      </c>
      <c r="BF83" s="670">
        <v>15.506245752162901</v>
      </c>
      <c r="BG83" s="670">
        <v>11.493190886357301</v>
      </c>
      <c r="BH83" s="670">
        <v>12.2156576237082</v>
      </c>
      <c r="BI83" s="738">
        <v>8.9483231492258302</v>
      </c>
      <c r="BJ83" s="9"/>
      <c r="BK83" s="739" t="str">
        <f t="shared" si="16"/>
        <v>3Q25</v>
      </c>
      <c r="BL83" s="737">
        <f t="shared" si="17"/>
        <v>28.653101847158499</v>
      </c>
      <c r="BM83" s="670">
        <v>11.264557763490499</v>
      </c>
      <c r="BN83" s="670">
        <v>16.9769983363012</v>
      </c>
      <c r="BO83" s="670">
        <v>14.639794612769601</v>
      </c>
      <c r="BP83" s="670">
        <v>18.4969909334805</v>
      </c>
      <c r="BQ83" s="738">
        <v>17.038355642830801</v>
      </c>
      <c r="BR83" s="737">
        <f t="shared" si="18"/>
        <v>29.901448109412701</v>
      </c>
      <c r="BS83" s="670">
        <v>11.098891938738801</v>
      </c>
      <c r="BT83" s="670">
        <v>17.1678038497184</v>
      </c>
      <c r="BU83" s="670">
        <v>15.3184158666614</v>
      </c>
      <c r="BV83" s="670">
        <v>20.233709024707899</v>
      </c>
      <c r="BW83" s="738">
        <v>17.0249074363471</v>
      </c>
      <c r="BX83" s="737">
        <f t="shared" si="19"/>
        <v>22.121386336262599</v>
      </c>
      <c r="BY83" s="670">
        <v>6.5521070460169701</v>
      </c>
      <c r="BZ83" s="670">
        <v>7.5805714791436696</v>
      </c>
      <c r="CA83" s="670"/>
      <c r="CB83" s="670">
        <v>15.7600485469973</v>
      </c>
      <c r="CC83" s="738">
        <v>13.180766059266601</v>
      </c>
      <c r="CD83" s="737">
        <f t="shared" si="23"/>
        <v>26.011219626953199</v>
      </c>
      <c r="CE83" s="670">
        <v>6.6876218938895002</v>
      </c>
      <c r="CF83" s="670">
        <v>13.011960831629301</v>
      </c>
      <c r="CG83" s="670">
        <v>12.452113855824701</v>
      </c>
      <c r="CH83" s="670">
        <v>14.1638045774507</v>
      </c>
      <c r="CI83" s="738">
        <v>11.7889497648763</v>
      </c>
    </row>
    <row r="84" spans="1:87" ht="14.25" customHeight="1">
      <c r="A84" s="9"/>
      <c r="B84" s="9"/>
      <c r="C84" s="9" t="s">
        <v>793</v>
      </c>
      <c r="D84" s="9"/>
      <c r="E84" s="618">
        <f t="shared" si="26"/>
        <v>30.136895572954842</v>
      </c>
      <c r="F84" s="618">
        <f t="shared" si="26"/>
        <v>16.117007849523496</v>
      </c>
      <c r="G84" s="618">
        <f t="shared" si="26"/>
        <v>10.637190256202512</v>
      </c>
      <c r="H84" s="618">
        <f t="shared" si="26"/>
        <v>9.9954522991745449</v>
      </c>
      <c r="I84" s="64">
        <f>I80</f>
        <v>4</v>
      </c>
      <c r="J84" s="3">
        <f t="shared" si="20"/>
        <v>2025</v>
      </c>
      <c r="K84" s="258" t="str">
        <f t="shared" si="11"/>
        <v>4Q25</v>
      </c>
      <c r="L84" s="737">
        <v>29.1704723884197</v>
      </c>
      <c r="M84" s="670">
        <v>71.200810111317395</v>
      </c>
      <c r="N84" s="670">
        <v>186.932165947681</v>
      </c>
      <c r="O84" s="670">
        <v>14.9913382846511</v>
      </c>
      <c r="P84" s="670">
        <v>498.19896202769797</v>
      </c>
      <c r="Q84" s="738">
        <v>17.848661011249501</v>
      </c>
      <c r="R84" s="670">
        <v>31.248900615655199</v>
      </c>
      <c r="S84" s="670">
        <v>29.521276595744698</v>
      </c>
      <c r="T84" s="670">
        <v>30.310262529832901</v>
      </c>
      <c r="U84" s="670">
        <v>14.3144871823506</v>
      </c>
      <c r="V84" s="670">
        <v>23.627611322023998</v>
      </c>
      <c r="W84" s="738">
        <v>9.8043938393454209</v>
      </c>
      <c r="X84" s="670">
        <v>21.967403135327999</v>
      </c>
      <c r="Y84" s="670">
        <v>61.854030291046001</v>
      </c>
      <c r="Z84" s="670">
        <v>29.500289335850098</v>
      </c>
      <c r="AA84" s="670">
        <v>9.0907625697578904</v>
      </c>
      <c r="AB84" s="670">
        <v>132.08429374504101</v>
      </c>
      <c r="AC84" s="738">
        <v>15.902823831106501</v>
      </c>
      <c r="AD84" s="670">
        <v>24.399114290670799</v>
      </c>
      <c r="AE84" s="670">
        <v>23.757874531065099</v>
      </c>
      <c r="AF84" s="670">
        <v>41.4549620811379</v>
      </c>
      <c r="AG84" s="670">
        <v>9.6628161071160008</v>
      </c>
      <c r="AH84" s="670">
        <v>23.846190238203</v>
      </c>
      <c r="AI84" s="738">
        <v>10.4991702562359</v>
      </c>
      <c r="AJ84" s="9"/>
      <c r="AK84" s="739" t="str">
        <f t="shared" si="12"/>
        <v>4Q25</v>
      </c>
      <c r="AL84" s="737">
        <f t="shared" si="13"/>
        <v>29.1704723884197</v>
      </c>
      <c r="AM84" s="670">
        <v>18.285283104649</v>
      </c>
      <c r="AN84" s="670">
        <v>15.531229783089</v>
      </c>
      <c r="AO84" s="670">
        <v>18.434223080295499</v>
      </c>
      <c r="AP84" s="670">
        <v>15.7918506010747</v>
      </c>
      <c r="AQ84" s="738">
        <v>13.3630724097093</v>
      </c>
      <c r="AR84" s="737">
        <f t="shared" si="14"/>
        <v>31.248900615655199</v>
      </c>
      <c r="AS84" s="670">
        <v>18.0372200865908</v>
      </c>
      <c r="AT84" s="670">
        <v>18.548904045644001</v>
      </c>
      <c r="AU84" s="670">
        <v>17.3009847075473</v>
      </c>
      <c r="AV84" s="670">
        <v>15.0214839738927</v>
      </c>
      <c r="AW84" s="738">
        <v>12.1266380876433</v>
      </c>
      <c r="AX84" s="737">
        <f t="shared" si="15"/>
        <v>21.967403135327999</v>
      </c>
      <c r="AY84" s="670">
        <v>12.796323855725401</v>
      </c>
      <c r="AZ84" s="670">
        <v>14.3983930880516</v>
      </c>
      <c r="BA84" s="670">
        <v>11.0784790142357</v>
      </c>
      <c r="BB84" s="670">
        <v>11.740186808549501</v>
      </c>
      <c r="BC84" s="738">
        <v>10.121380136389201</v>
      </c>
      <c r="BD84" s="737">
        <f t="shared" si="22"/>
        <v>24.399114290670799</v>
      </c>
      <c r="BE84" s="670">
        <v>12.783834567162399</v>
      </c>
      <c r="BF84" s="670">
        <v>15.506245752162901</v>
      </c>
      <c r="BG84" s="670">
        <v>11.493190886357301</v>
      </c>
      <c r="BH84" s="670">
        <v>12.2156576237082</v>
      </c>
      <c r="BI84" s="738">
        <v>8.9483231492258302</v>
      </c>
      <c r="BJ84" s="9"/>
      <c r="BK84" s="739" t="str">
        <f t="shared" si="16"/>
        <v>4Q25</v>
      </c>
      <c r="BL84" s="737">
        <f t="shared" si="17"/>
        <v>29.1704723884197</v>
      </c>
      <c r="BM84" s="670">
        <v>11.264557763490499</v>
      </c>
      <c r="BN84" s="670">
        <v>16.9769983363012</v>
      </c>
      <c r="BO84" s="670">
        <v>14.639794612769601</v>
      </c>
      <c r="BP84" s="670">
        <v>18.4969909334805</v>
      </c>
      <c r="BQ84" s="738">
        <v>17.038355642830801</v>
      </c>
      <c r="BR84" s="737">
        <f t="shared" si="18"/>
        <v>31.248900615655199</v>
      </c>
      <c r="BS84" s="670">
        <v>11.098891938738801</v>
      </c>
      <c r="BT84" s="670">
        <v>17.1678038497184</v>
      </c>
      <c r="BU84" s="670">
        <v>15.3184158666614</v>
      </c>
      <c r="BV84" s="670">
        <v>20.233709024707899</v>
      </c>
      <c r="BW84" s="738">
        <v>17.0249074363471</v>
      </c>
      <c r="BX84" s="737">
        <f t="shared" si="19"/>
        <v>21.967403135327999</v>
      </c>
      <c r="BY84" s="670">
        <v>6.5521070460169701</v>
      </c>
      <c r="BZ84" s="670">
        <v>7.5805714791436696</v>
      </c>
      <c r="CA84" s="670"/>
      <c r="CB84" s="670">
        <v>15.7600485469973</v>
      </c>
      <c r="CC84" s="738">
        <v>13.180766059266601</v>
      </c>
      <c r="CD84" s="737">
        <f t="shared" si="23"/>
        <v>24.399114290670799</v>
      </c>
      <c r="CE84" s="670">
        <v>6.6876218938895002</v>
      </c>
      <c r="CF84" s="670">
        <v>13.011960831629301</v>
      </c>
      <c r="CG84" s="670">
        <v>12.452113855824701</v>
      </c>
      <c r="CH84" s="670">
        <v>14.1638045774507</v>
      </c>
      <c r="CI84" s="738">
        <v>11.7889497648763</v>
      </c>
    </row>
    <row r="85" spans="1:87" ht="14.25" customHeight="1">
      <c r="A85" s="9"/>
      <c r="B85" s="9"/>
      <c r="C85" s="9" t="s">
        <v>794</v>
      </c>
      <c r="D85" s="9"/>
      <c r="E85" s="618">
        <f>AVERAGE(BM8:BQ35)</f>
        <v>19.419899684661807</v>
      </c>
      <c r="F85" s="618">
        <f>AVERAGE(BS8:BW35)</f>
        <v>16.743680586508308</v>
      </c>
      <c r="G85" s="618">
        <f>AVERAGE(BY8:CC35)</f>
        <v>9.5404200826670245</v>
      </c>
      <c r="H85" s="618">
        <f>AVERAGE(CE8:CI35)</f>
        <v>9.3638146738226631</v>
      </c>
      <c r="I85" s="64">
        <f>IF(I84=4,1,I84+1)</f>
        <v>1</v>
      </c>
      <c r="J85" s="3">
        <f t="shared" si="20"/>
        <v>2026</v>
      </c>
      <c r="K85" s="258" t="str">
        <f t="shared" si="11"/>
        <v>1Q26</v>
      </c>
      <c r="L85" s="737">
        <v>27.665972229348998</v>
      </c>
      <c r="M85" s="670"/>
      <c r="N85" s="670"/>
      <c r="O85" s="670"/>
      <c r="P85" s="670"/>
      <c r="Q85" s="738"/>
      <c r="R85" s="670">
        <v>26.439780306002401</v>
      </c>
      <c r="S85" s="670">
        <v>34.446202531645604</v>
      </c>
      <c r="T85" s="670"/>
      <c r="U85" s="670"/>
      <c r="V85" s="670"/>
      <c r="W85" s="738"/>
      <c r="X85" s="670">
        <v>20.8383276726512</v>
      </c>
      <c r="Y85" s="670"/>
      <c r="Z85" s="670"/>
      <c r="AA85" s="670"/>
      <c r="AB85" s="670"/>
      <c r="AC85" s="738"/>
      <c r="AD85" s="670">
        <v>22.9054503511504</v>
      </c>
      <c r="AE85" s="670">
        <v>29.693606625215999</v>
      </c>
      <c r="AF85" s="670"/>
      <c r="AG85" s="670"/>
      <c r="AH85" s="670"/>
      <c r="AI85" s="738"/>
      <c r="AJ85" s="9"/>
      <c r="AK85" s="739"/>
      <c r="AL85" s="737"/>
      <c r="AM85" s="670"/>
      <c r="AN85" s="670"/>
      <c r="AO85" s="670"/>
      <c r="AP85" s="670"/>
      <c r="AQ85" s="738"/>
      <c r="AR85" s="737"/>
      <c r="AS85" s="670"/>
      <c r="AT85" s="670"/>
      <c r="AU85" s="670"/>
      <c r="AV85" s="670"/>
      <c r="AW85" s="738"/>
      <c r="AX85" s="737"/>
      <c r="AY85" s="670"/>
      <c r="AZ85" s="670"/>
      <c r="BA85" s="670"/>
      <c r="BB85" s="670"/>
      <c r="BC85" s="738"/>
      <c r="BD85" s="737"/>
      <c r="BE85" s="670"/>
      <c r="BF85" s="670"/>
      <c r="BG85" s="670"/>
      <c r="BH85" s="670"/>
      <c r="BI85" s="738"/>
      <c r="BJ85" s="9"/>
      <c r="BK85" s="739"/>
      <c r="BL85" s="737"/>
      <c r="BM85" s="670"/>
      <c r="BN85" s="670"/>
      <c r="BO85" s="670"/>
      <c r="BP85" s="670"/>
      <c r="BQ85" s="738"/>
      <c r="BR85" s="737"/>
      <c r="BS85" s="670"/>
      <c r="BT85" s="670"/>
      <c r="BU85" s="670"/>
      <c r="BV85" s="670"/>
      <c r="BW85" s="738"/>
      <c r="BX85" s="737"/>
      <c r="BY85" s="670"/>
      <c r="BZ85" s="670"/>
      <c r="CA85" s="670"/>
      <c r="CB85" s="670"/>
      <c r="CC85" s="738"/>
      <c r="CD85" s="737"/>
      <c r="CE85" s="670"/>
      <c r="CF85" s="670"/>
      <c r="CG85" s="670"/>
      <c r="CH85" s="670"/>
      <c r="CI85" s="738"/>
    </row>
    <row r="86" spans="1:87" ht="14.25" customHeight="1">
      <c r="A86" s="9"/>
      <c r="B86" s="9"/>
      <c r="C86" s="9" t="s">
        <v>795</v>
      </c>
      <c r="D86" s="9"/>
      <c r="E86" s="618">
        <f>AVERAGE(BM8:BQ19)</f>
        <v>25.08153198498405</v>
      </c>
      <c r="F86" s="618">
        <f>AVERAGE(BS8:BW19)</f>
        <v>19.390935509155117</v>
      </c>
      <c r="G86" s="618">
        <f>AVERAGE(BY8:CC19)</f>
        <v>9.9820368351702946</v>
      </c>
      <c r="H86" s="618" t="e">
        <f>AVERAGE(CE8:CI19)</f>
        <v>#DIV/0!</v>
      </c>
      <c r="I86" s="64"/>
      <c r="J86" s="3"/>
      <c r="K86" s="739" t="s">
        <v>496</v>
      </c>
      <c r="L86" s="737">
        <v>26.190207407559399</v>
      </c>
      <c r="M86" s="670">
        <f>M84</f>
        <v>71.200810111317395</v>
      </c>
      <c r="N86" s="670">
        <f>N84</f>
        <v>186.932165947681</v>
      </c>
      <c r="O86" s="670">
        <f>O84</f>
        <v>14.9913382846511</v>
      </c>
      <c r="P86" s="670">
        <f>P84</f>
        <v>498.19896202769797</v>
      </c>
      <c r="Q86" s="670">
        <f>Q84</f>
        <v>17.848661011249501</v>
      </c>
      <c r="R86" s="670">
        <v>25.0589159465829</v>
      </c>
      <c r="S86" s="670">
        <v>34.730290456431497</v>
      </c>
      <c r="T86" s="670">
        <f>T84</f>
        <v>30.310262529832901</v>
      </c>
      <c r="U86" s="670">
        <f>U84</f>
        <v>14.3144871823506</v>
      </c>
      <c r="V86" s="670">
        <f>V84</f>
        <v>23.627611322023998</v>
      </c>
      <c r="W86" s="670">
        <f t="shared" ref="W86" si="27">W83</f>
        <v>9.8573672895650706</v>
      </c>
      <c r="X86" s="670">
        <v>12.9339</v>
      </c>
      <c r="Y86" s="670">
        <f>Y84</f>
        <v>61.854030291046001</v>
      </c>
      <c r="Z86" s="670">
        <f>Z84</f>
        <v>29.500289335850098</v>
      </c>
      <c r="AA86" s="670">
        <f>AA84</f>
        <v>9.0907625697578904</v>
      </c>
      <c r="AB86" s="670">
        <f>AB84</f>
        <v>132.08429374504101</v>
      </c>
      <c r="AC86" s="670">
        <f t="shared" ref="AC86" si="28">AC83</f>
        <v>15.8301297489057</v>
      </c>
      <c r="AD86" s="670">
        <v>22.107788881681699</v>
      </c>
      <c r="AE86" s="670">
        <v>30.316948102655999</v>
      </c>
      <c r="AF86" s="670">
        <f>AF84</f>
        <v>41.4549620811379</v>
      </c>
      <c r="AG86" s="670">
        <f>AG84</f>
        <v>9.6628161071160008</v>
      </c>
      <c r="AH86" s="670">
        <f>AH84</f>
        <v>23.846190238203</v>
      </c>
      <c r="AI86" s="670">
        <f>AI83</f>
        <v>10.559998391445999</v>
      </c>
      <c r="AJ86" s="9"/>
      <c r="AK86" s="739" t="str">
        <f>$K86</f>
        <v>Current</v>
      </c>
      <c r="AL86" s="737">
        <f>L86</f>
        <v>26.190207407559399</v>
      </c>
      <c r="AM86" s="670">
        <v>18.285283104649</v>
      </c>
      <c r="AN86" s="670">
        <v>15.531229783089</v>
      </c>
      <c r="AO86" s="670">
        <v>18.434223080295499</v>
      </c>
      <c r="AP86" s="670">
        <v>15.7918506010747</v>
      </c>
      <c r="AQ86" s="738">
        <v>13.3630724097093</v>
      </c>
      <c r="AR86" s="737">
        <f>R86</f>
        <v>25.0589159465829</v>
      </c>
      <c r="AS86" s="670">
        <v>18.0372200865908</v>
      </c>
      <c r="AT86" s="670">
        <v>18.548904045644001</v>
      </c>
      <c r="AU86" s="670">
        <v>17.3009847075473</v>
      </c>
      <c r="AV86" s="670">
        <v>15.0214839738927</v>
      </c>
      <c r="AW86" s="738">
        <v>12.1266380876433</v>
      </c>
      <c r="AX86" s="737">
        <f>X86</f>
        <v>12.9339</v>
      </c>
      <c r="AY86" s="670">
        <v>12.796323855725401</v>
      </c>
      <c r="AZ86" s="670">
        <v>14.3983930880516</v>
      </c>
      <c r="BA86" s="670">
        <v>11.0784790142357</v>
      </c>
      <c r="BB86" s="670">
        <v>11.740186808549501</v>
      </c>
      <c r="BC86" s="738">
        <v>10.121380136389201</v>
      </c>
      <c r="BD86" s="737">
        <f>AD86</f>
        <v>22.107788881681699</v>
      </c>
      <c r="BE86" s="670">
        <v>12.783834567162399</v>
      </c>
      <c r="BF86" s="670">
        <v>15.506245752162901</v>
      </c>
      <c r="BG86" s="670">
        <v>11.493190886357301</v>
      </c>
      <c r="BH86" s="670">
        <v>12.2156576237082</v>
      </c>
      <c r="BI86" s="738">
        <v>8.9483231492258302</v>
      </c>
      <c r="BJ86" s="9"/>
      <c r="BK86" s="739" t="str">
        <f>$K86</f>
        <v>Current</v>
      </c>
      <c r="BL86" s="737">
        <f>AL86</f>
        <v>26.190207407559399</v>
      </c>
      <c r="BM86" s="670">
        <v>11.264557763490499</v>
      </c>
      <c r="BN86" s="670">
        <v>16.9769983363012</v>
      </c>
      <c r="BO86" s="670">
        <v>14.639794612769601</v>
      </c>
      <c r="BP86" s="670">
        <v>18.4969909334805</v>
      </c>
      <c r="BQ86" s="738">
        <v>17.038355642830801</v>
      </c>
      <c r="BR86" s="737">
        <f>AR86</f>
        <v>25.0589159465829</v>
      </c>
      <c r="BS86" s="670">
        <v>11.098891938738801</v>
      </c>
      <c r="BT86" s="670">
        <v>17.1678038497184</v>
      </c>
      <c r="BU86" s="670">
        <v>15.3184158666614</v>
      </c>
      <c r="BV86" s="670">
        <v>20.233709024707899</v>
      </c>
      <c r="BW86" s="738">
        <v>17.0249074363471</v>
      </c>
      <c r="BX86" s="737">
        <f>AX86</f>
        <v>12.9339</v>
      </c>
      <c r="BY86" s="670">
        <v>6.5521070460169701</v>
      </c>
      <c r="BZ86" s="670">
        <v>7.5805714791436696</v>
      </c>
      <c r="CA86" s="670"/>
      <c r="CB86" s="670">
        <v>15.7600485469973</v>
      </c>
      <c r="CC86" s="738">
        <v>13.180766059266601</v>
      </c>
      <c r="CD86" s="737">
        <f>BD86</f>
        <v>22.107788881681699</v>
      </c>
      <c r="CE86" s="670">
        <v>6.6876218938895002</v>
      </c>
      <c r="CF86" s="670">
        <v>13.011960831629301</v>
      </c>
      <c r="CG86" s="670">
        <v>12.452113855824701</v>
      </c>
      <c r="CH86" s="670">
        <v>14.1638045774507</v>
      </c>
      <c r="CI86" s="738">
        <v>11.7889497648763</v>
      </c>
    </row>
    <row r="87" spans="1:87" ht="14.25" customHeight="1">
      <c r="A87" s="9"/>
      <c r="B87" s="9"/>
      <c r="C87" s="9" t="s">
        <v>796</v>
      </c>
      <c r="D87" s="9"/>
      <c r="E87" s="618">
        <f>AVERAGE(BM16:BQ27)</f>
        <v>16.855510192182262</v>
      </c>
      <c r="F87" s="618">
        <f>AVERAGE(BS16:BW27)</f>
        <v>16.195028889155573</v>
      </c>
      <c r="G87" s="618">
        <f>AVERAGE(BY16:CC27)</f>
        <v>10.485944434620379</v>
      </c>
      <c r="H87" s="618">
        <f>AVERAGE(CE16:CI27)</f>
        <v>10.278506200183173</v>
      </c>
      <c r="I87" s="64"/>
      <c r="J87" s="3"/>
      <c r="K87" s="64"/>
      <c r="L87" s="740"/>
      <c r="M87" s="740"/>
      <c r="N87" s="740"/>
      <c r="O87" s="740"/>
      <c r="P87" s="740"/>
      <c r="Q87" s="740"/>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row>
    <row r="88" spans="1:87" ht="14.25" customHeight="1">
      <c r="A88" s="9"/>
      <c r="B88" s="9"/>
      <c r="C88" s="9" t="s">
        <v>797</v>
      </c>
      <c r="D88" s="9"/>
      <c r="E88" s="618">
        <f>AVERAGE(BM24:BQ35)</f>
        <v>14.892234450874573</v>
      </c>
      <c r="F88" s="618">
        <f>AVERAGE(BS24:BW35)</f>
        <v>14.540423109972403</v>
      </c>
      <c r="G88" s="618">
        <f>AVERAGE(BY24:CC35)</f>
        <v>8.8701398491107799</v>
      </c>
      <c r="H88" s="618">
        <f>AVERAGE(CE24:CI35)</f>
        <v>8.9448678093886382</v>
      </c>
      <c r="I88" s="64"/>
      <c r="J88" s="9"/>
      <c r="K88" s="64"/>
      <c r="L88" s="740"/>
      <c r="M88" s="740"/>
      <c r="N88" s="740"/>
      <c r="O88" s="740"/>
      <c r="P88" s="740"/>
      <c r="Q88" s="740"/>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row>
    <row r="89" spans="1:87" ht="14.25" customHeight="1">
      <c r="A89" s="9"/>
      <c r="B89" s="9"/>
      <c r="C89" s="9" t="s">
        <v>798</v>
      </c>
      <c r="D89" s="9"/>
      <c r="E89" s="618">
        <f>AVERAGE(BM36:BQ75)</f>
        <v>27.20363279358067</v>
      </c>
      <c r="F89" s="618">
        <f>AVERAGE(BS36:BW75)</f>
        <v>15.825453469779573</v>
      </c>
      <c r="G89" s="618">
        <f>AVERAGE(BY36:CC75)</f>
        <v>10.073825521986931</v>
      </c>
      <c r="H89" s="618">
        <f>AVERAGE(CE36:CI75)</f>
        <v>9.1998691858290744</v>
      </c>
      <c r="I89" s="618"/>
      <c r="J89" s="9"/>
      <c r="K89" s="64"/>
      <c r="L89" s="740"/>
      <c r="M89" s="740"/>
      <c r="N89" s="740"/>
      <c r="O89" s="740"/>
      <c r="P89" s="740"/>
      <c r="Q89" s="740"/>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row>
    <row r="90" spans="1:87" ht="14.25" customHeight="1">
      <c r="A90" s="9"/>
      <c r="B90" s="9"/>
      <c r="C90" s="9" t="s">
        <v>799</v>
      </c>
      <c r="D90" s="9"/>
      <c r="E90" s="618">
        <f>AVERAGE(BM36:BQ51)</f>
        <v>15.126464651316216</v>
      </c>
      <c r="F90" s="618">
        <f>AVERAGE(BS36:BW51)</f>
        <v>14.603483940485029</v>
      </c>
      <c r="G90" s="618">
        <f>AVERAGE(BY36:CC51)</f>
        <v>8.1705656986356576</v>
      </c>
      <c r="H90" s="618">
        <f>AVERAGE(CE36:CI51)</f>
        <v>7.7150307167356171</v>
      </c>
      <c r="I90" s="618"/>
      <c r="J90" s="9"/>
      <c r="K90" s="64"/>
      <c r="L90" s="740"/>
      <c r="M90" s="740"/>
      <c r="N90" s="740"/>
      <c r="O90" s="740"/>
      <c r="P90" s="740"/>
      <c r="Q90" s="740"/>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row>
    <row r="91" spans="1:87" ht="14.25" customHeight="1">
      <c r="A91" s="9"/>
      <c r="B91" s="9"/>
      <c r="C91" s="9" t="s">
        <v>800</v>
      </c>
      <c r="D91" s="9"/>
      <c r="E91" s="618">
        <f>AVERAGE(BM48:BQ63)</f>
        <v>15.360279171429923</v>
      </c>
      <c r="F91" s="618">
        <f>AVERAGE(BS48:BW63)</f>
        <v>14.410938400731766</v>
      </c>
      <c r="G91" s="618">
        <f>AVERAGE(BY48:CC63)</f>
        <v>9.4643020224305161</v>
      </c>
      <c r="H91" s="618">
        <f>AVERAGE(CE48:CI63)</f>
        <v>8.4730114987941256</v>
      </c>
      <c r="I91" s="618"/>
      <c r="J91" s="9"/>
      <c r="K91" s="64"/>
      <c r="L91" s="740"/>
      <c r="M91" s="740"/>
      <c r="N91" s="740"/>
      <c r="O91" s="740"/>
      <c r="P91" s="740"/>
      <c r="Q91" s="740"/>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row>
    <row r="92" spans="1:87" ht="14.25" customHeight="1">
      <c r="A92" s="9"/>
      <c r="B92" s="9"/>
      <c r="C92" s="9" t="s">
        <v>801</v>
      </c>
      <c r="D92" s="9"/>
      <c r="E92" s="618">
        <f>AVERAGE(BM60:BQ75)</f>
        <v>45.381556695035108</v>
      </c>
      <c r="F92" s="618">
        <f>AVERAGE(BS60:BW75)</f>
        <v>17.693592589074591</v>
      </c>
      <c r="G92" s="618">
        <f>AVERAGE(BY60:CC75)</f>
        <v>12.404240663294244</v>
      </c>
      <c r="H92" s="618">
        <f>AVERAGE(CE60:CI75)</f>
        <v>11.046036788960452</v>
      </c>
      <c r="I92" s="618"/>
      <c r="J92" s="9"/>
      <c r="K92" s="64"/>
      <c r="L92" s="740"/>
      <c r="M92" s="740"/>
      <c r="N92" s="740"/>
      <c r="O92" s="740"/>
      <c r="P92" s="740"/>
      <c r="Q92" s="740"/>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row>
    <row r="93" spans="1:87" ht="14.25" customHeight="1">
      <c r="A93" s="9"/>
      <c r="B93" s="9"/>
      <c r="C93" s="9"/>
      <c r="D93" s="9"/>
      <c r="E93" s="9"/>
      <c r="F93" s="9"/>
      <c r="G93" s="9"/>
      <c r="H93" s="9"/>
      <c r="I93" s="9"/>
      <c r="J93" s="9"/>
      <c r="K93" s="64"/>
      <c r="L93" s="740"/>
      <c r="M93" s="740"/>
      <c r="N93" s="740"/>
      <c r="O93" s="740"/>
      <c r="P93" s="740"/>
      <c r="Q93" s="740"/>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row>
    <row r="94" spans="1:87" ht="14.25" customHeight="1">
      <c r="A94" s="180" t="s">
        <v>0</v>
      </c>
      <c r="B94" s="9"/>
      <c r="C94" s="9"/>
      <c r="D94" s="9"/>
      <c r="E94" s="9"/>
      <c r="F94" s="9"/>
      <c r="G94" s="9"/>
      <c r="H94" s="9"/>
      <c r="I94" s="9"/>
      <c r="J94" s="9"/>
      <c r="K94" s="64"/>
      <c r="L94" s="740"/>
      <c r="M94" s="740"/>
      <c r="N94" s="740"/>
      <c r="O94" s="740"/>
      <c r="P94" s="740"/>
      <c r="Q94" s="740"/>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row>
    <row r="95" spans="1:87" ht="14.25" customHeight="1">
      <c r="A95" s="9"/>
      <c r="B95" s="9"/>
      <c r="C95" s="9"/>
      <c r="D95" s="9"/>
      <c r="E95" s="9"/>
      <c r="F95" s="9"/>
      <c r="G95" s="9"/>
      <c r="H95" s="9"/>
      <c r="I95" s="9"/>
      <c r="J95" s="9"/>
      <c r="K95" s="64"/>
      <c r="L95" s="740"/>
      <c r="M95" s="740"/>
      <c r="N95" s="740"/>
      <c r="O95" s="740"/>
      <c r="P95" s="740"/>
      <c r="Q95" s="740"/>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row>
    <row r="96" spans="1:87" ht="14.25" customHeight="1">
      <c r="A96" s="9"/>
      <c r="B96" s="9"/>
      <c r="C96" s="9"/>
      <c r="D96" s="9"/>
      <c r="E96" s="9"/>
      <c r="F96" s="9"/>
      <c r="G96" s="9"/>
      <c r="H96" s="9"/>
      <c r="I96" s="9"/>
      <c r="J96" s="9"/>
      <c r="K96" s="64"/>
      <c r="L96" s="740"/>
      <c r="M96" s="740"/>
      <c r="N96" s="740"/>
      <c r="O96" s="740"/>
      <c r="P96" s="740"/>
      <c r="Q96" s="740"/>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row>
    <row r="97" spans="1:87" ht="14.25" customHeight="1">
      <c r="A97" s="9"/>
      <c r="B97" s="9"/>
      <c r="C97" s="9"/>
      <c r="D97" s="9"/>
      <c r="E97" s="9"/>
      <c r="F97" s="9"/>
      <c r="G97" s="9"/>
      <c r="H97" s="9"/>
      <c r="I97" s="9"/>
      <c r="J97" s="9"/>
      <c r="K97" s="64"/>
      <c r="L97" s="740"/>
      <c r="M97" s="740"/>
      <c r="N97" s="740"/>
      <c r="O97" s="740"/>
      <c r="P97" s="740"/>
      <c r="Q97" s="740"/>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row>
    <row r="98" spans="1:87" ht="14.25" customHeight="1">
      <c r="A98" s="9"/>
      <c r="B98" s="9"/>
      <c r="C98" s="9"/>
      <c r="D98" s="9"/>
      <c r="E98" s="9"/>
      <c r="F98" s="9"/>
      <c r="G98" s="9"/>
      <c r="H98" s="9"/>
      <c r="I98" s="9"/>
      <c r="J98" s="9"/>
      <c r="K98" s="64"/>
      <c r="L98" s="740"/>
      <c r="M98" s="740"/>
      <c r="N98" s="740"/>
      <c r="O98" s="740"/>
      <c r="P98" s="740"/>
      <c r="Q98" s="740"/>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row>
    <row r="99" spans="1:87" ht="14.25" customHeight="1">
      <c r="A99" s="9"/>
      <c r="B99" s="9"/>
      <c r="C99" s="9"/>
      <c r="D99" s="9"/>
      <c r="E99" s="9"/>
      <c r="F99" s="9"/>
      <c r="G99" s="9"/>
      <c r="H99" s="9"/>
      <c r="I99" s="9"/>
      <c r="J99" s="9"/>
      <c r="K99" s="64"/>
      <c r="L99" s="740"/>
      <c r="M99" s="740"/>
      <c r="N99" s="740"/>
      <c r="O99" s="740"/>
      <c r="P99" s="740"/>
      <c r="Q99" s="740"/>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row>
    <row r="100" spans="1:87" ht="14.25" customHeight="1">
      <c r="A100" s="9"/>
      <c r="B100" s="9"/>
      <c r="C100" s="9"/>
      <c r="D100" s="9"/>
      <c r="E100" s="9"/>
      <c r="F100" s="9"/>
      <c r="G100" s="9"/>
      <c r="H100" s="9"/>
      <c r="I100" s="9"/>
      <c r="J100" s="9"/>
      <c r="K100" s="64"/>
      <c r="L100" s="740"/>
      <c r="M100" s="740"/>
      <c r="N100" s="740"/>
      <c r="O100" s="740"/>
      <c r="P100" s="740"/>
      <c r="Q100" s="740"/>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row>
    <row r="101" spans="1:87" ht="14.25" customHeight="1">
      <c r="A101" s="9"/>
      <c r="B101" s="9"/>
      <c r="C101" s="9"/>
      <c r="D101" s="9"/>
      <c r="E101" s="9"/>
      <c r="F101" s="9"/>
      <c r="G101" s="9"/>
      <c r="H101" s="9"/>
      <c r="I101" s="9"/>
      <c r="J101" s="9"/>
      <c r="K101" s="64"/>
      <c r="L101" s="740"/>
      <c r="M101" s="740"/>
      <c r="N101" s="740"/>
      <c r="O101" s="740"/>
      <c r="P101" s="740"/>
      <c r="Q101" s="740"/>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row>
    <row r="102" spans="1:87" ht="14.25" customHeight="1">
      <c r="A102" s="9"/>
      <c r="B102" s="9"/>
      <c r="C102" s="9"/>
      <c r="D102" s="9"/>
      <c r="E102" s="9"/>
      <c r="F102" s="9"/>
      <c r="G102" s="9"/>
      <c r="H102" s="9"/>
      <c r="I102" s="9"/>
      <c r="J102" s="9"/>
      <c r="K102" s="64"/>
      <c r="L102" s="740"/>
      <c r="M102" s="740"/>
      <c r="N102" s="740"/>
      <c r="O102" s="740"/>
      <c r="P102" s="740"/>
      <c r="Q102" s="740"/>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row>
    <row r="103" spans="1:87" ht="14.25" customHeight="1">
      <c r="A103" s="9"/>
      <c r="B103" s="9"/>
      <c r="C103" s="9"/>
      <c r="D103" s="9"/>
      <c r="E103" s="9"/>
      <c r="F103" s="9"/>
      <c r="G103" s="9"/>
      <c r="H103" s="9"/>
      <c r="I103" s="9"/>
      <c r="J103" s="9"/>
      <c r="K103" s="64"/>
      <c r="L103" s="740"/>
      <c r="M103" s="740"/>
      <c r="N103" s="740"/>
      <c r="O103" s="740"/>
      <c r="P103" s="740"/>
      <c r="Q103" s="740"/>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row>
    <row r="104" spans="1:87" ht="14.25" customHeight="1">
      <c r="A104" s="9"/>
      <c r="B104" s="9"/>
      <c r="C104" s="9"/>
      <c r="D104" s="9"/>
      <c r="E104" s="9"/>
      <c r="F104" s="9"/>
      <c r="G104" s="9"/>
      <c r="H104" s="9"/>
      <c r="I104" s="9"/>
      <c r="J104" s="9"/>
      <c r="K104" s="64"/>
      <c r="L104" s="740"/>
      <c r="M104" s="740"/>
      <c r="N104" s="740"/>
      <c r="O104" s="740"/>
      <c r="P104" s="740"/>
      <c r="Q104" s="740"/>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row>
    <row r="105" spans="1:87" ht="14.25" customHeight="1">
      <c r="A105" s="9"/>
      <c r="B105" s="9"/>
      <c r="C105" s="9"/>
      <c r="D105" s="9"/>
      <c r="E105" s="9"/>
      <c r="F105" s="9"/>
      <c r="G105" s="9"/>
      <c r="H105" s="9"/>
      <c r="I105" s="9"/>
      <c r="J105" s="9"/>
      <c r="K105" s="64"/>
      <c r="L105" s="740"/>
      <c r="M105" s="740"/>
      <c r="N105" s="740"/>
      <c r="O105" s="740"/>
      <c r="P105" s="740"/>
      <c r="Q105" s="740"/>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row>
    <row r="106" spans="1:87" ht="14.25" customHeight="1">
      <c r="A106" s="9"/>
      <c r="B106" s="9"/>
      <c r="C106" s="9"/>
      <c r="D106" s="9"/>
      <c r="E106" s="9"/>
      <c r="F106" s="9"/>
      <c r="G106" s="9"/>
      <c r="H106" s="9"/>
      <c r="I106" s="9"/>
      <c r="J106" s="9"/>
      <c r="K106" s="64"/>
      <c r="L106" s="740"/>
      <c r="M106" s="740"/>
      <c r="N106" s="740"/>
      <c r="O106" s="740"/>
      <c r="P106" s="740"/>
      <c r="Q106" s="740"/>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row>
    <row r="107" spans="1:87" ht="14.25" customHeight="1">
      <c r="A107" s="9"/>
      <c r="B107" s="9"/>
      <c r="C107" s="9"/>
      <c r="D107" s="9"/>
      <c r="E107" s="9"/>
      <c r="F107" s="9"/>
      <c r="G107" s="9"/>
      <c r="H107" s="9"/>
      <c r="I107" s="9"/>
      <c r="J107" s="9"/>
      <c r="K107" s="64"/>
      <c r="L107" s="740"/>
      <c r="M107" s="740"/>
      <c r="N107" s="740"/>
      <c r="O107" s="740"/>
      <c r="P107" s="740"/>
      <c r="Q107" s="740"/>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row>
    <row r="108" spans="1:87" ht="14.25" customHeight="1">
      <c r="A108" s="9"/>
      <c r="B108" s="9"/>
      <c r="C108" s="9"/>
      <c r="D108" s="9"/>
      <c r="E108" s="9"/>
      <c r="F108" s="9"/>
      <c r="G108" s="9"/>
      <c r="H108" s="9"/>
      <c r="I108" s="9"/>
      <c r="J108" s="9"/>
      <c r="K108" s="64"/>
      <c r="L108" s="740"/>
      <c r="M108" s="740"/>
      <c r="N108" s="740"/>
      <c r="O108" s="740"/>
      <c r="P108" s="740"/>
      <c r="Q108" s="740"/>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row>
    <row r="109" spans="1:87" ht="14.25" customHeight="1">
      <c r="A109" s="9"/>
      <c r="B109" s="9"/>
      <c r="C109" s="9"/>
      <c r="D109" s="9"/>
      <c r="E109" s="9"/>
      <c r="F109" s="9"/>
      <c r="G109" s="9"/>
      <c r="H109" s="9"/>
      <c r="I109" s="9"/>
      <c r="J109" s="9"/>
      <c r="K109" s="64"/>
      <c r="L109" s="740"/>
      <c r="M109" s="740"/>
      <c r="N109" s="740"/>
      <c r="O109" s="740"/>
      <c r="P109" s="740"/>
      <c r="Q109" s="740"/>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row>
    <row r="110" spans="1:87" ht="14.25" customHeight="1">
      <c r="A110" s="9"/>
      <c r="B110" s="9"/>
      <c r="C110" s="9"/>
      <c r="D110" s="9"/>
      <c r="E110" s="9"/>
      <c r="F110" s="9"/>
      <c r="G110" s="9"/>
      <c r="H110" s="9"/>
      <c r="I110" s="9"/>
      <c r="J110" s="9"/>
      <c r="K110" s="64"/>
      <c r="L110" s="740"/>
      <c r="M110" s="740"/>
      <c r="N110" s="740"/>
      <c r="O110" s="740"/>
      <c r="P110" s="740"/>
      <c r="Q110" s="740"/>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row>
    <row r="111" spans="1:87" ht="14.25" customHeight="1">
      <c r="A111" s="9"/>
      <c r="B111" s="9"/>
      <c r="C111" s="9"/>
      <c r="D111" s="9"/>
      <c r="E111" s="9"/>
      <c r="F111" s="9"/>
      <c r="G111" s="9"/>
      <c r="H111" s="9"/>
      <c r="I111" s="9"/>
      <c r="J111" s="9"/>
      <c r="K111" s="64"/>
      <c r="L111" s="740"/>
      <c r="M111" s="740"/>
      <c r="N111" s="740"/>
      <c r="O111" s="740"/>
      <c r="P111" s="740"/>
      <c r="Q111" s="740"/>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row>
    <row r="112" spans="1:87" ht="14.25" customHeight="1">
      <c r="A112" s="9"/>
      <c r="B112" s="9"/>
      <c r="C112" s="9"/>
      <c r="D112" s="9"/>
      <c r="E112" s="9"/>
      <c r="F112" s="9"/>
      <c r="G112" s="9"/>
      <c r="H112" s="9"/>
      <c r="I112" s="9"/>
      <c r="J112" s="9"/>
      <c r="K112" s="64"/>
      <c r="L112" s="740"/>
      <c r="M112" s="740"/>
      <c r="N112" s="740"/>
      <c r="O112" s="740"/>
      <c r="P112" s="740"/>
      <c r="Q112" s="740"/>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row>
    <row r="113" spans="1:87" ht="14.25" customHeight="1">
      <c r="A113" s="9"/>
      <c r="B113" s="9"/>
      <c r="C113" s="9"/>
      <c r="D113" s="9"/>
      <c r="E113" s="9"/>
      <c r="F113" s="9"/>
      <c r="G113" s="9"/>
      <c r="H113" s="9"/>
      <c r="I113" s="9"/>
      <c r="J113" s="9"/>
      <c r="K113" s="64"/>
      <c r="L113" s="740"/>
      <c r="M113" s="740"/>
      <c r="N113" s="740"/>
      <c r="O113" s="740"/>
      <c r="P113" s="740"/>
      <c r="Q113" s="740"/>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row>
    <row r="114" spans="1:87" ht="14.25" customHeight="1">
      <c r="A114" s="9"/>
      <c r="B114" s="9"/>
      <c r="C114" s="9"/>
      <c r="D114" s="9"/>
      <c r="E114" s="9"/>
      <c r="F114" s="9"/>
      <c r="G114" s="9"/>
      <c r="H114" s="9"/>
      <c r="I114" s="9"/>
      <c r="J114" s="9"/>
      <c r="K114" s="64"/>
      <c r="L114" s="740"/>
      <c r="M114" s="740"/>
      <c r="N114" s="740"/>
      <c r="O114" s="740"/>
      <c r="P114" s="740"/>
      <c r="Q114" s="740"/>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row>
    <row r="115" spans="1:87" ht="14.25" customHeight="1">
      <c r="A115" s="9"/>
      <c r="B115" s="9"/>
      <c r="C115" s="9"/>
      <c r="D115" s="9"/>
      <c r="E115" s="9"/>
      <c r="F115" s="9"/>
      <c r="G115" s="9"/>
      <c r="H115" s="9"/>
      <c r="I115" s="9"/>
      <c r="J115" s="9"/>
      <c r="K115" s="64"/>
      <c r="L115" s="740"/>
      <c r="M115" s="740"/>
      <c r="N115" s="740"/>
      <c r="O115" s="740"/>
      <c r="P115" s="740"/>
      <c r="Q115" s="740"/>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row>
    <row r="116" spans="1:87" ht="14.25" customHeight="1">
      <c r="A116" s="9"/>
      <c r="B116" s="9"/>
      <c r="C116" s="9"/>
      <c r="D116" s="9"/>
      <c r="E116" s="9"/>
      <c r="F116" s="9"/>
      <c r="G116" s="9"/>
      <c r="H116" s="9"/>
      <c r="I116" s="9"/>
      <c r="J116" s="9"/>
      <c r="K116" s="64"/>
      <c r="L116" s="740"/>
      <c r="M116" s="740"/>
      <c r="N116" s="740"/>
      <c r="O116" s="740"/>
      <c r="P116" s="740"/>
      <c r="Q116" s="740"/>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row>
    <row r="117" spans="1:87" ht="14.25" customHeight="1">
      <c r="A117" s="9"/>
      <c r="B117" s="9"/>
      <c r="C117" s="9"/>
      <c r="D117" s="9"/>
      <c r="E117" s="9"/>
      <c r="F117" s="9"/>
      <c r="G117" s="9"/>
      <c r="H117" s="9"/>
      <c r="I117" s="9"/>
      <c r="J117" s="9"/>
      <c r="K117" s="64"/>
      <c r="L117" s="740"/>
      <c r="M117" s="740"/>
      <c r="N117" s="740"/>
      <c r="O117" s="740"/>
      <c r="P117" s="740"/>
      <c r="Q117" s="740"/>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row>
    <row r="118" spans="1:87" ht="14.25" customHeight="1">
      <c r="A118" s="9"/>
      <c r="B118" s="9"/>
      <c r="C118" s="9"/>
      <c r="D118" s="9"/>
      <c r="E118" s="9"/>
      <c r="F118" s="9"/>
      <c r="G118" s="9"/>
      <c r="H118" s="9"/>
      <c r="I118" s="9"/>
      <c r="J118" s="9"/>
      <c r="K118" s="64"/>
      <c r="L118" s="740"/>
      <c r="M118" s="740"/>
      <c r="N118" s="740"/>
      <c r="O118" s="740"/>
      <c r="P118" s="740"/>
      <c r="Q118" s="740"/>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row>
    <row r="119" spans="1:87" ht="14.25" customHeight="1">
      <c r="A119" s="9"/>
      <c r="B119" s="9"/>
      <c r="C119" s="9"/>
      <c r="D119" s="9"/>
      <c r="E119" s="9"/>
      <c r="F119" s="9"/>
      <c r="G119" s="9"/>
      <c r="H119" s="9"/>
      <c r="I119" s="9"/>
      <c r="J119" s="9"/>
      <c r="K119" s="64"/>
      <c r="L119" s="740"/>
      <c r="M119" s="740"/>
      <c r="N119" s="740"/>
      <c r="O119" s="740"/>
      <c r="P119" s="740"/>
      <c r="Q119" s="740"/>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row>
    <row r="120" spans="1:87" ht="14.25" customHeight="1">
      <c r="A120" s="9"/>
      <c r="B120" s="9"/>
      <c r="C120" s="9"/>
      <c r="D120" s="9"/>
      <c r="E120" s="9"/>
      <c r="F120" s="9"/>
      <c r="G120" s="9"/>
      <c r="H120" s="9"/>
      <c r="I120" s="9"/>
      <c r="J120" s="9"/>
      <c r="K120" s="64"/>
      <c r="L120" s="740"/>
      <c r="M120" s="740"/>
      <c r="N120" s="740"/>
      <c r="O120" s="740"/>
      <c r="P120" s="740"/>
      <c r="Q120" s="740"/>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row>
    <row r="121" spans="1:87" ht="14.25" customHeight="1">
      <c r="A121" s="9"/>
      <c r="B121" s="9"/>
      <c r="C121" s="9"/>
      <c r="D121" s="9"/>
      <c r="E121" s="9"/>
      <c r="F121" s="9"/>
      <c r="G121" s="9"/>
      <c r="H121" s="9"/>
      <c r="I121" s="9"/>
      <c r="J121" s="9"/>
      <c r="K121" s="64"/>
      <c r="L121" s="740"/>
      <c r="M121" s="740"/>
      <c r="N121" s="740"/>
      <c r="O121" s="740"/>
      <c r="P121" s="740"/>
      <c r="Q121" s="740"/>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row>
    <row r="122" spans="1:87" ht="14.25" customHeight="1">
      <c r="A122" s="9"/>
      <c r="B122" s="9"/>
      <c r="C122" s="9"/>
      <c r="D122" s="9"/>
      <c r="E122" s="9"/>
      <c r="F122" s="9"/>
      <c r="G122" s="9"/>
      <c r="H122" s="9"/>
      <c r="I122" s="9"/>
      <c r="J122" s="9"/>
      <c r="K122" s="64"/>
      <c r="L122" s="740"/>
      <c r="M122" s="740"/>
      <c r="N122" s="740"/>
      <c r="O122" s="740"/>
      <c r="P122" s="740"/>
      <c r="Q122" s="740"/>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row>
    <row r="123" spans="1:87" ht="14.25" customHeight="1">
      <c r="A123" s="9"/>
      <c r="B123" s="9"/>
      <c r="C123" s="9"/>
      <c r="D123" s="9"/>
      <c r="E123" s="9"/>
      <c r="F123" s="9"/>
      <c r="G123" s="9"/>
      <c r="H123" s="9"/>
      <c r="I123" s="9"/>
      <c r="J123" s="9"/>
      <c r="K123" s="64"/>
      <c r="L123" s="740"/>
      <c r="M123" s="740"/>
      <c r="N123" s="740"/>
      <c r="O123" s="740"/>
      <c r="P123" s="740"/>
      <c r="Q123" s="740"/>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row>
    <row r="124" spans="1:87" ht="14.25" customHeight="1">
      <c r="A124" s="9"/>
      <c r="B124" s="9"/>
      <c r="C124" s="9"/>
      <c r="D124" s="9"/>
      <c r="E124" s="9"/>
      <c r="F124" s="9"/>
      <c r="G124" s="9"/>
      <c r="H124" s="9"/>
      <c r="I124" s="9"/>
      <c r="J124" s="9"/>
      <c r="K124" s="64"/>
      <c r="L124" s="740"/>
      <c r="M124" s="740"/>
      <c r="N124" s="740"/>
      <c r="O124" s="740"/>
      <c r="P124" s="740"/>
      <c r="Q124" s="740"/>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row>
    <row r="125" spans="1:87" ht="14.25" customHeight="1">
      <c r="A125" s="9"/>
      <c r="B125" s="9"/>
      <c r="C125" s="9"/>
      <c r="D125" s="9"/>
      <c r="E125" s="9"/>
      <c r="F125" s="9"/>
      <c r="G125" s="9"/>
      <c r="H125" s="9"/>
      <c r="I125" s="9"/>
      <c r="J125" s="9"/>
      <c r="K125" s="64"/>
      <c r="L125" s="740"/>
      <c r="M125" s="740"/>
      <c r="N125" s="740"/>
      <c r="O125" s="740"/>
      <c r="P125" s="740"/>
      <c r="Q125" s="740"/>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row>
    <row r="126" spans="1:87" ht="14.25" customHeight="1">
      <c r="A126" s="9"/>
      <c r="B126" s="9"/>
      <c r="C126" s="9"/>
      <c r="D126" s="9"/>
      <c r="E126" s="9"/>
      <c r="F126" s="9"/>
      <c r="G126" s="9"/>
      <c r="H126" s="9"/>
      <c r="I126" s="9"/>
      <c r="J126" s="9"/>
      <c r="K126" s="64"/>
      <c r="L126" s="740"/>
      <c r="M126" s="740"/>
      <c r="N126" s="740"/>
      <c r="O126" s="740"/>
      <c r="P126" s="740"/>
      <c r="Q126" s="740"/>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row>
    <row r="127" spans="1:87" ht="14.25" customHeight="1">
      <c r="A127" s="9"/>
      <c r="B127" s="9"/>
      <c r="C127" s="9"/>
      <c r="D127" s="9"/>
      <c r="E127" s="9"/>
      <c r="F127" s="9"/>
      <c r="G127" s="9"/>
      <c r="H127" s="9"/>
      <c r="I127" s="9"/>
      <c r="J127" s="9"/>
      <c r="K127" s="64"/>
      <c r="L127" s="740"/>
      <c r="M127" s="740"/>
      <c r="N127" s="740"/>
      <c r="O127" s="740"/>
      <c r="P127" s="740"/>
      <c r="Q127" s="740"/>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row>
    <row r="128" spans="1:87" ht="14.25" customHeight="1">
      <c r="A128" s="9"/>
      <c r="B128" s="9"/>
      <c r="C128" s="9"/>
      <c r="D128" s="9"/>
      <c r="E128" s="9"/>
      <c r="F128" s="9"/>
      <c r="G128" s="9"/>
      <c r="H128" s="9"/>
      <c r="I128" s="9"/>
      <c r="J128" s="9"/>
      <c r="K128" s="64"/>
      <c r="L128" s="740"/>
      <c r="M128" s="740"/>
      <c r="N128" s="740"/>
      <c r="O128" s="740"/>
      <c r="P128" s="740"/>
      <c r="Q128" s="740"/>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row>
    <row r="129" spans="1:87" ht="14.25" customHeight="1">
      <c r="A129" s="9"/>
      <c r="B129" s="9"/>
      <c r="C129" s="9"/>
      <c r="D129" s="9"/>
      <c r="E129" s="9"/>
      <c r="F129" s="9"/>
      <c r="G129" s="9"/>
      <c r="H129" s="9"/>
      <c r="I129" s="9"/>
      <c r="J129" s="9"/>
      <c r="K129" s="64"/>
      <c r="L129" s="740"/>
      <c r="M129" s="740"/>
      <c r="N129" s="740"/>
      <c r="O129" s="740"/>
      <c r="P129" s="740"/>
      <c r="Q129" s="740"/>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row>
    <row r="130" spans="1:87" ht="14.25" customHeight="1">
      <c r="A130" s="9"/>
      <c r="B130" s="9"/>
      <c r="C130" s="9"/>
      <c r="D130" s="9"/>
      <c r="E130" s="9"/>
      <c r="F130" s="9"/>
      <c r="G130" s="9"/>
      <c r="H130" s="9"/>
      <c r="I130" s="9"/>
      <c r="J130" s="9"/>
      <c r="K130" s="64"/>
      <c r="L130" s="740"/>
      <c r="M130" s="740"/>
      <c r="N130" s="740"/>
      <c r="O130" s="740"/>
      <c r="P130" s="740"/>
      <c r="Q130" s="740"/>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row>
    <row r="131" spans="1:87" ht="14.25" customHeight="1">
      <c r="A131" s="9"/>
      <c r="B131" s="9"/>
      <c r="C131" s="9"/>
      <c r="D131" s="9"/>
      <c r="E131" s="9"/>
      <c r="F131" s="9"/>
      <c r="G131" s="9"/>
      <c r="H131" s="9"/>
      <c r="I131" s="9"/>
      <c r="J131" s="9"/>
      <c r="K131" s="64"/>
      <c r="L131" s="740"/>
      <c r="M131" s="740"/>
      <c r="N131" s="740"/>
      <c r="O131" s="740"/>
      <c r="P131" s="740"/>
      <c r="Q131" s="740"/>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row>
    <row r="132" spans="1:87" ht="14.25" customHeight="1">
      <c r="A132" s="9"/>
      <c r="B132" s="9"/>
      <c r="C132" s="9"/>
      <c r="D132" s="9"/>
      <c r="E132" s="9"/>
      <c r="F132" s="9"/>
      <c r="G132" s="9"/>
      <c r="H132" s="9"/>
      <c r="I132" s="9"/>
      <c r="J132" s="9"/>
      <c r="K132" s="64"/>
      <c r="L132" s="740"/>
      <c r="M132" s="740"/>
      <c r="N132" s="740"/>
      <c r="O132" s="740"/>
      <c r="P132" s="740"/>
      <c r="Q132" s="740"/>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row>
    <row r="133" spans="1:87" ht="14.25" customHeight="1">
      <c r="A133" s="9"/>
      <c r="B133" s="9"/>
      <c r="C133" s="9"/>
      <c r="D133" s="9"/>
      <c r="E133" s="9"/>
      <c r="F133" s="9"/>
      <c r="G133" s="9"/>
      <c r="H133" s="9"/>
      <c r="I133" s="9"/>
      <c r="J133" s="9"/>
      <c r="K133" s="64"/>
      <c r="L133" s="740"/>
      <c r="M133" s="740"/>
      <c r="N133" s="740"/>
      <c r="O133" s="740"/>
      <c r="P133" s="740"/>
      <c r="Q133" s="740"/>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row>
    <row r="134" spans="1:87" ht="14.25" customHeight="1">
      <c r="A134" s="9"/>
      <c r="B134" s="9"/>
      <c r="C134" s="9"/>
      <c r="D134" s="9"/>
      <c r="E134" s="9"/>
      <c r="F134" s="9"/>
      <c r="G134" s="9"/>
      <c r="H134" s="9"/>
      <c r="I134" s="9"/>
      <c r="J134" s="9"/>
      <c r="K134" s="64"/>
      <c r="L134" s="740"/>
      <c r="M134" s="740"/>
      <c r="N134" s="740"/>
      <c r="O134" s="740"/>
      <c r="P134" s="740"/>
      <c r="Q134" s="740"/>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row>
    <row r="135" spans="1:87" ht="14.25" customHeight="1">
      <c r="A135" s="9"/>
      <c r="B135" s="9"/>
      <c r="C135" s="9"/>
      <c r="D135" s="9"/>
      <c r="E135" s="9"/>
      <c r="F135" s="9"/>
      <c r="G135" s="9"/>
      <c r="H135" s="9"/>
      <c r="I135" s="9"/>
      <c r="J135" s="9"/>
      <c r="K135" s="64"/>
      <c r="L135" s="740"/>
      <c r="M135" s="740"/>
      <c r="N135" s="740"/>
      <c r="O135" s="740"/>
      <c r="P135" s="740"/>
      <c r="Q135" s="740"/>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row>
    <row r="136" spans="1:87" ht="14.25" customHeight="1">
      <c r="A136" s="9"/>
      <c r="B136" s="9"/>
      <c r="C136" s="9"/>
      <c r="D136" s="9"/>
      <c r="E136" s="9"/>
      <c r="F136" s="9"/>
      <c r="G136" s="9"/>
      <c r="H136" s="9"/>
      <c r="I136" s="9"/>
      <c r="J136" s="9"/>
      <c r="K136" s="64"/>
      <c r="L136" s="740"/>
      <c r="M136" s="740"/>
      <c r="N136" s="9"/>
      <c r="O136" s="740"/>
      <c r="P136" s="740"/>
      <c r="Q136" s="740"/>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row>
    <row r="137" spans="1:87" ht="14.25" customHeight="1">
      <c r="A137" s="9"/>
      <c r="B137" s="9"/>
      <c r="C137" s="9"/>
      <c r="D137" s="9"/>
      <c r="E137" s="9"/>
      <c r="F137" s="9"/>
      <c r="G137" s="9"/>
      <c r="H137" s="9"/>
      <c r="I137" s="9"/>
      <c r="J137" s="9"/>
      <c r="K137" s="64"/>
      <c r="L137" s="740"/>
      <c r="M137" s="740"/>
      <c r="N137" s="9"/>
      <c r="O137" s="740"/>
      <c r="P137" s="740"/>
      <c r="Q137" s="740"/>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row>
    <row r="138" spans="1:87" ht="14.25" customHeight="1">
      <c r="A138" s="9"/>
      <c r="B138" s="9"/>
      <c r="C138" s="9"/>
      <c r="D138" s="9"/>
      <c r="E138" s="9"/>
      <c r="F138" s="9"/>
      <c r="G138" s="9"/>
      <c r="H138" s="9"/>
      <c r="I138" s="9"/>
      <c r="J138" s="9"/>
      <c r="K138" s="64"/>
      <c r="L138" s="740"/>
      <c r="M138" s="740"/>
      <c r="N138" s="9"/>
      <c r="O138" s="740"/>
      <c r="P138" s="740"/>
      <c r="Q138" s="740"/>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row>
    <row r="139" spans="1:87" ht="14.25" customHeight="1">
      <c r="A139" s="9"/>
      <c r="B139" s="9"/>
      <c r="C139" s="9"/>
      <c r="D139" s="9"/>
      <c r="E139" s="9"/>
      <c r="F139" s="9"/>
      <c r="G139" s="9"/>
      <c r="H139" s="9"/>
      <c r="I139" s="9"/>
      <c r="J139" s="9"/>
      <c r="K139" s="64"/>
      <c r="L139" s="740"/>
      <c r="M139" s="740"/>
      <c r="N139" s="9"/>
      <c r="O139" s="740"/>
      <c r="P139" s="740"/>
      <c r="Q139" s="740"/>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row>
    <row r="140" spans="1:87" ht="14.25" customHeight="1">
      <c r="A140" s="2"/>
      <c r="B140" s="2"/>
      <c r="C140" s="2"/>
      <c r="D140" s="2"/>
      <c r="E140" s="2"/>
      <c r="F140" s="2"/>
      <c r="G140" s="2"/>
      <c r="H140" s="2"/>
      <c r="I140" s="2"/>
      <c r="J140" s="9"/>
      <c r="K140" s="64"/>
      <c r="L140" s="740"/>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row>
    <row r="141" spans="1:87" ht="14.25" customHeight="1">
      <c r="A141" s="2"/>
      <c r="B141" s="2"/>
      <c r="C141" s="2"/>
      <c r="D141" s="2"/>
      <c r="E141" s="2"/>
      <c r="F141" s="2"/>
      <c r="G141" s="2"/>
      <c r="H141" s="2"/>
      <c r="I141" s="2"/>
      <c r="J141" s="2"/>
      <c r="K141" s="158"/>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row>
    <row r="142" spans="1:87" ht="14.25" customHeight="1">
      <c r="A142" s="2"/>
      <c r="B142" s="2"/>
      <c r="C142" s="2"/>
      <c r="D142" s="2"/>
      <c r="E142" s="2"/>
      <c r="F142" s="2"/>
      <c r="G142" s="2"/>
      <c r="H142" s="2"/>
      <c r="I142" s="2"/>
      <c r="J142" s="2"/>
      <c r="K142" s="158"/>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row>
    <row r="143" spans="1:87" ht="14.25" customHeight="1">
      <c r="A143" s="2"/>
      <c r="B143" s="2"/>
      <c r="C143" s="2"/>
      <c r="D143" s="2"/>
      <c r="E143" s="2"/>
      <c r="F143" s="2"/>
      <c r="G143" s="2"/>
      <c r="H143" s="2"/>
      <c r="I143" s="2"/>
      <c r="J143" s="2"/>
      <c r="K143" s="158"/>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row>
    <row r="144" spans="1:87" ht="14.25" customHeight="1">
      <c r="A144" s="2"/>
      <c r="B144" s="2"/>
      <c r="C144" s="2"/>
      <c r="D144" s="2"/>
      <c r="E144" s="2"/>
      <c r="F144" s="2"/>
      <c r="G144" s="2"/>
      <c r="H144" s="2"/>
      <c r="I144" s="2"/>
      <c r="J144" s="2"/>
      <c r="K144" s="158"/>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row>
    <row r="145" spans="1:87" ht="14.25" customHeight="1">
      <c r="A145" s="2"/>
      <c r="B145" s="2"/>
      <c r="C145" s="2"/>
      <c r="D145" s="2"/>
      <c r="E145" s="2"/>
      <c r="F145" s="2"/>
      <c r="G145" s="2"/>
      <c r="H145" s="2"/>
      <c r="I145" s="2"/>
      <c r="J145" s="2"/>
      <c r="K145" s="158"/>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row>
    <row r="146" spans="1:87" ht="14.25" customHeight="1">
      <c r="A146" s="2"/>
      <c r="B146" s="2"/>
      <c r="C146" s="2"/>
      <c r="D146" s="2"/>
      <c r="E146" s="2"/>
      <c r="F146" s="2"/>
      <c r="G146" s="2"/>
      <c r="H146" s="2"/>
      <c r="I146" s="2"/>
      <c r="J146" s="2"/>
      <c r="K146" s="158"/>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row>
    <row r="147" spans="1:87" ht="14.25" customHeight="1">
      <c r="A147" s="2"/>
      <c r="B147" s="2"/>
      <c r="C147" s="2"/>
      <c r="D147" s="2"/>
      <c r="E147" s="2"/>
      <c r="F147" s="2"/>
      <c r="G147" s="2"/>
      <c r="H147" s="2"/>
      <c r="I147" s="2"/>
      <c r="J147" s="2"/>
      <c r="K147" s="158"/>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row>
    <row r="148" spans="1:87" ht="14.25" customHeight="1">
      <c r="A148" s="2"/>
      <c r="B148" s="2"/>
      <c r="C148" s="2"/>
      <c r="D148" s="2"/>
      <c r="E148" s="2"/>
      <c r="F148" s="2"/>
      <c r="G148" s="2"/>
      <c r="H148" s="2"/>
      <c r="I148" s="2"/>
      <c r="J148" s="2"/>
      <c r="K148" s="158"/>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row>
    <row r="149" spans="1:87" ht="14.25" customHeight="1">
      <c r="A149" s="2"/>
      <c r="B149" s="2"/>
      <c r="C149" s="2"/>
      <c r="D149" s="2"/>
      <c r="E149" s="2"/>
      <c r="F149" s="2"/>
      <c r="G149" s="2"/>
      <c r="H149" s="2"/>
      <c r="I149" s="2"/>
      <c r="J149" s="2"/>
      <c r="K149" s="158"/>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row>
    <row r="150" spans="1:87" ht="14.25" customHeight="1">
      <c r="A150" s="2"/>
      <c r="B150" s="2"/>
      <c r="C150" s="2"/>
      <c r="D150" s="2"/>
      <c r="E150" s="2"/>
      <c r="F150" s="2"/>
      <c r="G150" s="2"/>
      <c r="H150" s="2"/>
      <c r="I150" s="2"/>
      <c r="J150" s="2"/>
      <c r="K150" s="158"/>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row>
    <row r="151" spans="1:87" ht="14.25" customHeight="1">
      <c r="A151" s="2"/>
      <c r="B151" s="2"/>
      <c r="C151" s="2"/>
      <c r="D151" s="2"/>
      <c r="E151" s="2"/>
      <c r="F151" s="2"/>
      <c r="G151" s="2"/>
      <c r="H151" s="2"/>
      <c r="I151" s="2"/>
      <c r="J151" s="2"/>
      <c r="K151" s="158"/>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row>
    <row r="152" spans="1:87" ht="14.25" customHeight="1">
      <c r="A152" s="2"/>
      <c r="B152" s="2"/>
      <c r="C152" s="2"/>
      <c r="D152" s="2"/>
      <c r="E152" s="2"/>
      <c r="F152" s="2"/>
      <c r="G152" s="2"/>
      <c r="H152" s="2"/>
      <c r="I152" s="2"/>
      <c r="J152" s="2"/>
      <c r="K152" s="158"/>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row>
    <row r="153" spans="1:87" ht="14.25" customHeight="1">
      <c r="A153" s="2"/>
      <c r="B153" s="2"/>
      <c r="C153" s="2"/>
      <c r="D153" s="2"/>
      <c r="E153" s="2"/>
      <c r="F153" s="2"/>
      <c r="G153" s="2"/>
      <c r="H153" s="2"/>
      <c r="I153" s="2"/>
      <c r="J153" s="2"/>
      <c r="K153" s="158"/>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row>
    <row r="154" spans="1:87" ht="14.25" customHeight="1">
      <c r="A154" s="2"/>
      <c r="B154" s="2"/>
      <c r="C154" s="2"/>
      <c r="D154" s="2"/>
      <c r="E154" s="2"/>
      <c r="F154" s="2"/>
      <c r="G154" s="2"/>
      <c r="H154" s="2"/>
      <c r="I154" s="2"/>
      <c r="J154" s="2"/>
      <c r="K154" s="158"/>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row>
    <row r="155" spans="1:87" ht="14.25" customHeight="1">
      <c r="A155" s="2"/>
      <c r="B155" s="2"/>
      <c r="C155" s="2"/>
      <c r="D155" s="2"/>
      <c r="E155" s="2"/>
      <c r="F155" s="2"/>
      <c r="G155" s="2"/>
      <c r="H155" s="2"/>
      <c r="I155" s="2"/>
      <c r="J155" s="2"/>
      <c r="K155" s="158"/>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row>
    <row r="156" spans="1:87" ht="14.25" customHeight="1">
      <c r="A156" s="2"/>
      <c r="B156" s="2"/>
      <c r="C156" s="2"/>
      <c r="D156" s="2"/>
      <c r="E156" s="2"/>
      <c r="F156" s="2"/>
      <c r="G156" s="2"/>
      <c r="H156" s="2"/>
      <c r="I156" s="2"/>
      <c r="J156" s="2"/>
      <c r="K156" s="158"/>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row>
    <row r="157" spans="1:87" ht="14.25" customHeight="1">
      <c r="A157" s="2"/>
      <c r="B157" s="2"/>
      <c r="C157" s="2"/>
      <c r="D157" s="2"/>
      <c r="E157" s="2"/>
      <c r="F157" s="2"/>
      <c r="G157" s="2"/>
      <c r="H157" s="2"/>
      <c r="I157" s="2"/>
      <c r="J157" s="2"/>
      <c r="K157" s="158"/>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row>
    <row r="158" spans="1:87" ht="14.25" customHeight="1">
      <c r="A158" s="2"/>
      <c r="B158" s="2"/>
      <c r="C158" s="2"/>
      <c r="D158" s="2"/>
      <c r="E158" s="2"/>
      <c r="F158" s="2"/>
      <c r="G158" s="2"/>
      <c r="H158" s="2"/>
      <c r="I158" s="2"/>
      <c r="J158" s="2"/>
      <c r="K158" s="158"/>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row>
    <row r="159" spans="1:87" ht="14.25" customHeight="1">
      <c r="A159" s="2"/>
      <c r="B159" s="2"/>
      <c r="C159" s="2"/>
      <c r="D159" s="2"/>
      <c r="E159" s="2"/>
      <c r="F159" s="2"/>
      <c r="G159" s="2"/>
      <c r="H159" s="2"/>
      <c r="I159" s="2"/>
      <c r="J159" s="2"/>
      <c r="K159" s="158"/>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row>
    <row r="160" spans="1:87" ht="14.25" customHeight="1">
      <c r="A160" s="2"/>
      <c r="B160" s="2"/>
      <c r="C160" s="2"/>
      <c r="D160" s="2"/>
      <c r="E160" s="2"/>
      <c r="F160" s="2"/>
      <c r="G160" s="2"/>
      <c r="H160" s="2"/>
      <c r="I160" s="2"/>
      <c r="J160" s="2"/>
      <c r="K160" s="158"/>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row>
    <row r="161" spans="1:87" ht="14.25" customHeight="1">
      <c r="A161" s="2"/>
      <c r="B161" s="2"/>
      <c r="C161" s="2"/>
      <c r="D161" s="2"/>
      <c r="E161" s="2"/>
      <c r="F161" s="2"/>
      <c r="G161" s="2"/>
      <c r="H161" s="2"/>
      <c r="I161" s="2"/>
      <c r="J161" s="2"/>
      <c r="K161" s="158"/>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row>
    <row r="162" spans="1:87" ht="14.25" customHeight="1">
      <c r="A162" s="2"/>
      <c r="B162" s="2"/>
      <c r="C162" s="2"/>
      <c r="D162" s="2"/>
      <c r="E162" s="2"/>
      <c r="F162" s="2"/>
      <c r="G162" s="2"/>
      <c r="H162" s="2"/>
      <c r="I162" s="2"/>
      <c r="J162" s="2"/>
      <c r="K162" s="158"/>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row>
    <row r="163" spans="1:87" ht="14.25" customHeight="1">
      <c r="A163" s="2"/>
      <c r="B163" s="2"/>
      <c r="C163" s="2"/>
      <c r="D163" s="2"/>
      <c r="E163" s="2"/>
      <c r="F163" s="2"/>
      <c r="G163" s="2"/>
      <c r="H163" s="2"/>
      <c r="I163" s="2"/>
      <c r="J163" s="2"/>
      <c r="K163" s="158"/>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row>
    <row r="164" spans="1:87" ht="14.25" customHeight="1">
      <c r="A164" s="2"/>
      <c r="B164" s="2"/>
      <c r="C164" s="2"/>
      <c r="D164" s="2"/>
      <c r="E164" s="2"/>
      <c r="F164" s="2"/>
      <c r="G164" s="2"/>
      <c r="H164" s="2"/>
      <c r="I164" s="2"/>
      <c r="J164" s="2"/>
      <c r="K164" s="158"/>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row>
    <row r="165" spans="1:87" ht="14.25" customHeight="1">
      <c r="A165" s="2"/>
      <c r="B165" s="2"/>
      <c r="C165" s="2"/>
      <c r="D165" s="2"/>
      <c r="E165" s="2"/>
      <c r="F165" s="2"/>
      <c r="G165" s="2"/>
      <c r="H165" s="2"/>
      <c r="I165" s="2"/>
      <c r="J165" s="2"/>
      <c r="K165" s="158"/>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row>
    <row r="166" spans="1:87" ht="14.25" customHeight="1">
      <c r="A166" s="2"/>
      <c r="B166" s="2"/>
      <c r="C166" s="2"/>
      <c r="D166" s="2"/>
      <c r="E166" s="2"/>
      <c r="F166" s="2"/>
      <c r="G166" s="2"/>
      <c r="H166" s="2"/>
      <c r="I166" s="2"/>
      <c r="J166" s="2"/>
      <c r="K166" s="158"/>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row>
    <row r="167" spans="1:87" ht="14.25" customHeight="1">
      <c r="A167" s="2"/>
      <c r="B167" s="2"/>
      <c r="C167" s="2"/>
      <c r="D167" s="2"/>
      <c r="E167" s="2"/>
      <c r="F167" s="2"/>
      <c r="G167" s="2"/>
      <c r="H167" s="2"/>
      <c r="I167" s="2"/>
      <c r="J167" s="2"/>
      <c r="K167" s="158"/>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row>
    <row r="168" spans="1:87" ht="14.25" customHeight="1">
      <c r="A168" s="2"/>
      <c r="B168" s="2"/>
      <c r="C168" s="2"/>
      <c r="D168" s="2"/>
      <c r="E168" s="2"/>
      <c r="F168" s="2"/>
      <c r="G168" s="2"/>
      <c r="H168" s="2"/>
      <c r="I168" s="2"/>
      <c r="J168" s="2"/>
      <c r="K168" s="158"/>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row>
    <row r="169" spans="1:87" ht="14.25" customHeight="1">
      <c r="A169" s="2"/>
      <c r="B169" s="2"/>
      <c r="C169" s="2"/>
      <c r="D169" s="2"/>
      <c r="E169" s="2"/>
      <c r="F169" s="2"/>
      <c r="G169" s="2"/>
      <c r="H169" s="2"/>
      <c r="I169" s="2"/>
      <c r="J169" s="2"/>
      <c r="K169" s="158"/>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row>
    <row r="170" spans="1:87" ht="14.25" customHeight="1">
      <c r="A170" s="2"/>
      <c r="B170" s="2"/>
      <c r="C170" s="2"/>
      <c r="D170" s="2"/>
      <c r="E170" s="2"/>
      <c r="F170" s="2"/>
      <c r="G170" s="2"/>
      <c r="H170" s="2"/>
      <c r="I170" s="2"/>
      <c r="J170" s="2"/>
      <c r="K170" s="158"/>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row>
    <row r="171" spans="1:87" ht="14.25" customHeight="1">
      <c r="A171" s="2"/>
      <c r="B171" s="2"/>
      <c r="C171" s="2"/>
      <c r="D171" s="2"/>
      <c r="E171" s="2"/>
      <c r="F171" s="2"/>
      <c r="G171" s="2"/>
      <c r="H171" s="2"/>
      <c r="I171" s="2"/>
      <c r="J171" s="2"/>
      <c r="K171" s="158"/>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row>
    <row r="172" spans="1:87" ht="14.25" customHeight="1">
      <c r="A172" s="2"/>
      <c r="B172" s="2"/>
      <c r="C172" s="2"/>
      <c r="D172" s="2"/>
      <c r="E172" s="2"/>
      <c r="F172" s="2"/>
      <c r="G172" s="2"/>
      <c r="H172" s="2"/>
      <c r="I172" s="2"/>
      <c r="J172" s="2"/>
      <c r="K172" s="158"/>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row>
    <row r="173" spans="1:87" ht="14.25" customHeight="1">
      <c r="A173" s="2"/>
      <c r="B173" s="2"/>
      <c r="C173" s="2"/>
      <c r="D173" s="2"/>
      <c r="E173" s="2"/>
      <c r="F173" s="2"/>
      <c r="G173" s="2"/>
      <c r="H173" s="2"/>
      <c r="I173" s="2"/>
      <c r="J173" s="2"/>
      <c r="K173" s="158"/>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row>
    <row r="174" spans="1:87" ht="14.25" customHeight="1">
      <c r="A174" s="2"/>
      <c r="B174" s="2"/>
      <c r="C174" s="2"/>
      <c r="D174" s="2"/>
      <c r="E174" s="2"/>
      <c r="F174" s="2"/>
      <c r="G174" s="2"/>
      <c r="H174" s="2"/>
      <c r="I174" s="2"/>
      <c r="J174" s="2"/>
      <c r="K174" s="158"/>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row>
    <row r="175" spans="1:87" ht="14.25" customHeight="1">
      <c r="A175" s="2"/>
      <c r="B175" s="2"/>
      <c r="C175" s="2"/>
      <c r="D175" s="2"/>
      <c r="E175" s="2"/>
      <c r="F175" s="2"/>
      <c r="G175" s="2"/>
      <c r="H175" s="2"/>
      <c r="I175" s="2"/>
      <c r="J175" s="2"/>
      <c r="K175" s="158"/>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row>
    <row r="176" spans="1:87" ht="14.25" customHeight="1">
      <c r="A176" s="2"/>
      <c r="B176" s="2"/>
      <c r="C176" s="2"/>
      <c r="D176" s="2"/>
      <c r="E176" s="2"/>
      <c r="F176" s="2"/>
      <c r="G176" s="2"/>
      <c r="H176" s="2"/>
      <c r="I176" s="2"/>
      <c r="J176" s="2"/>
      <c r="K176" s="158"/>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row>
    <row r="177" spans="1:87" ht="14.25" customHeight="1">
      <c r="A177" s="2"/>
      <c r="B177" s="2"/>
      <c r="C177" s="2"/>
      <c r="D177" s="2"/>
      <c r="E177" s="2"/>
      <c r="F177" s="2"/>
      <c r="G177" s="2"/>
      <c r="H177" s="2"/>
      <c r="I177" s="2"/>
      <c r="J177" s="2"/>
      <c r="K177" s="158"/>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row>
    <row r="178" spans="1:87" ht="14.25" customHeight="1">
      <c r="A178" s="2"/>
      <c r="B178" s="2"/>
      <c r="C178" s="2"/>
      <c r="D178" s="2"/>
      <c r="E178" s="2"/>
      <c r="F178" s="2"/>
      <c r="G178" s="2"/>
      <c r="H178" s="2"/>
      <c r="I178" s="2"/>
      <c r="J178" s="2"/>
      <c r="K178" s="158"/>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row>
    <row r="179" spans="1:87" ht="14.25" customHeight="1">
      <c r="A179" s="2"/>
      <c r="B179" s="2"/>
      <c r="C179" s="2"/>
      <c r="D179" s="2"/>
      <c r="E179" s="2"/>
      <c r="F179" s="2"/>
      <c r="G179" s="2"/>
      <c r="H179" s="2"/>
      <c r="I179" s="2"/>
      <c r="J179" s="2"/>
      <c r="K179" s="158"/>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row>
    <row r="180" spans="1:87" ht="14.25" customHeight="1">
      <c r="A180" s="2"/>
      <c r="B180" s="2"/>
      <c r="C180" s="2"/>
      <c r="D180" s="2"/>
      <c r="E180" s="2"/>
      <c r="F180" s="2"/>
      <c r="G180" s="2"/>
      <c r="H180" s="2"/>
      <c r="I180" s="2"/>
      <c r="J180" s="2"/>
      <c r="K180" s="158"/>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row>
    <row r="181" spans="1:87" ht="14.25" customHeight="1">
      <c r="A181" s="2"/>
      <c r="B181" s="2"/>
      <c r="C181" s="2"/>
      <c r="D181" s="2"/>
      <c r="E181" s="2"/>
      <c r="F181" s="2"/>
      <c r="G181" s="2"/>
      <c r="H181" s="2"/>
      <c r="I181" s="2"/>
      <c r="J181" s="2"/>
      <c r="K181" s="158"/>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row>
    <row r="182" spans="1:87" ht="14.25" customHeight="1">
      <c r="A182" s="2"/>
      <c r="B182" s="2"/>
      <c r="C182" s="2"/>
      <c r="D182" s="2"/>
      <c r="E182" s="2"/>
      <c r="F182" s="2"/>
      <c r="G182" s="2"/>
      <c r="H182" s="2"/>
      <c r="I182" s="2"/>
      <c r="J182" s="2"/>
      <c r="K182" s="158"/>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row>
    <row r="183" spans="1:87" ht="14.25" customHeight="1">
      <c r="A183" s="2"/>
      <c r="B183" s="2"/>
      <c r="C183" s="2"/>
      <c r="D183" s="2"/>
      <c r="E183" s="2"/>
      <c r="F183" s="2"/>
      <c r="G183" s="2"/>
      <c r="H183" s="2"/>
      <c r="I183" s="2"/>
      <c r="J183" s="2"/>
      <c r="K183" s="158"/>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row>
    <row r="184" spans="1:87" ht="14.25" customHeight="1">
      <c r="A184" s="2"/>
      <c r="B184" s="2"/>
      <c r="C184" s="2"/>
      <c r="D184" s="2"/>
      <c r="E184" s="2"/>
      <c r="F184" s="2"/>
      <c r="G184" s="2"/>
      <c r="H184" s="2"/>
      <c r="I184" s="2"/>
      <c r="J184" s="2"/>
      <c r="K184" s="158"/>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row>
    <row r="185" spans="1:87" ht="14.25" customHeight="1">
      <c r="A185" s="2"/>
      <c r="B185" s="2"/>
      <c r="C185" s="2"/>
      <c r="D185" s="2"/>
      <c r="E185" s="2"/>
      <c r="F185" s="2"/>
      <c r="G185" s="2"/>
      <c r="H185" s="2"/>
      <c r="I185" s="2"/>
      <c r="J185" s="2"/>
      <c r="K185" s="158"/>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row>
    <row r="186" spans="1:87" ht="14.25" customHeight="1">
      <c r="A186" s="2"/>
      <c r="B186" s="2"/>
      <c r="C186" s="2"/>
      <c r="D186" s="2"/>
      <c r="E186" s="2"/>
      <c r="F186" s="2"/>
      <c r="G186" s="2"/>
      <c r="H186" s="2"/>
      <c r="I186" s="2"/>
      <c r="J186" s="2"/>
      <c r="K186" s="158"/>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row>
    <row r="187" spans="1:87" ht="14.25" customHeight="1">
      <c r="A187" s="2"/>
      <c r="B187" s="2"/>
      <c r="C187" s="2"/>
      <c r="D187" s="2"/>
      <c r="E187" s="2"/>
      <c r="F187" s="2"/>
      <c r="G187" s="2"/>
      <c r="H187" s="2"/>
      <c r="I187" s="2"/>
      <c r="J187" s="2"/>
      <c r="K187" s="158"/>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row>
    <row r="188" spans="1:87" ht="14.25" customHeight="1">
      <c r="A188" s="2"/>
      <c r="B188" s="2"/>
      <c r="C188" s="2"/>
      <c r="D188" s="2"/>
      <c r="E188" s="2"/>
      <c r="F188" s="2"/>
      <c r="G188" s="2"/>
      <c r="H188" s="2"/>
      <c r="I188" s="2"/>
      <c r="J188" s="2"/>
      <c r="K188" s="158"/>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row>
    <row r="189" spans="1:87" ht="14.25" customHeight="1">
      <c r="A189" s="2"/>
      <c r="B189" s="2"/>
      <c r="C189" s="2"/>
      <c r="D189" s="2"/>
      <c r="E189" s="2"/>
      <c r="F189" s="2"/>
      <c r="G189" s="2"/>
      <c r="H189" s="2"/>
      <c r="I189" s="2"/>
      <c r="J189" s="2"/>
      <c r="K189" s="158"/>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row>
    <row r="190" spans="1:87" ht="14.25" customHeight="1">
      <c r="A190" s="2"/>
      <c r="B190" s="2"/>
      <c r="C190" s="2"/>
      <c r="D190" s="2"/>
      <c r="E190" s="2"/>
      <c r="F190" s="2"/>
      <c r="G190" s="2"/>
      <c r="H190" s="2"/>
      <c r="I190" s="2"/>
      <c r="J190" s="2"/>
      <c r="K190" s="158"/>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row>
    <row r="191" spans="1:87" ht="14.25" customHeight="1">
      <c r="A191" s="2"/>
      <c r="B191" s="2"/>
      <c r="C191" s="2"/>
      <c r="D191" s="2"/>
      <c r="E191" s="2"/>
      <c r="F191" s="2"/>
      <c r="G191" s="2"/>
      <c r="H191" s="2"/>
      <c r="I191" s="2"/>
      <c r="J191" s="2"/>
      <c r="K191" s="158"/>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row>
    <row r="192" spans="1:87" ht="14.25" customHeight="1">
      <c r="A192" s="2"/>
      <c r="B192" s="2"/>
      <c r="C192" s="2"/>
      <c r="D192" s="2"/>
      <c r="E192" s="2"/>
      <c r="F192" s="2"/>
      <c r="G192" s="2"/>
      <c r="H192" s="2"/>
      <c r="I192" s="2"/>
      <c r="J192" s="2"/>
      <c r="K192" s="158"/>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row>
    <row r="193" spans="1:87" ht="14.25" customHeight="1">
      <c r="A193" s="2"/>
      <c r="B193" s="2"/>
      <c r="C193" s="2"/>
      <c r="D193" s="2"/>
      <c r="E193" s="2"/>
      <c r="F193" s="2"/>
      <c r="G193" s="2"/>
      <c r="H193" s="2"/>
      <c r="I193" s="2"/>
      <c r="J193" s="2"/>
      <c r="K193" s="158"/>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row>
    <row r="194" spans="1:87" ht="14.25" customHeight="1">
      <c r="A194" s="2"/>
      <c r="B194" s="2"/>
      <c r="C194" s="2"/>
      <c r="D194" s="2"/>
      <c r="E194" s="2"/>
      <c r="F194" s="2"/>
      <c r="G194" s="2"/>
      <c r="H194" s="2"/>
      <c r="I194" s="2"/>
      <c r="J194" s="2"/>
      <c r="K194" s="158"/>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row>
    <row r="195" spans="1:87" ht="14.25" customHeight="1">
      <c r="A195" s="2"/>
      <c r="B195" s="2"/>
      <c r="C195" s="2"/>
      <c r="D195" s="2"/>
      <c r="E195" s="2"/>
      <c r="F195" s="2"/>
      <c r="G195" s="2"/>
      <c r="H195" s="2"/>
      <c r="I195" s="2"/>
      <c r="J195" s="2"/>
      <c r="K195" s="158"/>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row>
    <row r="196" spans="1:87" ht="14.25" customHeight="1">
      <c r="A196" s="2"/>
      <c r="B196" s="2"/>
      <c r="C196" s="2"/>
      <c r="D196" s="2"/>
      <c r="E196" s="2"/>
      <c r="F196" s="2"/>
      <c r="G196" s="2"/>
      <c r="H196" s="2"/>
      <c r="I196" s="2"/>
      <c r="J196" s="2"/>
      <c r="K196" s="158"/>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row>
    <row r="197" spans="1:87" ht="14.25" customHeight="1">
      <c r="A197" s="2"/>
      <c r="B197" s="2"/>
      <c r="C197" s="2"/>
      <c r="D197" s="2"/>
      <c r="E197" s="2"/>
      <c r="F197" s="2"/>
      <c r="G197" s="2"/>
      <c r="H197" s="2"/>
      <c r="I197" s="2"/>
      <c r="J197" s="2"/>
      <c r="K197" s="158"/>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row>
    <row r="198" spans="1:87" ht="14.25" customHeight="1">
      <c r="A198" s="2"/>
      <c r="B198" s="2"/>
      <c r="C198" s="2"/>
      <c r="D198" s="2"/>
      <c r="E198" s="2"/>
      <c r="F198" s="2"/>
      <c r="G198" s="2"/>
      <c r="H198" s="2"/>
      <c r="I198" s="2"/>
      <c r="J198" s="2"/>
      <c r="K198" s="158"/>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row>
    <row r="199" spans="1:87" ht="14.25" customHeight="1">
      <c r="A199" s="2"/>
      <c r="B199" s="2"/>
      <c r="C199" s="2"/>
      <c r="D199" s="2"/>
      <c r="E199" s="2"/>
      <c r="F199" s="2"/>
      <c r="G199" s="2"/>
      <c r="H199" s="2"/>
      <c r="I199" s="2"/>
      <c r="J199" s="2"/>
      <c r="K199" s="158"/>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row>
    <row r="200" spans="1:87" ht="14.25" customHeight="1">
      <c r="A200" s="2"/>
      <c r="B200" s="2"/>
      <c r="C200" s="2"/>
      <c r="D200" s="2"/>
      <c r="E200" s="2"/>
      <c r="F200" s="2"/>
      <c r="G200" s="2"/>
      <c r="H200" s="2"/>
      <c r="I200" s="2"/>
      <c r="J200" s="2"/>
      <c r="K200" s="158"/>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row>
    <row r="201" spans="1:87" ht="14.25" customHeight="1">
      <c r="A201" s="2"/>
      <c r="B201" s="2"/>
      <c r="C201" s="2"/>
      <c r="D201" s="2"/>
      <c r="E201" s="2"/>
      <c r="F201" s="2"/>
      <c r="G201" s="2"/>
      <c r="H201" s="2"/>
      <c r="I201" s="2"/>
      <c r="J201" s="2"/>
      <c r="K201" s="158"/>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row>
    <row r="202" spans="1:87" ht="14.25" customHeight="1">
      <c r="A202" s="2"/>
      <c r="B202" s="2"/>
      <c r="C202" s="2"/>
      <c r="D202" s="2"/>
      <c r="E202" s="2"/>
      <c r="F202" s="2"/>
      <c r="G202" s="2"/>
      <c r="H202" s="2"/>
      <c r="I202" s="2"/>
      <c r="J202" s="2"/>
      <c r="K202" s="158"/>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row>
    <row r="203" spans="1:87" ht="14.25" customHeight="1">
      <c r="A203" s="2"/>
      <c r="B203" s="2"/>
      <c r="C203" s="2"/>
      <c r="D203" s="2"/>
      <c r="E203" s="2"/>
      <c r="F203" s="2"/>
      <c r="G203" s="2"/>
      <c r="H203" s="2"/>
      <c r="I203" s="2"/>
      <c r="J203" s="2"/>
      <c r="K203" s="158"/>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row>
    <row r="204" spans="1:87" ht="14.25" customHeight="1">
      <c r="A204" s="2"/>
      <c r="B204" s="2"/>
      <c r="C204" s="2"/>
      <c r="D204" s="2"/>
      <c r="E204" s="2"/>
      <c r="F204" s="2"/>
      <c r="G204" s="2"/>
      <c r="H204" s="2"/>
      <c r="I204" s="2"/>
      <c r="J204" s="2"/>
      <c r="K204" s="158"/>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row>
    <row r="205" spans="1:87" ht="14.25" customHeight="1">
      <c r="A205" s="2"/>
      <c r="B205" s="2"/>
      <c r="C205" s="2"/>
      <c r="D205" s="2"/>
      <c r="E205" s="2"/>
      <c r="F205" s="2"/>
      <c r="G205" s="2"/>
      <c r="H205" s="2"/>
      <c r="I205" s="2"/>
      <c r="J205" s="2"/>
      <c r="K205" s="158"/>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row>
    <row r="206" spans="1:87" ht="14.25" customHeight="1">
      <c r="A206" s="2"/>
      <c r="B206" s="2"/>
      <c r="C206" s="2"/>
      <c r="D206" s="2"/>
      <c r="E206" s="2"/>
      <c r="F206" s="2"/>
      <c r="G206" s="2"/>
      <c r="H206" s="2"/>
      <c r="I206" s="2"/>
      <c r="J206" s="2"/>
      <c r="K206" s="158"/>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row>
    <row r="207" spans="1:87" ht="14.25" customHeight="1">
      <c r="A207" s="2"/>
      <c r="B207" s="2"/>
      <c r="C207" s="2"/>
      <c r="D207" s="2"/>
      <c r="E207" s="2"/>
      <c r="F207" s="2"/>
      <c r="G207" s="2"/>
      <c r="H207" s="2"/>
      <c r="I207" s="2"/>
      <c r="J207" s="2"/>
      <c r="K207" s="158"/>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row>
    <row r="208" spans="1:87" ht="14.25" customHeight="1">
      <c r="A208" s="2"/>
      <c r="B208" s="2"/>
      <c r="C208" s="2"/>
      <c r="D208" s="2"/>
      <c r="E208" s="2"/>
      <c r="F208" s="2"/>
      <c r="G208" s="2"/>
      <c r="H208" s="2"/>
      <c r="I208" s="2"/>
      <c r="J208" s="2"/>
      <c r="K208" s="158"/>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row>
    <row r="209" spans="1:87" ht="14.25" customHeight="1">
      <c r="A209" s="2"/>
      <c r="B209" s="2"/>
      <c r="C209" s="2"/>
      <c r="D209" s="2"/>
      <c r="E209" s="2"/>
      <c r="F209" s="2"/>
      <c r="G209" s="2"/>
      <c r="H209" s="2"/>
      <c r="I209" s="2"/>
      <c r="J209" s="2"/>
      <c r="K209" s="158"/>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row>
    <row r="210" spans="1:87" ht="14.25" customHeight="1">
      <c r="A210" s="2"/>
      <c r="B210" s="2"/>
      <c r="C210" s="2"/>
      <c r="D210" s="2"/>
      <c r="E210" s="2"/>
      <c r="F210" s="2"/>
      <c r="G210" s="2"/>
      <c r="H210" s="2"/>
      <c r="I210" s="2"/>
      <c r="J210" s="2"/>
      <c r="K210" s="158"/>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row>
    <row r="211" spans="1:87" ht="14.25" customHeight="1">
      <c r="A211" s="2"/>
      <c r="B211" s="2"/>
      <c r="C211" s="2"/>
      <c r="D211" s="2"/>
      <c r="E211" s="2"/>
      <c r="F211" s="2"/>
      <c r="G211" s="2"/>
      <c r="H211" s="2"/>
      <c r="I211" s="2"/>
      <c r="J211" s="2"/>
      <c r="K211" s="158"/>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row>
    <row r="212" spans="1:87" ht="14.25" customHeight="1">
      <c r="A212" s="2"/>
      <c r="B212" s="2"/>
      <c r="C212" s="2"/>
      <c r="D212" s="2"/>
      <c r="E212" s="2"/>
      <c r="F212" s="2"/>
      <c r="G212" s="2"/>
      <c r="H212" s="2"/>
      <c r="I212" s="2"/>
      <c r="J212" s="2"/>
      <c r="K212" s="158"/>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row>
    <row r="213" spans="1:87" ht="14.25" customHeight="1">
      <c r="A213" s="2"/>
      <c r="B213" s="2"/>
      <c r="C213" s="2"/>
      <c r="D213" s="2"/>
      <c r="E213" s="2"/>
      <c r="F213" s="2"/>
      <c r="G213" s="2"/>
      <c r="H213" s="2"/>
      <c r="I213" s="2"/>
      <c r="J213" s="2"/>
      <c r="K213" s="158"/>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row>
    <row r="214" spans="1:87" ht="14.25" customHeight="1">
      <c r="A214" s="2"/>
      <c r="B214" s="2"/>
      <c r="C214" s="2"/>
      <c r="D214" s="2"/>
      <c r="E214" s="2"/>
      <c r="F214" s="2"/>
      <c r="G214" s="2"/>
      <c r="H214" s="2"/>
      <c r="I214" s="2"/>
      <c r="J214" s="2"/>
      <c r="K214" s="158"/>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row>
    <row r="215" spans="1:87" ht="14.25" customHeight="1">
      <c r="A215" s="2"/>
      <c r="B215" s="2"/>
      <c r="C215" s="2"/>
      <c r="D215" s="2"/>
      <c r="E215" s="2"/>
      <c r="F215" s="2"/>
      <c r="G215" s="2"/>
      <c r="H215" s="2"/>
      <c r="I215" s="2"/>
      <c r="J215" s="2"/>
      <c r="K215" s="158"/>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row>
    <row r="216" spans="1:87" ht="14.25" customHeight="1">
      <c r="A216" s="2"/>
      <c r="B216" s="2"/>
      <c r="C216" s="2"/>
      <c r="D216" s="2"/>
      <c r="E216" s="2"/>
      <c r="F216" s="2"/>
      <c r="G216" s="2"/>
      <c r="H216" s="2"/>
      <c r="I216" s="2"/>
      <c r="J216" s="2"/>
      <c r="K216" s="158"/>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row>
    <row r="217" spans="1:87" ht="14.25" customHeight="1">
      <c r="A217" s="2"/>
      <c r="B217" s="2"/>
      <c r="C217" s="2"/>
      <c r="D217" s="2"/>
      <c r="E217" s="2"/>
      <c r="F217" s="2"/>
      <c r="G217" s="2"/>
      <c r="H217" s="2"/>
      <c r="I217" s="2"/>
      <c r="J217" s="2"/>
      <c r="K217" s="158"/>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row>
    <row r="218" spans="1:87" ht="14.25" customHeight="1">
      <c r="A218" s="2"/>
      <c r="B218" s="2"/>
      <c r="C218" s="2"/>
      <c r="D218" s="2"/>
      <c r="E218" s="2"/>
      <c r="F218" s="2"/>
      <c r="G218" s="2"/>
      <c r="H218" s="2"/>
      <c r="I218" s="2"/>
      <c r="J218" s="2"/>
      <c r="K218" s="158"/>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row>
    <row r="219" spans="1:87" ht="14.25" customHeight="1">
      <c r="A219" s="2"/>
      <c r="B219" s="2"/>
      <c r="C219" s="2"/>
      <c r="D219" s="2"/>
      <c r="E219" s="2"/>
      <c r="F219" s="2"/>
      <c r="G219" s="2"/>
      <c r="H219" s="2"/>
      <c r="I219" s="2"/>
      <c r="J219" s="2"/>
      <c r="K219" s="158"/>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row>
    <row r="220" spans="1:87" ht="14.25" customHeight="1">
      <c r="A220" s="2"/>
      <c r="B220" s="2"/>
      <c r="C220" s="2"/>
      <c r="D220" s="2"/>
      <c r="E220" s="2"/>
      <c r="F220" s="2"/>
      <c r="G220" s="2"/>
      <c r="H220" s="2"/>
      <c r="I220" s="2"/>
      <c r="J220" s="2"/>
      <c r="K220" s="158"/>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row>
    <row r="221" spans="1:87" ht="14.25" customHeight="1">
      <c r="A221" s="2"/>
      <c r="B221" s="2"/>
      <c r="C221" s="2"/>
      <c r="D221" s="2"/>
      <c r="E221" s="2"/>
      <c r="F221" s="2"/>
      <c r="G221" s="2"/>
      <c r="H221" s="2"/>
      <c r="I221" s="2"/>
      <c r="J221" s="2"/>
      <c r="K221" s="158"/>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row>
    <row r="222" spans="1:87" ht="14.25" customHeight="1">
      <c r="A222" s="2"/>
      <c r="B222" s="2"/>
      <c r="C222" s="2"/>
      <c r="D222" s="2"/>
      <c r="E222" s="2"/>
      <c r="F222" s="2"/>
      <c r="G222" s="2"/>
      <c r="H222" s="2"/>
      <c r="I222" s="2"/>
      <c r="J222" s="2"/>
      <c r="K222" s="158"/>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row>
    <row r="223" spans="1:87" ht="14.25" customHeight="1">
      <c r="A223" s="2"/>
      <c r="B223" s="2"/>
      <c r="C223" s="2"/>
      <c r="D223" s="2"/>
      <c r="E223" s="2"/>
      <c r="F223" s="2"/>
      <c r="G223" s="2"/>
      <c r="H223" s="2"/>
      <c r="I223" s="2"/>
      <c r="J223" s="2"/>
      <c r="K223" s="158"/>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row>
    <row r="224" spans="1:87" ht="14.25" customHeight="1">
      <c r="A224" s="2"/>
      <c r="B224" s="2"/>
      <c r="C224" s="2"/>
      <c r="D224" s="2"/>
      <c r="E224" s="2"/>
      <c r="F224" s="2"/>
      <c r="G224" s="2"/>
      <c r="H224" s="2"/>
      <c r="I224" s="2"/>
      <c r="J224" s="2"/>
      <c r="K224" s="158"/>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row>
    <row r="225" spans="1:87" ht="14.25" customHeight="1">
      <c r="A225" s="2"/>
      <c r="B225" s="2"/>
      <c r="C225" s="2"/>
      <c r="D225" s="2"/>
      <c r="E225" s="2"/>
      <c r="F225" s="2"/>
      <c r="G225" s="2"/>
      <c r="H225" s="2"/>
      <c r="I225" s="2"/>
      <c r="J225" s="2"/>
      <c r="K225" s="158"/>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row>
    <row r="226" spans="1:87" ht="14.25" customHeight="1">
      <c r="A226" s="2"/>
      <c r="B226" s="2"/>
      <c r="C226" s="2"/>
      <c r="D226" s="2"/>
      <c r="E226" s="2"/>
      <c r="F226" s="2"/>
      <c r="G226" s="2"/>
      <c r="H226" s="2"/>
      <c r="I226" s="2"/>
      <c r="J226" s="2"/>
      <c r="K226" s="158"/>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row>
    <row r="227" spans="1:87" ht="14.25" customHeight="1">
      <c r="A227" s="2"/>
      <c r="B227" s="2"/>
      <c r="C227" s="2"/>
      <c r="D227" s="2"/>
      <c r="E227" s="2"/>
      <c r="F227" s="2"/>
      <c r="G227" s="2"/>
      <c r="H227" s="2"/>
      <c r="I227" s="2"/>
      <c r="J227" s="2"/>
      <c r="K227" s="158"/>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row>
    <row r="228" spans="1:87" ht="14.25" customHeight="1">
      <c r="A228" s="2"/>
      <c r="B228" s="2"/>
      <c r="C228" s="2"/>
      <c r="D228" s="2"/>
      <c r="E228" s="2"/>
      <c r="F228" s="2"/>
      <c r="G228" s="2"/>
      <c r="H228" s="2"/>
      <c r="I228" s="2"/>
      <c r="J228" s="2"/>
      <c r="K228" s="158"/>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row>
    <row r="229" spans="1:87" ht="14.25" customHeight="1">
      <c r="A229" s="2"/>
      <c r="B229" s="2"/>
      <c r="C229" s="2"/>
      <c r="D229" s="2"/>
      <c r="E229" s="2"/>
      <c r="F229" s="2"/>
      <c r="G229" s="2"/>
      <c r="H229" s="2"/>
      <c r="I229" s="2"/>
      <c r="J229" s="2"/>
      <c r="K229" s="158"/>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row>
    <row r="230" spans="1:87" ht="14.25" customHeight="1">
      <c r="A230" s="2"/>
      <c r="B230" s="2"/>
      <c r="C230" s="2"/>
      <c r="D230" s="2"/>
      <c r="E230" s="2"/>
      <c r="F230" s="2"/>
      <c r="G230" s="2"/>
      <c r="H230" s="2"/>
      <c r="I230" s="2"/>
      <c r="J230" s="2"/>
      <c r="K230" s="158"/>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row>
    <row r="231" spans="1:87" ht="14.25" customHeight="1">
      <c r="A231" s="2"/>
      <c r="B231" s="2"/>
      <c r="C231" s="2"/>
      <c r="D231" s="2"/>
      <c r="E231" s="2"/>
      <c r="F231" s="2"/>
      <c r="G231" s="2"/>
      <c r="H231" s="2"/>
      <c r="I231" s="2"/>
      <c r="J231" s="2"/>
      <c r="K231" s="158"/>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row>
    <row r="232" spans="1:87" ht="14.25" customHeight="1">
      <c r="A232" s="2"/>
      <c r="B232" s="2"/>
      <c r="C232" s="2"/>
      <c r="D232" s="2"/>
      <c r="E232" s="2"/>
      <c r="F232" s="2"/>
      <c r="G232" s="2"/>
      <c r="H232" s="2"/>
      <c r="I232" s="2"/>
      <c r="J232" s="2"/>
      <c r="K232" s="158"/>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row>
    <row r="233" spans="1:87" ht="14.25" customHeight="1">
      <c r="A233" s="2"/>
      <c r="B233" s="2"/>
      <c r="C233" s="2"/>
      <c r="D233" s="2"/>
      <c r="E233" s="2"/>
      <c r="F233" s="2"/>
      <c r="G233" s="2"/>
      <c r="H233" s="2"/>
      <c r="I233" s="2"/>
      <c r="J233" s="2"/>
      <c r="K233" s="158"/>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row>
    <row r="234" spans="1:87" ht="14.25" customHeight="1">
      <c r="A234" s="2"/>
      <c r="B234" s="2"/>
      <c r="C234" s="2"/>
      <c r="D234" s="2"/>
      <c r="E234" s="2"/>
      <c r="F234" s="2"/>
      <c r="G234" s="2"/>
      <c r="H234" s="2"/>
      <c r="I234" s="2"/>
      <c r="J234" s="2"/>
      <c r="K234" s="158"/>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row>
    <row r="235" spans="1:87" ht="14.25" customHeight="1">
      <c r="A235" s="2"/>
      <c r="B235" s="2"/>
      <c r="C235" s="2"/>
      <c r="D235" s="2"/>
      <c r="E235" s="2"/>
      <c r="F235" s="2"/>
      <c r="G235" s="2"/>
      <c r="H235" s="2"/>
      <c r="I235" s="2"/>
      <c r="J235" s="2"/>
      <c r="K235" s="158"/>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row>
    <row r="236" spans="1:87" ht="14.25" customHeight="1">
      <c r="A236" s="2"/>
      <c r="B236" s="2"/>
      <c r="C236" s="2"/>
      <c r="D236" s="2"/>
      <c r="E236" s="2"/>
      <c r="F236" s="2"/>
      <c r="G236" s="2"/>
      <c r="H236" s="2"/>
      <c r="I236" s="2"/>
      <c r="J236" s="2"/>
      <c r="K236" s="158"/>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row>
    <row r="237" spans="1:87" ht="14.25" customHeight="1">
      <c r="A237" s="2"/>
      <c r="B237" s="2"/>
      <c r="C237" s="2"/>
      <c r="D237" s="2"/>
      <c r="E237" s="2"/>
      <c r="F237" s="2"/>
      <c r="G237" s="2"/>
      <c r="H237" s="2"/>
      <c r="I237" s="2"/>
      <c r="J237" s="2"/>
      <c r="K237" s="158"/>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row>
    <row r="238" spans="1:87" ht="14.25" customHeight="1">
      <c r="A238" s="2"/>
      <c r="B238" s="2"/>
      <c r="C238" s="2"/>
      <c r="D238" s="2"/>
      <c r="E238" s="2"/>
      <c r="F238" s="2"/>
      <c r="G238" s="2"/>
      <c r="H238" s="2"/>
      <c r="I238" s="2"/>
      <c r="J238" s="2"/>
      <c r="K238" s="158"/>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row>
    <row r="239" spans="1:87" ht="14.25" customHeight="1">
      <c r="A239" s="2"/>
      <c r="B239" s="2"/>
      <c r="C239" s="2"/>
      <c r="D239" s="2"/>
      <c r="E239" s="2"/>
      <c r="F239" s="2"/>
      <c r="G239" s="2"/>
      <c r="H239" s="2"/>
      <c r="I239" s="2"/>
      <c r="J239" s="2"/>
      <c r="K239" s="158"/>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row>
    <row r="240" spans="1:87" ht="14.25" customHeight="1">
      <c r="A240" s="2"/>
      <c r="B240" s="2"/>
      <c r="C240" s="2"/>
      <c r="D240" s="2"/>
      <c r="E240" s="2"/>
      <c r="F240" s="2"/>
      <c r="G240" s="2"/>
      <c r="H240" s="2"/>
      <c r="I240" s="2"/>
      <c r="J240" s="2"/>
      <c r="K240" s="158"/>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row>
    <row r="241" spans="1:87" ht="14.25" customHeight="1">
      <c r="A241" s="2"/>
      <c r="B241" s="2"/>
      <c r="C241" s="2"/>
      <c r="D241" s="2"/>
      <c r="E241" s="2"/>
      <c r="F241" s="2"/>
      <c r="G241" s="2"/>
      <c r="H241" s="2"/>
      <c r="I241" s="2"/>
      <c r="J241" s="2"/>
      <c r="K241" s="158"/>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row>
    <row r="242" spans="1:87" ht="14.25" customHeight="1">
      <c r="A242" s="2"/>
      <c r="B242" s="2"/>
      <c r="C242" s="2"/>
      <c r="D242" s="2"/>
      <c r="E242" s="2"/>
      <c r="F242" s="2"/>
      <c r="G242" s="2"/>
      <c r="H242" s="2"/>
      <c r="I242" s="2"/>
      <c r="J242" s="2"/>
      <c r="K242" s="158"/>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row>
    <row r="243" spans="1:87" ht="14.25" customHeight="1">
      <c r="A243" s="2"/>
      <c r="B243" s="2"/>
      <c r="C243" s="2"/>
      <c r="D243" s="2"/>
      <c r="E243" s="2"/>
      <c r="F243" s="2"/>
      <c r="G243" s="2"/>
      <c r="H243" s="2"/>
      <c r="I243" s="2"/>
      <c r="J243" s="2"/>
      <c r="K243" s="158"/>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row>
    <row r="244" spans="1:87" ht="14.25" customHeight="1">
      <c r="A244" s="2"/>
      <c r="B244" s="2"/>
      <c r="C244" s="2"/>
      <c r="D244" s="2"/>
      <c r="E244" s="2"/>
      <c r="F244" s="2"/>
      <c r="G244" s="2"/>
      <c r="H244" s="2"/>
      <c r="I244" s="2"/>
      <c r="J244" s="2"/>
      <c r="K244" s="158"/>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row>
    <row r="245" spans="1:87" ht="14.25" customHeight="1">
      <c r="A245" s="2"/>
      <c r="B245" s="2"/>
      <c r="C245" s="2"/>
      <c r="D245" s="2"/>
      <c r="E245" s="2"/>
      <c r="F245" s="2"/>
      <c r="G245" s="2"/>
      <c r="H245" s="2"/>
      <c r="I245" s="2"/>
      <c r="J245" s="2"/>
      <c r="K245" s="158"/>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row>
    <row r="246" spans="1:87" ht="14.25" customHeight="1">
      <c r="A246" s="2"/>
      <c r="B246" s="2"/>
      <c r="C246" s="2"/>
      <c r="D246" s="2"/>
      <c r="E246" s="2"/>
      <c r="F246" s="2"/>
      <c r="G246" s="2"/>
      <c r="H246" s="2"/>
      <c r="I246" s="2"/>
      <c r="J246" s="2"/>
      <c r="K246" s="158"/>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row>
    <row r="247" spans="1:87" ht="14.25" customHeight="1">
      <c r="A247" s="2"/>
      <c r="B247" s="2"/>
      <c r="C247" s="2"/>
      <c r="D247" s="2"/>
      <c r="E247" s="2"/>
      <c r="F247" s="2"/>
      <c r="G247" s="2"/>
      <c r="H247" s="2"/>
      <c r="I247" s="2"/>
      <c r="J247" s="2"/>
      <c r="K247" s="158"/>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row>
    <row r="248" spans="1:87" ht="14.25" customHeight="1">
      <c r="A248" s="2"/>
      <c r="B248" s="2"/>
      <c r="C248" s="2"/>
      <c r="D248" s="2"/>
      <c r="E248" s="2"/>
      <c r="F248" s="2"/>
      <c r="G248" s="2"/>
      <c r="H248" s="2"/>
      <c r="I248" s="2"/>
      <c r="J248" s="2"/>
      <c r="K248" s="158"/>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row>
    <row r="249" spans="1:87" ht="14.25" customHeight="1">
      <c r="A249" s="2"/>
      <c r="B249" s="2"/>
      <c r="C249" s="2"/>
      <c r="D249" s="2"/>
      <c r="E249" s="2"/>
      <c r="F249" s="2"/>
      <c r="G249" s="2"/>
      <c r="H249" s="2"/>
      <c r="I249" s="2"/>
      <c r="J249" s="2"/>
      <c r="K249" s="158"/>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row>
    <row r="250" spans="1:87" ht="14.25" customHeight="1">
      <c r="A250" s="2"/>
      <c r="B250" s="2"/>
      <c r="C250" s="2"/>
      <c r="D250" s="2"/>
      <c r="E250" s="2"/>
      <c r="F250" s="2"/>
      <c r="G250" s="2"/>
      <c r="H250" s="2"/>
      <c r="I250" s="2"/>
      <c r="J250" s="2"/>
      <c r="K250" s="158"/>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row>
    <row r="251" spans="1:87" ht="14.25" customHeight="1">
      <c r="A251" s="2"/>
      <c r="B251" s="2"/>
      <c r="C251" s="2"/>
      <c r="D251" s="2"/>
      <c r="E251" s="2"/>
      <c r="F251" s="2"/>
      <c r="G251" s="2"/>
      <c r="H251" s="2"/>
      <c r="I251" s="2"/>
      <c r="J251" s="2"/>
      <c r="K251" s="158"/>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row>
    <row r="252" spans="1:87" ht="14.25" customHeight="1">
      <c r="A252" s="2"/>
      <c r="B252" s="2"/>
      <c r="C252" s="2"/>
      <c r="D252" s="2"/>
      <c r="E252" s="2"/>
      <c r="F252" s="2"/>
      <c r="G252" s="2"/>
      <c r="H252" s="2"/>
      <c r="I252" s="2"/>
      <c r="J252" s="2"/>
      <c r="K252" s="158"/>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row>
    <row r="253" spans="1:87" ht="14.25" customHeight="1">
      <c r="A253" s="2"/>
      <c r="B253" s="2"/>
      <c r="C253" s="2"/>
      <c r="D253" s="2"/>
      <c r="E253" s="2"/>
      <c r="F253" s="2"/>
      <c r="G253" s="2"/>
      <c r="H253" s="2"/>
      <c r="I253" s="2"/>
      <c r="J253" s="2"/>
      <c r="K253" s="158"/>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row>
    <row r="254" spans="1:87" ht="14.25" customHeight="1">
      <c r="A254" s="2"/>
      <c r="B254" s="2"/>
      <c r="C254" s="2"/>
      <c r="D254" s="2"/>
      <c r="E254" s="2"/>
      <c r="F254" s="2"/>
      <c r="G254" s="2"/>
      <c r="H254" s="2"/>
      <c r="I254" s="2"/>
      <c r="J254" s="2"/>
      <c r="K254" s="158"/>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row>
    <row r="255" spans="1:87" ht="14.25" customHeight="1">
      <c r="A255" s="2"/>
      <c r="B255" s="2"/>
      <c r="C255" s="2"/>
      <c r="D255" s="2"/>
      <c r="E255" s="2"/>
      <c r="F255" s="2"/>
      <c r="G255" s="2"/>
      <c r="H255" s="2"/>
      <c r="I255" s="2"/>
      <c r="J255" s="2"/>
      <c r="K255" s="158"/>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row>
    <row r="256" spans="1:87" ht="14.25" customHeight="1">
      <c r="A256" s="2"/>
      <c r="B256" s="2"/>
      <c r="C256" s="2"/>
      <c r="D256" s="2"/>
      <c r="E256" s="2"/>
      <c r="F256" s="2"/>
      <c r="G256" s="2"/>
      <c r="H256" s="2"/>
      <c r="I256" s="2"/>
      <c r="J256" s="2"/>
      <c r="K256" s="158"/>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row>
    <row r="257" spans="1:87" ht="14.25" customHeight="1">
      <c r="A257" s="2"/>
      <c r="B257" s="2"/>
      <c r="C257" s="2"/>
      <c r="D257" s="2"/>
      <c r="E257" s="2"/>
      <c r="F257" s="2"/>
      <c r="G257" s="2"/>
      <c r="H257" s="2"/>
      <c r="I257" s="2"/>
      <c r="J257" s="2"/>
      <c r="K257" s="158"/>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row>
    <row r="258" spans="1:87" ht="14.25" customHeight="1">
      <c r="A258" s="2"/>
      <c r="B258" s="2"/>
      <c r="C258" s="2"/>
      <c r="D258" s="2"/>
      <c r="E258" s="2"/>
      <c r="F258" s="2"/>
      <c r="G258" s="2"/>
      <c r="H258" s="2"/>
      <c r="I258" s="2"/>
      <c r="J258" s="2"/>
      <c r="K258" s="158"/>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row>
    <row r="259" spans="1:87" ht="14.25" customHeight="1">
      <c r="A259" s="2"/>
      <c r="B259" s="2"/>
      <c r="C259" s="2"/>
      <c r="D259" s="2"/>
      <c r="E259" s="2"/>
      <c r="F259" s="2"/>
      <c r="G259" s="2"/>
      <c r="H259" s="2"/>
      <c r="I259" s="2"/>
      <c r="J259" s="2"/>
      <c r="K259" s="158"/>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row>
    <row r="260" spans="1:87" ht="14.25" customHeight="1">
      <c r="A260" s="2"/>
      <c r="B260" s="2"/>
      <c r="C260" s="2"/>
      <c r="D260" s="2"/>
      <c r="E260" s="2"/>
      <c r="F260" s="2"/>
      <c r="G260" s="2"/>
      <c r="H260" s="2"/>
      <c r="I260" s="2"/>
      <c r="J260" s="2"/>
      <c r="K260" s="158"/>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row>
    <row r="261" spans="1:87" ht="14.25" customHeight="1">
      <c r="A261" s="2"/>
      <c r="B261" s="2"/>
      <c r="C261" s="2"/>
      <c r="D261" s="2"/>
      <c r="E261" s="2"/>
      <c r="F261" s="2"/>
      <c r="G261" s="2"/>
      <c r="H261" s="2"/>
      <c r="I261" s="2"/>
      <c r="J261" s="2"/>
      <c r="K261" s="158"/>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row>
    <row r="262" spans="1:87" ht="14.25" customHeight="1">
      <c r="A262" s="2"/>
      <c r="B262" s="2"/>
      <c r="C262" s="2"/>
      <c r="D262" s="2"/>
      <c r="E262" s="2"/>
      <c r="F262" s="2"/>
      <c r="G262" s="2"/>
      <c r="H262" s="2"/>
      <c r="I262" s="2"/>
      <c r="J262" s="2"/>
      <c r="K262" s="158"/>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row>
    <row r="263" spans="1:87" ht="14.25" customHeight="1">
      <c r="A263" s="2"/>
      <c r="B263" s="2"/>
      <c r="C263" s="2"/>
      <c r="D263" s="2"/>
      <c r="E263" s="2"/>
      <c r="F263" s="2"/>
      <c r="G263" s="2"/>
      <c r="H263" s="2"/>
      <c r="I263" s="2"/>
      <c r="J263" s="2"/>
      <c r="K263" s="158"/>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row>
    <row r="264" spans="1:87" ht="14.25" customHeight="1">
      <c r="A264" s="2"/>
      <c r="B264" s="2"/>
      <c r="C264" s="2"/>
      <c r="D264" s="2"/>
      <c r="E264" s="2"/>
      <c r="F264" s="2"/>
      <c r="G264" s="2"/>
      <c r="H264" s="2"/>
      <c r="I264" s="2"/>
      <c r="J264" s="2"/>
      <c r="K264" s="158"/>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row>
    <row r="265" spans="1:87" ht="14.25" customHeight="1">
      <c r="A265" s="2"/>
      <c r="B265" s="2"/>
      <c r="C265" s="2"/>
      <c r="D265" s="2"/>
      <c r="E265" s="2"/>
      <c r="F265" s="2"/>
      <c r="G265" s="2"/>
      <c r="H265" s="2"/>
      <c r="I265" s="2"/>
      <c r="J265" s="2"/>
      <c r="K265" s="158"/>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row>
    <row r="266" spans="1:87" ht="14.25" customHeight="1">
      <c r="A266" s="2"/>
      <c r="B266" s="2"/>
      <c r="C266" s="2"/>
      <c r="D266" s="2"/>
      <c r="E266" s="2"/>
      <c r="F266" s="2"/>
      <c r="G266" s="2"/>
      <c r="H266" s="2"/>
      <c r="I266" s="2"/>
      <c r="J266" s="2"/>
      <c r="K266" s="158"/>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row>
    <row r="267" spans="1:87" ht="14.25" customHeight="1">
      <c r="A267" s="2"/>
      <c r="B267" s="2"/>
      <c r="C267" s="2"/>
      <c r="D267" s="2"/>
      <c r="E267" s="2"/>
      <c r="F267" s="2"/>
      <c r="G267" s="2"/>
      <c r="H267" s="2"/>
      <c r="I267" s="2"/>
      <c r="J267" s="2"/>
      <c r="K267" s="158"/>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row>
    <row r="268" spans="1:87" ht="14.25" customHeight="1">
      <c r="A268" s="2"/>
      <c r="B268" s="2"/>
      <c r="C268" s="2"/>
      <c r="D268" s="2"/>
      <c r="E268" s="2"/>
      <c r="F268" s="2"/>
      <c r="G268" s="2"/>
      <c r="H268" s="2"/>
      <c r="I268" s="2"/>
      <c r="J268" s="2"/>
      <c r="K268" s="158"/>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row>
    <row r="269" spans="1:87" ht="14.25" customHeight="1">
      <c r="A269" s="2"/>
      <c r="B269" s="2"/>
      <c r="C269" s="2"/>
      <c r="D269" s="2"/>
      <c r="E269" s="2"/>
      <c r="F269" s="2"/>
      <c r="G269" s="2"/>
      <c r="H269" s="2"/>
      <c r="I269" s="2"/>
      <c r="J269" s="2"/>
      <c r="K269" s="158"/>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row>
    <row r="270" spans="1:87" ht="14.25" customHeight="1">
      <c r="A270" s="2"/>
      <c r="B270" s="2"/>
      <c r="C270" s="2"/>
      <c r="D270" s="2"/>
      <c r="E270" s="2"/>
      <c r="F270" s="2"/>
      <c r="G270" s="2"/>
      <c r="H270" s="2"/>
      <c r="I270" s="2"/>
      <c r="J270" s="2"/>
      <c r="K270" s="158"/>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row>
    <row r="271" spans="1:87" ht="14.25" customHeight="1">
      <c r="A271" s="2"/>
      <c r="B271" s="2"/>
      <c r="C271" s="2"/>
      <c r="D271" s="2"/>
      <c r="E271" s="2"/>
      <c r="F271" s="2"/>
      <c r="G271" s="2"/>
      <c r="H271" s="2"/>
      <c r="I271" s="2"/>
      <c r="J271" s="2"/>
      <c r="K271" s="158"/>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row>
    <row r="272" spans="1:87" ht="14.25" customHeight="1">
      <c r="A272" s="2"/>
      <c r="B272" s="2"/>
      <c r="C272" s="2"/>
      <c r="D272" s="2"/>
      <c r="E272" s="2"/>
      <c r="F272" s="2"/>
      <c r="G272" s="2"/>
      <c r="H272" s="2"/>
      <c r="I272" s="2"/>
      <c r="J272" s="2"/>
      <c r="K272" s="158"/>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row>
    <row r="273" spans="1:87" ht="14.25" customHeight="1">
      <c r="A273" s="2"/>
      <c r="B273" s="2"/>
      <c r="C273" s="2"/>
      <c r="D273" s="2"/>
      <c r="E273" s="2"/>
      <c r="F273" s="2"/>
      <c r="G273" s="2"/>
      <c r="H273" s="2"/>
      <c r="I273" s="2"/>
      <c r="J273" s="2"/>
      <c r="K273" s="158"/>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row>
    <row r="274" spans="1:87" ht="14.25" customHeight="1">
      <c r="A274" s="2"/>
      <c r="B274" s="2"/>
      <c r="C274" s="2"/>
      <c r="D274" s="2"/>
      <c r="E274" s="2"/>
      <c r="F274" s="2"/>
      <c r="G274" s="2"/>
      <c r="H274" s="2"/>
      <c r="I274" s="2"/>
      <c r="J274" s="2"/>
      <c r="K274" s="158"/>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row>
    <row r="275" spans="1:87" ht="14.25" customHeight="1">
      <c r="A275" s="2"/>
      <c r="B275" s="2"/>
      <c r="C275" s="2"/>
      <c r="D275" s="2"/>
      <c r="E275" s="2"/>
      <c r="F275" s="2"/>
      <c r="G275" s="2"/>
      <c r="H275" s="2"/>
      <c r="I275" s="2"/>
      <c r="J275" s="2"/>
      <c r="K275" s="158"/>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row>
    <row r="276" spans="1:87" ht="14.25" customHeight="1">
      <c r="A276" s="2"/>
      <c r="B276" s="2"/>
      <c r="C276" s="2"/>
      <c r="D276" s="2"/>
      <c r="E276" s="2"/>
      <c r="F276" s="2"/>
      <c r="G276" s="2"/>
      <c r="H276" s="2"/>
      <c r="I276" s="2"/>
      <c r="J276" s="2"/>
      <c r="K276" s="158"/>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row>
    <row r="277" spans="1:87" ht="14.25" customHeight="1">
      <c r="A277" s="2"/>
      <c r="B277" s="2"/>
      <c r="C277" s="2"/>
      <c r="D277" s="2"/>
      <c r="E277" s="2"/>
      <c r="F277" s="2"/>
      <c r="G277" s="2"/>
      <c r="H277" s="2"/>
      <c r="I277" s="2"/>
      <c r="J277" s="2"/>
      <c r="K277" s="158"/>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row>
    <row r="278" spans="1:87" ht="14.25" customHeight="1">
      <c r="A278" s="2"/>
      <c r="B278" s="2"/>
      <c r="C278" s="2"/>
      <c r="D278" s="2"/>
      <c r="E278" s="2"/>
      <c r="F278" s="2"/>
      <c r="G278" s="2"/>
      <c r="H278" s="2"/>
      <c r="I278" s="2"/>
      <c r="J278" s="2"/>
      <c r="K278" s="158"/>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row>
    <row r="279" spans="1:87" ht="14.25" customHeight="1">
      <c r="A279" s="2"/>
      <c r="B279" s="2"/>
      <c r="C279" s="2"/>
      <c r="D279" s="2"/>
      <c r="E279" s="2"/>
      <c r="F279" s="2"/>
      <c r="G279" s="2"/>
      <c r="H279" s="2"/>
      <c r="I279" s="2"/>
      <c r="J279" s="2"/>
      <c r="K279" s="158"/>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row>
    <row r="280" spans="1:87" ht="14.25" customHeight="1">
      <c r="A280" s="2"/>
      <c r="B280" s="2"/>
      <c r="C280" s="2"/>
      <c r="D280" s="2"/>
      <c r="E280" s="2"/>
      <c r="F280" s="2"/>
      <c r="G280" s="2"/>
      <c r="H280" s="2"/>
      <c r="I280" s="2"/>
      <c r="J280" s="2"/>
      <c r="K280" s="158"/>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row>
    <row r="281" spans="1:87" ht="14.25" customHeight="1">
      <c r="A281" s="2"/>
      <c r="B281" s="2"/>
      <c r="C281" s="2"/>
      <c r="D281" s="2"/>
      <c r="E281" s="2"/>
      <c r="F281" s="2"/>
      <c r="G281" s="2"/>
      <c r="H281" s="2"/>
      <c r="I281" s="2"/>
      <c r="J281" s="2"/>
      <c r="K281" s="158"/>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row>
    <row r="282" spans="1:87" ht="14.25" customHeight="1">
      <c r="A282" s="2"/>
      <c r="B282" s="2"/>
      <c r="C282" s="2"/>
      <c r="D282" s="2"/>
      <c r="E282" s="2"/>
      <c r="F282" s="2"/>
      <c r="G282" s="2"/>
      <c r="H282" s="2"/>
      <c r="I282" s="2"/>
      <c r="J282" s="2"/>
      <c r="K282" s="158"/>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row>
    <row r="283" spans="1:87" ht="14.25" customHeight="1">
      <c r="A283" s="2"/>
      <c r="B283" s="2"/>
      <c r="C283" s="2"/>
      <c r="D283" s="2"/>
      <c r="E283" s="2"/>
      <c r="F283" s="2"/>
      <c r="G283" s="2"/>
      <c r="H283" s="2"/>
      <c r="I283" s="2"/>
      <c r="J283" s="2"/>
      <c r="K283" s="158"/>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row>
    <row r="284" spans="1:87" ht="14.25" customHeight="1">
      <c r="A284" s="2"/>
      <c r="B284" s="2"/>
      <c r="C284" s="2"/>
      <c r="D284" s="2"/>
      <c r="E284" s="2"/>
      <c r="F284" s="2"/>
      <c r="G284" s="2"/>
      <c r="H284" s="2"/>
      <c r="I284" s="2"/>
      <c r="J284" s="2"/>
      <c r="K284" s="158"/>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row>
    <row r="285" spans="1:87" ht="14.25" customHeight="1">
      <c r="A285" s="2"/>
      <c r="B285" s="2"/>
      <c r="C285" s="2"/>
      <c r="D285" s="2"/>
      <c r="E285" s="2"/>
      <c r="F285" s="2"/>
      <c r="G285" s="2"/>
      <c r="H285" s="2"/>
      <c r="I285" s="2"/>
      <c r="J285" s="2"/>
      <c r="K285" s="158"/>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row>
    <row r="286" spans="1:87" ht="14.25" customHeight="1">
      <c r="A286" s="2"/>
      <c r="B286" s="2"/>
      <c r="C286" s="2"/>
      <c r="D286" s="2"/>
      <c r="E286" s="2"/>
      <c r="F286" s="2"/>
      <c r="G286" s="2"/>
      <c r="H286" s="2"/>
      <c r="I286" s="2"/>
      <c r="J286" s="2"/>
      <c r="K286" s="158"/>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row>
    <row r="287" spans="1:87" ht="14.25" customHeight="1">
      <c r="A287" s="2"/>
      <c r="B287" s="2"/>
      <c r="C287" s="2"/>
      <c r="D287" s="2"/>
      <c r="E287" s="2"/>
      <c r="F287" s="2"/>
      <c r="G287" s="2"/>
      <c r="H287" s="2"/>
      <c r="I287" s="2"/>
      <c r="J287" s="2"/>
      <c r="K287" s="158"/>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row>
    <row r="288" spans="1:87" ht="14.25" customHeight="1">
      <c r="A288" s="2"/>
      <c r="B288" s="2"/>
      <c r="C288" s="2"/>
      <c r="D288" s="2"/>
      <c r="E288" s="2"/>
      <c r="F288" s="2"/>
      <c r="G288" s="2"/>
      <c r="H288" s="2"/>
      <c r="I288" s="2"/>
      <c r="J288" s="2"/>
      <c r="K288" s="158"/>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row>
    <row r="289" spans="1:87" ht="14.25" customHeight="1">
      <c r="A289" s="2"/>
      <c r="B289" s="2"/>
      <c r="C289" s="2"/>
      <c r="D289" s="2"/>
      <c r="E289" s="2"/>
      <c r="F289" s="2"/>
      <c r="G289" s="2"/>
      <c r="H289" s="2"/>
      <c r="I289" s="2"/>
      <c r="J289" s="2"/>
      <c r="K289" s="158"/>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row>
    <row r="290" spans="1:87" ht="14.25" customHeight="1">
      <c r="A290" s="2"/>
      <c r="B290" s="2"/>
      <c r="C290" s="2"/>
      <c r="D290" s="2"/>
      <c r="E290" s="2"/>
      <c r="F290" s="2"/>
      <c r="G290" s="2"/>
      <c r="H290" s="2"/>
      <c r="I290" s="2"/>
      <c r="J290" s="2"/>
      <c r="K290" s="158"/>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row>
    <row r="291" spans="1:87" ht="14.25" customHeight="1">
      <c r="A291" s="2"/>
      <c r="B291" s="2"/>
      <c r="C291" s="2"/>
      <c r="D291" s="2"/>
      <c r="E291" s="2"/>
      <c r="F291" s="2"/>
      <c r="G291" s="2"/>
      <c r="H291" s="2"/>
      <c r="I291" s="2"/>
      <c r="J291" s="2"/>
      <c r="K291" s="158"/>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row>
    <row r="292" spans="1:87" ht="14.25" customHeight="1">
      <c r="A292" s="2"/>
      <c r="B292" s="2"/>
      <c r="C292" s="2"/>
      <c r="D292" s="2"/>
      <c r="E292" s="2"/>
      <c r="F292" s="2"/>
      <c r="G292" s="2"/>
      <c r="H292" s="2"/>
      <c r="I292" s="2"/>
      <c r="J292" s="2"/>
      <c r="K292" s="158"/>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row>
    <row r="293" spans="1:87" ht="14.25" customHeight="1">
      <c r="A293" s="2"/>
      <c r="B293" s="2"/>
      <c r="C293" s="2"/>
      <c r="D293" s="2"/>
      <c r="E293" s="2"/>
      <c r="F293" s="2"/>
      <c r="G293" s="2"/>
      <c r="H293" s="2"/>
      <c r="I293" s="2"/>
      <c r="J293" s="2"/>
      <c r="K293" s="158"/>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row>
    <row r="294" spans="1:87" ht="14.25" customHeight="1">
      <c r="A294" s="2"/>
      <c r="B294" s="2"/>
      <c r="C294" s="2"/>
      <c r="D294" s="2"/>
      <c r="E294" s="2"/>
      <c r="F294" s="2"/>
      <c r="G294" s="2"/>
      <c r="H294" s="2"/>
      <c r="I294" s="2"/>
      <c r="J294" s="2"/>
      <c r="K294" s="158"/>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row>
    <row r="295" spans="1:87" ht="14.25" customHeight="1">
      <c r="A295" s="2"/>
      <c r="B295" s="2"/>
      <c r="C295" s="2"/>
      <c r="D295" s="2"/>
      <c r="E295" s="2"/>
      <c r="F295" s="2"/>
      <c r="G295" s="2"/>
      <c r="H295" s="2"/>
      <c r="I295" s="2"/>
      <c r="J295" s="2"/>
      <c r="K295" s="158"/>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row>
    <row r="296" spans="1:87" ht="14.25" customHeight="1">
      <c r="A296" s="2"/>
      <c r="B296" s="2"/>
      <c r="C296" s="2"/>
      <c r="D296" s="2"/>
      <c r="E296" s="2"/>
      <c r="F296" s="2"/>
      <c r="G296" s="2"/>
      <c r="H296" s="2"/>
      <c r="I296" s="2"/>
      <c r="J296" s="2"/>
      <c r="K296" s="158"/>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row>
    <row r="297" spans="1:87" ht="14.25" customHeight="1">
      <c r="A297" s="2"/>
      <c r="B297" s="2"/>
      <c r="C297" s="2"/>
      <c r="D297" s="2"/>
      <c r="E297" s="2"/>
      <c r="F297" s="2"/>
      <c r="G297" s="2"/>
      <c r="H297" s="2"/>
      <c r="I297" s="2"/>
      <c r="J297" s="2"/>
      <c r="K297" s="158"/>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row>
    <row r="298" spans="1:87" ht="14.25" customHeight="1">
      <c r="A298" s="2"/>
      <c r="B298" s="2"/>
      <c r="C298" s="2"/>
      <c r="D298" s="2"/>
      <c r="E298" s="2"/>
      <c r="F298" s="2"/>
      <c r="G298" s="2"/>
      <c r="H298" s="2"/>
      <c r="I298" s="2"/>
      <c r="J298" s="2"/>
      <c r="K298" s="158"/>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row>
    <row r="299" spans="1:87" ht="14.25" customHeight="1">
      <c r="A299" s="2"/>
      <c r="B299" s="2"/>
      <c r="C299" s="2"/>
      <c r="D299" s="2"/>
      <c r="E299" s="2"/>
      <c r="F299" s="2"/>
      <c r="G299" s="2"/>
      <c r="H299" s="2"/>
      <c r="I299" s="2"/>
      <c r="J299" s="2"/>
      <c r="K299" s="158"/>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row>
    <row r="300" spans="1:87" ht="14.25" customHeight="1">
      <c r="A300" s="2"/>
      <c r="B300" s="2"/>
      <c r="C300" s="2"/>
      <c r="D300" s="2"/>
      <c r="E300" s="2"/>
      <c r="F300" s="2"/>
      <c r="G300" s="2"/>
      <c r="H300" s="2"/>
      <c r="I300" s="2"/>
      <c r="J300" s="2"/>
      <c r="K300" s="158"/>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row>
    <row r="301" spans="1:87" ht="14.25" customHeight="1">
      <c r="A301" s="2"/>
      <c r="B301" s="2"/>
      <c r="C301" s="2"/>
      <c r="D301" s="2"/>
      <c r="E301" s="2"/>
      <c r="F301" s="2"/>
      <c r="G301" s="2"/>
      <c r="H301" s="2"/>
      <c r="I301" s="2"/>
      <c r="J301" s="2"/>
      <c r="K301" s="158"/>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row>
    <row r="302" spans="1:87" ht="14.25" customHeight="1">
      <c r="A302" s="2"/>
      <c r="B302" s="2"/>
      <c r="C302" s="2"/>
      <c r="D302" s="2"/>
      <c r="E302" s="2"/>
      <c r="F302" s="2"/>
      <c r="G302" s="2"/>
      <c r="H302" s="2"/>
      <c r="I302" s="2"/>
      <c r="J302" s="2"/>
      <c r="K302" s="158"/>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row>
    <row r="303" spans="1:87" ht="14.25" customHeight="1">
      <c r="A303" s="2"/>
      <c r="B303" s="2"/>
      <c r="C303" s="2"/>
      <c r="D303" s="2"/>
      <c r="E303" s="2"/>
      <c r="F303" s="2"/>
      <c r="G303" s="2"/>
      <c r="H303" s="2"/>
      <c r="I303" s="2"/>
      <c r="J303" s="2"/>
      <c r="K303" s="158"/>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row>
    <row r="304" spans="1:87" ht="14.25" customHeight="1">
      <c r="A304" s="2"/>
      <c r="B304" s="2"/>
      <c r="C304" s="2"/>
      <c r="D304" s="2"/>
      <c r="E304" s="2"/>
      <c r="F304" s="2"/>
      <c r="G304" s="2"/>
      <c r="H304" s="2"/>
      <c r="I304" s="2"/>
      <c r="J304" s="2"/>
      <c r="K304" s="158"/>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row>
    <row r="305" spans="1:87" ht="14.25" customHeight="1">
      <c r="A305" s="2"/>
      <c r="B305" s="2"/>
      <c r="C305" s="2"/>
      <c r="D305" s="2"/>
      <c r="E305" s="2"/>
      <c r="F305" s="2"/>
      <c r="G305" s="2"/>
      <c r="H305" s="2"/>
      <c r="I305" s="2"/>
      <c r="J305" s="2"/>
      <c r="K305" s="158"/>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row>
    <row r="306" spans="1:87" ht="14.25" customHeight="1">
      <c r="A306" s="2"/>
      <c r="B306" s="2"/>
      <c r="C306" s="2"/>
      <c r="D306" s="2"/>
      <c r="E306" s="2"/>
      <c r="F306" s="2"/>
      <c r="G306" s="2"/>
      <c r="H306" s="2"/>
      <c r="I306" s="2"/>
      <c r="J306" s="2"/>
      <c r="K306" s="158"/>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row>
    <row r="307" spans="1:87" ht="14.25" customHeight="1">
      <c r="A307" s="2"/>
      <c r="B307" s="2"/>
      <c r="C307" s="2"/>
      <c r="D307" s="2"/>
      <c r="E307" s="2"/>
      <c r="F307" s="2"/>
      <c r="G307" s="2"/>
      <c r="H307" s="2"/>
      <c r="I307" s="2"/>
      <c r="J307" s="2"/>
      <c r="K307" s="158"/>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row>
    <row r="308" spans="1:87" ht="14.25" customHeight="1">
      <c r="A308" s="2"/>
      <c r="B308" s="2"/>
      <c r="C308" s="2"/>
      <c r="D308" s="2"/>
      <c r="E308" s="2"/>
      <c r="F308" s="2"/>
      <c r="G308" s="2"/>
      <c r="H308" s="2"/>
      <c r="I308" s="2"/>
      <c r="J308" s="2"/>
      <c r="K308" s="158"/>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row>
    <row r="309" spans="1:87" ht="14.25" customHeight="1">
      <c r="A309" s="2"/>
      <c r="B309" s="2"/>
      <c r="C309" s="2"/>
      <c r="D309" s="2"/>
      <c r="E309" s="2"/>
      <c r="F309" s="2"/>
      <c r="G309" s="2"/>
      <c r="H309" s="2"/>
      <c r="I309" s="2"/>
      <c r="J309" s="2"/>
      <c r="K309" s="158"/>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row>
    <row r="310" spans="1:87" ht="14.25" customHeight="1">
      <c r="A310" s="2"/>
      <c r="B310" s="2"/>
      <c r="C310" s="2"/>
      <c r="D310" s="2"/>
      <c r="E310" s="2"/>
      <c r="F310" s="2"/>
      <c r="G310" s="2"/>
      <c r="H310" s="2"/>
      <c r="I310" s="2"/>
      <c r="J310" s="2"/>
      <c r="K310" s="158"/>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row>
    <row r="311" spans="1:87" ht="14.25" customHeight="1">
      <c r="A311" s="2"/>
      <c r="B311" s="2"/>
      <c r="C311" s="2"/>
      <c r="D311" s="2"/>
      <c r="E311" s="2"/>
      <c r="F311" s="2"/>
      <c r="G311" s="2"/>
      <c r="H311" s="2"/>
      <c r="I311" s="2"/>
      <c r="J311" s="2"/>
      <c r="K311" s="158"/>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row>
    <row r="312" spans="1:87" ht="14.25" customHeight="1">
      <c r="A312" s="2"/>
      <c r="B312" s="2"/>
      <c r="C312" s="2"/>
      <c r="D312" s="2"/>
      <c r="E312" s="2"/>
      <c r="F312" s="2"/>
      <c r="G312" s="2"/>
      <c r="H312" s="2"/>
      <c r="I312" s="2"/>
      <c r="J312" s="2"/>
      <c r="K312" s="158"/>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row>
    <row r="313" spans="1:87" ht="14.25" customHeight="1">
      <c r="A313" s="2"/>
      <c r="B313" s="2"/>
      <c r="C313" s="2"/>
      <c r="D313" s="2"/>
      <c r="E313" s="2"/>
      <c r="F313" s="2"/>
      <c r="G313" s="2"/>
      <c r="H313" s="2"/>
      <c r="I313" s="2"/>
      <c r="J313" s="2"/>
      <c r="K313" s="158"/>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row>
    <row r="314" spans="1:87" ht="14.25" customHeight="1">
      <c r="A314" s="2"/>
      <c r="B314" s="2"/>
      <c r="C314" s="2"/>
      <c r="D314" s="2"/>
      <c r="E314" s="2"/>
      <c r="F314" s="2"/>
      <c r="G314" s="2"/>
      <c r="H314" s="2"/>
      <c r="I314" s="2"/>
      <c r="J314" s="2"/>
      <c r="K314" s="158"/>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row>
    <row r="315" spans="1:87" ht="14.25" customHeight="1">
      <c r="A315" s="2"/>
      <c r="B315" s="2"/>
      <c r="C315" s="2"/>
      <c r="D315" s="2"/>
      <c r="E315" s="2"/>
      <c r="F315" s="2"/>
      <c r="G315" s="2"/>
      <c r="H315" s="2"/>
      <c r="I315" s="2"/>
      <c r="J315" s="2"/>
      <c r="K315" s="158"/>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row>
    <row r="316" spans="1:87" ht="14.25" customHeight="1">
      <c r="A316" s="2"/>
      <c r="B316" s="2"/>
      <c r="C316" s="2"/>
      <c r="D316" s="2"/>
      <c r="E316" s="2"/>
      <c r="F316" s="2"/>
      <c r="G316" s="2"/>
      <c r="H316" s="2"/>
      <c r="I316" s="2"/>
      <c r="J316" s="2"/>
      <c r="K316" s="158"/>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row>
    <row r="317" spans="1:87" ht="14.25" customHeight="1">
      <c r="A317" s="2"/>
      <c r="B317" s="2"/>
      <c r="C317" s="2"/>
      <c r="D317" s="2"/>
      <c r="E317" s="2"/>
      <c r="F317" s="2"/>
      <c r="G317" s="2"/>
      <c r="H317" s="2"/>
      <c r="I317" s="2"/>
      <c r="J317" s="2"/>
      <c r="K317" s="158"/>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row>
    <row r="318" spans="1:87" ht="14.25" customHeight="1">
      <c r="A318" s="2"/>
      <c r="B318" s="2"/>
      <c r="C318" s="2"/>
      <c r="D318" s="2"/>
      <c r="E318" s="2"/>
      <c r="F318" s="2"/>
      <c r="G318" s="2"/>
      <c r="H318" s="2"/>
      <c r="I318" s="2"/>
      <c r="J318" s="2"/>
      <c r="K318" s="158"/>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row>
    <row r="319" spans="1:87" ht="14.25" customHeight="1">
      <c r="A319" s="2"/>
      <c r="B319" s="2"/>
      <c r="C319" s="2"/>
      <c r="D319" s="2"/>
      <c r="E319" s="2"/>
      <c r="F319" s="2"/>
      <c r="G319" s="2"/>
      <c r="H319" s="2"/>
      <c r="I319" s="2"/>
      <c r="J319" s="2"/>
      <c r="K319" s="158"/>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row>
    <row r="320" spans="1:87" ht="14.25" customHeight="1">
      <c r="A320" s="2"/>
      <c r="B320" s="2"/>
      <c r="C320" s="2"/>
      <c r="D320" s="2"/>
      <c r="E320" s="2"/>
      <c r="F320" s="2"/>
      <c r="G320" s="2"/>
      <c r="H320" s="2"/>
      <c r="I320" s="2"/>
      <c r="J320" s="2"/>
      <c r="K320" s="158"/>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row>
    <row r="321" spans="1:87" ht="14.25" customHeight="1">
      <c r="A321" s="2"/>
      <c r="B321" s="2"/>
      <c r="C321" s="2"/>
      <c r="D321" s="2"/>
      <c r="E321" s="2"/>
      <c r="F321" s="2"/>
      <c r="G321" s="2"/>
      <c r="H321" s="2"/>
      <c r="I321" s="2"/>
      <c r="J321" s="2"/>
      <c r="K321" s="158"/>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row>
    <row r="322" spans="1:87" ht="14.25" customHeight="1">
      <c r="A322" s="2"/>
      <c r="B322" s="2"/>
      <c r="C322" s="2"/>
      <c r="D322" s="2"/>
      <c r="E322" s="2"/>
      <c r="F322" s="2"/>
      <c r="G322" s="2"/>
      <c r="H322" s="2"/>
      <c r="I322" s="2"/>
      <c r="J322" s="2"/>
      <c r="K322" s="158"/>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row>
    <row r="323" spans="1:87" ht="14.25" customHeight="1">
      <c r="A323" s="2"/>
      <c r="B323" s="2"/>
      <c r="C323" s="2"/>
      <c r="D323" s="2"/>
      <c r="E323" s="2"/>
      <c r="F323" s="2"/>
      <c r="G323" s="2"/>
      <c r="H323" s="2"/>
      <c r="I323" s="2"/>
      <c r="J323" s="2"/>
      <c r="K323" s="158"/>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row>
    <row r="324" spans="1:87" ht="14.25" customHeight="1">
      <c r="A324" s="2"/>
      <c r="B324" s="2"/>
      <c r="C324" s="2"/>
      <c r="D324" s="2"/>
      <c r="E324" s="2"/>
      <c r="F324" s="2"/>
      <c r="G324" s="2"/>
      <c r="H324" s="2"/>
      <c r="I324" s="2"/>
      <c r="J324" s="2"/>
      <c r="K324" s="158"/>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row>
    <row r="325" spans="1:87" ht="14.25" customHeight="1">
      <c r="A325" s="2"/>
      <c r="B325" s="2"/>
      <c r="C325" s="2"/>
      <c r="D325" s="2"/>
      <c r="E325" s="2"/>
      <c r="F325" s="2"/>
      <c r="G325" s="2"/>
      <c r="H325" s="2"/>
      <c r="I325" s="2"/>
      <c r="J325" s="2"/>
      <c r="K325" s="158"/>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row>
    <row r="326" spans="1:87" ht="14.25" customHeight="1">
      <c r="A326" s="2"/>
      <c r="B326" s="2"/>
      <c r="C326" s="2"/>
      <c r="D326" s="2"/>
      <c r="E326" s="2"/>
      <c r="F326" s="2"/>
      <c r="G326" s="2"/>
      <c r="H326" s="2"/>
      <c r="I326" s="2"/>
      <c r="J326" s="2"/>
      <c r="K326" s="158"/>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row>
    <row r="327" spans="1:87" ht="14.25" customHeight="1">
      <c r="A327" s="2"/>
      <c r="B327" s="2"/>
      <c r="C327" s="2"/>
      <c r="D327" s="2"/>
      <c r="E327" s="2"/>
      <c r="F327" s="2"/>
      <c r="G327" s="2"/>
      <c r="H327" s="2"/>
      <c r="I327" s="2"/>
      <c r="J327" s="2"/>
      <c r="K327" s="158"/>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row>
    <row r="328" spans="1:87" ht="14.25" customHeight="1">
      <c r="A328" s="2"/>
      <c r="B328" s="2"/>
      <c r="C328" s="2"/>
      <c r="D328" s="2"/>
      <c r="E328" s="2"/>
      <c r="F328" s="2"/>
      <c r="G328" s="2"/>
      <c r="H328" s="2"/>
      <c r="I328" s="2"/>
      <c r="J328" s="2"/>
      <c r="K328" s="158"/>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row>
    <row r="329" spans="1:87" ht="14.25" customHeight="1">
      <c r="A329" s="2"/>
      <c r="B329" s="2"/>
      <c r="C329" s="2"/>
      <c r="D329" s="2"/>
      <c r="E329" s="2"/>
      <c r="F329" s="2"/>
      <c r="G329" s="2"/>
      <c r="H329" s="2"/>
      <c r="I329" s="2"/>
      <c r="J329" s="2"/>
      <c r="K329" s="158"/>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row>
    <row r="330" spans="1:87" ht="14.25" customHeight="1">
      <c r="A330" s="2"/>
      <c r="B330" s="2"/>
      <c r="C330" s="2"/>
      <c r="D330" s="2"/>
      <c r="E330" s="2"/>
      <c r="F330" s="2"/>
      <c r="G330" s="2"/>
      <c r="H330" s="2"/>
      <c r="I330" s="2"/>
      <c r="J330" s="2"/>
      <c r="K330" s="158"/>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row>
    <row r="331" spans="1:87" ht="14.25" customHeight="1">
      <c r="A331" s="2"/>
      <c r="B331" s="2"/>
      <c r="C331" s="2"/>
      <c r="D331" s="2"/>
      <c r="E331" s="2"/>
      <c r="F331" s="2"/>
      <c r="G331" s="2"/>
      <c r="H331" s="2"/>
      <c r="I331" s="2"/>
      <c r="J331" s="2"/>
      <c r="K331" s="158"/>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row>
    <row r="332" spans="1:87" ht="14.25" customHeight="1">
      <c r="A332" s="2"/>
      <c r="B332" s="2"/>
      <c r="C332" s="2"/>
      <c r="D332" s="2"/>
      <c r="E332" s="2"/>
      <c r="F332" s="2"/>
      <c r="G332" s="2"/>
      <c r="H332" s="2"/>
      <c r="I332" s="2"/>
      <c r="J332" s="2"/>
      <c r="K332" s="158"/>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row>
    <row r="333" spans="1:87" ht="14.25" customHeight="1">
      <c r="A333" s="2"/>
      <c r="B333" s="2"/>
      <c r="C333" s="2"/>
      <c r="D333" s="2"/>
      <c r="E333" s="2"/>
      <c r="F333" s="2"/>
      <c r="G333" s="2"/>
      <c r="H333" s="2"/>
      <c r="I333" s="2"/>
      <c r="J333" s="2"/>
      <c r="K333" s="158"/>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row>
    <row r="334" spans="1:87" ht="14.25" customHeight="1">
      <c r="A334" s="2"/>
      <c r="B334" s="2"/>
      <c r="C334" s="2"/>
      <c r="D334" s="2"/>
      <c r="E334" s="2"/>
      <c r="F334" s="2"/>
      <c r="G334" s="2"/>
      <c r="H334" s="2"/>
      <c r="I334" s="2"/>
      <c r="J334" s="2"/>
      <c r="K334" s="158"/>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row>
    <row r="335" spans="1:87" ht="14.25" customHeight="1">
      <c r="A335" s="2"/>
      <c r="B335" s="2"/>
      <c r="C335" s="2"/>
      <c r="D335" s="2"/>
      <c r="E335" s="2"/>
      <c r="F335" s="2"/>
      <c r="G335" s="2"/>
      <c r="H335" s="2"/>
      <c r="I335" s="2"/>
      <c r="J335" s="2"/>
      <c r="K335" s="158"/>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row>
    <row r="336" spans="1:87" ht="14.25" customHeight="1">
      <c r="A336" s="2"/>
      <c r="B336" s="2"/>
      <c r="C336" s="2"/>
      <c r="D336" s="2"/>
      <c r="E336" s="2"/>
      <c r="F336" s="2"/>
      <c r="G336" s="2"/>
      <c r="H336" s="2"/>
      <c r="I336" s="2"/>
      <c r="J336" s="2"/>
      <c r="K336" s="158"/>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row>
    <row r="337" spans="1:87" ht="14.25" customHeight="1">
      <c r="A337" s="2"/>
      <c r="B337" s="2"/>
      <c r="C337" s="2"/>
      <c r="D337" s="2"/>
      <c r="E337" s="2"/>
      <c r="F337" s="2"/>
      <c r="G337" s="2"/>
      <c r="H337" s="2"/>
      <c r="I337" s="2"/>
      <c r="J337" s="2"/>
      <c r="K337" s="158"/>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row>
    <row r="338" spans="1:87" ht="14.25" customHeight="1">
      <c r="A338" s="2"/>
      <c r="B338" s="2"/>
      <c r="C338" s="2"/>
      <c r="D338" s="2"/>
      <c r="E338" s="2"/>
      <c r="F338" s="2"/>
      <c r="G338" s="2"/>
      <c r="H338" s="2"/>
      <c r="I338" s="2"/>
      <c r="J338" s="2"/>
      <c r="K338" s="158"/>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row>
    <row r="339" spans="1:87" ht="14.25" customHeight="1">
      <c r="A339" s="2"/>
      <c r="B339" s="2"/>
      <c r="C339" s="2"/>
      <c r="D339" s="2"/>
      <c r="E339" s="2"/>
      <c r="F339" s="2"/>
      <c r="G339" s="2"/>
      <c r="H339" s="2"/>
      <c r="I339" s="2"/>
      <c r="J339" s="2"/>
      <c r="K339" s="158"/>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row>
    <row r="340" spans="1:87" ht="14.25" customHeight="1">
      <c r="A340" s="2"/>
      <c r="B340" s="2"/>
      <c r="C340" s="2"/>
      <c r="D340" s="2"/>
      <c r="E340" s="2"/>
      <c r="F340" s="2"/>
      <c r="G340" s="2"/>
      <c r="H340" s="2"/>
      <c r="I340" s="2"/>
      <c r="J340" s="2"/>
      <c r="K340" s="158"/>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row>
    <row r="341" spans="1:87" ht="14.25" customHeight="1">
      <c r="A341" s="2"/>
      <c r="B341" s="2"/>
      <c r="C341" s="2"/>
      <c r="D341" s="2"/>
      <c r="E341" s="2"/>
      <c r="F341" s="2"/>
      <c r="G341" s="2"/>
      <c r="H341" s="2"/>
      <c r="I341" s="2"/>
      <c r="J341" s="2"/>
      <c r="K341" s="158"/>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row>
    <row r="342" spans="1:87" ht="14.25" customHeight="1">
      <c r="A342" s="2"/>
      <c r="B342" s="2"/>
      <c r="C342" s="2"/>
      <c r="D342" s="2"/>
      <c r="E342" s="2"/>
      <c r="F342" s="2"/>
      <c r="G342" s="2"/>
      <c r="H342" s="2"/>
      <c r="I342" s="2"/>
      <c r="J342" s="2"/>
      <c r="K342" s="158"/>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row>
    <row r="343" spans="1:87" ht="14.25" customHeight="1">
      <c r="A343" s="2"/>
      <c r="B343" s="2"/>
      <c r="C343" s="2"/>
      <c r="D343" s="2"/>
      <c r="E343" s="2"/>
      <c r="F343" s="2"/>
      <c r="G343" s="2"/>
      <c r="H343" s="2"/>
      <c r="I343" s="2"/>
      <c r="J343" s="2"/>
      <c r="K343" s="158"/>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row>
    <row r="344" spans="1:87" ht="14.25" customHeight="1">
      <c r="A344" s="2"/>
      <c r="B344" s="2"/>
      <c r="C344" s="2"/>
      <c r="D344" s="2"/>
      <c r="E344" s="2"/>
      <c r="F344" s="2"/>
      <c r="G344" s="2"/>
      <c r="H344" s="2"/>
      <c r="I344" s="2"/>
      <c r="J344" s="2"/>
      <c r="K344" s="158"/>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row>
    <row r="345" spans="1:87" ht="14.25" customHeight="1">
      <c r="A345" s="2"/>
      <c r="B345" s="2"/>
      <c r="C345" s="2"/>
      <c r="D345" s="2"/>
      <c r="E345" s="2"/>
      <c r="F345" s="2"/>
      <c r="G345" s="2"/>
      <c r="H345" s="2"/>
      <c r="I345" s="2"/>
      <c r="J345" s="2"/>
      <c r="K345" s="158"/>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row>
    <row r="346" spans="1:87" ht="14.25" customHeight="1">
      <c r="A346" s="2"/>
      <c r="B346" s="2"/>
      <c r="C346" s="2"/>
      <c r="D346" s="2"/>
      <c r="E346" s="2"/>
      <c r="F346" s="2"/>
      <c r="G346" s="2"/>
      <c r="H346" s="2"/>
      <c r="I346" s="2"/>
      <c r="J346" s="2"/>
      <c r="K346" s="158"/>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row>
    <row r="347" spans="1:87" ht="14.25" customHeight="1">
      <c r="A347" s="2"/>
      <c r="B347" s="2"/>
      <c r="C347" s="2"/>
      <c r="D347" s="2"/>
      <c r="E347" s="2"/>
      <c r="F347" s="2"/>
      <c r="G347" s="2"/>
      <c r="H347" s="2"/>
      <c r="I347" s="2"/>
      <c r="J347" s="2"/>
      <c r="K347" s="158"/>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row>
    <row r="348" spans="1:87" ht="14.25" customHeight="1">
      <c r="A348" s="2"/>
      <c r="B348" s="2"/>
      <c r="C348" s="2"/>
      <c r="D348" s="2"/>
      <c r="E348" s="2"/>
      <c r="F348" s="2"/>
      <c r="G348" s="2"/>
      <c r="H348" s="2"/>
      <c r="I348" s="2"/>
      <c r="J348" s="2"/>
      <c r="K348" s="158"/>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row>
    <row r="349" spans="1:87" ht="14.25" customHeight="1">
      <c r="A349" s="2"/>
      <c r="B349" s="2"/>
      <c r="C349" s="2"/>
      <c r="D349" s="2"/>
      <c r="E349" s="2"/>
      <c r="F349" s="2"/>
      <c r="G349" s="2"/>
      <c r="H349" s="2"/>
      <c r="I349" s="2"/>
      <c r="J349" s="2"/>
      <c r="K349" s="158"/>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row>
    <row r="350" spans="1:87" ht="14.25" customHeight="1">
      <c r="A350" s="2"/>
      <c r="B350" s="2"/>
      <c r="C350" s="2"/>
      <c r="D350" s="2"/>
      <c r="E350" s="2"/>
      <c r="F350" s="2"/>
      <c r="G350" s="2"/>
      <c r="H350" s="2"/>
      <c r="I350" s="2"/>
      <c r="J350" s="2"/>
      <c r="K350" s="158"/>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row>
    <row r="351" spans="1:87" ht="14.25" customHeight="1">
      <c r="A351" s="2"/>
      <c r="B351" s="2"/>
      <c r="C351" s="2"/>
      <c r="D351" s="2"/>
      <c r="E351" s="2"/>
      <c r="F351" s="2"/>
      <c r="G351" s="2"/>
      <c r="H351" s="2"/>
      <c r="I351" s="2"/>
      <c r="J351" s="2"/>
      <c r="K351" s="158"/>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row>
    <row r="352" spans="1:87" ht="14.25" customHeight="1">
      <c r="A352" s="2"/>
      <c r="B352" s="2"/>
      <c r="C352" s="2"/>
      <c r="D352" s="2"/>
      <c r="E352" s="2"/>
      <c r="F352" s="2"/>
      <c r="G352" s="2"/>
      <c r="H352" s="2"/>
      <c r="I352" s="2"/>
      <c r="J352" s="2"/>
      <c r="K352" s="158"/>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row>
    <row r="353" spans="1:87" ht="14.25" customHeight="1">
      <c r="A353" s="2"/>
      <c r="B353" s="2"/>
      <c r="C353" s="2"/>
      <c r="D353" s="2"/>
      <c r="E353" s="2"/>
      <c r="F353" s="2"/>
      <c r="G353" s="2"/>
      <c r="H353" s="2"/>
      <c r="I353" s="2"/>
      <c r="J353" s="2"/>
      <c r="K353" s="158"/>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row>
    <row r="354" spans="1:87" ht="14.25" customHeight="1">
      <c r="A354" s="2"/>
      <c r="B354" s="2"/>
      <c r="C354" s="2"/>
      <c r="D354" s="2"/>
      <c r="E354" s="2"/>
      <c r="F354" s="2"/>
      <c r="G354" s="2"/>
      <c r="H354" s="2"/>
      <c r="I354" s="2"/>
      <c r="J354" s="2"/>
      <c r="K354" s="158"/>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row>
    <row r="355" spans="1:87" ht="14.25" customHeight="1">
      <c r="A355" s="2"/>
      <c r="B355" s="2"/>
      <c r="C355" s="2"/>
      <c r="D355" s="2"/>
      <c r="E355" s="2"/>
      <c r="F355" s="2"/>
      <c r="G355" s="2"/>
      <c r="H355" s="2"/>
      <c r="I355" s="2"/>
      <c r="J355" s="2"/>
      <c r="K355" s="158"/>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row>
    <row r="356" spans="1:87" ht="14.25" customHeight="1">
      <c r="A356" s="2"/>
      <c r="B356" s="2"/>
      <c r="C356" s="2"/>
      <c r="D356" s="2"/>
      <c r="E356" s="2"/>
      <c r="F356" s="2"/>
      <c r="G356" s="2"/>
      <c r="H356" s="2"/>
      <c r="I356" s="2"/>
      <c r="J356" s="2"/>
      <c r="K356" s="158"/>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row>
    <row r="357" spans="1:87" ht="14.25" customHeight="1">
      <c r="A357" s="2"/>
      <c r="B357" s="2"/>
      <c r="C357" s="2"/>
      <c r="D357" s="2"/>
      <c r="E357" s="2"/>
      <c r="F357" s="2"/>
      <c r="G357" s="2"/>
      <c r="H357" s="2"/>
      <c r="I357" s="2"/>
      <c r="J357" s="2"/>
      <c r="K357" s="158"/>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row>
    <row r="358" spans="1:87" ht="14.25" customHeight="1">
      <c r="A358" s="2"/>
      <c r="B358" s="2"/>
      <c r="C358" s="2"/>
      <c r="D358" s="2"/>
      <c r="E358" s="2"/>
      <c r="F358" s="2"/>
      <c r="G358" s="2"/>
      <c r="H358" s="2"/>
      <c r="I358" s="2"/>
      <c r="J358" s="2"/>
      <c r="K358" s="158"/>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row>
    <row r="359" spans="1:87" ht="14.25" customHeight="1">
      <c r="A359" s="2"/>
      <c r="B359" s="2"/>
      <c r="C359" s="2"/>
      <c r="D359" s="2"/>
      <c r="E359" s="2"/>
      <c r="F359" s="2"/>
      <c r="G359" s="2"/>
      <c r="H359" s="2"/>
      <c r="I359" s="2"/>
      <c r="J359" s="2"/>
      <c r="K359" s="158"/>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row>
    <row r="360" spans="1:87" ht="14.25" customHeight="1">
      <c r="A360" s="2"/>
      <c r="B360" s="2"/>
      <c r="C360" s="2"/>
      <c r="D360" s="2"/>
      <c r="E360" s="2"/>
      <c r="F360" s="2"/>
      <c r="G360" s="2"/>
      <c r="H360" s="2"/>
      <c r="I360" s="2"/>
      <c r="J360" s="2"/>
      <c r="K360" s="158"/>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row>
    <row r="361" spans="1:87" ht="14.25" customHeight="1">
      <c r="A361" s="2"/>
      <c r="B361" s="2"/>
      <c r="C361" s="2"/>
      <c r="D361" s="2"/>
      <c r="E361" s="2"/>
      <c r="F361" s="2"/>
      <c r="G361" s="2"/>
      <c r="H361" s="2"/>
      <c r="I361" s="2"/>
      <c r="J361" s="2"/>
      <c r="K361" s="158"/>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row>
    <row r="362" spans="1:87" ht="14.25" customHeight="1">
      <c r="A362" s="2"/>
      <c r="B362" s="2"/>
      <c r="C362" s="2"/>
      <c r="D362" s="2"/>
      <c r="E362" s="2"/>
      <c r="F362" s="2"/>
      <c r="G362" s="2"/>
      <c r="H362" s="2"/>
      <c r="I362" s="2"/>
      <c r="J362" s="2"/>
      <c r="K362" s="158"/>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row>
    <row r="363" spans="1:87" ht="14.25" customHeight="1">
      <c r="A363" s="2"/>
      <c r="B363" s="2"/>
      <c r="C363" s="2"/>
      <c r="D363" s="2"/>
      <c r="E363" s="2"/>
      <c r="F363" s="2"/>
      <c r="G363" s="2"/>
      <c r="H363" s="2"/>
      <c r="I363" s="2"/>
      <c r="J363" s="2"/>
      <c r="K363" s="158"/>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row>
    <row r="364" spans="1:87" ht="14.25" customHeight="1">
      <c r="A364" s="2"/>
      <c r="B364" s="2"/>
      <c r="C364" s="2"/>
      <c r="D364" s="2"/>
      <c r="E364" s="2"/>
      <c r="F364" s="2"/>
      <c r="G364" s="2"/>
      <c r="H364" s="2"/>
      <c r="I364" s="2"/>
      <c r="J364" s="2"/>
      <c r="K364" s="158"/>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row>
    <row r="365" spans="1:87" ht="14.25" customHeight="1">
      <c r="A365" s="2"/>
      <c r="B365" s="2"/>
      <c r="C365" s="2"/>
      <c r="D365" s="2"/>
      <c r="E365" s="2"/>
      <c r="F365" s="2"/>
      <c r="G365" s="2"/>
      <c r="H365" s="2"/>
      <c r="I365" s="2"/>
      <c r="J365" s="2"/>
      <c r="K365" s="158"/>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row>
    <row r="366" spans="1:87" ht="14.25" customHeight="1">
      <c r="A366" s="2"/>
      <c r="B366" s="2"/>
      <c r="C366" s="2"/>
      <c r="D366" s="2"/>
      <c r="E366" s="2"/>
      <c r="F366" s="2"/>
      <c r="G366" s="2"/>
      <c r="H366" s="2"/>
      <c r="I366" s="2"/>
      <c r="J366" s="2"/>
      <c r="K366" s="158"/>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row>
    <row r="367" spans="1:87" ht="14.25" customHeight="1">
      <c r="A367" s="2"/>
      <c r="B367" s="2"/>
      <c r="C367" s="2"/>
      <c r="D367" s="2"/>
      <c r="E367" s="2"/>
      <c r="F367" s="2"/>
      <c r="G367" s="2"/>
      <c r="H367" s="2"/>
      <c r="I367" s="2"/>
      <c r="J367" s="2"/>
      <c r="K367" s="158"/>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row>
    <row r="368" spans="1:87" ht="14.25" customHeight="1">
      <c r="A368" s="2"/>
      <c r="B368" s="2"/>
      <c r="C368" s="2"/>
      <c r="D368" s="2"/>
      <c r="E368" s="2"/>
      <c r="F368" s="2"/>
      <c r="G368" s="2"/>
      <c r="H368" s="2"/>
      <c r="I368" s="2"/>
      <c r="J368" s="2"/>
      <c r="K368" s="158"/>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row>
    <row r="369" spans="1:87" ht="14.25" customHeight="1">
      <c r="A369" s="2"/>
      <c r="B369" s="2"/>
      <c r="C369" s="2"/>
      <c r="D369" s="2"/>
      <c r="E369" s="2"/>
      <c r="F369" s="2"/>
      <c r="G369" s="2"/>
      <c r="H369" s="2"/>
      <c r="I369" s="2"/>
      <c r="J369" s="2"/>
      <c r="K369" s="158"/>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row>
    <row r="370" spans="1:87" ht="14.25" customHeight="1">
      <c r="A370" s="2"/>
      <c r="B370" s="2"/>
      <c r="C370" s="2"/>
      <c r="D370" s="2"/>
      <c r="E370" s="2"/>
      <c r="F370" s="2"/>
      <c r="G370" s="2"/>
      <c r="H370" s="2"/>
      <c r="I370" s="2"/>
      <c r="J370" s="2"/>
      <c r="K370" s="158"/>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row>
    <row r="371" spans="1:87" ht="14.25" customHeight="1">
      <c r="A371" s="2"/>
      <c r="B371" s="2"/>
      <c r="C371" s="2"/>
      <c r="D371" s="2"/>
      <c r="E371" s="2"/>
      <c r="F371" s="2"/>
      <c r="G371" s="2"/>
      <c r="H371" s="2"/>
      <c r="I371" s="2"/>
      <c r="J371" s="2"/>
      <c r="K371" s="158"/>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row>
    <row r="372" spans="1:87" ht="14.25" customHeight="1">
      <c r="A372" s="2"/>
      <c r="B372" s="2"/>
      <c r="C372" s="2"/>
      <c r="D372" s="2"/>
      <c r="E372" s="2"/>
      <c r="F372" s="2"/>
      <c r="G372" s="2"/>
      <c r="H372" s="2"/>
      <c r="I372" s="2"/>
      <c r="J372" s="2"/>
      <c r="K372" s="158"/>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row>
    <row r="373" spans="1:87" ht="14.25" customHeight="1">
      <c r="A373" s="2"/>
      <c r="B373" s="2"/>
      <c r="C373" s="2"/>
      <c r="D373" s="2"/>
      <c r="E373" s="2"/>
      <c r="F373" s="2"/>
      <c r="G373" s="2"/>
      <c r="H373" s="2"/>
      <c r="I373" s="2"/>
      <c r="J373" s="2"/>
      <c r="K373" s="158"/>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row>
    <row r="374" spans="1:87" ht="14.25" customHeight="1">
      <c r="A374" s="2"/>
      <c r="B374" s="2"/>
      <c r="C374" s="2"/>
      <c r="D374" s="2"/>
      <c r="E374" s="2"/>
      <c r="F374" s="2"/>
      <c r="G374" s="2"/>
      <c r="H374" s="2"/>
      <c r="I374" s="2"/>
      <c r="J374" s="2"/>
      <c r="K374" s="158"/>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row>
    <row r="375" spans="1:87" ht="14.25" customHeight="1">
      <c r="A375" s="2"/>
      <c r="B375" s="2"/>
      <c r="C375" s="2"/>
      <c r="D375" s="2"/>
      <c r="E375" s="2"/>
      <c r="F375" s="2"/>
      <c r="G375" s="2"/>
      <c r="H375" s="2"/>
      <c r="I375" s="2"/>
      <c r="J375" s="2"/>
      <c r="K375" s="158"/>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row>
    <row r="376" spans="1:87" ht="14.25" customHeight="1">
      <c r="A376" s="2"/>
      <c r="B376" s="2"/>
      <c r="C376" s="2"/>
      <c r="D376" s="2"/>
      <c r="E376" s="2"/>
      <c r="F376" s="2"/>
      <c r="G376" s="2"/>
      <c r="H376" s="2"/>
      <c r="I376" s="2"/>
      <c r="J376" s="2"/>
      <c r="K376" s="158"/>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row>
    <row r="377" spans="1:87" ht="14.25" customHeight="1">
      <c r="A377" s="2"/>
      <c r="B377" s="2"/>
      <c r="C377" s="2"/>
      <c r="D377" s="2"/>
      <c r="E377" s="2"/>
      <c r="F377" s="2"/>
      <c r="G377" s="2"/>
      <c r="H377" s="2"/>
      <c r="I377" s="2"/>
      <c r="J377" s="2"/>
      <c r="K377" s="158"/>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row>
    <row r="378" spans="1:87" ht="14.25" customHeight="1">
      <c r="A378" s="2"/>
      <c r="B378" s="2"/>
      <c r="C378" s="2"/>
      <c r="D378" s="2"/>
      <c r="E378" s="2"/>
      <c r="F378" s="2"/>
      <c r="G378" s="2"/>
      <c r="H378" s="2"/>
      <c r="I378" s="2"/>
      <c r="J378" s="2"/>
      <c r="K378" s="158"/>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row>
    <row r="379" spans="1:87" ht="14.25" customHeight="1">
      <c r="A379" s="2"/>
      <c r="B379" s="2"/>
      <c r="C379" s="2"/>
      <c r="D379" s="2"/>
      <c r="E379" s="2"/>
      <c r="F379" s="2"/>
      <c r="G379" s="2"/>
      <c r="H379" s="2"/>
      <c r="I379" s="2"/>
      <c r="J379" s="2"/>
      <c r="K379" s="158"/>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row>
    <row r="380" spans="1:87" ht="14.25" customHeight="1">
      <c r="A380" s="2"/>
      <c r="B380" s="2"/>
      <c r="C380" s="2"/>
      <c r="D380" s="2"/>
      <c r="E380" s="2"/>
      <c r="F380" s="2"/>
      <c r="G380" s="2"/>
      <c r="H380" s="2"/>
      <c r="I380" s="2"/>
      <c r="J380" s="2"/>
      <c r="K380" s="158"/>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row>
    <row r="381" spans="1:87" ht="14.25" customHeight="1">
      <c r="A381" s="2"/>
      <c r="B381" s="2"/>
      <c r="C381" s="2"/>
      <c r="D381" s="2"/>
      <c r="E381" s="2"/>
      <c r="F381" s="2"/>
      <c r="G381" s="2"/>
      <c r="H381" s="2"/>
      <c r="I381" s="2"/>
      <c r="J381" s="2"/>
      <c r="K381" s="158"/>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row>
    <row r="382" spans="1:87" ht="14.25" customHeight="1">
      <c r="A382" s="2"/>
      <c r="B382" s="2"/>
      <c r="C382" s="2"/>
      <c r="D382" s="2"/>
      <c r="E382" s="2"/>
      <c r="F382" s="2"/>
      <c r="G382" s="2"/>
      <c r="H382" s="2"/>
      <c r="I382" s="2"/>
      <c r="J382" s="2"/>
      <c r="K382" s="158"/>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row>
    <row r="383" spans="1:87" ht="14.25" customHeight="1">
      <c r="A383" s="2"/>
      <c r="B383" s="2"/>
      <c r="C383" s="2"/>
      <c r="D383" s="2"/>
      <c r="E383" s="2"/>
      <c r="F383" s="2"/>
      <c r="G383" s="2"/>
      <c r="H383" s="2"/>
      <c r="I383" s="2"/>
      <c r="J383" s="2"/>
      <c r="K383" s="158"/>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row>
    <row r="384" spans="1:87" ht="14.25" customHeight="1">
      <c r="A384" s="2"/>
      <c r="B384" s="2"/>
      <c r="C384" s="2"/>
      <c r="D384" s="2"/>
      <c r="E384" s="2"/>
      <c r="F384" s="2"/>
      <c r="G384" s="2"/>
      <c r="H384" s="2"/>
      <c r="I384" s="2"/>
      <c r="J384" s="2"/>
      <c r="K384" s="158"/>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row>
    <row r="385" spans="1:87" ht="14.25" customHeight="1">
      <c r="A385" s="2"/>
      <c r="B385" s="2"/>
      <c r="C385" s="2"/>
      <c r="D385" s="2"/>
      <c r="E385" s="2"/>
      <c r="F385" s="2"/>
      <c r="G385" s="2"/>
      <c r="H385" s="2"/>
      <c r="I385" s="2"/>
      <c r="J385" s="2"/>
      <c r="K385" s="158"/>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row>
    <row r="386" spans="1:87" ht="14.25" customHeight="1">
      <c r="A386" s="2"/>
      <c r="B386" s="2"/>
      <c r="C386" s="2"/>
      <c r="D386" s="2"/>
      <c r="E386" s="2"/>
      <c r="F386" s="2"/>
      <c r="G386" s="2"/>
      <c r="H386" s="2"/>
      <c r="I386" s="2"/>
      <c r="J386" s="2"/>
      <c r="K386" s="158"/>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row>
    <row r="387" spans="1:87" ht="14.25" customHeight="1">
      <c r="A387" s="2"/>
      <c r="B387" s="2"/>
      <c r="C387" s="2"/>
      <c r="D387" s="2"/>
      <c r="E387" s="2"/>
      <c r="F387" s="2"/>
      <c r="G387" s="2"/>
      <c r="H387" s="2"/>
      <c r="I387" s="2"/>
      <c r="J387" s="2"/>
      <c r="K387" s="158"/>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row>
    <row r="388" spans="1:87" ht="14.25" customHeight="1">
      <c r="A388" s="2"/>
      <c r="B388" s="2"/>
      <c r="C388" s="2"/>
      <c r="D388" s="2"/>
      <c r="E388" s="2"/>
      <c r="F388" s="2"/>
      <c r="G388" s="2"/>
      <c r="H388" s="2"/>
      <c r="I388" s="2"/>
      <c r="J388" s="2"/>
      <c r="K388" s="158"/>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row>
    <row r="389" spans="1:87" ht="14.25" customHeight="1">
      <c r="A389" s="2"/>
      <c r="B389" s="2"/>
      <c r="C389" s="2"/>
      <c r="D389" s="2"/>
      <c r="E389" s="2"/>
      <c r="F389" s="2"/>
      <c r="G389" s="2"/>
      <c r="H389" s="2"/>
      <c r="I389" s="2"/>
      <c r="J389" s="2"/>
      <c r="K389" s="158"/>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row>
    <row r="390" spans="1:87" ht="14.25" customHeight="1">
      <c r="A390" s="2"/>
      <c r="B390" s="2"/>
      <c r="C390" s="2"/>
      <c r="D390" s="2"/>
      <c r="E390" s="2"/>
      <c r="F390" s="2"/>
      <c r="G390" s="2"/>
      <c r="H390" s="2"/>
      <c r="I390" s="2"/>
      <c r="J390" s="2"/>
      <c r="K390" s="158"/>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row>
    <row r="391" spans="1:87" ht="14.25" customHeight="1">
      <c r="A391" s="2"/>
      <c r="B391" s="2"/>
      <c r="C391" s="2"/>
      <c r="D391" s="2"/>
      <c r="E391" s="2"/>
      <c r="F391" s="2"/>
      <c r="G391" s="2"/>
      <c r="H391" s="2"/>
      <c r="I391" s="2"/>
      <c r="J391" s="2"/>
      <c r="K391" s="158"/>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row>
    <row r="392" spans="1:87" ht="14.25" customHeight="1">
      <c r="A392" s="2"/>
      <c r="B392" s="2"/>
      <c r="C392" s="2"/>
      <c r="D392" s="2"/>
      <c r="E392" s="2"/>
      <c r="F392" s="2"/>
      <c r="G392" s="2"/>
      <c r="H392" s="2"/>
      <c r="I392" s="2"/>
      <c r="J392" s="2"/>
      <c r="K392" s="158"/>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row>
    <row r="393" spans="1:87" ht="14.25" customHeight="1">
      <c r="A393" s="2"/>
      <c r="B393" s="2"/>
      <c r="C393" s="2"/>
      <c r="D393" s="2"/>
      <c r="E393" s="2"/>
      <c r="F393" s="2"/>
      <c r="G393" s="2"/>
      <c r="H393" s="2"/>
      <c r="I393" s="2"/>
      <c r="J393" s="2"/>
      <c r="K393" s="158"/>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row>
    <row r="394" spans="1:87" ht="14.25" customHeight="1">
      <c r="A394" s="2"/>
      <c r="B394" s="2"/>
      <c r="C394" s="2"/>
      <c r="D394" s="2"/>
      <c r="E394" s="2"/>
      <c r="F394" s="2"/>
      <c r="G394" s="2"/>
      <c r="H394" s="2"/>
      <c r="I394" s="2"/>
      <c r="J394" s="2"/>
      <c r="K394" s="158"/>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row>
    <row r="395" spans="1:87" ht="14.25" customHeight="1">
      <c r="A395" s="2"/>
      <c r="B395" s="2"/>
      <c r="C395" s="2"/>
      <c r="D395" s="2"/>
      <c r="E395" s="2"/>
      <c r="F395" s="2"/>
      <c r="G395" s="2"/>
      <c r="H395" s="2"/>
      <c r="I395" s="2"/>
      <c r="J395" s="2"/>
      <c r="K395" s="158"/>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row>
    <row r="396" spans="1:87" ht="14.25" customHeight="1">
      <c r="A396" s="2"/>
      <c r="B396" s="2"/>
      <c r="C396" s="2"/>
      <c r="D396" s="2"/>
      <c r="E396" s="2"/>
      <c r="F396" s="2"/>
      <c r="G396" s="2"/>
      <c r="H396" s="2"/>
      <c r="I396" s="2"/>
      <c r="J396" s="2"/>
      <c r="K396" s="158"/>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row>
    <row r="397" spans="1:87" ht="14.25" customHeight="1">
      <c r="A397" s="2"/>
      <c r="B397" s="2"/>
      <c r="C397" s="2"/>
      <c r="D397" s="2"/>
      <c r="E397" s="2"/>
      <c r="F397" s="2"/>
      <c r="G397" s="2"/>
      <c r="H397" s="2"/>
      <c r="I397" s="2"/>
      <c r="J397" s="2"/>
      <c r="K397" s="158"/>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row>
    <row r="398" spans="1:87" ht="14.25" customHeight="1">
      <c r="A398" s="2"/>
      <c r="B398" s="2"/>
      <c r="C398" s="2"/>
      <c r="D398" s="2"/>
      <c r="E398" s="2"/>
      <c r="F398" s="2"/>
      <c r="G398" s="2"/>
      <c r="H398" s="2"/>
      <c r="I398" s="2"/>
      <c r="J398" s="2"/>
      <c r="K398" s="158"/>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row>
    <row r="399" spans="1:87" ht="14.25" customHeight="1">
      <c r="A399" s="2"/>
      <c r="B399" s="2"/>
      <c r="C399" s="2"/>
      <c r="D399" s="2"/>
      <c r="E399" s="2"/>
      <c r="F399" s="2"/>
      <c r="G399" s="2"/>
      <c r="H399" s="2"/>
      <c r="I399" s="2"/>
      <c r="J399" s="2"/>
      <c r="K399" s="158"/>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row>
    <row r="400" spans="1:87" ht="14.25" customHeight="1">
      <c r="A400" s="2"/>
      <c r="B400" s="2"/>
      <c r="C400" s="2"/>
      <c r="D400" s="2"/>
      <c r="E400" s="2"/>
      <c r="F400" s="2"/>
      <c r="G400" s="2"/>
      <c r="H400" s="2"/>
      <c r="I400" s="2"/>
      <c r="J400" s="2"/>
      <c r="K400" s="158"/>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row>
    <row r="401" spans="1:87" ht="14.25" customHeight="1">
      <c r="A401" s="2"/>
      <c r="B401" s="2"/>
      <c r="C401" s="2"/>
      <c r="D401" s="2"/>
      <c r="E401" s="2"/>
      <c r="F401" s="2"/>
      <c r="G401" s="2"/>
      <c r="H401" s="2"/>
      <c r="I401" s="2"/>
      <c r="J401" s="2"/>
      <c r="K401" s="158"/>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row>
    <row r="402" spans="1:87" ht="14.25" customHeight="1">
      <c r="A402" s="2"/>
      <c r="B402" s="2"/>
      <c r="C402" s="2"/>
      <c r="D402" s="2"/>
      <c r="E402" s="2"/>
      <c r="F402" s="2"/>
      <c r="G402" s="2"/>
      <c r="H402" s="2"/>
      <c r="I402" s="2"/>
      <c r="J402" s="2"/>
      <c r="K402" s="158"/>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row>
    <row r="403" spans="1:87" ht="14.25" customHeight="1">
      <c r="A403" s="2"/>
      <c r="B403" s="2"/>
      <c r="C403" s="2"/>
      <c r="D403" s="2"/>
      <c r="E403" s="2"/>
      <c r="F403" s="2"/>
      <c r="G403" s="2"/>
      <c r="H403" s="2"/>
      <c r="I403" s="2"/>
      <c r="J403" s="2"/>
      <c r="K403" s="158"/>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row>
    <row r="404" spans="1:87" ht="14.25" customHeight="1">
      <c r="A404" s="2"/>
      <c r="B404" s="2"/>
      <c r="C404" s="2"/>
      <c r="D404" s="2"/>
      <c r="E404" s="2"/>
      <c r="F404" s="2"/>
      <c r="G404" s="2"/>
      <c r="H404" s="2"/>
      <c r="I404" s="2"/>
      <c r="J404" s="2"/>
      <c r="K404" s="158"/>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row>
    <row r="405" spans="1:87" ht="14.25" customHeight="1">
      <c r="A405" s="2"/>
      <c r="B405" s="2"/>
      <c r="C405" s="2"/>
      <c r="D405" s="2"/>
      <c r="E405" s="2"/>
      <c r="F405" s="2"/>
      <c r="G405" s="2"/>
      <c r="H405" s="2"/>
      <c r="I405" s="2"/>
      <c r="J405" s="2"/>
      <c r="K405" s="158"/>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row>
    <row r="406" spans="1:87" ht="14.25" customHeight="1">
      <c r="A406" s="2"/>
      <c r="B406" s="2"/>
      <c r="C406" s="2"/>
      <c r="D406" s="2"/>
      <c r="E406" s="2"/>
      <c r="F406" s="2"/>
      <c r="G406" s="2"/>
      <c r="H406" s="2"/>
      <c r="I406" s="2"/>
      <c r="J406" s="2"/>
      <c r="K406" s="158"/>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row>
    <row r="407" spans="1:87" ht="14.25" customHeight="1">
      <c r="A407" s="2"/>
      <c r="B407" s="2"/>
      <c r="C407" s="2"/>
      <c r="D407" s="2"/>
      <c r="E407" s="2"/>
      <c r="F407" s="2"/>
      <c r="G407" s="2"/>
      <c r="H407" s="2"/>
      <c r="I407" s="2"/>
      <c r="J407" s="2"/>
      <c r="K407" s="158"/>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row>
    <row r="408" spans="1:87" ht="14.25" customHeight="1">
      <c r="A408" s="2"/>
      <c r="B408" s="2"/>
      <c r="C408" s="2"/>
      <c r="D408" s="2"/>
      <c r="E408" s="2"/>
      <c r="F408" s="2"/>
      <c r="G408" s="2"/>
      <c r="H408" s="2"/>
      <c r="I408" s="2"/>
      <c r="J408" s="2"/>
      <c r="K408" s="158"/>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row>
    <row r="409" spans="1:87" ht="14.25" customHeight="1">
      <c r="A409" s="2"/>
      <c r="B409" s="2"/>
      <c r="C409" s="2"/>
      <c r="D409" s="2"/>
      <c r="E409" s="2"/>
      <c r="F409" s="2"/>
      <c r="G409" s="2"/>
      <c r="H409" s="2"/>
      <c r="I409" s="2"/>
      <c r="J409" s="2"/>
      <c r="K409" s="158"/>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row>
    <row r="410" spans="1:87" ht="14.25" customHeight="1">
      <c r="A410" s="2"/>
      <c r="B410" s="2"/>
      <c r="C410" s="2"/>
      <c r="D410" s="2"/>
      <c r="E410" s="2"/>
      <c r="F410" s="2"/>
      <c r="G410" s="2"/>
      <c r="H410" s="2"/>
      <c r="I410" s="2"/>
      <c r="J410" s="2"/>
      <c r="K410" s="158"/>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row>
    <row r="411" spans="1:87" ht="14.25" customHeight="1">
      <c r="A411" s="2"/>
      <c r="B411" s="2"/>
      <c r="C411" s="2"/>
      <c r="D411" s="2"/>
      <c r="E411" s="2"/>
      <c r="F411" s="2"/>
      <c r="G411" s="2"/>
      <c r="H411" s="2"/>
      <c r="I411" s="2"/>
      <c r="J411" s="2"/>
      <c r="K411" s="158"/>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row>
    <row r="412" spans="1:87" ht="14.25" customHeight="1">
      <c r="A412" s="2"/>
      <c r="B412" s="2"/>
      <c r="C412" s="2"/>
      <c r="D412" s="2"/>
      <c r="E412" s="2"/>
      <c r="F412" s="2"/>
      <c r="G412" s="2"/>
      <c r="H412" s="2"/>
      <c r="I412" s="2"/>
      <c r="J412" s="2"/>
      <c r="K412" s="158"/>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row>
    <row r="413" spans="1:87" ht="14.25" customHeight="1">
      <c r="A413" s="2"/>
      <c r="B413" s="2"/>
      <c r="C413" s="2"/>
      <c r="D413" s="2"/>
      <c r="E413" s="2"/>
      <c r="F413" s="2"/>
      <c r="G413" s="2"/>
      <c r="H413" s="2"/>
      <c r="I413" s="2"/>
      <c r="J413" s="2"/>
      <c r="K413" s="158"/>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row>
    <row r="414" spans="1:87" ht="14.25" customHeight="1">
      <c r="A414" s="2"/>
      <c r="B414" s="2"/>
      <c r="C414" s="2"/>
      <c r="D414" s="2"/>
      <c r="E414" s="2"/>
      <c r="F414" s="2"/>
      <c r="G414" s="2"/>
      <c r="H414" s="2"/>
      <c r="I414" s="2"/>
      <c r="J414" s="2"/>
      <c r="K414" s="158"/>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row>
    <row r="415" spans="1:87" ht="14.25" customHeight="1">
      <c r="A415" s="2"/>
      <c r="B415" s="2"/>
      <c r="C415" s="2"/>
      <c r="D415" s="2"/>
      <c r="E415" s="2"/>
      <c r="F415" s="2"/>
      <c r="G415" s="2"/>
      <c r="H415" s="2"/>
      <c r="I415" s="2"/>
      <c r="J415" s="2"/>
      <c r="K415" s="158"/>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row>
    <row r="416" spans="1:87" ht="14.25" customHeight="1">
      <c r="A416" s="2"/>
      <c r="B416" s="2"/>
      <c r="C416" s="2"/>
      <c r="D416" s="2"/>
      <c r="E416" s="2"/>
      <c r="F416" s="2"/>
      <c r="G416" s="2"/>
      <c r="H416" s="2"/>
      <c r="I416" s="2"/>
      <c r="J416" s="2"/>
      <c r="K416" s="158"/>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row>
    <row r="417" spans="1:87" ht="14.25" customHeight="1">
      <c r="A417" s="2"/>
      <c r="B417" s="2"/>
      <c r="C417" s="2"/>
      <c r="D417" s="2"/>
      <c r="E417" s="2"/>
      <c r="F417" s="2"/>
      <c r="G417" s="2"/>
      <c r="H417" s="2"/>
      <c r="I417" s="2"/>
      <c r="J417" s="2"/>
      <c r="K417" s="158"/>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row>
    <row r="418" spans="1:87" ht="14.25" customHeight="1">
      <c r="A418" s="2"/>
      <c r="B418" s="2"/>
      <c r="C418" s="2"/>
      <c r="D418" s="2"/>
      <c r="E418" s="2"/>
      <c r="F418" s="2"/>
      <c r="G418" s="2"/>
      <c r="H418" s="2"/>
      <c r="I418" s="2"/>
      <c r="J418" s="2"/>
      <c r="K418" s="158"/>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row>
    <row r="419" spans="1:87" ht="14.25" customHeight="1">
      <c r="A419" s="2"/>
      <c r="B419" s="2"/>
      <c r="C419" s="2"/>
      <c r="D419" s="2"/>
      <c r="E419" s="2"/>
      <c r="F419" s="2"/>
      <c r="G419" s="2"/>
      <c r="H419" s="2"/>
      <c r="I419" s="2"/>
      <c r="J419" s="2"/>
      <c r="K419" s="158"/>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row>
    <row r="420" spans="1:87" ht="14.25" customHeight="1">
      <c r="A420" s="2"/>
      <c r="B420" s="2"/>
      <c r="C420" s="2"/>
      <c r="D420" s="2"/>
      <c r="E420" s="2"/>
      <c r="F420" s="2"/>
      <c r="G420" s="2"/>
      <c r="H420" s="2"/>
      <c r="I420" s="2"/>
      <c r="J420" s="2"/>
      <c r="K420" s="158"/>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row>
    <row r="421" spans="1:87" ht="14.25" customHeight="1">
      <c r="A421" s="2"/>
      <c r="B421" s="2"/>
      <c r="C421" s="2"/>
      <c r="D421" s="2"/>
      <c r="E421" s="2"/>
      <c r="F421" s="2"/>
      <c r="G421" s="2"/>
      <c r="H421" s="2"/>
      <c r="I421" s="2"/>
      <c r="J421" s="2"/>
      <c r="K421" s="158"/>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row>
    <row r="422" spans="1:87" ht="14.25" customHeight="1">
      <c r="A422" s="2"/>
      <c r="B422" s="2"/>
      <c r="C422" s="2"/>
      <c r="D422" s="2"/>
      <c r="E422" s="2"/>
      <c r="F422" s="2"/>
      <c r="G422" s="2"/>
      <c r="H422" s="2"/>
      <c r="I422" s="2"/>
      <c r="J422" s="2"/>
      <c r="K422" s="158"/>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row>
    <row r="423" spans="1:87" ht="14.25" customHeight="1">
      <c r="A423" s="2"/>
      <c r="B423" s="2"/>
      <c r="C423" s="2"/>
      <c r="D423" s="2"/>
      <c r="E423" s="2"/>
      <c r="F423" s="2"/>
      <c r="G423" s="2"/>
      <c r="H423" s="2"/>
      <c r="I423" s="2"/>
      <c r="J423" s="2"/>
      <c r="K423" s="158"/>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row>
    <row r="424" spans="1:87" ht="14.25" customHeight="1">
      <c r="A424" s="2"/>
      <c r="B424" s="2"/>
      <c r="C424" s="2"/>
      <c r="D424" s="2"/>
      <c r="E424" s="2"/>
      <c r="F424" s="2"/>
      <c r="G424" s="2"/>
      <c r="H424" s="2"/>
      <c r="I424" s="2"/>
      <c r="J424" s="2"/>
      <c r="K424" s="158"/>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row>
    <row r="425" spans="1:87" ht="14.25" customHeight="1">
      <c r="A425" s="2"/>
      <c r="B425" s="2"/>
      <c r="C425" s="2"/>
      <c r="D425" s="2"/>
      <c r="E425" s="2"/>
      <c r="F425" s="2"/>
      <c r="G425" s="2"/>
      <c r="H425" s="2"/>
      <c r="I425" s="2"/>
      <c r="J425" s="2"/>
      <c r="K425" s="158"/>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row>
    <row r="426" spans="1:87" ht="14.25" customHeight="1">
      <c r="A426" s="2"/>
      <c r="B426" s="2"/>
      <c r="C426" s="2"/>
      <c r="D426" s="2"/>
      <c r="E426" s="2"/>
      <c r="F426" s="2"/>
      <c r="G426" s="2"/>
      <c r="H426" s="2"/>
      <c r="I426" s="2"/>
      <c r="J426" s="2"/>
      <c r="K426" s="158"/>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row>
    <row r="427" spans="1:87" ht="14.25" customHeight="1">
      <c r="A427" s="2"/>
      <c r="B427" s="2"/>
      <c r="C427" s="2"/>
      <c r="D427" s="2"/>
      <c r="E427" s="2"/>
      <c r="F427" s="2"/>
      <c r="G427" s="2"/>
      <c r="H427" s="2"/>
      <c r="I427" s="2"/>
      <c r="J427" s="2"/>
      <c r="K427" s="158"/>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row>
    <row r="428" spans="1:87" ht="14.25" customHeight="1">
      <c r="A428" s="2"/>
      <c r="B428" s="2"/>
      <c r="C428" s="2"/>
      <c r="D428" s="2"/>
      <c r="E428" s="2"/>
      <c r="F428" s="2"/>
      <c r="G428" s="2"/>
      <c r="H428" s="2"/>
      <c r="I428" s="2"/>
      <c r="J428" s="2"/>
      <c r="K428" s="158"/>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row>
    <row r="429" spans="1:87" ht="14.25" customHeight="1">
      <c r="A429" s="2"/>
      <c r="B429" s="2"/>
      <c r="C429" s="2"/>
      <c r="D429" s="2"/>
      <c r="E429" s="2"/>
      <c r="F429" s="2"/>
      <c r="G429" s="2"/>
      <c r="H429" s="2"/>
      <c r="I429" s="2"/>
      <c r="J429" s="2"/>
      <c r="K429" s="158"/>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row>
    <row r="430" spans="1:87" ht="14.25" customHeight="1">
      <c r="A430" s="2"/>
      <c r="B430" s="2"/>
      <c r="C430" s="2"/>
      <c r="D430" s="2"/>
      <c r="E430" s="2"/>
      <c r="F430" s="2"/>
      <c r="G430" s="2"/>
      <c r="H430" s="2"/>
      <c r="I430" s="2"/>
      <c r="J430" s="2"/>
      <c r="K430" s="158"/>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row>
    <row r="431" spans="1:87" ht="14.25" customHeight="1">
      <c r="A431" s="2"/>
      <c r="B431" s="2"/>
      <c r="C431" s="2"/>
      <c r="D431" s="2"/>
      <c r="E431" s="2"/>
      <c r="F431" s="2"/>
      <c r="G431" s="2"/>
      <c r="H431" s="2"/>
      <c r="I431" s="2"/>
      <c r="J431" s="2"/>
      <c r="K431" s="158"/>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row>
    <row r="432" spans="1:87" ht="14.25" customHeight="1">
      <c r="A432" s="2"/>
      <c r="B432" s="2"/>
      <c r="C432" s="2"/>
      <c r="D432" s="2"/>
      <c r="E432" s="2"/>
      <c r="F432" s="2"/>
      <c r="G432" s="2"/>
      <c r="H432" s="2"/>
      <c r="I432" s="2"/>
      <c r="J432" s="2"/>
      <c r="K432" s="158"/>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row>
    <row r="433" spans="1:87" ht="14.25" customHeight="1">
      <c r="A433" s="2"/>
      <c r="B433" s="2"/>
      <c r="C433" s="2"/>
      <c r="D433" s="2"/>
      <c r="E433" s="2"/>
      <c r="F433" s="2"/>
      <c r="G433" s="2"/>
      <c r="H433" s="2"/>
      <c r="I433" s="2"/>
      <c r="J433" s="2"/>
      <c r="K433" s="158"/>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row>
    <row r="434" spans="1:87" ht="14.25" customHeight="1">
      <c r="A434" s="2"/>
      <c r="B434" s="2"/>
      <c r="C434" s="2"/>
      <c r="D434" s="2"/>
      <c r="E434" s="2"/>
      <c r="F434" s="2"/>
      <c r="G434" s="2"/>
      <c r="H434" s="2"/>
      <c r="I434" s="2"/>
      <c r="J434" s="2"/>
      <c r="K434" s="158"/>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row>
    <row r="435" spans="1:87" ht="14.25" customHeight="1">
      <c r="A435" s="2"/>
      <c r="B435" s="2"/>
      <c r="C435" s="2"/>
      <c r="D435" s="2"/>
      <c r="E435" s="2"/>
      <c r="F435" s="2"/>
      <c r="G435" s="2"/>
      <c r="H435" s="2"/>
      <c r="I435" s="2"/>
      <c r="J435" s="2"/>
      <c r="K435" s="158"/>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row>
    <row r="436" spans="1:87" ht="14.25" customHeight="1">
      <c r="A436" s="2"/>
      <c r="B436" s="2"/>
      <c r="C436" s="2"/>
      <c r="D436" s="2"/>
      <c r="E436" s="2"/>
      <c r="F436" s="2"/>
      <c r="G436" s="2"/>
      <c r="H436" s="2"/>
      <c r="I436" s="2"/>
      <c r="J436" s="2"/>
      <c r="K436" s="158"/>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row>
    <row r="437" spans="1:87" ht="14.25" customHeight="1">
      <c r="A437" s="2"/>
      <c r="B437" s="2"/>
      <c r="C437" s="2"/>
      <c r="D437" s="2"/>
      <c r="E437" s="2"/>
      <c r="F437" s="2"/>
      <c r="G437" s="2"/>
      <c r="H437" s="2"/>
      <c r="I437" s="2"/>
      <c r="J437" s="2"/>
      <c r="K437" s="158"/>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row>
    <row r="438" spans="1:87" ht="14.25" customHeight="1">
      <c r="A438" s="2"/>
      <c r="B438" s="2"/>
      <c r="C438" s="2"/>
      <c r="D438" s="2"/>
      <c r="E438" s="2"/>
      <c r="F438" s="2"/>
      <c r="G438" s="2"/>
      <c r="H438" s="2"/>
      <c r="I438" s="2"/>
      <c r="J438" s="2"/>
      <c r="K438" s="158"/>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row>
    <row r="439" spans="1:87" ht="14.25" customHeight="1">
      <c r="A439" s="2"/>
      <c r="B439" s="2"/>
      <c r="C439" s="2"/>
      <c r="D439" s="2"/>
      <c r="E439" s="2"/>
      <c r="F439" s="2"/>
      <c r="G439" s="2"/>
      <c r="H439" s="2"/>
      <c r="I439" s="2"/>
      <c r="J439" s="2"/>
      <c r="K439" s="158"/>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row>
    <row r="440" spans="1:87" ht="14.25" customHeight="1">
      <c r="A440" s="2"/>
      <c r="B440" s="2"/>
      <c r="C440" s="2"/>
      <c r="D440" s="2"/>
      <c r="E440" s="2"/>
      <c r="F440" s="2"/>
      <c r="G440" s="2"/>
      <c r="H440" s="2"/>
      <c r="I440" s="2"/>
      <c r="J440" s="2"/>
      <c r="K440" s="158"/>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row>
    <row r="441" spans="1:87" ht="14.25" customHeight="1">
      <c r="A441" s="2"/>
      <c r="B441" s="2"/>
      <c r="C441" s="2"/>
      <c r="D441" s="2"/>
      <c r="E441" s="2"/>
      <c r="F441" s="2"/>
      <c r="G441" s="2"/>
      <c r="H441" s="2"/>
      <c r="I441" s="2"/>
      <c r="J441" s="2"/>
      <c r="K441" s="158"/>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row>
    <row r="442" spans="1:87" ht="14.25" customHeight="1">
      <c r="A442" s="2"/>
      <c r="B442" s="2"/>
      <c r="C442" s="2"/>
      <c r="D442" s="2"/>
      <c r="E442" s="2"/>
      <c r="F442" s="2"/>
      <c r="G442" s="2"/>
      <c r="H442" s="2"/>
      <c r="I442" s="2"/>
      <c r="J442" s="2"/>
      <c r="K442" s="158"/>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row>
    <row r="443" spans="1:87" ht="14.25" customHeight="1">
      <c r="A443" s="2"/>
      <c r="B443" s="2"/>
      <c r="C443" s="2"/>
      <c r="D443" s="2"/>
      <c r="E443" s="2"/>
      <c r="F443" s="2"/>
      <c r="G443" s="2"/>
      <c r="H443" s="2"/>
      <c r="I443" s="2"/>
      <c r="J443" s="2"/>
      <c r="K443" s="158"/>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row>
    <row r="444" spans="1:87" ht="14.25" customHeight="1">
      <c r="A444" s="2"/>
      <c r="B444" s="2"/>
      <c r="C444" s="2"/>
      <c r="D444" s="2"/>
      <c r="E444" s="2"/>
      <c r="F444" s="2"/>
      <c r="G444" s="2"/>
      <c r="H444" s="2"/>
      <c r="I444" s="2"/>
      <c r="J444" s="2"/>
      <c r="K444" s="158"/>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row>
    <row r="445" spans="1:87" ht="14.25" customHeight="1">
      <c r="A445" s="2"/>
      <c r="B445" s="2"/>
      <c r="C445" s="2"/>
      <c r="D445" s="2"/>
      <c r="E445" s="2"/>
      <c r="F445" s="2"/>
      <c r="G445" s="2"/>
      <c r="H445" s="2"/>
      <c r="I445" s="2"/>
      <c r="J445" s="2"/>
      <c r="K445" s="158"/>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row>
    <row r="446" spans="1:87" ht="14.25" customHeight="1">
      <c r="A446" s="2"/>
      <c r="B446" s="2"/>
      <c r="C446" s="2"/>
      <c r="D446" s="2"/>
      <c r="E446" s="2"/>
      <c r="F446" s="2"/>
      <c r="G446" s="2"/>
      <c r="H446" s="2"/>
      <c r="I446" s="2"/>
      <c r="J446" s="2"/>
      <c r="K446" s="158"/>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row>
    <row r="447" spans="1:87" ht="14.25" customHeight="1">
      <c r="A447" s="2"/>
      <c r="B447" s="2"/>
      <c r="C447" s="2"/>
      <c r="D447" s="2"/>
      <c r="E447" s="2"/>
      <c r="F447" s="2"/>
      <c r="G447" s="2"/>
      <c r="H447" s="2"/>
      <c r="I447" s="2"/>
      <c r="J447" s="2"/>
      <c r="K447" s="158"/>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row>
    <row r="448" spans="1:87" ht="14.25" customHeight="1">
      <c r="A448" s="2"/>
      <c r="B448" s="2"/>
      <c r="C448" s="2"/>
      <c r="D448" s="2"/>
      <c r="E448" s="2"/>
      <c r="F448" s="2"/>
      <c r="G448" s="2"/>
      <c r="H448" s="2"/>
      <c r="I448" s="2"/>
      <c r="J448" s="2"/>
      <c r="K448" s="158"/>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row>
    <row r="449" spans="1:87" ht="14.25" customHeight="1">
      <c r="A449" s="2"/>
      <c r="B449" s="2"/>
      <c r="C449" s="2"/>
      <c r="D449" s="2"/>
      <c r="E449" s="2"/>
      <c r="F449" s="2"/>
      <c r="G449" s="2"/>
      <c r="H449" s="2"/>
      <c r="I449" s="2"/>
      <c r="J449" s="2"/>
      <c r="K449" s="158"/>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row>
    <row r="450" spans="1:87" ht="14.25" customHeight="1">
      <c r="A450" s="2"/>
      <c r="B450" s="2"/>
      <c r="C450" s="2"/>
      <c r="D450" s="2"/>
      <c r="E450" s="2"/>
      <c r="F450" s="2"/>
      <c r="G450" s="2"/>
      <c r="H450" s="2"/>
      <c r="I450" s="2"/>
      <c r="J450" s="2"/>
      <c r="K450" s="158"/>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row>
    <row r="451" spans="1:87" ht="14.25" customHeight="1">
      <c r="A451" s="2"/>
      <c r="B451" s="2"/>
      <c r="C451" s="2"/>
      <c r="D451" s="2"/>
      <c r="E451" s="2"/>
      <c r="F451" s="2"/>
      <c r="G451" s="2"/>
      <c r="H451" s="2"/>
      <c r="I451" s="2"/>
      <c r="J451" s="2"/>
      <c r="K451" s="158"/>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row>
    <row r="452" spans="1:87" ht="14.25" customHeight="1">
      <c r="A452" s="2"/>
      <c r="B452" s="2"/>
      <c r="C452" s="2"/>
      <c r="D452" s="2"/>
      <c r="E452" s="2"/>
      <c r="F452" s="2"/>
      <c r="G452" s="2"/>
      <c r="H452" s="2"/>
      <c r="I452" s="2"/>
      <c r="J452" s="2"/>
      <c r="K452" s="158"/>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row>
    <row r="453" spans="1:87" ht="14.25" customHeight="1">
      <c r="A453" s="2"/>
      <c r="B453" s="2"/>
      <c r="C453" s="2"/>
      <c r="D453" s="2"/>
      <c r="E453" s="2"/>
      <c r="F453" s="2"/>
      <c r="G453" s="2"/>
      <c r="H453" s="2"/>
      <c r="I453" s="2"/>
      <c r="J453" s="2"/>
      <c r="K453" s="158"/>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row>
    <row r="454" spans="1:87" ht="14.25" customHeight="1">
      <c r="A454" s="2"/>
      <c r="B454" s="2"/>
      <c r="C454" s="2"/>
      <c r="D454" s="2"/>
      <c r="E454" s="2"/>
      <c r="F454" s="2"/>
      <c r="G454" s="2"/>
      <c r="H454" s="2"/>
      <c r="I454" s="2"/>
      <c r="J454" s="2"/>
      <c r="K454" s="158"/>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row>
    <row r="455" spans="1:87" ht="14.25" customHeight="1">
      <c r="A455" s="2"/>
      <c r="B455" s="2"/>
      <c r="C455" s="2"/>
      <c r="D455" s="2"/>
      <c r="E455" s="2"/>
      <c r="F455" s="2"/>
      <c r="G455" s="2"/>
      <c r="H455" s="2"/>
      <c r="I455" s="2"/>
      <c r="J455" s="2"/>
      <c r="K455" s="158"/>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row>
    <row r="456" spans="1:87" ht="14.25" customHeight="1">
      <c r="A456" s="2"/>
      <c r="B456" s="2"/>
      <c r="C456" s="2"/>
      <c r="D456" s="2"/>
      <c r="E456" s="2"/>
      <c r="F456" s="2"/>
      <c r="G456" s="2"/>
      <c r="H456" s="2"/>
      <c r="I456" s="2"/>
      <c r="J456" s="2"/>
      <c r="K456" s="158"/>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row>
    <row r="457" spans="1:87" ht="14.25" customHeight="1">
      <c r="A457" s="2"/>
      <c r="B457" s="2"/>
      <c r="C457" s="2"/>
      <c r="D457" s="2"/>
      <c r="E457" s="2"/>
      <c r="F457" s="2"/>
      <c r="G457" s="2"/>
      <c r="H457" s="2"/>
      <c r="I457" s="2"/>
      <c r="J457" s="2"/>
      <c r="K457" s="158"/>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row>
    <row r="458" spans="1:87" ht="14.25" customHeight="1">
      <c r="A458" s="2"/>
      <c r="B458" s="2"/>
      <c r="C458" s="2"/>
      <c r="D458" s="2"/>
      <c r="E458" s="2"/>
      <c r="F458" s="2"/>
      <c r="G458" s="2"/>
      <c r="H458" s="2"/>
      <c r="I458" s="2"/>
      <c r="J458" s="2"/>
      <c r="K458" s="158"/>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row>
    <row r="459" spans="1:87" ht="14.25" customHeight="1">
      <c r="A459" s="2"/>
      <c r="B459" s="2"/>
      <c r="C459" s="2"/>
      <c r="D459" s="2"/>
      <c r="E459" s="2"/>
      <c r="F459" s="2"/>
      <c r="G459" s="2"/>
      <c r="H459" s="2"/>
      <c r="I459" s="2"/>
      <c r="J459" s="2"/>
      <c r="K459" s="158"/>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row>
    <row r="460" spans="1:87" ht="14.25" customHeight="1">
      <c r="A460" s="2"/>
      <c r="B460" s="2"/>
      <c r="C460" s="2"/>
      <c r="D460" s="2"/>
      <c r="E460" s="2"/>
      <c r="F460" s="2"/>
      <c r="G460" s="2"/>
      <c r="H460" s="2"/>
      <c r="I460" s="2"/>
      <c r="J460" s="2"/>
      <c r="K460" s="158"/>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row>
    <row r="461" spans="1:87" ht="14.25" customHeight="1">
      <c r="A461" s="2"/>
      <c r="B461" s="2"/>
      <c r="C461" s="2"/>
      <c r="D461" s="2"/>
      <c r="E461" s="2"/>
      <c r="F461" s="2"/>
      <c r="G461" s="2"/>
      <c r="H461" s="2"/>
      <c r="I461" s="2"/>
      <c r="J461" s="2"/>
      <c r="K461" s="158"/>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row>
    <row r="462" spans="1:87" ht="14.25" customHeight="1">
      <c r="A462" s="2"/>
      <c r="B462" s="2"/>
      <c r="C462" s="2"/>
      <c r="D462" s="2"/>
      <c r="E462" s="2"/>
      <c r="F462" s="2"/>
      <c r="G462" s="2"/>
      <c r="H462" s="2"/>
      <c r="I462" s="2"/>
      <c r="J462" s="2"/>
      <c r="K462" s="158"/>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row>
    <row r="463" spans="1:87" ht="14.25" customHeight="1">
      <c r="A463" s="2"/>
      <c r="B463" s="2"/>
      <c r="C463" s="2"/>
      <c r="D463" s="2"/>
      <c r="E463" s="2"/>
      <c r="F463" s="2"/>
      <c r="G463" s="2"/>
      <c r="H463" s="2"/>
      <c r="I463" s="2"/>
      <c r="J463" s="2"/>
      <c r="K463" s="158"/>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row>
    <row r="464" spans="1:87" ht="14.25" customHeight="1">
      <c r="A464" s="2"/>
      <c r="B464" s="2"/>
      <c r="C464" s="2"/>
      <c r="D464" s="2"/>
      <c r="E464" s="2"/>
      <c r="F464" s="2"/>
      <c r="G464" s="2"/>
      <c r="H464" s="2"/>
      <c r="I464" s="2"/>
      <c r="J464" s="2"/>
      <c r="K464" s="158"/>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row>
    <row r="465" spans="1:87" ht="14.25" customHeight="1">
      <c r="A465" s="2"/>
      <c r="B465" s="2"/>
      <c r="C465" s="2"/>
      <c r="D465" s="2"/>
      <c r="E465" s="2"/>
      <c r="F465" s="2"/>
      <c r="G465" s="2"/>
      <c r="H465" s="2"/>
      <c r="I465" s="2"/>
      <c r="J465" s="2"/>
      <c r="K465" s="158"/>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row>
    <row r="466" spans="1:87" ht="14.25" customHeight="1">
      <c r="A466" s="2"/>
      <c r="B466" s="2"/>
      <c r="C466" s="2"/>
      <c r="D466" s="2"/>
      <c r="E466" s="2"/>
      <c r="F466" s="2"/>
      <c r="G466" s="2"/>
      <c r="H466" s="2"/>
      <c r="I466" s="2"/>
      <c r="J466" s="2"/>
      <c r="K466" s="158"/>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row>
    <row r="467" spans="1:87" ht="14.25" customHeight="1">
      <c r="A467" s="2"/>
      <c r="B467" s="2"/>
      <c r="C467" s="2"/>
      <c r="D467" s="2"/>
      <c r="E467" s="2"/>
      <c r="F467" s="2"/>
      <c r="G467" s="2"/>
      <c r="H467" s="2"/>
      <c r="I467" s="2"/>
      <c r="J467" s="2"/>
      <c r="K467" s="158"/>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row>
    <row r="468" spans="1:87" ht="14.25" customHeight="1">
      <c r="A468" s="2"/>
      <c r="B468" s="2"/>
      <c r="C468" s="2"/>
      <c r="D468" s="2"/>
      <c r="E468" s="2"/>
      <c r="F468" s="2"/>
      <c r="G468" s="2"/>
      <c r="H468" s="2"/>
      <c r="I468" s="2"/>
      <c r="J468" s="2"/>
      <c r="K468" s="158"/>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row>
    <row r="469" spans="1:87" ht="14.25" customHeight="1">
      <c r="A469" s="2"/>
      <c r="B469" s="2"/>
      <c r="C469" s="2"/>
      <c r="D469" s="2"/>
      <c r="E469" s="2"/>
      <c r="F469" s="2"/>
      <c r="G469" s="2"/>
      <c r="H469" s="2"/>
      <c r="I469" s="2"/>
      <c r="J469" s="2"/>
      <c r="K469" s="158"/>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row>
    <row r="470" spans="1:87" ht="14.25" customHeight="1">
      <c r="A470" s="2"/>
      <c r="B470" s="2"/>
      <c r="C470" s="2"/>
      <c r="D470" s="2"/>
      <c r="E470" s="2"/>
      <c r="F470" s="2"/>
      <c r="G470" s="2"/>
      <c r="H470" s="2"/>
      <c r="I470" s="2"/>
      <c r="J470" s="2"/>
      <c r="K470" s="158"/>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row>
    <row r="471" spans="1:87" ht="14.25" customHeight="1">
      <c r="A471" s="2"/>
      <c r="B471" s="2"/>
      <c r="C471" s="2"/>
      <c r="D471" s="2"/>
      <c r="E471" s="2"/>
      <c r="F471" s="2"/>
      <c r="G471" s="2"/>
      <c r="H471" s="2"/>
      <c r="I471" s="2"/>
      <c r="J471" s="2"/>
      <c r="K471" s="158"/>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row>
    <row r="472" spans="1:87" ht="14.25" customHeight="1">
      <c r="A472" s="2"/>
      <c r="B472" s="2"/>
      <c r="C472" s="2"/>
      <c r="D472" s="2"/>
      <c r="E472" s="2"/>
      <c r="F472" s="2"/>
      <c r="G472" s="2"/>
      <c r="H472" s="2"/>
      <c r="I472" s="2"/>
      <c r="J472" s="2"/>
      <c r="K472" s="158"/>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row>
    <row r="473" spans="1:87" ht="14.25" customHeight="1">
      <c r="A473" s="2"/>
      <c r="B473" s="2"/>
      <c r="C473" s="2"/>
      <c r="D473" s="2"/>
      <c r="E473" s="2"/>
      <c r="F473" s="2"/>
      <c r="G473" s="2"/>
      <c r="H473" s="2"/>
      <c r="I473" s="2"/>
      <c r="J473" s="2"/>
      <c r="K473" s="158"/>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row>
    <row r="474" spans="1:87" ht="14.25" customHeight="1">
      <c r="A474" s="2"/>
      <c r="B474" s="2"/>
      <c r="C474" s="2"/>
      <c r="D474" s="2"/>
      <c r="E474" s="2"/>
      <c r="F474" s="2"/>
      <c r="G474" s="2"/>
      <c r="H474" s="2"/>
      <c r="I474" s="2"/>
      <c r="J474" s="2"/>
      <c r="K474" s="158"/>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row>
    <row r="475" spans="1:87" ht="14.25" customHeight="1">
      <c r="A475" s="2"/>
      <c r="B475" s="2"/>
      <c r="C475" s="2"/>
      <c r="D475" s="2"/>
      <c r="E475" s="2"/>
      <c r="F475" s="2"/>
      <c r="G475" s="2"/>
      <c r="H475" s="2"/>
      <c r="I475" s="2"/>
      <c r="J475" s="2"/>
      <c r="K475" s="158"/>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row>
    <row r="476" spans="1:87" ht="14.25" customHeight="1">
      <c r="A476" s="2"/>
      <c r="B476" s="2"/>
      <c r="C476" s="2"/>
      <c r="D476" s="2"/>
      <c r="E476" s="2"/>
      <c r="F476" s="2"/>
      <c r="G476" s="2"/>
      <c r="H476" s="2"/>
      <c r="I476" s="2"/>
      <c r="J476" s="2"/>
      <c r="K476" s="158"/>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row>
    <row r="477" spans="1:87" ht="14.25" customHeight="1">
      <c r="A477" s="2"/>
      <c r="B477" s="2"/>
      <c r="C477" s="2"/>
      <c r="D477" s="2"/>
      <c r="E477" s="2"/>
      <c r="F477" s="2"/>
      <c r="G477" s="2"/>
      <c r="H477" s="2"/>
      <c r="I477" s="2"/>
      <c r="J477" s="2"/>
      <c r="K477" s="158"/>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row>
    <row r="478" spans="1:87" ht="14.25" customHeight="1">
      <c r="A478" s="2"/>
      <c r="B478" s="2"/>
      <c r="C478" s="2"/>
      <c r="D478" s="2"/>
      <c r="E478" s="2"/>
      <c r="F478" s="2"/>
      <c r="G478" s="2"/>
      <c r="H478" s="2"/>
      <c r="I478" s="2"/>
      <c r="J478" s="2"/>
      <c r="K478" s="158"/>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row>
    <row r="479" spans="1:87" ht="14.25" customHeight="1">
      <c r="A479" s="2"/>
      <c r="B479" s="2"/>
      <c r="C479" s="2"/>
      <c r="D479" s="2"/>
      <c r="E479" s="2"/>
      <c r="F479" s="2"/>
      <c r="G479" s="2"/>
      <c r="H479" s="2"/>
      <c r="I479" s="2"/>
      <c r="J479" s="2"/>
      <c r="K479" s="158"/>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row>
    <row r="480" spans="1:87" ht="14.25" customHeight="1">
      <c r="A480" s="2"/>
      <c r="B480" s="2"/>
      <c r="C480" s="2"/>
      <c r="D480" s="2"/>
      <c r="E480" s="2"/>
      <c r="F480" s="2"/>
      <c r="G480" s="2"/>
      <c r="H480" s="2"/>
      <c r="I480" s="2"/>
      <c r="J480" s="2"/>
      <c r="K480" s="158"/>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row>
    <row r="481" spans="1:87" ht="14.25" customHeight="1">
      <c r="A481" s="2"/>
      <c r="B481" s="2"/>
      <c r="C481" s="2"/>
      <c r="D481" s="2"/>
      <c r="E481" s="2"/>
      <c r="F481" s="2"/>
      <c r="G481" s="2"/>
      <c r="H481" s="2"/>
      <c r="I481" s="2"/>
      <c r="J481" s="2"/>
      <c r="K481" s="158"/>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row>
    <row r="482" spans="1:87" ht="14.25" customHeight="1">
      <c r="A482" s="2"/>
      <c r="B482" s="2"/>
      <c r="C482" s="2"/>
      <c r="D482" s="2"/>
      <c r="E482" s="2"/>
      <c r="F482" s="2"/>
      <c r="G482" s="2"/>
      <c r="H482" s="2"/>
      <c r="I482" s="2"/>
      <c r="J482" s="2"/>
      <c r="K482" s="158"/>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row>
    <row r="483" spans="1:87" ht="14.25" customHeight="1">
      <c r="A483" s="2"/>
      <c r="B483" s="2"/>
      <c r="C483" s="2"/>
      <c r="D483" s="2"/>
      <c r="E483" s="2"/>
      <c r="F483" s="2"/>
      <c r="G483" s="2"/>
      <c r="H483" s="2"/>
      <c r="I483" s="2"/>
      <c r="J483" s="2"/>
      <c r="K483" s="158"/>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row>
    <row r="484" spans="1:87" ht="14.25" customHeight="1">
      <c r="A484" s="2"/>
      <c r="B484" s="2"/>
      <c r="C484" s="2"/>
      <c r="D484" s="2"/>
      <c r="E484" s="2"/>
      <c r="F484" s="2"/>
      <c r="G484" s="2"/>
      <c r="H484" s="2"/>
      <c r="I484" s="2"/>
      <c r="J484" s="2"/>
      <c r="K484" s="158"/>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row>
    <row r="485" spans="1:87" ht="14.25" customHeight="1">
      <c r="A485" s="2"/>
      <c r="B485" s="2"/>
      <c r="C485" s="2"/>
      <c r="D485" s="2"/>
      <c r="E485" s="2"/>
      <c r="F485" s="2"/>
      <c r="G485" s="2"/>
      <c r="H485" s="2"/>
      <c r="I485" s="2"/>
      <c r="J485" s="2"/>
      <c r="K485" s="158"/>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row>
    <row r="486" spans="1:87" ht="14.25" customHeight="1">
      <c r="A486" s="2"/>
      <c r="B486" s="2"/>
      <c r="C486" s="2"/>
      <c r="D486" s="2"/>
      <c r="E486" s="2"/>
      <c r="F486" s="2"/>
      <c r="G486" s="2"/>
      <c r="H486" s="2"/>
      <c r="I486" s="2"/>
      <c r="J486" s="2"/>
      <c r="K486" s="158"/>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row>
    <row r="487" spans="1:87" ht="14.25" customHeight="1">
      <c r="A487" s="2"/>
      <c r="B487" s="2"/>
      <c r="C487" s="2"/>
      <c r="D487" s="2"/>
      <c r="E487" s="2"/>
      <c r="F487" s="2"/>
      <c r="G487" s="2"/>
      <c r="H487" s="2"/>
      <c r="I487" s="2"/>
      <c r="J487" s="2"/>
      <c r="K487" s="158"/>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row>
    <row r="488" spans="1:87" ht="14.25" customHeight="1">
      <c r="A488" s="2"/>
      <c r="B488" s="2"/>
      <c r="C488" s="2"/>
      <c r="D488" s="2"/>
      <c r="E488" s="2"/>
      <c r="F488" s="2"/>
      <c r="G488" s="2"/>
      <c r="H488" s="2"/>
      <c r="I488" s="2"/>
      <c r="J488" s="2"/>
      <c r="K488" s="158"/>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row>
    <row r="489" spans="1:87" ht="14.25" customHeight="1">
      <c r="A489" s="2"/>
      <c r="B489" s="2"/>
      <c r="C489" s="2"/>
      <c r="D489" s="2"/>
      <c r="E489" s="2"/>
      <c r="F489" s="2"/>
      <c r="G489" s="2"/>
      <c r="H489" s="2"/>
      <c r="I489" s="2"/>
      <c r="J489" s="2"/>
      <c r="K489" s="158"/>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row>
    <row r="490" spans="1:87" ht="14.25" customHeight="1">
      <c r="A490" s="2"/>
      <c r="B490" s="2"/>
      <c r="C490" s="2"/>
      <c r="D490" s="2"/>
      <c r="E490" s="2"/>
      <c r="F490" s="2"/>
      <c r="G490" s="2"/>
      <c r="H490" s="2"/>
      <c r="I490" s="2"/>
      <c r="J490" s="2"/>
      <c r="K490" s="158"/>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row>
    <row r="491" spans="1:87" ht="14.25" customHeight="1">
      <c r="A491" s="2"/>
      <c r="B491" s="2"/>
      <c r="C491" s="2"/>
      <c r="D491" s="2"/>
      <c r="E491" s="2"/>
      <c r="F491" s="2"/>
      <c r="G491" s="2"/>
      <c r="H491" s="2"/>
      <c r="I491" s="2"/>
      <c r="J491" s="2"/>
      <c r="K491" s="158"/>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row>
    <row r="492" spans="1:87" ht="14.25" customHeight="1">
      <c r="A492" s="2"/>
      <c r="B492" s="2"/>
      <c r="C492" s="2"/>
      <c r="D492" s="2"/>
      <c r="E492" s="2"/>
      <c r="F492" s="2"/>
      <c r="G492" s="2"/>
      <c r="H492" s="2"/>
      <c r="I492" s="2"/>
      <c r="J492" s="2"/>
      <c r="K492" s="158"/>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row>
    <row r="493" spans="1:87" ht="14.25" customHeight="1">
      <c r="A493" s="2"/>
      <c r="B493" s="2"/>
      <c r="C493" s="2"/>
      <c r="D493" s="2"/>
      <c r="E493" s="2"/>
      <c r="F493" s="2"/>
      <c r="G493" s="2"/>
      <c r="H493" s="2"/>
      <c r="I493" s="2"/>
      <c r="J493" s="2"/>
      <c r="K493" s="158"/>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row>
    <row r="494" spans="1:87" ht="14.25" customHeight="1">
      <c r="A494" s="2"/>
      <c r="B494" s="2"/>
      <c r="C494" s="2"/>
      <c r="D494" s="2"/>
      <c r="E494" s="2"/>
      <c r="F494" s="2"/>
      <c r="G494" s="2"/>
      <c r="H494" s="2"/>
      <c r="I494" s="2"/>
      <c r="J494" s="2"/>
      <c r="K494" s="158"/>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row>
    <row r="495" spans="1:87" ht="14.25" customHeight="1">
      <c r="A495" s="2"/>
      <c r="B495" s="2"/>
      <c r="C495" s="2"/>
      <c r="D495" s="2"/>
      <c r="E495" s="2"/>
      <c r="F495" s="2"/>
      <c r="G495" s="2"/>
      <c r="H495" s="2"/>
      <c r="I495" s="2"/>
      <c r="J495" s="2"/>
      <c r="K495" s="158"/>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row>
    <row r="496" spans="1:87" ht="14.25" customHeight="1">
      <c r="A496" s="2"/>
      <c r="B496" s="2"/>
      <c r="C496" s="2"/>
      <c r="D496" s="2"/>
      <c r="E496" s="2"/>
      <c r="F496" s="2"/>
      <c r="G496" s="2"/>
      <c r="H496" s="2"/>
      <c r="I496" s="2"/>
      <c r="J496" s="2"/>
      <c r="K496" s="158"/>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row>
    <row r="497" spans="1:87" ht="14.25" customHeight="1">
      <c r="A497" s="2"/>
      <c r="B497" s="2"/>
      <c r="C497" s="2"/>
      <c r="D497" s="2"/>
      <c r="E497" s="2"/>
      <c r="F497" s="2"/>
      <c r="G497" s="2"/>
      <c r="H497" s="2"/>
      <c r="I497" s="2"/>
      <c r="J497" s="2"/>
      <c r="K497" s="158"/>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row>
    <row r="498" spans="1:87" ht="14.25" customHeight="1">
      <c r="A498" s="2"/>
      <c r="B498" s="2"/>
      <c r="C498" s="2"/>
      <c r="D498" s="2"/>
      <c r="E498" s="2"/>
      <c r="F498" s="2"/>
      <c r="G498" s="2"/>
      <c r="H498" s="2"/>
      <c r="I498" s="2"/>
      <c r="J498" s="2"/>
      <c r="K498" s="158"/>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row>
    <row r="499" spans="1:87" ht="14.25" customHeight="1">
      <c r="A499" s="2"/>
      <c r="B499" s="2"/>
      <c r="C499" s="2"/>
      <c r="D499" s="2"/>
      <c r="E499" s="2"/>
      <c r="F499" s="2"/>
      <c r="G499" s="2"/>
      <c r="H499" s="2"/>
      <c r="I499" s="2"/>
      <c r="J499" s="2"/>
      <c r="K499" s="158"/>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row>
    <row r="500" spans="1:87" ht="14.25" customHeight="1">
      <c r="A500" s="2"/>
      <c r="B500" s="2"/>
      <c r="C500" s="2"/>
      <c r="D500" s="2"/>
      <c r="E500" s="2"/>
      <c r="F500" s="2"/>
      <c r="G500" s="2"/>
      <c r="H500" s="2"/>
      <c r="I500" s="2"/>
      <c r="J500" s="2"/>
      <c r="K500" s="158"/>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row>
    <row r="501" spans="1:87" ht="14.25" customHeight="1">
      <c r="A501" s="2"/>
      <c r="B501" s="2"/>
      <c r="C501" s="2"/>
      <c r="D501" s="2"/>
      <c r="E501" s="2"/>
      <c r="F501" s="2"/>
      <c r="G501" s="2"/>
      <c r="H501" s="2"/>
      <c r="I501" s="2"/>
      <c r="J501" s="2"/>
      <c r="K501" s="158"/>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row>
    <row r="502" spans="1:87" ht="14.25" customHeight="1">
      <c r="A502" s="2"/>
      <c r="B502" s="2"/>
      <c r="C502" s="2"/>
      <c r="D502" s="2"/>
      <c r="E502" s="2"/>
      <c r="F502" s="2"/>
      <c r="G502" s="2"/>
      <c r="H502" s="2"/>
      <c r="I502" s="2"/>
      <c r="J502" s="2"/>
      <c r="K502" s="158"/>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row>
    <row r="503" spans="1:87" ht="14.25" customHeight="1">
      <c r="A503" s="2"/>
      <c r="B503" s="2"/>
      <c r="C503" s="2"/>
      <c r="D503" s="2"/>
      <c r="E503" s="2"/>
      <c r="F503" s="2"/>
      <c r="G503" s="2"/>
      <c r="H503" s="2"/>
      <c r="I503" s="2"/>
      <c r="J503" s="2"/>
      <c r="K503" s="158"/>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row>
    <row r="504" spans="1:87" ht="14.25" customHeight="1">
      <c r="A504" s="2"/>
      <c r="B504" s="2"/>
      <c r="C504" s="2"/>
      <c r="D504" s="2"/>
      <c r="E504" s="2"/>
      <c r="F504" s="2"/>
      <c r="G504" s="2"/>
      <c r="H504" s="2"/>
      <c r="I504" s="2"/>
      <c r="J504" s="2"/>
      <c r="K504" s="158"/>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row>
    <row r="505" spans="1:87" ht="14.25" customHeight="1">
      <c r="A505" s="2"/>
      <c r="B505" s="2"/>
      <c r="C505" s="2"/>
      <c r="D505" s="2"/>
      <c r="E505" s="2"/>
      <c r="F505" s="2"/>
      <c r="G505" s="2"/>
      <c r="H505" s="2"/>
      <c r="I505" s="2"/>
      <c r="J505" s="2"/>
      <c r="K505" s="158"/>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row>
    <row r="506" spans="1:87" ht="14.25" customHeight="1">
      <c r="A506" s="2"/>
      <c r="B506" s="2"/>
      <c r="C506" s="2"/>
      <c r="D506" s="2"/>
      <c r="E506" s="2"/>
      <c r="F506" s="2"/>
      <c r="G506" s="2"/>
      <c r="H506" s="2"/>
      <c r="I506" s="2"/>
      <c r="J506" s="2"/>
      <c r="K506" s="158"/>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row>
    <row r="507" spans="1:87" ht="14.25" customHeight="1">
      <c r="A507" s="2"/>
      <c r="B507" s="2"/>
      <c r="C507" s="2"/>
      <c r="D507" s="2"/>
      <c r="E507" s="2"/>
      <c r="F507" s="2"/>
      <c r="G507" s="2"/>
      <c r="H507" s="2"/>
      <c r="I507" s="2"/>
      <c r="J507" s="2"/>
      <c r="K507" s="158"/>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row>
    <row r="508" spans="1:87" ht="14.25" customHeight="1">
      <c r="A508" s="2"/>
      <c r="B508" s="2"/>
      <c r="C508" s="2"/>
      <c r="D508" s="2"/>
      <c r="E508" s="2"/>
      <c r="F508" s="2"/>
      <c r="G508" s="2"/>
      <c r="H508" s="2"/>
      <c r="I508" s="2"/>
      <c r="J508" s="2"/>
      <c r="K508" s="158"/>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row>
    <row r="509" spans="1:87" ht="14.25" customHeight="1">
      <c r="A509" s="2"/>
      <c r="B509" s="2"/>
      <c r="C509" s="2"/>
      <c r="D509" s="2"/>
      <c r="E509" s="2"/>
      <c r="F509" s="2"/>
      <c r="G509" s="2"/>
      <c r="H509" s="2"/>
      <c r="I509" s="2"/>
      <c r="J509" s="2"/>
      <c r="K509" s="158"/>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row>
    <row r="510" spans="1:87" ht="14.25" customHeight="1">
      <c r="A510" s="2"/>
      <c r="B510" s="2"/>
      <c r="C510" s="2"/>
      <c r="D510" s="2"/>
      <c r="E510" s="2"/>
      <c r="F510" s="2"/>
      <c r="G510" s="2"/>
      <c r="H510" s="2"/>
      <c r="I510" s="2"/>
      <c r="J510" s="2"/>
      <c r="K510" s="158"/>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row>
    <row r="511" spans="1:87" ht="14.25" customHeight="1">
      <c r="A511" s="2"/>
      <c r="B511" s="2"/>
      <c r="C511" s="2"/>
      <c r="D511" s="2"/>
      <c r="E511" s="2"/>
      <c r="F511" s="2"/>
      <c r="G511" s="2"/>
      <c r="H511" s="2"/>
      <c r="I511" s="2"/>
      <c r="J511" s="2"/>
      <c r="K511" s="158"/>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row>
    <row r="512" spans="1:87" ht="14.25" customHeight="1">
      <c r="A512" s="2"/>
      <c r="B512" s="2"/>
      <c r="C512" s="2"/>
      <c r="D512" s="2"/>
      <c r="E512" s="2"/>
      <c r="F512" s="2"/>
      <c r="G512" s="2"/>
      <c r="H512" s="2"/>
      <c r="I512" s="2"/>
      <c r="J512" s="2"/>
      <c r="K512" s="158"/>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row>
    <row r="513" spans="1:87" ht="14.25" customHeight="1">
      <c r="A513" s="2"/>
      <c r="B513" s="2"/>
      <c r="C513" s="2"/>
      <c r="D513" s="2"/>
      <c r="E513" s="2"/>
      <c r="F513" s="2"/>
      <c r="G513" s="2"/>
      <c r="H513" s="2"/>
      <c r="I513" s="2"/>
      <c r="J513" s="2"/>
      <c r="K513" s="158"/>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row>
    <row r="514" spans="1:87" ht="14.25" customHeight="1">
      <c r="A514" s="2"/>
      <c r="B514" s="2"/>
      <c r="C514" s="2"/>
      <c r="D514" s="2"/>
      <c r="E514" s="2"/>
      <c r="F514" s="2"/>
      <c r="G514" s="2"/>
      <c r="H514" s="2"/>
      <c r="I514" s="2"/>
      <c r="J514" s="2"/>
      <c r="K514" s="158"/>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row>
    <row r="515" spans="1:87" ht="14.25" customHeight="1">
      <c r="A515" s="2"/>
      <c r="B515" s="2"/>
      <c r="C515" s="2"/>
      <c r="D515" s="2"/>
      <c r="E515" s="2"/>
      <c r="F515" s="2"/>
      <c r="G515" s="2"/>
      <c r="H515" s="2"/>
      <c r="I515" s="2"/>
      <c r="J515" s="2"/>
      <c r="K515" s="158"/>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row>
    <row r="516" spans="1:87" ht="14.25" customHeight="1">
      <c r="A516" s="2"/>
      <c r="B516" s="2"/>
      <c r="C516" s="2"/>
      <c r="D516" s="2"/>
      <c r="E516" s="2"/>
      <c r="F516" s="2"/>
      <c r="G516" s="2"/>
      <c r="H516" s="2"/>
      <c r="I516" s="2"/>
      <c r="J516" s="2"/>
      <c r="K516" s="158"/>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row>
    <row r="517" spans="1:87" ht="14.25" customHeight="1">
      <c r="A517" s="2"/>
      <c r="B517" s="2"/>
      <c r="C517" s="2"/>
      <c r="D517" s="2"/>
      <c r="E517" s="2"/>
      <c r="F517" s="2"/>
      <c r="G517" s="2"/>
      <c r="H517" s="2"/>
      <c r="I517" s="2"/>
      <c r="J517" s="2"/>
      <c r="K517" s="158"/>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row>
    <row r="518" spans="1:87" ht="14.25" customHeight="1">
      <c r="A518" s="2"/>
      <c r="B518" s="2"/>
      <c r="C518" s="2"/>
      <c r="D518" s="2"/>
      <c r="E518" s="2"/>
      <c r="F518" s="2"/>
      <c r="G518" s="2"/>
      <c r="H518" s="2"/>
      <c r="I518" s="2"/>
      <c r="J518" s="2"/>
      <c r="K518" s="158"/>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row>
    <row r="519" spans="1:87" ht="14.25" customHeight="1">
      <c r="A519" s="2"/>
      <c r="B519" s="2"/>
      <c r="C519" s="2"/>
      <c r="D519" s="2"/>
      <c r="E519" s="2"/>
      <c r="F519" s="2"/>
      <c r="G519" s="2"/>
      <c r="H519" s="2"/>
      <c r="I519" s="2"/>
      <c r="J519" s="2"/>
      <c r="K519" s="158"/>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row>
    <row r="520" spans="1:87" ht="14.25" customHeight="1">
      <c r="A520" s="2"/>
      <c r="B520" s="2"/>
      <c r="C520" s="2"/>
      <c r="D520" s="2"/>
      <c r="E520" s="2"/>
      <c r="F520" s="2"/>
      <c r="G520" s="2"/>
      <c r="H520" s="2"/>
      <c r="I520" s="2"/>
      <c r="J520" s="2"/>
      <c r="K520" s="158"/>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row>
    <row r="521" spans="1:87" ht="14.25" customHeight="1">
      <c r="A521" s="2"/>
      <c r="B521" s="2"/>
      <c r="C521" s="2"/>
      <c r="D521" s="2"/>
      <c r="E521" s="2"/>
      <c r="F521" s="2"/>
      <c r="G521" s="2"/>
      <c r="H521" s="2"/>
      <c r="I521" s="2"/>
      <c r="J521" s="2"/>
      <c r="K521" s="158"/>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row>
    <row r="522" spans="1:87" ht="14.25" customHeight="1">
      <c r="A522" s="2"/>
      <c r="B522" s="2"/>
      <c r="C522" s="2"/>
      <c r="D522" s="2"/>
      <c r="E522" s="2"/>
      <c r="F522" s="2"/>
      <c r="G522" s="2"/>
      <c r="H522" s="2"/>
      <c r="I522" s="2"/>
      <c r="J522" s="2"/>
      <c r="K522" s="158"/>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row>
    <row r="523" spans="1:87" ht="14.25" customHeight="1">
      <c r="A523" s="2"/>
      <c r="B523" s="2"/>
      <c r="C523" s="2"/>
      <c r="D523" s="2"/>
      <c r="E523" s="2"/>
      <c r="F523" s="2"/>
      <c r="G523" s="2"/>
      <c r="H523" s="2"/>
      <c r="I523" s="2"/>
      <c r="J523" s="2"/>
      <c r="K523" s="158"/>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row>
    <row r="524" spans="1:87" ht="14.25" customHeight="1">
      <c r="A524" s="2"/>
      <c r="B524" s="2"/>
      <c r="C524" s="2"/>
      <c r="D524" s="2"/>
      <c r="E524" s="2"/>
      <c r="F524" s="2"/>
      <c r="G524" s="2"/>
      <c r="H524" s="2"/>
      <c r="I524" s="2"/>
      <c r="J524" s="2"/>
      <c r="K524" s="158"/>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row>
    <row r="525" spans="1:87" ht="14.25" customHeight="1">
      <c r="A525" s="2"/>
      <c r="B525" s="2"/>
      <c r="C525" s="2"/>
      <c r="D525" s="2"/>
      <c r="E525" s="2"/>
      <c r="F525" s="2"/>
      <c r="G525" s="2"/>
      <c r="H525" s="2"/>
      <c r="I525" s="2"/>
      <c r="J525" s="2"/>
      <c r="K525" s="158"/>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row>
    <row r="526" spans="1:87" ht="14.25" customHeight="1">
      <c r="A526" s="2"/>
      <c r="B526" s="2"/>
      <c r="C526" s="2"/>
      <c r="D526" s="2"/>
      <c r="E526" s="2"/>
      <c r="F526" s="2"/>
      <c r="G526" s="2"/>
      <c r="H526" s="2"/>
      <c r="I526" s="2"/>
      <c r="J526" s="2"/>
      <c r="K526" s="158"/>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row>
    <row r="527" spans="1:87" ht="14.25" customHeight="1">
      <c r="A527" s="2"/>
      <c r="B527" s="2"/>
      <c r="C527" s="2"/>
      <c r="D527" s="2"/>
      <c r="E527" s="2"/>
      <c r="F527" s="2"/>
      <c r="G527" s="2"/>
      <c r="H527" s="2"/>
      <c r="I527" s="2"/>
      <c r="J527" s="2"/>
      <c r="K527" s="158"/>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row>
    <row r="528" spans="1:87" ht="14.25" customHeight="1">
      <c r="A528" s="2"/>
      <c r="B528" s="2"/>
      <c r="C528" s="2"/>
      <c r="D528" s="2"/>
      <c r="E528" s="2"/>
      <c r="F528" s="2"/>
      <c r="G528" s="2"/>
      <c r="H528" s="2"/>
      <c r="I528" s="2"/>
      <c r="J528" s="2"/>
      <c r="K528" s="158"/>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row>
    <row r="529" spans="1:87" ht="14.25" customHeight="1">
      <c r="A529" s="2"/>
      <c r="B529" s="2"/>
      <c r="C529" s="2"/>
      <c r="D529" s="2"/>
      <c r="E529" s="2"/>
      <c r="F529" s="2"/>
      <c r="G529" s="2"/>
      <c r="H529" s="2"/>
      <c r="I529" s="2"/>
      <c r="J529" s="2"/>
      <c r="K529" s="158"/>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row>
    <row r="530" spans="1:87" ht="14.25" customHeight="1">
      <c r="A530" s="2"/>
      <c r="B530" s="2"/>
      <c r="C530" s="2"/>
      <c r="D530" s="2"/>
      <c r="E530" s="2"/>
      <c r="F530" s="2"/>
      <c r="G530" s="2"/>
      <c r="H530" s="2"/>
      <c r="I530" s="2"/>
      <c r="J530" s="2"/>
      <c r="K530" s="158"/>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row>
    <row r="531" spans="1:87" ht="14.25" customHeight="1">
      <c r="A531" s="2"/>
      <c r="B531" s="2"/>
      <c r="C531" s="2"/>
      <c r="D531" s="2"/>
      <c r="E531" s="2"/>
      <c r="F531" s="2"/>
      <c r="G531" s="2"/>
      <c r="H531" s="2"/>
      <c r="I531" s="2"/>
      <c r="J531" s="2"/>
      <c r="K531" s="158"/>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row>
    <row r="532" spans="1:87" ht="14.25" customHeight="1">
      <c r="A532" s="2"/>
      <c r="B532" s="2"/>
      <c r="C532" s="2"/>
      <c r="D532" s="2"/>
      <c r="E532" s="2"/>
      <c r="F532" s="2"/>
      <c r="G532" s="2"/>
      <c r="H532" s="2"/>
      <c r="I532" s="2"/>
      <c r="J532" s="2"/>
      <c r="K532" s="158"/>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row>
    <row r="533" spans="1:87" ht="14.25" customHeight="1">
      <c r="A533" s="2"/>
      <c r="B533" s="2"/>
      <c r="C533" s="2"/>
      <c r="D533" s="2"/>
      <c r="E533" s="2"/>
      <c r="F533" s="2"/>
      <c r="G533" s="2"/>
      <c r="H533" s="2"/>
      <c r="I533" s="2"/>
      <c r="J533" s="2"/>
      <c r="K533" s="158"/>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row>
    <row r="534" spans="1:87" ht="14.25" customHeight="1">
      <c r="A534" s="2"/>
      <c r="B534" s="2"/>
      <c r="C534" s="2"/>
      <c r="D534" s="2"/>
      <c r="E534" s="2"/>
      <c r="F534" s="2"/>
      <c r="G534" s="2"/>
      <c r="H534" s="2"/>
      <c r="I534" s="2"/>
      <c r="J534" s="2"/>
      <c r="K534" s="158"/>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row>
    <row r="535" spans="1:87" ht="14.25" customHeight="1">
      <c r="A535" s="2"/>
      <c r="B535" s="2"/>
      <c r="C535" s="2"/>
      <c r="D535" s="2"/>
      <c r="E535" s="2"/>
      <c r="F535" s="2"/>
      <c r="G535" s="2"/>
      <c r="H535" s="2"/>
      <c r="I535" s="2"/>
      <c r="J535" s="2"/>
      <c r="K535" s="158"/>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row>
    <row r="536" spans="1:87" ht="14.25" customHeight="1">
      <c r="A536" s="2"/>
      <c r="B536" s="2"/>
      <c r="C536" s="2"/>
      <c r="D536" s="2"/>
      <c r="E536" s="2"/>
      <c r="F536" s="2"/>
      <c r="G536" s="2"/>
      <c r="H536" s="2"/>
      <c r="I536" s="2"/>
      <c r="J536" s="2"/>
      <c r="K536" s="158"/>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row>
    <row r="537" spans="1:87" ht="14.25" customHeight="1">
      <c r="A537" s="2"/>
      <c r="B537" s="2"/>
      <c r="C537" s="2"/>
      <c r="D537" s="2"/>
      <c r="E537" s="2"/>
      <c r="F537" s="2"/>
      <c r="G537" s="2"/>
      <c r="H537" s="2"/>
      <c r="I537" s="2"/>
      <c r="J537" s="2"/>
      <c r="K537" s="158"/>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row>
    <row r="538" spans="1:87" ht="14.25" customHeight="1">
      <c r="A538" s="2"/>
      <c r="B538" s="2"/>
      <c r="C538" s="2"/>
      <c r="D538" s="2"/>
      <c r="E538" s="2"/>
      <c r="F538" s="2"/>
      <c r="G538" s="2"/>
      <c r="H538" s="2"/>
      <c r="I538" s="2"/>
      <c r="J538" s="2"/>
      <c r="K538" s="158"/>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row>
    <row r="539" spans="1:87" ht="14.25" customHeight="1">
      <c r="A539" s="2"/>
      <c r="B539" s="2"/>
      <c r="C539" s="2"/>
      <c r="D539" s="2"/>
      <c r="E539" s="2"/>
      <c r="F539" s="2"/>
      <c r="G539" s="2"/>
      <c r="H539" s="2"/>
      <c r="I539" s="2"/>
      <c r="J539" s="2"/>
      <c r="K539" s="158"/>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row>
    <row r="540" spans="1:87" ht="14.25" customHeight="1">
      <c r="A540" s="2"/>
      <c r="B540" s="2"/>
      <c r="C540" s="2"/>
      <c r="D540" s="2"/>
      <c r="E540" s="2"/>
      <c r="F540" s="2"/>
      <c r="G540" s="2"/>
      <c r="H540" s="2"/>
      <c r="I540" s="2"/>
      <c r="J540" s="2"/>
      <c r="K540" s="158"/>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row>
    <row r="541" spans="1:87" ht="14.25" customHeight="1">
      <c r="A541" s="2"/>
      <c r="B541" s="2"/>
      <c r="C541" s="2"/>
      <c r="D541" s="2"/>
      <c r="E541" s="2"/>
      <c r="F541" s="2"/>
      <c r="G541" s="2"/>
      <c r="H541" s="2"/>
      <c r="I541" s="2"/>
      <c r="J541" s="2"/>
      <c r="K541" s="158"/>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row>
    <row r="542" spans="1:87" ht="14.25" customHeight="1">
      <c r="A542" s="2"/>
      <c r="B542" s="2"/>
      <c r="C542" s="2"/>
      <c r="D542" s="2"/>
      <c r="E542" s="2"/>
      <c r="F542" s="2"/>
      <c r="G542" s="2"/>
      <c r="H542" s="2"/>
      <c r="I542" s="2"/>
      <c r="J542" s="2"/>
      <c r="K542" s="158"/>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row>
    <row r="543" spans="1:87" ht="14.25" customHeight="1">
      <c r="A543" s="2"/>
      <c r="B543" s="2"/>
      <c r="C543" s="2"/>
      <c r="D543" s="2"/>
      <c r="E543" s="2"/>
      <c r="F543" s="2"/>
      <c r="G543" s="2"/>
      <c r="H543" s="2"/>
      <c r="I543" s="2"/>
      <c r="J543" s="2"/>
      <c r="K543" s="158"/>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row>
    <row r="544" spans="1:87" ht="14.25" customHeight="1">
      <c r="A544" s="2"/>
      <c r="B544" s="2"/>
      <c r="C544" s="2"/>
      <c r="D544" s="2"/>
      <c r="E544" s="2"/>
      <c r="F544" s="2"/>
      <c r="G544" s="2"/>
      <c r="H544" s="2"/>
      <c r="I544" s="2"/>
      <c r="J544" s="2"/>
      <c r="K544" s="158"/>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row>
    <row r="545" spans="1:87" ht="14.25" customHeight="1">
      <c r="A545" s="2"/>
      <c r="B545" s="2"/>
      <c r="C545" s="2"/>
      <c r="D545" s="2"/>
      <c r="E545" s="2"/>
      <c r="F545" s="2"/>
      <c r="G545" s="2"/>
      <c r="H545" s="2"/>
      <c r="I545" s="2"/>
      <c r="J545" s="2"/>
      <c r="K545" s="158"/>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row>
    <row r="546" spans="1:87" ht="14.25" customHeight="1">
      <c r="A546" s="2"/>
      <c r="B546" s="2"/>
      <c r="C546" s="2"/>
      <c r="D546" s="2"/>
      <c r="E546" s="2"/>
      <c r="F546" s="2"/>
      <c r="G546" s="2"/>
      <c r="H546" s="2"/>
      <c r="I546" s="2"/>
      <c r="J546" s="2"/>
      <c r="K546" s="158"/>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row>
    <row r="547" spans="1:87" ht="14.25" customHeight="1">
      <c r="A547" s="2"/>
      <c r="B547" s="2"/>
      <c r="C547" s="2"/>
      <c r="D547" s="2"/>
      <c r="E547" s="2"/>
      <c r="F547" s="2"/>
      <c r="G547" s="2"/>
      <c r="H547" s="2"/>
      <c r="I547" s="2"/>
      <c r="J547" s="2"/>
      <c r="K547" s="158"/>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row>
    <row r="548" spans="1:87" ht="14.25" customHeight="1">
      <c r="A548" s="2"/>
      <c r="B548" s="2"/>
      <c r="C548" s="2"/>
      <c r="D548" s="2"/>
      <c r="E548" s="2"/>
      <c r="F548" s="2"/>
      <c r="G548" s="2"/>
      <c r="H548" s="2"/>
      <c r="I548" s="2"/>
      <c r="J548" s="2"/>
      <c r="K548" s="158"/>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row>
    <row r="549" spans="1:87" ht="14.25" customHeight="1">
      <c r="A549" s="2"/>
      <c r="B549" s="2"/>
      <c r="C549" s="2"/>
      <c r="D549" s="2"/>
      <c r="E549" s="2"/>
      <c r="F549" s="2"/>
      <c r="G549" s="2"/>
      <c r="H549" s="2"/>
      <c r="I549" s="2"/>
      <c r="J549" s="2"/>
      <c r="K549" s="158"/>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row>
    <row r="550" spans="1:87" ht="14.25" customHeight="1">
      <c r="A550" s="2"/>
      <c r="B550" s="2"/>
      <c r="C550" s="2"/>
      <c r="D550" s="2"/>
      <c r="E550" s="2"/>
      <c r="F550" s="2"/>
      <c r="G550" s="2"/>
      <c r="H550" s="2"/>
      <c r="I550" s="2"/>
      <c r="J550" s="2"/>
      <c r="K550" s="158"/>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row>
    <row r="551" spans="1:87" ht="14.25" customHeight="1">
      <c r="A551" s="2"/>
      <c r="B551" s="2"/>
      <c r="C551" s="2"/>
      <c r="D551" s="2"/>
      <c r="E551" s="2"/>
      <c r="F551" s="2"/>
      <c r="G551" s="2"/>
      <c r="H551" s="2"/>
      <c r="I551" s="2"/>
      <c r="J551" s="2"/>
      <c r="K551" s="158"/>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row>
    <row r="552" spans="1:87" ht="14.25" customHeight="1">
      <c r="A552" s="2"/>
      <c r="B552" s="2"/>
      <c r="C552" s="2"/>
      <c r="D552" s="2"/>
      <c r="E552" s="2"/>
      <c r="F552" s="2"/>
      <c r="G552" s="2"/>
      <c r="H552" s="2"/>
      <c r="I552" s="2"/>
      <c r="J552" s="2"/>
      <c r="K552" s="158"/>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row>
    <row r="553" spans="1:87" ht="14.25" customHeight="1">
      <c r="A553" s="2"/>
      <c r="B553" s="2"/>
      <c r="C553" s="2"/>
      <c r="D553" s="2"/>
      <c r="E553" s="2"/>
      <c r="F553" s="2"/>
      <c r="G553" s="2"/>
      <c r="H553" s="2"/>
      <c r="I553" s="2"/>
      <c r="J553" s="2"/>
      <c r="K553" s="158"/>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row>
    <row r="554" spans="1:87" ht="14.25" customHeight="1">
      <c r="A554" s="2"/>
      <c r="B554" s="2"/>
      <c r="C554" s="2"/>
      <c r="D554" s="2"/>
      <c r="E554" s="2"/>
      <c r="F554" s="2"/>
      <c r="G554" s="2"/>
      <c r="H554" s="2"/>
      <c r="I554" s="2"/>
      <c r="J554" s="2"/>
      <c r="K554" s="158"/>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row>
    <row r="555" spans="1:87" ht="14.25" customHeight="1">
      <c r="A555" s="2"/>
      <c r="B555" s="2"/>
      <c r="C555" s="2"/>
      <c r="D555" s="2"/>
      <c r="E555" s="2"/>
      <c r="F555" s="2"/>
      <c r="G555" s="2"/>
      <c r="H555" s="2"/>
      <c r="I555" s="2"/>
      <c r="J555" s="2"/>
      <c r="K555" s="158"/>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row>
    <row r="556" spans="1:87" ht="14.25" customHeight="1">
      <c r="A556" s="2"/>
      <c r="B556" s="2"/>
      <c r="C556" s="2"/>
      <c r="D556" s="2"/>
      <c r="E556" s="2"/>
      <c r="F556" s="2"/>
      <c r="G556" s="2"/>
      <c r="H556" s="2"/>
      <c r="I556" s="2"/>
      <c r="J556" s="2"/>
      <c r="K556" s="158"/>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row>
    <row r="557" spans="1:87" ht="14.25" customHeight="1">
      <c r="A557" s="2"/>
      <c r="B557" s="2"/>
      <c r="C557" s="2"/>
      <c r="D557" s="2"/>
      <c r="E557" s="2"/>
      <c r="F557" s="2"/>
      <c r="G557" s="2"/>
      <c r="H557" s="2"/>
      <c r="I557" s="2"/>
      <c r="J557" s="2"/>
      <c r="K557" s="158"/>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row>
    <row r="558" spans="1:87" ht="14.25" customHeight="1">
      <c r="A558" s="2"/>
      <c r="B558" s="2"/>
      <c r="C558" s="2"/>
      <c r="D558" s="2"/>
      <c r="E558" s="2"/>
      <c r="F558" s="2"/>
      <c r="G558" s="2"/>
      <c r="H558" s="2"/>
      <c r="I558" s="2"/>
      <c r="J558" s="2"/>
      <c r="K558" s="158"/>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row>
    <row r="559" spans="1:87" ht="14.25" customHeight="1">
      <c r="A559" s="2"/>
      <c r="B559" s="2"/>
      <c r="C559" s="2"/>
      <c r="D559" s="2"/>
      <c r="E559" s="2"/>
      <c r="F559" s="2"/>
      <c r="G559" s="2"/>
      <c r="H559" s="2"/>
      <c r="I559" s="2"/>
      <c r="J559" s="2"/>
      <c r="K559" s="158"/>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row>
    <row r="560" spans="1:87" ht="14.25" customHeight="1">
      <c r="A560" s="2"/>
      <c r="B560" s="2"/>
      <c r="C560" s="2"/>
      <c r="D560" s="2"/>
      <c r="E560" s="2"/>
      <c r="F560" s="2"/>
      <c r="G560" s="2"/>
      <c r="H560" s="2"/>
      <c r="I560" s="2"/>
      <c r="J560" s="2"/>
      <c r="K560" s="158"/>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row>
    <row r="561" spans="1:87" ht="14.25" customHeight="1">
      <c r="A561" s="2"/>
      <c r="B561" s="2"/>
      <c r="C561" s="2"/>
      <c r="D561" s="2"/>
      <c r="E561" s="2"/>
      <c r="F561" s="2"/>
      <c r="G561" s="2"/>
      <c r="H561" s="2"/>
      <c r="I561" s="2"/>
      <c r="J561" s="2"/>
      <c r="K561" s="158"/>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row>
    <row r="562" spans="1:87" ht="14.25" customHeight="1">
      <c r="A562" s="2"/>
      <c r="B562" s="2"/>
      <c r="C562" s="2"/>
      <c r="D562" s="2"/>
      <c r="E562" s="2"/>
      <c r="F562" s="2"/>
      <c r="G562" s="2"/>
      <c r="H562" s="2"/>
      <c r="I562" s="2"/>
      <c r="J562" s="2"/>
      <c r="K562" s="158"/>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row>
    <row r="563" spans="1:87" ht="14.25" customHeight="1">
      <c r="A563" s="2"/>
      <c r="B563" s="2"/>
      <c r="C563" s="2"/>
      <c r="D563" s="2"/>
      <c r="E563" s="2"/>
      <c r="F563" s="2"/>
      <c r="G563" s="2"/>
      <c r="H563" s="2"/>
      <c r="I563" s="2"/>
      <c r="J563" s="2"/>
      <c r="K563" s="158"/>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row>
    <row r="564" spans="1:87" ht="14.25" customHeight="1">
      <c r="A564" s="2"/>
      <c r="B564" s="2"/>
      <c r="C564" s="2"/>
      <c r="D564" s="2"/>
      <c r="E564" s="2"/>
      <c r="F564" s="2"/>
      <c r="G564" s="2"/>
      <c r="H564" s="2"/>
      <c r="I564" s="2"/>
      <c r="J564" s="2"/>
      <c r="K564" s="158"/>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row>
    <row r="565" spans="1:87" ht="14.25" customHeight="1">
      <c r="A565" s="2"/>
      <c r="B565" s="2"/>
      <c r="C565" s="2"/>
      <c r="D565" s="2"/>
      <c r="E565" s="2"/>
      <c r="F565" s="2"/>
      <c r="G565" s="2"/>
      <c r="H565" s="2"/>
      <c r="I565" s="2"/>
      <c r="J565" s="2"/>
      <c r="K565" s="158"/>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row>
    <row r="566" spans="1:87" ht="14.25" customHeight="1">
      <c r="A566" s="2"/>
      <c r="B566" s="2"/>
      <c r="C566" s="2"/>
      <c r="D566" s="2"/>
      <c r="E566" s="2"/>
      <c r="F566" s="2"/>
      <c r="G566" s="2"/>
      <c r="H566" s="2"/>
      <c r="I566" s="2"/>
      <c r="J566" s="2"/>
      <c r="K566" s="158"/>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row>
    <row r="567" spans="1:87" ht="14.25" customHeight="1">
      <c r="A567" s="2"/>
      <c r="B567" s="2"/>
      <c r="C567" s="2"/>
      <c r="D567" s="2"/>
      <c r="E567" s="2"/>
      <c r="F567" s="2"/>
      <c r="G567" s="2"/>
      <c r="H567" s="2"/>
      <c r="I567" s="2"/>
      <c r="J567" s="2"/>
      <c r="K567" s="158"/>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row>
    <row r="568" spans="1:87" ht="14.25" customHeight="1">
      <c r="A568" s="2"/>
      <c r="B568" s="2"/>
      <c r="C568" s="2"/>
      <c r="D568" s="2"/>
      <c r="E568" s="2"/>
      <c r="F568" s="2"/>
      <c r="G568" s="2"/>
      <c r="H568" s="2"/>
      <c r="I568" s="2"/>
      <c r="J568" s="2"/>
      <c r="K568" s="158"/>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row>
    <row r="569" spans="1:87" ht="14.25" customHeight="1">
      <c r="A569" s="2"/>
      <c r="B569" s="2"/>
      <c r="C569" s="2"/>
      <c r="D569" s="2"/>
      <c r="E569" s="2"/>
      <c r="F569" s="2"/>
      <c r="G569" s="2"/>
      <c r="H569" s="2"/>
      <c r="I569" s="2"/>
      <c r="J569" s="2"/>
      <c r="K569" s="158"/>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row>
    <row r="570" spans="1:87" ht="14.25" customHeight="1">
      <c r="A570" s="2"/>
      <c r="B570" s="2"/>
      <c r="C570" s="2"/>
      <c r="D570" s="2"/>
      <c r="E570" s="2"/>
      <c r="F570" s="2"/>
      <c r="G570" s="2"/>
      <c r="H570" s="2"/>
      <c r="I570" s="2"/>
      <c r="J570" s="2"/>
      <c r="K570" s="158"/>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row>
    <row r="571" spans="1:87" ht="14.25" customHeight="1">
      <c r="A571" s="2"/>
      <c r="B571" s="2"/>
      <c r="C571" s="2"/>
      <c r="D571" s="2"/>
      <c r="E571" s="2"/>
      <c r="F571" s="2"/>
      <c r="G571" s="2"/>
      <c r="H571" s="2"/>
      <c r="I571" s="2"/>
      <c r="J571" s="2"/>
      <c r="K571" s="158"/>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row>
    <row r="572" spans="1:87" ht="14.25" customHeight="1">
      <c r="A572" s="2"/>
      <c r="B572" s="2"/>
      <c r="C572" s="2"/>
      <c r="D572" s="2"/>
      <c r="E572" s="2"/>
      <c r="F572" s="2"/>
      <c r="G572" s="2"/>
      <c r="H572" s="2"/>
      <c r="I572" s="2"/>
      <c r="J572" s="2"/>
      <c r="K572" s="158"/>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row>
    <row r="573" spans="1:87" ht="14.25" customHeight="1">
      <c r="A573" s="2"/>
      <c r="B573" s="2"/>
      <c r="C573" s="2"/>
      <c r="D573" s="2"/>
      <c r="E573" s="2"/>
      <c r="F573" s="2"/>
      <c r="G573" s="2"/>
      <c r="H573" s="2"/>
      <c r="I573" s="2"/>
      <c r="J573" s="2"/>
      <c r="K573" s="158"/>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row>
    <row r="574" spans="1:87" ht="14.25" customHeight="1">
      <c r="A574" s="2"/>
      <c r="B574" s="2"/>
      <c r="C574" s="2"/>
      <c r="D574" s="2"/>
      <c r="E574" s="2"/>
      <c r="F574" s="2"/>
      <c r="G574" s="2"/>
      <c r="H574" s="2"/>
      <c r="I574" s="2"/>
      <c r="J574" s="2"/>
      <c r="K574" s="158"/>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row>
    <row r="575" spans="1:87" ht="14.25" customHeight="1">
      <c r="A575" s="2"/>
      <c r="B575" s="2"/>
      <c r="C575" s="2"/>
      <c r="D575" s="2"/>
      <c r="E575" s="2"/>
      <c r="F575" s="2"/>
      <c r="G575" s="2"/>
      <c r="H575" s="2"/>
      <c r="I575" s="2"/>
      <c r="J575" s="2"/>
      <c r="K575" s="158"/>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row>
    <row r="576" spans="1:87" ht="14.25" customHeight="1">
      <c r="A576" s="2"/>
      <c r="B576" s="2"/>
      <c r="C576" s="2"/>
      <c r="D576" s="2"/>
      <c r="E576" s="2"/>
      <c r="F576" s="2"/>
      <c r="G576" s="2"/>
      <c r="H576" s="2"/>
      <c r="I576" s="2"/>
      <c r="J576" s="2"/>
      <c r="K576" s="158"/>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row>
    <row r="577" spans="1:87" ht="14.25" customHeight="1">
      <c r="A577" s="2"/>
      <c r="B577" s="2"/>
      <c r="C577" s="2"/>
      <c r="D577" s="2"/>
      <c r="E577" s="2"/>
      <c r="F577" s="2"/>
      <c r="G577" s="2"/>
      <c r="H577" s="2"/>
      <c r="I577" s="2"/>
      <c r="J577" s="2"/>
      <c r="K577" s="158"/>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row>
    <row r="578" spans="1:87" ht="14.25" customHeight="1">
      <c r="A578" s="2"/>
      <c r="B578" s="2"/>
      <c r="C578" s="2"/>
      <c r="D578" s="2"/>
      <c r="E578" s="2"/>
      <c r="F578" s="2"/>
      <c r="G578" s="2"/>
      <c r="H578" s="2"/>
      <c r="I578" s="2"/>
      <c r="J578" s="2"/>
      <c r="K578" s="158"/>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row>
    <row r="579" spans="1:87" ht="14.25" customHeight="1">
      <c r="A579" s="2"/>
      <c r="B579" s="2"/>
      <c r="C579" s="2"/>
      <c r="D579" s="2"/>
      <c r="E579" s="2"/>
      <c r="F579" s="2"/>
      <c r="G579" s="2"/>
      <c r="H579" s="2"/>
      <c r="I579" s="2"/>
      <c r="J579" s="2"/>
      <c r="K579" s="158"/>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row>
    <row r="580" spans="1:87" ht="14.25" customHeight="1">
      <c r="A580" s="2"/>
      <c r="B580" s="2"/>
      <c r="C580" s="2"/>
      <c r="D580" s="2"/>
      <c r="E580" s="2"/>
      <c r="F580" s="2"/>
      <c r="G580" s="2"/>
      <c r="H580" s="2"/>
      <c r="I580" s="2"/>
      <c r="J580" s="2"/>
      <c r="K580" s="158"/>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row>
    <row r="581" spans="1:87" ht="14.25" customHeight="1">
      <c r="A581" s="2"/>
      <c r="B581" s="2"/>
      <c r="C581" s="2"/>
      <c r="D581" s="2"/>
      <c r="E581" s="2"/>
      <c r="F581" s="2"/>
      <c r="G581" s="2"/>
      <c r="H581" s="2"/>
      <c r="I581" s="2"/>
      <c r="J581" s="2"/>
      <c r="K581" s="158"/>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row>
    <row r="582" spans="1:87" ht="14.25" customHeight="1">
      <c r="A582" s="2"/>
      <c r="B582" s="2"/>
      <c r="C582" s="2"/>
      <c r="D582" s="2"/>
      <c r="E582" s="2"/>
      <c r="F582" s="2"/>
      <c r="G582" s="2"/>
      <c r="H582" s="2"/>
      <c r="I582" s="2"/>
      <c r="J582" s="2"/>
      <c r="K582" s="158"/>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row>
    <row r="583" spans="1:87" ht="14.25" customHeight="1">
      <c r="A583" s="2"/>
      <c r="B583" s="2"/>
      <c r="C583" s="2"/>
      <c r="D583" s="2"/>
      <c r="E583" s="2"/>
      <c r="F583" s="2"/>
      <c r="G583" s="2"/>
      <c r="H583" s="2"/>
      <c r="I583" s="2"/>
      <c r="J583" s="2"/>
      <c r="K583" s="158"/>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row>
    <row r="584" spans="1:87" ht="14.25" customHeight="1">
      <c r="A584" s="2"/>
      <c r="B584" s="2"/>
      <c r="C584" s="2"/>
      <c r="D584" s="2"/>
      <c r="E584" s="2"/>
      <c r="F584" s="2"/>
      <c r="G584" s="2"/>
      <c r="H584" s="2"/>
      <c r="I584" s="2"/>
      <c r="J584" s="2"/>
      <c r="K584" s="158"/>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row>
    <row r="585" spans="1:87" ht="14.25" customHeight="1">
      <c r="A585" s="2"/>
      <c r="B585" s="2"/>
      <c r="C585" s="2"/>
      <c r="D585" s="2"/>
      <c r="E585" s="2"/>
      <c r="F585" s="2"/>
      <c r="G585" s="2"/>
      <c r="H585" s="2"/>
      <c r="I585" s="2"/>
      <c r="J585" s="2"/>
      <c r="K585" s="158"/>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row>
    <row r="586" spans="1:87" ht="14.25" customHeight="1">
      <c r="A586" s="2"/>
      <c r="B586" s="2"/>
      <c r="C586" s="2"/>
      <c r="D586" s="2"/>
      <c r="E586" s="2"/>
      <c r="F586" s="2"/>
      <c r="G586" s="2"/>
      <c r="H586" s="2"/>
      <c r="I586" s="2"/>
      <c r="J586" s="2"/>
      <c r="K586" s="158"/>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row>
    <row r="587" spans="1:87" ht="14.25" customHeight="1">
      <c r="A587" s="2"/>
      <c r="B587" s="2"/>
      <c r="C587" s="2"/>
      <c r="D587" s="2"/>
      <c r="E587" s="2"/>
      <c r="F587" s="2"/>
      <c r="G587" s="2"/>
      <c r="H587" s="2"/>
      <c r="I587" s="2"/>
      <c r="J587" s="2"/>
      <c r="K587" s="158"/>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row>
    <row r="588" spans="1:87" ht="14.25" customHeight="1">
      <c r="A588" s="2"/>
      <c r="B588" s="2"/>
      <c r="C588" s="2"/>
      <c r="D588" s="2"/>
      <c r="E588" s="2"/>
      <c r="F588" s="2"/>
      <c r="G588" s="2"/>
      <c r="H588" s="2"/>
      <c r="I588" s="2"/>
      <c r="J588" s="2"/>
      <c r="K588" s="158"/>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row>
    <row r="589" spans="1:87" ht="14.25" customHeight="1">
      <c r="A589" s="2"/>
      <c r="B589" s="2"/>
      <c r="C589" s="2"/>
      <c r="D589" s="2"/>
      <c r="E589" s="2"/>
      <c r="F589" s="2"/>
      <c r="G589" s="2"/>
      <c r="H589" s="2"/>
      <c r="I589" s="2"/>
      <c r="J589" s="2"/>
      <c r="K589" s="158"/>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row>
    <row r="590" spans="1:87" ht="14.25" customHeight="1">
      <c r="A590" s="2"/>
      <c r="B590" s="2"/>
      <c r="C590" s="2"/>
      <c r="D590" s="2"/>
      <c r="E590" s="2"/>
      <c r="F590" s="2"/>
      <c r="G590" s="2"/>
      <c r="H590" s="2"/>
      <c r="I590" s="2"/>
      <c r="J590" s="2"/>
      <c r="K590" s="158"/>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row>
    <row r="591" spans="1:87" ht="14.25" customHeight="1">
      <c r="A591" s="2"/>
      <c r="B591" s="2"/>
      <c r="C591" s="2"/>
      <c r="D591" s="2"/>
      <c r="E591" s="2"/>
      <c r="F591" s="2"/>
      <c r="G591" s="2"/>
      <c r="H591" s="2"/>
      <c r="I591" s="2"/>
      <c r="J591" s="2"/>
      <c r="K591" s="158"/>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row>
    <row r="592" spans="1:87" ht="14.25" customHeight="1">
      <c r="A592" s="2"/>
      <c r="B592" s="2"/>
      <c r="C592" s="2"/>
      <c r="D592" s="2"/>
      <c r="E592" s="2"/>
      <c r="F592" s="2"/>
      <c r="G592" s="2"/>
      <c r="H592" s="2"/>
      <c r="I592" s="2"/>
      <c r="J592" s="2"/>
      <c r="K592" s="158"/>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row>
    <row r="593" spans="1:87" ht="14.25" customHeight="1">
      <c r="A593" s="2"/>
      <c r="B593" s="2"/>
      <c r="C593" s="2"/>
      <c r="D593" s="2"/>
      <c r="E593" s="2"/>
      <c r="F593" s="2"/>
      <c r="G593" s="2"/>
      <c r="H593" s="2"/>
      <c r="I593" s="2"/>
      <c r="J593" s="2"/>
      <c r="K593" s="158"/>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row>
    <row r="594" spans="1:87" ht="14.25" customHeight="1">
      <c r="A594" s="2"/>
      <c r="B594" s="2"/>
      <c r="C594" s="2"/>
      <c r="D594" s="2"/>
      <c r="E594" s="2"/>
      <c r="F594" s="2"/>
      <c r="G594" s="2"/>
      <c r="H594" s="2"/>
      <c r="I594" s="2"/>
      <c r="J594" s="2"/>
      <c r="K594" s="158"/>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row>
    <row r="595" spans="1:87" ht="14.25" customHeight="1">
      <c r="A595" s="2"/>
      <c r="B595" s="2"/>
      <c r="C595" s="2"/>
      <c r="D595" s="2"/>
      <c r="E595" s="2"/>
      <c r="F595" s="2"/>
      <c r="G595" s="2"/>
      <c r="H595" s="2"/>
      <c r="I595" s="2"/>
      <c r="J595" s="2"/>
      <c r="K595" s="158"/>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row>
    <row r="596" spans="1:87" ht="14.25" customHeight="1">
      <c r="A596" s="2"/>
      <c r="B596" s="2"/>
      <c r="C596" s="2"/>
      <c r="D596" s="2"/>
      <c r="E596" s="2"/>
      <c r="F596" s="2"/>
      <c r="G596" s="2"/>
      <c r="H596" s="2"/>
      <c r="I596" s="2"/>
      <c r="J596" s="2"/>
      <c r="K596" s="158"/>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row>
    <row r="597" spans="1:87" ht="14.25" customHeight="1">
      <c r="A597" s="2"/>
      <c r="B597" s="2"/>
      <c r="C597" s="2"/>
      <c r="D597" s="2"/>
      <c r="E597" s="2"/>
      <c r="F597" s="2"/>
      <c r="G597" s="2"/>
      <c r="H597" s="2"/>
      <c r="I597" s="2"/>
      <c r="J597" s="2"/>
      <c r="K597" s="158"/>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row>
    <row r="598" spans="1:87" ht="14.25" customHeight="1">
      <c r="A598" s="2"/>
      <c r="B598" s="2"/>
      <c r="C598" s="2"/>
      <c r="D598" s="2"/>
      <c r="E598" s="2"/>
      <c r="F598" s="2"/>
      <c r="G598" s="2"/>
      <c r="H598" s="2"/>
      <c r="I598" s="2"/>
      <c r="J598" s="2"/>
      <c r="K598" s="158"/>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row>
    <row r="599" spans="1:87" ht="14.25" customHeight="1">
      <c r="A599" s="2"/>
      <c r="B599" s="2"/>
      <c r="C599" s="2"/>
      <c r="D599" s="2"/>
      <c r="E599" s="2"/>
      <c r="F599" s="2"/>
      <c r="G599" s="2"/>
      <c r="H599" s="2"/>
      <c r="I599" s="2"/>
      <c r="J599" s="2"/>
      <c r="K599" s="158"/>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row>
    <row r="600" spans="1:87" ht="14.25" customHeight="1">
      <c r="A600" s="2"/>
      <c r="B600" s="2"/>
      <c r="C600" s="2"/>
      <c r="D600" s="2"/>
      <c r="E600" s="2"/>
      <c r="F600" s="2"/>
      <c r="G600" s="2"/>
      <c r="H600" s="2"/>
      <c r="I600" s="2"/>
      <c r="J600" s="2"/>
      <c r="K600" s="158"/>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row>
    <row r="601" spans="1:87" ht="14.25" customHeight="1">
      <c r="A601" s="2"/>
      <c r="B601" s="2"/>
      <c r="C601" s="2"/>
      <c r="D601" s="2"/>
      <c r="E601" s="2"/>
      <c r="F601" s="2"/>
      <c r="G601" s="2"/>
      <c r="H601" s="2"/>
      <c r="I601" s="2"/>
      <c r="J601" s="2"/>
      <c r="K601" s="158"/>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row>
    <row r="602" spans="1:87" ht="14.25" customHeight="1">
      <c r="A602" s="2"/>
      <c r="B602" s="2"/>
      <c r="C602" s="2"/>
      <c r="D602" s="2"/>
      <c r="E602" s="2"/>
      <c r="F602" s="2"/>
      <c r="G602" s="2"/>
      <c r="H602" s="2"/>
      <c r="I602" s="2"/>
      <c r="J602" s="2"/>
      <c r="K602" s="158"/>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row>
    <row r="603" spans="1:87" ht="14.25" customHeight="1">
      <c r="A603" s="2"/>
      <c r="B603" s="2"/>
      <c r="C603" s="2"/>
      <c r="D603" s="2"/>
      <c r="E603" s="2"/>
      <c r="F603" s="2"/>
      <c r="G603" s="2"/>
      <c r="H603" s="2"/>
      <c r="I603" s="2"/>
      <c r="J603" s="2"/>
      <c r="K603" s="158"/>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row>
    <row r="604" spans="1:87" ht="14.25" customHeight="1">
      <c r="A604" s="2"/>
      <c r="B604" s="2"/>
      <c r="C604" s="2"/>
      <c r="D604" s="2"/>
      <c r="E604" s="2"/>
      <c r="F604" s="2"/>
      <c r="G604" s="2"/>
      <c r="H604" s="2"/>
      <c r="I604" s="2"/>
      <c r="J604" s="2"/>
      <c r="K604" s="158"/>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row>
    <row r="605" spans="1:87" ht="14.25" customHeight="1">
      <c r="A605" s="2"/>
      <c r="B605" s="2"/>
      <c r="C605" s="2"/>
      <c r="D605" s="2"/>
      <c r="E605" s="2"/>
      <c r="F605" s="2"/>
      <c r="G605" s="2"/>
      <c r="H605" s="2"/>
      <c r="I605" s="2"/>
      <c r="J605" s="2"/>
      <c r="K605" s="158"/>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row>
    <row r="606" spans="1:87" ht="14.25" customHeight="1">
      <c r="A606" s="2"/>
      <c r="B606" s="2"/>
      <c r="C606" s="2"/>
      <c r="D606" s="2"/>
      <c r="E606" s="2"/>
      <c r="F606" s="2"/>
      <c r="G606" s="2"/>
      <c r="H606" s="2"/>
      <c r="I606" s="2"/>
      <c r="J606" s="2"/>
      <c r="K606" s="158"/>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row>
    <row r="607" spans="1:87" ht="14.25" customHeight="1">
      <c r="A607" s="2"/>
      <c r="B607" s="2"/>
      <c r="C607" s="2"/>
      <c r="D607" s="2"/>
      <c r="E607" s="2"/>
      <c r="F607" s="2"/>
      <c r="G607" s="2"/>
      <c r="H607" s="2"/>
      <c r="I607" s="2"/>
      <c r="J607" s="2"/>
      <c r="K607" s="158"/>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row>
    <row r="608" spans="1:87" ht="14.25" customHeight="1">
      <c r="A608" s="2"/>
      <c r="B608" s="2"/>
      <c r="C608" s="2"/>
      <c r="D608" s="2"/>
      <c r="E608" s="2"/>
      <c r="F608" s="2"/>
      <c r="G608" s="2"/>
      <c r="H608" s="2"/>
      <c r="I608" s="2"/>
      <c r="J608" s="2"/>
      <c r="K608" s="158"/>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row>
    <row r="609" spans="1:87" ht="14.25" customHeight="1">
      <c r="A609" s="2"/>
      <c r="B609" s="2"/>
      <c r="C609" s="2"/>
      <c r="D609" s="2"/>
      <c r="E609" s="2"/>
      <c r="F609" s="2"/>
      <c r="G609" s="2"/>
      <c r="H609" s="2"/>
      <c r="I609" s="2"/>
      <c r="J609" s="2"/>
      <c r="K609" s="158"/>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row>
    <row r="610" spans="1:87" ht="14.25" customHeight="1">
      <c r="A610" s="2"/>
      <c r="B610" s="2"/>
      <c r="C610" s="2"/>
      <c r="D610" s="2"/>
      <c r="E610" s="2"/>
      <c r="F610" s="2"/>
      <c r="G610" s="2"/>
      <c r="H610" s="2"/>
      <c r="I610" s="2"/>
      <c r="J610" s="2"/>
      <c r="K610" s="158"/>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row>
    <row r="611" spans="1:87" ht="14.25" customHeight="1">
      <c r="A611" s="2"/>
      <c r="B611" s="2"/>
      <c r="C611" s="2"/>
      <c r="D611" s="2"/>
      <c r="E611" s="2"/>
      <c r="F611" s="2"/>
      <c r="G611" s="2"/>
      <c r="H611" s="2"/>
      <c r="I611" s="2"/>
      <c r="J611" s="2"/>
      <c r="K611" s="158"/>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row>
    <row r="612" spans="1:87" ht="14.25" customHeight="1">
      <c r="A612" s="2"/>
      <c r="B612" s="2"/>
      <c r="C612" s="2"/>
      <c r="D612" s="2"/>
      <c r="E612" s="2"/>
      <c r="F612" s="2"/>
      <c r="G612" s="2"/>
      <c r="H612" s="2"/>
      <c r="I612" s="2"/>
      <c r="J612" s="2"/>
      <c r="K612" s="158"/>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row>
    <row r="613" spans="1:87" ht="14.25" customHeight="1">
      <c r="A613" s="2"/>
      <c r="B613" s="2"/>
      <c r="C613" s="2"/>
      <c r="D613" s="2"/>
      <c r="E613" s="2"/>
      <c r="F613" s="2"/>
      <c r="G613" s="2"/>
      <c r="H613" s="2"/>
      <c r="I613" s="2"/>
      <c r="J613" s="2"/>
      <c r="K613" s="158"/>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row>
    <row r="614" spans="1:87" ht="14.25" customHeight="1">
      <c r="A614" s="2"/>
      <c r="B614" s="2"/>
      <c r="C614" s="2"/>
      <c r="D614" s="2"/>
      <c r="E614" s="2"/>
      <c r="F614" s="2"/>
      <c r="G614" s="2"/>
      <c r="H614" s="2"/>
      <c r="I614" s="2"/>
      <c r="J614" s="2"/>
      <c r="K614" s="158"/>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row>
    <row r="615" spans="1:87" ht="14.25" customHeight="1">
      <c r="A615" s="2"/>
      <c r="B615" s="2"/>
      <c r="C615" s="2"/>
      <c r="D615" s="2"/>
      <c r="E615" s="2"/>
      <c r="F615" s="2"/>
      <c r="G615" s="2"/>
      <c r="H615" s="2"/>
      <c r="I615" s="2"/>
      <c r="J615" s="2"/>
      <c r="K615" s="158"/>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row>
    <row r="616" spans="1:87" ht="14.25" customHeight="1">
      <c r="A616" s="2"/>
      <c r="B616" s="2"/>
      <c r="C616" s="2"/>
      <c r="D616" s="2"/>
      <c r="E616" s="2"/>
      <c r="F616" s="2"/>
      <c r="G616" s="2"/>
      <c r="H616" s="2"/>
      <c r="I616" s="2"/>
      <c r="J616" s="2"/>
      <c r="K616" s="158"/>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row>
    <row r="617" spans="1:87" ht="14.25" customHeight="1">
      <c r="A617" s="2"/>
      <c r="B617" s="2"/>
      <c r="C617" s="2"/>
      <c r="D617" s="2"/>
      <c r="E617" s="2"/>
      <c r="F617" s="2"/>
      <c r="G617" s="2"/>
      <c r="H617" s="2"/>
      <c r="I617" s="2"/>
      <c r="J617" s="2"/>
      <c r="K617" s="158"/>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row>
    <row r="618" spans="1:87" ht="14.25" customHeight="1">
      <c r="A618" s="2"/>
      <c r="B618" s="2"/>
      <c r="C618" s="2"/>
      <c r="D618" s="2"/>
      <c r="E618" s="2"/>
      <c r="F618" s="2"/>
      <c r="G618" s="2"/>
      <c r="H618" s="2"/>
      <c r="I618" s="2"/>
      <c r="J618" s="2"/>
      <c r="K618" s="158"/>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row>
    <row r="619" spans="1:87" ht="14.25" customHeight="1">
      <c r="A619" s="2"/>
      <c r="B619" s="2"/>
      <c r="C619" s="2"/>
      <c r="D619" s="2"/>
      <c r="E619" s="2"/>
      <c r="F619" s="2"/>
      <c r="G619" s="2"/>
      <c r="H619" s="2"/>
      <c r="I619" s="2"/>
      <c r="J619" s="2"/>
      <c r="K619" s="158"/>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row>
    <row r="620" spans="1:87" ht="14.25" customHeight="1">
      <c r="A620" s="2"/>
      <c r="B620" s="2"/>
      <c r="C620" s="2"/>
      <c r="D620" s="2"/>
      <c r="E620" s="2"/>
      <c r="F620" s="2"/>
      <c r="G620" s="2"/>
      <c r="H620" s="2"/>
      <c r="I620" s="2"/>
      <c r="J620" s="2"/>
      <c r="K620" s="158"/>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row>
    <row r="621" spans="1:87" ht="14.25" customHeight="1">
      <c r="A621" s="2"/>
      <c r="B621" s="2"/>
      <c r="C621" s="2"/>
      <c r="D621" s="2"/>
      <c r="E621" s="2"/>
      <c r="F621" s="2"/>
      <c r="G621" s="2"/>
      <c r="H621" s="2"/>
      <c r="I621" s="2"/>
      <c r="J621" s="2"/>
      <c r="K621" s="158"/>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row>
    <row r="622" spans="1:87" ht="14.25" customHeight="1">
      <c r="A622" s="2"/>
      <c r="B622" s="2"/>
      <c r="C622" s="2"/>
      <c r="D622" s="2"/>
      <c r="E622" s="2"/>
      <c r="F622" s="2"/>
      <c r="G622" s="2"/>
      <c r="H622" s="2"/>
      <c r="I622" s="2"/>
      <c r="J622" s="2"/>
      <c r="K622" s="158"/>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row>
    <row r="623" spans="1:87" ht="14.25" customHeight="1">
      <c r="A623" s="2"/>
      <c r="B623" s="2"/>
      <c r="C623" s="2"/>
      <c r="D623" s="2"/>
      <c r="E623" s="2"/>
      <c r="F623" s="2"/>
      <c r="G623" s="2"/>
      <c r="H623" s="2"/>
      <c r="I623" s="2"/>
      <c r="J623" s="2"/>
      <c r="K623" s="158"/>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row>
    <row r="624" spans="1:87" ht="14.25" customHeight="1">
      <c r="A624" s="2"/>
      <c r="B624" s="2"/>
      <c r="C624" s="2"/>
      <c r="D624" s="2"/>
      <c r="E624" s="2"/>
      <c r="F624" s="2"/>
      <c r="G624" s="2"/>
      <c r="H624" s="2"/>
      <c r="I624" s="2"/>
      <c r="J624" s="2"/>
      <c r="K624" s="158"/>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row>
    <row r="625" spans="1:87" ht="14.25" customHeight="1">
      <c r="A625" s="2"/>
      <c r="B625" s="2"/>
      <c r="C625" s="2"/>
      <c r="D625" s="2"/>
      <c r="E625" s="2"/>
      <c r="F625" s="2"/>
      <c r="G625" s="2"/>
      <c r="H625" s="2"/>
      <c r="I625" s="2"/>
      <c r="J625" s="2"/>
      <c r="K625" s="158"/>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row>
    <row r="626" spans="1:87" ht="14.25" customHeight="1">
      <c r="A626" s="2"/>
      <c r="B626" s="2"/>
      <c r="C626" s="2"/>
      <c r="D626" s="2"/>
      <c r="E626" s="2"/>
      <c r="F626" s="2"/>
      <c r="G626" s="2"/>
      <c r="H626" s="2"/>
      <c r="I626" s="2"/>
      <c r="J626" s="2"/>
      <c r="K626" s="158"/>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row>
    <row r="627" spans="1:87" ht="14.25" customHeight="1">
      <c r="A627" s="2"/>
      <c r="B627" s="2"/>
      <c r="C627" s="2"/>
      <c r="D627" s="2"/>
      <c r="E627" s="2"/>
      <c r="F627" s="2"/>
      <c r="G627" s="2"/>
      <c r="H627" s="2"/>
      <c r="I627" s="2"/>
      <c r="J627" s="2"/>
      <c r="K627" s="158"/>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row>
    <row r="628" spans="1:87" ht="14.25" customHeight="1">
      <c r="A628" s="2"/>
      <c r="B628" s="2"/>
      <c r="C628" s="2"/>
      <c r="D628" s="2"/>
      <c r="E628" s="2"/>
      <c r="F628" s="2"/>
      <c r="G628" s="2"/>
      <c r="H628" s="2"/>
      <c r="I628" s="2"/>
      <c r="J628" s="2"/>
      <c r="K628" s="158"/>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row>
    <row r="629" spans="1:87" ht="14.25" customHeight="1">
      <c r="A629" s="2"/>
      <c r="B629" s="2"/>
      <c r="C629" s="2"/>
      <c r="D629" s="2"/>
      <c r="E629" s="2"/>
      <c r="F629" s="2"/>
      <c r="G629" s="2"/>
      <c r="H629" s="2"/>
      <c r="I629" s="2"/>
      <c r="J629" s="2"/>
      <c r="K629" s="158"/>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row>
    <row r="630" spans="1:87" ht="14.25" customHeight="1">
      <c r="A630" s="2"/>
      <c r="B630" s="2"/>
      <c r="C630" s="2"/>
      <c r="D630" s="2"/>
      <c r="E630" s="2"/>
      <c r="F630" s="2"/>
      <c r="G630" s="2"/>
      <c r="H630" s="2"/>
      <c r="I630" s="2"/>
      <c r="J630" s="2"/>
      <c r="K630" s="158"/>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row>
    <row r="631" spans="1:87" ht="14.25" customHeight="1">
      <c r="A631" s="2"/>
      <c r="B631" s="2"/>
      <c r="C631" s="2"/>
      <c r="D631" s="2"/>
      <c r="E631" s="2"/>
      <c r="F631" s="2"/>
      <c r="G631" s="2"/>
      <c r="H631" s="2"/>
      <c r="I631" s="2"/>
      <c r="J631" s="2"/>
      <c r="K631" s="158"/>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row>
    <row r="632" spans="1:87" ht="14.25" customHeight="1">
      <c r="A632" s="2"/>
      <c r="B632" s="2"/>
      <c r="C632" s="2"/>
      <c r="D632" s="2"/>
      <c r="E632" s="2"/>
      <c r="F632" s="2"/>
      <c r="G632" s="2"/>
      <c r="H632" s="2"/>
      <c r="I632" s="2"/>
      <c r="J632" s="2"/>
      <c r="K632" s="158"/>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row>
    <row r="633" spans="1:87" ht="14.25" customHeight="1">
      <c r="A633" s="2"/>
      <c r="B633" s="2"/>
      <c r="C633" s="2"/>
      <c r="D633" s="2"/>
      <c r="E633" s="2"/>
      <c r="F633" s="2"/>
      <c r="G633" s="2"/>
      <c r="H633" s="2"/>
      <c r="I633" s="2"/>
      <c r="J633" s="2"/>
      <c r="K633" s="158"/>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row>
    <row r="634" spans="1:87" ht="14.25" customHeight="1">
      <c r="A634" s="2"/>
      <c r="B634" s="2"/>
      <c r="C634" s="2"/>
      <c r="D634" s="2"/>
      <c r="E634" s="2"/>
      <c r="F634" s="2"/>
      <c r="G634" s="2"/>
      <c r="H634" s="2"/>
      <c r="I634" s="2"/>
      <c r="J634" s="2"/>
      <c r="K634" s="158"/>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row>
    <row r="635" spans="1:87" ht="14.25" customHeight="1">
      <c r="A635" s="2"/>
      <c r="B635" s="2"/>
      <c r="C635" s="2"/>
      <c r="D635" s="2"/>
      <c r="E635" s="2"/>
      <c r="F635" s="2"/>
      <c r="G635" s="2"/>
      <c r="H635" s="2"/>
      <c r="I635" s="2"/>
      <c r="J635" s="2"/>
      <c r="K635" s="158"/>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row>
    <row r="636" spans="1:87" ht="14.25" customHeight="1">
      <c r="A636" s="2"/>
      <c r="B636" s="2"/>
      <c r="C636" s="2"/>
      <c r="D636" s="2"/>
      <c r="E636" s="2"/>
      <c r="F636" s="2"/>
      <c r="G636" s="2"/>
      <c r="H636" s="2"/>
      <c r="I636" s="2"/>
      <c r="J636" s="2"/>
      <c r="K636" s="158"/>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row>
    <row r="637" spans="1:87" ht="14.25" customHeight="1">
      <c r="A637" s="2"/>
      <c r="B637" s="2"/>
      <c r="C637" s="2"/>
      <c r="D637" s="2"/>
      <c r="E637" s="2"/>
      <c r="F637" s="2"/>
      <c r="G637" s="2"/>
      <c r="H637" s="2"/>
      <c r="I637" s="2"/>
      <c r="J637" s="2"/>
      <c r="K637" s="158"/>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row>
    <row r="638" spans="1:87" ht="14.25" customHeight="1">
      <c r="A638" s="2"/>
      <c r="B638" s="2"/>
      <c r="C638" s="2"/>
      <c r="D638" s="2"/>
      <c r="E638" s="2"/>
      <c r="F638" s="2"/>
      <c r="G638" s="2"/>
      <c r="H638" s="2"/>
      <c r="I638" s="2"/>
      <c r="J638" s="2"/>
      <c r="K638" s="158"/>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row>
    <row r="639" spans="1:87" ht="14.25" customHeight="1">
      <c r="A639" s="2"/>
      <c r="B639" s="2"/>
      <c r="C639" s="2"/>
      <c r="D639" s="2"/>
      <c r="E639" s="2"/>
      <c r="F639" s="2"/>
      <c r="G639" s="2"/>
      <c r="H639" s="2"/>
      <c r="I639" s="2"/>
      <c r="J639" s="2"/>
      <c r="K639" s="158"/>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row>
    <row r="640" spans="1:87" ht="14.25" customHeight="1">
      <c r="A640" s="2"/>
      <c r="B640" s="2"/>
      <c r="C640" s="2"/>
      <c r="D640" s="2"/>
      <c r="E640" s="2"/>
      <c r="F640" s="2"/>
      <c r="G640" s="2"/>
      <c r="H640" s="2"/>
      <c r="I640" s="2"/>
      <c r="J640" s="2"/>
      <c r="K640" s="158"/>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row>
    <row r="641" spans="1:87" ht="14.25" customHeight="1">
      <c r="A641" s="2"/>
      <c r="B641" s="2"/>
      <c r="C641" s="2"/>
      <c r="D641" s="2"/>
      <c r="E641" s="2"/>
      <c r="F641" s="2"/>
      <c r="G641" s="2"/>
      <c r="H641" s="2"/>
      <c r="I641" s="2"/>
      <c r="J641" s="2"/>
      <c r="K641" s="158"/>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row>
    <row r="642" spans="1:87" ht="14.25" customHeight="1">
      <c r="A642" s="2"/>
      <c r="B642" s="2"/>
      <c r="C642" s="2"/>
      <c r="D642" s="2"/>
      <c r="E642" s="2"/>
      <c r="F642" s="2"/>
      <c r="G642" s="2"/>
      <c r="H642" s="2"/>
      <c r="I642" s="2"/>
      <c r="J642" s="2"/>
      <c r="K642" s="158"/>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row>
    <row r="643" spans="1:87" ht="14.25" customHeight="1">
      <c r="A643" s="2"/>
      <c r="B643" s="2"/>
      <c r="C643" s="2"/>
      <c r="D643" s="2"/>
      <c r="E643" s="2"/>
      <c r="F643" s="2"/>
      <c r="G643" s="2"/>
      <c r="H643" s="2"/>
      <c r="I643" s="2"/>
      <c r="J643" s="2"/>
      <c r="K643" s="158"/>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row>
    <row r="644" spans="1:87" ht="14.25" customHeight="1">
      <c r="A644" s="2"/>
      <c r="B644" s="2"/>
      <c r="C644" s="2"/>
      <c r="D644" s="2"/>
      <c r="E644" s="2"/>
      <c r="F644" s="2"/>
      <c r="G644" s="2"/>
      <c r="H644" s="2"/>
      <c r="I644" s="2"/>
      <c r="J644" s="2"/>
      <c r="K644" s="158"/>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row>
    <row r="645" spans="1:87" ht="14.25" customHeight="1">
      <c r="A645" s="2"/>
      <c r="B645" s="2"/>
      <c r="C645" s="2"/>
      <c r="D645" s="2"/>
      <c r="E645" s="2"/>
      <c r="F645" s="2"/>
      <c r="G645" s="2"/>
      <c r="H645" s="2"/>
      <c r="I645" s="2"/>
      <c r="J645" s="2"/>
      <c r="K645" s="158"/>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row>
    <row r="646" spans="1:87" ht="14.25" customHeight="1">
      <c r="A646" s="2"/>
      <c r="B646" s="2"/>
      <c r="C646" s="2"/>
      <c r="D646" s="2"/>
      <c r="E646" s="2"/>
      <c r="F646" s="2"/>
      <c r="G646" s="2"/>
      <c r="H646" s="2"/>
      <c r="I646" s="2"/>
      <c r="J646" s="2"/>
      <c r="K646" s="158"/>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row>
    <row r="647" spans="1:87" ht="14.25" customHeight="1">
      <c r="A647" s="2"/>
      <c r="B647" s="2"/>
      <c r="C647" s="2"/>
      <c r="D647" s="2"/>
      <c r="E647" s="2"/>
      <c r="F647" s="2"/>
      <c r="G647" s="2"/>
      <c r="H647" s="2"/>
      <c r="I647" s="2"/>
      <c r="J647" s="2"/>
      <c r="K647" s="158"/>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row>
    <row r="648" spans="1:87" ht="14.25" customHeight="1">
      <c r="A648" s="2"/>
      <c r="B648" s="2"/>
      <c r="C648" s="2"/>
      <c r="D648" s="2"/>
      <c r="E648" s="2"/>
      <c r="F648" s="2"/>
      <c r="G648" s="2"/>
      <c r="H648" s="2"/>
      <c r="I648" s="2"/>
      <c r="J648" s="2"/>
      <c r="K648" s="158"/>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row>
    <row r="649" spans="1:87" ht="14.25" customHeight="1">
      <c r="A649" s="2"/>
      <c r="B649" s="2"/>
      <c r="C649" s="2"/>
      <c r="D649" s="2"/>
      <c r="E649" s="2"/>
      <c r="F649" s="2"/>
      <c r="G649" s="2"/>
      <c r="H649" s="2"/>
      <c r="I649" s="2"/>
      <c r="J649" s="2"/>
      <c r="K649" s="158"/>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row>
    <row r="650" spans="1:87" ht="14.25" customHeight="1">
      <c r="A650" s="2"/>
      <c r="B650" s="2"/>
      <c r="C650" s="2"/>
      <c r="D650" s="2"/>
      <c r="E650" s="2"/>
      <c r="F650" s="2"/>
      <c r="G650" s="2"/>
      <c r="H650" s="2"/>
      <c r="I650" s="2"/>
      <c r="J650" s="2"/>
      <c r="K650" s="158"/>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row>
    <row r="651" spans="1:87" ht="14.25" customHeight="1">
      <c r="A651" s="2"/>
      <c r="B651" s="2"/>
      <c r="C651" s="2"/>
      <c r="D651" s="2"/>
      <c r="E651" s="2"/>
      <c r="F651" s="2"/>
      <c r="G651" s="2"/>
      <c r="H651" s="2"/>
      <c r="I651" s="2"/>
      <c r="J651" s="2"/>
      <c r="K651" s="158"/>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row>
    <row r="652" spans="1:87" ht="14.25" customHeight="1">
      <c r="A652" s="2"/>
      <c r="B652" s="2"/>
      <c r="C652" s="2"/>
      <c r="D652" s="2"/>
      <c r="E652" s="2"/>
      <c r="F652" s="2"/>
      <c r="G652" s="2"/>
      <c r="H652" s="2"/>
      <c r="I652" s="2"/>
      <c r="J652" s="2"/>
      <c r="K652" s="158"/>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row>
    <row r="653" spans="1:87" ht="14.25" customHeight="1">
      <c r="A653" s="2"/>
      <c r="B653" s="2"/>
      <c r="C653" s="2"/>
      <c r="D653" s="2"/>
      <c r="E653" s="2"/>
      <c r="F653" s="2"/>
      <c r="G653" s="2"/>
      <c r="H653" s="2"/>
      <c r="I653" s="2"/>
      <c r="J653" s="2"/>
      <c r="K653" s="158"/>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row>
    <row r="654" spans="1:87" ht="14.25" customHeight="1">
      <c r="A654" s="2"/>
      <c r="B654" s="2"/>
      <c r="C654" s="2"/>
      <c r="D654" s="2"/>
      <c r="E654" s="2"/>
      <c r="F654" s="2"/>
      <c r="G654" s="2"/>
      <c r="H654" s="2"/>
      <c r="I654" s="2"/>
      <c r="J654" s="2"/>
      <c r="K654" s="158"/>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row>
    <row r="655" spans="1:87" ht="14.25" customHeight="1">
      <c r="A655" s="2"/>
      <c r="B655" s="2"/>
      <c r="C655" s="2"/>
      <c r="D655" s="2"/>
      <c r="E655" s="2"/>
      <c r="F655" s="2"/>
      <c r="G655" s="2"/>
      <c r="H655" s="2"/>
      <c r="I655" s="2"/>
      <c r="J655" s="2"/>
      <c r="K655" s="158"/>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row>
    <row r="656" spans="1:87" ht="14.25" customHeight="1">
      <c r="A656" s="2"/>
      <c r="B656" s="2"/>
      <c r="C656" s="2"/>
      <c r="D656" s="2"/>
      <c r="E656" s="2"/>
      <c r="F656" s="2"/>
      <c r="G656" s="2"/>
      <c r="H656" s="2"/>
      <c r="I656" s="2"/>
      <c r="J656" s="2"/>
      <c r="K656" s="158"/>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row>
    <row r="657" spans="1:87" ht="14.25" customHeight="1">
      <c r="A657" s="2"/>
      <c r="B657" s="2"/>
      <c r="C657" s="2"/>
      <c r="D657" s="2"/>
      <c r="E657" s="2"/>
      <c r="F657" s="2"/>
      <c r="G657" s="2"/>
      <c r="H657" s="2"/>
      <c r="I657" s="2"/>
      <c r="J657" s="2"/>
      <c r="K657" s="158"/>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row>
    <row r="658" spans="1:87" ht="14.25" customHeight="1">
      <c r="A658" s="2"/>
      <c r="B658" s="2"/>
      <c r="C658" s="2"/>
      <c r="D658" s="2"/>
      <c r="E658" s="2"/>
      <c r="F658" s="2"/>
      <c r="G658" s="2"/>
      <c r="H658" s="2"/>
      <c r="I658" s="2"/>
      <c r="J658" s="2"/>
      <c r="K658" s="158"/>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row>
    <row r="659" spans="1:87" ht="14.25" customHeight="1">
      <c r="A659" s="2"/>
      <c r="B659" s="2"/>
      <c r="C659" s="2"/>
      <c r="D659" s="2"/>
      <c r="E659" s="2"/>
      <c r="F659" s="2"/>
      <c r="G659" s="2"/>
      <c r="H659" s="2"/>
      <c r="I659" s="2"/>
      <c r="J659" s="2"/>
      <c r="K659" s="158"/>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row>
    <row r="660" spans="1:87" ht="14.25" customHeight="1">
      <c r="A660" s="2"/>
      <c r="B660" s="2"/>
      <c r="C660" s="2"/>
      <c r="D660" s="2"/>
      <c r="E660" s="2"/>
      <c r="F660" s="2"/>
      <c r="G660" s="2"/>
      <c r="H660" s="2"/>
      <c r="I660" s="2"/>
      <c r="J660" s="2"/>
      <c r="K660" s="158"/>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row>
    <row r="661" spans="1:87" ht="14.25" customHeight="1">
      <c r="A661" s="2"/>
      <c r="B661" s="2"/>
      <c r="C661" s="2"/>
      <c r="D661" s="2"/>
      <c r="E661" s="2"/>
      <c r="F661" s="2"/>
      <c r="G661" s="2"/>
      <c r="H661" s="2"/>
      <c r="I661" s="2"/>
      <c r="J661" s="2"/>
      <c r="K661" s="158"/>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row>
    <row r="662" spans="1:87" ht="14.25" customHeight="1">
      <c r="A662" s="2"/>
      <c r="B662" s="2"/>
      <c r="C662" s="2"/>
      <c r="D662" s="2"/>
      <c r="E662" s="2"/>
      <c r="F662" s="2"/>
      <c r="G662" s="2"/>
      <c r="H662" s="2"/>
      <c r="I662" s="2"/>
      <c r="J662" s="2"/>
      <c r="K662" s="158"/>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row>
    <row r="663" spans="1:87" ht="14.25" customHeight="1">
      <c r="A663" s="2"/>
      <c r="B663" s="2"/>
      <c r="C663" s="2"/>
      <c r="D663" s="2"/>
      <c r="E663" s="2"/>
      <c r="F663" s="2"/>
      <c r="G663" s="2"/>
      <c r="H663" s="2"/>
      <c r="I663" s="2"/>
      <c r="J663" s="2"/>
      <c r="K663" s="158"/>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row>
    <row r="664" spans="1:87" ht="14.25" customHeight="1">
      <c r="A664" s="2"/>
      <c r="B664" s="2"/>
      <c r="C664" s="2"/>
      <c r="D664" s="2"/>
      <c r="E664" s="2"/>
      <c r="F664" s="2"/>
      <c r="G664" s="2"/>
      <c r="H664" s="2"/>
      <c r="I664" s="2"/>
      <c r="J664" s="2"/>
      <c r="K664" s="158"/>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row>
    <row r="665" spans="1:87" ht="14.25" customHeight="1">
      <c r="A665" s="2"/>
      <c r="B665" s="2"/>
      <c r="C665" s="2"/>
      <c r="D665" s="2"/>
      <c r="E665" s="2"/>
      <c r="F665" s="2"/>
      <c r="G665" s="2"/>
      <c r="H665" s="2"/>
      <c r="I665" s="2"/>
      <c r="J665" s="2"/>
      <c r="K665" s="158"/>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row>
    <row r="666" spans="1:87" ht="14.25" customHeight="1">
      <c r="A666" s="2"/>
      <c r="B666" s="2"/>
      <c r="C666" s="2"/>
      <c r="D666" s="2"/>
      <c r="E666" s="2"/>
      <c r="F666" s="2"/>
      <c r="G666" s="2"/>
      <c r="H666" s="2"/>
      <c r="I666" s="2"/>
      <c r="J666" s="2"/>
      <c r="K666" s="158"/>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row>
    <row r="667" spans="1:87" ht="14.25" customHeight="1">
      <c r="A667" s="2"/>
      <c r="B667" s="2"/>
      <c r="C667" s="2"/>
      <c r="D667" s="2"/>
      <c r="E667" s="2"/>
      <c r="F667" s="2"/>
      <c r="G667" s="2"/>
      <c r="H667" s="2"/>
      <c r="I667" s="2"/>
      <c r="J667" s="2"/>
      <c r="K667" s="158"/>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row>
    <row r="668" spans="1:87" ht="14.25" customHeight="1">
      <c r="A668" s="2"/>
      <c r="B668" s="2"/>
      <c r="C668" s="2"/>
      <c r="D668" s="2"/>
      <c r="E668" s="2"/>
      <c r="F668" s="2"/>
      <c r="G668" s="2"/>
      <c r="H668" s="2"/>
      <c r="I668" s="2"/>
      <c r="J668" s="2"/>
      <c r="K668" s="158"/>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row>
    <row r="669" spans="1:87" ht="14.25" customHeight="1">
      <c r="A669" s="2"/>
      <c r="B669" s="2"/>
      <c r="C669" s="2"/>
      <c r="D669" s="2"/>
      <c r="E669" s="2"/>
      <c r="F669" s="2"/>
      <c r="G669" s="2"/>
      <c r="H669" s="2"/>
      <c r="I669" s="2"/>
      <c r="J669" s="2"/>
      <c r="K669" s="158"/>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row>
    <row r="670" spans="1:87" ht="14.25" customHeight="1">
      <c r="A670" s="2"/>
      <c r="B670" s="2"/>
      <c r="C670" s="2"/>
      <c r="D670" s="2"/>
      <c r="E670" s="2"/>
      <c r="F670" s="2"/>
      <c r="G670" s="2"/>
      <c r="H670" s="2"/>
      <c r="I670" s="2"/>
      <c r="J670" s="2"/>
      <c r="K670" s="158"/>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row>
    <row r="671" spans="1:87" ht="14.25" customHeight="1">
      <c r="A671" s="2"/>
      <c r="B671" s="2"/>
      <c r="C671" s="2"/>
      <c r="D671" s="2"/>
      <c r="E671" s="2"/>
      <c r="F671" s="2"/>
      <c r="G671" s="2"/>
      <c r="H671" s="2"/>
      <c r="I671" s="2"/>
      <c r="J671" s="2"/>
      <c r="K671" s="158"/>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row>
    <row r="672" spans="1:87" ht="14.25" customHeight="1">
      <c r="A672" s="2"/>
      <c r="B672" s="2"/>
      <c r="C672" s="2"/>
      <c r="D672" s="2"/>
      <c r="E672" s="2"/>
      <c r="F672" s="2"/>
      <c r="G672" s="2"/>
      <c r="H672" s="2"/>
      <c r="I672" s="2"/>
      <c r="J672" s="2"/>
      <c r="K672" s="158"/>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row>
    <row r="673" spans="1:87" ht="14.25" customHeight="1">
      <c r="A673" s="2"/>
      <c r="B673" s="2"/>
      <c r="C673" s="2"/>
      <c r="D673" s="2"/>
      <c r="E673" s="2"/>
      <c r="F673" s="2"/>
      <c r="G673" s="2"/>
      <c r="H673" s="2"/>
      <c r="I673" s="2"/>
      <c r="J673" s="2"/>
      <c r="K673" s="158"/>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row>
    <row r="674" spans="1:87" ht="14.25" customHeight="1">
      <c r="A674" s="2"/>
      <c r="B674" s="2"/>
      <c r="C674" s="2"/>
      <c r="D674" s="2"/>
      <c r="E674" s="2"/>
      <c r="F674" s="2"/>
      <c r="G674" s="2"/>
      <c r="H674" s="2"/>
      <c r="I674" s="2"/>
      <c r="J674" s="2"/>
      <c r="K674" s="158"/>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row>
    <row r="675" spans="1:87" ht="14.25" customHeight="1">
      <c r="A675" s="2"/>
      <c r="B675" s="2"/>
      <c r="C675" s="2"/>
      <c r="D675" s="2"/>
      <c r="E675" s="2"/>
      <c r="F675" s="2"/>
      <c r="G675" s="2"/>
      <c r="H675" s="2"/>
      <c r="I675" s="2"/>
      <c r="J675" s="2"/>
      <c r="K675" s="158"/>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row>
    <row r="676" spans="1:87" ht="14.25" customHeight="1">
      <c r="A676" s="2"/>
      <c r="B676" s="2"/>
      <c r="C676" s="2"/>
      <c r="D676" s="2"/>
      <c r="E676" s="2"/>
      <c r="F676" s="2"/>
      <c r="G676" s="2"/>
      <c r="H676" s="2"/>
      <c r="I676" s="2"/>
      <c r="J676" s="2"/>
      <c r="K676" s="158"/>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row>
    <row r="677" spans="1:87" ht="14.25" customHeight="1">
      <c r="A677" s="2"/>
      <c r="B677" s="2"/>
      <c r="C677" s="2"/>
      <c r="D677" s="2"/>
      <c r="E677" s="2"/>
      <c r="F677" s="2"/>
      <c r="G677" s="2"/>
      <c r="H677" s="2"/>
      <c r="I677" s="2"/>
      <c r="J677" s="2"/>
      <c r="K677" s="158"/>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row>
    <row r="678" spans="1:87" ht="14.25" customHeight="1">
      <c r="A678" s="2"/>
      <c r="B678" s="2"/>
      <c r="C678" s="2"/>
      <c r="D678" s="2"/>
      <c r="E678" s="2"/>
      <c r="F678" s="2"/>
      <c r="G678" s="2"/>
      <c r="H678" s="2"/>
      <c r="I678" s="2"/>
      <c r="J678" s="2"/>
      <c r="K678" s="158"/>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row>
    <row r="679" spans="1:87" ht="14.25" customHeight="1">
      <c r="A679" s="2"/>
      <c r="B679" s="2"/>
      <c r="C679" s="2"/>
      <c r="D679" s="2"/>
      <c r="E679" s="2"/>
      <c r="F679" s="2"/>
      <c r="G679" s="2"/>
      <c r="H679" s="2"/>
      <c r="I679" s="2"/>
      <c r="J679" s="2"/>
      <c r="K679" s="158"/>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row>
    <row r="680" spans="1:87" ht="14.25" customHeight="1">
      <c r="A680" s="2"/>
      <c r="B680" s="2"/>
      <c r="C680" s="2"/>
      <c r="D680" s="2"/>
      <c r="E680" s="2"/>
      <c r="F680" s="2"/>
      <c r="G680" s="2"/>
      <c r="H680" s="2"/>
      <c r="I680" s="2"/>
      <c r="J680" s="2"/>
      <c r="K680" s="158"/>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row>
    <row r="681" spans="1:87" ht="14.25" customHeight="1">
      <c r="A681" s="2"/>
      <c r="B681" s="2"/>
      <c r="C681" s="2"/>
      <c r="D681" s="2"/>
      <c r="E681" s="2"/>
      <c r="F681" s="2"/>
      <c r="G681" s="2"/>
      <c r="H681" s="2"/>
      <c r="I681" s="2"/>
      <c r="J681" s="2"/>
      <c r="K681" s="158"/>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row>
    <row r="682" spans="1:87" ht="14.25" customHeight="1">
      <c r="A682" s="2"/>
      <c r="B682" s="2"/>
      <c r="C682" s="2"/>
      <c r="D682" s="2"/>
      <c r="E682" s="2"/>
      <c r="F682" s="2"/>
      <c r="G682" s="2"/>
      <c r="H682" s="2"/>
      <c r="I682" s="2"/>
      <c r="J682" s="2"/>
      <c r="K682" s="158"/>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row>
    <row r="683" spans="1:87" ht="14.25" customHeight="1">
      <c r="A683" s="2"/>
      <c r="B683" s="2"/>
      <c r="C683" s="2"/>
      <c r="D683" s="2"/>
      <c r="E683" s="2"/>
      <c r="F683" s="2"/>
      <c r="G683" s="2"/>
      <c r="H683" s="2"/>
      <c r="I683" s="2"/>
      <c r="J683" s="2"/>
      <c r="K683" s="158"/>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row>
    <row r="684" spans="1:87" ht="14.25" customHeight="1">
      <c r="A684" s="2"/>
      <c r="B684" s="2"/>
      <c r="C684" s="2"/>
      <c r="D684" s="2"/>
      <c r="E684" s="2"/>
      <c r="F684" s="2"/>
      <c r="G684" s="2"/>
      <c r="H684" s="2"/>
      <c r="I684" s="2"/>
      <c r="J684" s="2"/>
      <c r="K684" s="158"/>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row>
    <row r="685" spans="1:87" ht="14.25" customHeight="1">
      <c r="A685" s="2"/>
      <c r="B685" s="2"/>
      <c r="C685" s="2"/>
      <c r="D685" s="2"/>
      <c r="E685" s="2"/>
      <c r="F685" s="2"/>
      <c r="G685" s="2"/>
      <c r="H685" s="2"/>
      <c r="I685" s="2"/>
      <c r="J685" s="2"/>
      <c r="K685" s="158"/>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row>
    <row r="686" spans="1:87" ht="14.25" customHeight="1">
      <c r="A686" s="2"/>
      <c r="B686" s="2"/>
      <c r="C686" s="2"/>
      <c r="D686" s="2"/>
      <c r="E686" s="2"/>
      <c r="F686" s="2"/>
      <c r="G686" s="2"/>
      <c r="H686" s="2"/>
      <c r="I686" s="2"/>
      <c r="J686" s="2"/>
      <c r="K686" s="158"/>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row>
    <row r="687" spans="1:87" ht="14.25" customHeight="1">
      <c r="A687" s="2"/>
      <c r="B687" s="2"/>
      <c r="C687" s="2"/>
      <c r="D687" s="2"/>
      <c r="E687" s="2"/>
      <c r="F687" s="2"/>
      <c r="G687" s="2"/>
      <c r="H687" s="2"/>
      <c r="I687" s="2"/>
      <c r="J687" s="2"/>
      <c r="K687" s="158"/>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row>
    <row r="688" spans="1:87" ht="14.25" customHeight="1">
      <c r="A688" s="2"/>
      <c r="B688" s="2"/>
      <c r="C688" s="2"/>
      <c r="D688" s="2"/>
      <c r="E688" s="2"/>
      <c r="F688" s="2"/>
      <c r="G688" s="2"/>
      <c r="H688" s="2"/>
      <c r="I688" s="2"/>
      <c r="J688" s="2"/>
      <c r="K688" s="158"/>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row>
    <row r="689" spans="1:87" ht="14.25" customHeight="1">
      <c r="A689" s="2"/>
      <c r="B689" s="2"/>
      <c r="C689" s="2"/>
      <c r="D689" s="2"/>
      <c r="E689" s="2"/>
      <c r="F689" s="2"/>
      <c r="G689" s="2"/>
      <c r="H689" s="2"/>
      <c r="I689" s="2"/>
      <c r="J689" s="2"/>
      <c r="K689" s="158"/>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row>
    <row r="690" spans="1:87" ht="14.25" customHeight="1">
      <c r="A690" s="2"/>
      <c r="B690" s="2"/>
      <c r="C690" s="2"/>
      <c r="D690" s="2"/>
      <c r="E690" s="2"/>
      <c r="F690" s="2"/>
      <c r="G690" s="2"/>
      <c r="H690" s="2"/>
      <c r="I690" s="2"/>
      <c r="J690" s="2"/>
      <c r="K690" s="158"/>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row>
    <row r="691" spans="1:87" ht="14.25" customHeight="1">
      <c r="A691" s="2"/>
      <c r="B691" s="2"/>
      <c r="C691" s="2"/>
      <c r="D691" s="2"/>
      <c r="E691" s="2"/>
      <c r="F691" s="2"/>
      <c r="G691" s="2"/>
      <c r="H691" s="2"/>
      <c r="I691" s="2"/>
      <c r="J691" s="2"/>
      <c r="K691" s="158"/>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row>
    <row r="692" spans="1:87" ht="14.25" customHeight="1">
      <c r="A692" s="2"/>
      <c r="B692" s="2"/>
      <c r="C692" s="2"/>
      <c r="D692" s="2"/>
      <c r="E692" s="2"/>
      <c r="F692" s="2"/>
      <c r="G692" s="2"/>
      <c r="H692" s="2"/>
      <c r="I692" s="2"/>
      <c r="J692" s="2"/>
      <c r="K692" s="158"/>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row>
    <row r="693" spans="1:87" ht="14.25" customHeight="1">
      <c r="A693" s="2"/>
      <c r="B693" s="2"/>
      <c r="C693" s="2"/>
      <c r="D693" s="2"/>
      <c r="E693" s="2"/>
      <c r="F693" s="2"/>
      <c r="G693" s="2"/>
      <c r="H693" s="2"/>
      <c r="I693" s="2"/>
      <c r="J693" s="2"/>
      <c r="K693" s="158"/>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row>
    <row r="694" spans="1:87" ht="14.25" customHeight="1">
      <c r="A694" s="2"/>
      <c r="B694" s="2"/>
      <c r="C694" s="2"/>
      <c r="D694" s="2"/>
      <c r="E694" s="2"/>
      <c r="F694" s="2"/>
      <c r="G694" s="2"/>
      <c r="H694" s="2"/>
      <c r="I694" s="2"/>
      <c r="J694" s="2"/>
      <c r="K694" s="158"/>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row>
    <row r="695" spans="1:87" ht="14.25" customHeight="1">
      <c r="A695" s="2"/>
      <c r="B695" s="2"/>
      <c r="C695" s="2"/>
      <c r="D695" s="2"/>
      <c r="E695" s="2"/>
      <c r="F695" s="2"/>
      <c r="G695" s="2"/>
      <c r="H695" s="2"/>
      <c r="I695" s="2"/>
      <c r="J695" s="2"/>
      <c r="K695" s="158"/>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row>
    <row r="696" spans="1:87" ht="14.25" customHeight="1">
      <c r="A696" s="2"/>
      <c r="B696" s="2"/>
      <c r="C696" s="2"/>
      <c r="D696" s="2"/>
      <c r="E696" s="2"/>
      <c r="F696" s="2"/>
      <c r="G696" s="2"/>
      <c r="H696" s="2"/>
      <c r="I696" s="2"/>
      <c r="J696" s="2"/>
      <c r="K696" s="158"/>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row>
    <row r="697" spans="1:87" ht="14.25" customHeight="1">
      <c r="A697" s="2"/>
      <c r="B697" s="2"/>
      <c r="C697" s="2"/>
      <c r="D697" s="2"/>
      <c r="E697" s="2"/>
      <c r="F697" s="2"/>
      <c r="G697" s="2"/>
      <c r="H697" s="2"/>
      <c r="I697" s="2"/>
      <c r="J697" s="2"/>
      <c r="K697" s="158"/>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row>
    <row r="698" spans="1:87" ht="14.25" customHeight="1">
      <c r="A698" s="2"/>
      <c r="B698" s="2"/>
      <c r="C698" s="2"/>
      <c r="D698" s="2"/>
      <c r="E698" s="2"/>
      <c r="F698" s="2"/>
      <c r="G698" s="2"/>
      <c r="H698" s="2"/>
      <c r="I698" s="2"/>
      <c r="J698" s="2"/>
      <c r="K698" s="158"/>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row>
    <row r="699" spans="1:87" ht="14.25" customHeight="1">
      <c r="A699" s="2"/>
      <c r="B699" s="2"/>
      <c r="C699" s="2"/>
      <c r="D699" s="2"/>
      <c r="E699" s="2"/>
      <c r="F699" s="2"/>
      <c r="G699" s="2"/>
      <c r="H699" s="2"/>
      <c r="I699" s="2"/>
      <c r="J699" s="2"/>
      <c r="K699" s="158"/>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row>
    <row r="700" spans="1:87" ht="14.25" customHeight="1">
      <c r="A700" s="2"/>
      <c r="B700" s="2"/>
      <c r="C700" s="2"/>
      <c r="D700" s="2"/>
      <c r="E700" s="2"/>
      <c r="F700" s="2"/>
      <c r="G700" s="2"/>
      <c r="H700" s="2"/>
      <c r="I700" s="2"/>
      <c r="J700" s="2"/>
      <c r="K700" s="158"/>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row>
    <row r="701" spans="1:87" ht="14.25" customHeight="1">
      <c r="A701" s="2"/>
      <c r="B701" s="2"/>
      <c r="C701" s="2"/>
      <c r="D701" s="2"/>
      <c r="E701" s="2"/>
      <c r="F701" s="2"/>
      <c r="G701" s="2"/>
      <c r="H701" s="2"/>
      <c r="I701" s="2"/>
      <c r="J701" s="2"/>
      <c r="K701" s="158"/>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row>
    <row r="702" spans="1:87" ht="14.25" customHeight="1">
      <c r="A702" s="2"/>
      <c r="B702" s="2"/>
      <c r="C702" s="2"/>
      <c r="D702" s="2"/>
      <c r="E702" s="2"/>
      <c r="F702" s="2"/>
      <c r="G702" s="2"/>
      <c r="H702" s="2"/>
      <c r="I702" s="2"/>
      <c r="J702" s="2"/>
      <c r="K702" s="158"/>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row>
    <row r="703" spans="1:87" ht="14.25" customHeight="1">
      <c r="A703" s="2"/>
      <c r="B703" s="2"/>
      <c r="C703" s="2"/>
      <c r="D703" s="2"/>
      <c r="E703" s="2"/>
      <c r="F703" s="2"/>
      <c r="G703" s="2"/>
      <c r="H703" s="2"/>
      <c r="I703" s="2"/>
      <c r="J703" s="2"/>
      <c r="K703" s="158"/>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row>
    <row r="704" spans="1:87" ht="14.25" customHeight="1">
      <c r="A704" s="2"/>
      <c r="B704" s="2"/>
      <c r="C704" s="2"/>
      <c r="D704" s="2"/>
      <c r="E704" s="2"/>
      <c r="F704" s="2"/>
      <c r="G704" s="2"/>
      <c r="H704" s="2"/>
      <c r="I704" s="2"/>
      <c r="J704" s="2"/>
      <c r="K704" s="158"/>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row>
    <row r="705" spans="1:87" ht="14.25" customHeight="1">
      <c r="A705" s="2"/>
      <c r="B705" s="2"/>
      <c r="C705" s="2"/>
      <c r="D705" s="2"/>
      <c r="E705" s="2"/>
      <c r="F705" s="2"/>
      <c r="G705" s="2"/>
      <c r="H705" s="2"/>
      <c r="I705" s="2"/>
      <c r="J705" s="2"/>
      <c r="K705" s="158"/>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row>
    <row r="706" spans="1:87" ht="14.25" customHeight="1">
      <c r="A706" s="2"/>
      <c r="B706" s="2"/>
      <c r="C706" s="2"/>
      <c r="D706" s="2"/>
      <c r="E706" s="2"/>
      <c r="F706" s="2"/>
      <c r="G706" s="2"/>
      <c r="H706" s="2"/>
      <c r="I706" s="2"/>
      <c r="J706" s="2"/>
      <c r="K706" s="158"/>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row>
    <row r="707" spans="1:87" ht="14.25" customHeight="1">
      <c r="A707" s="2"/>
      <c r="B707" s="2"/>
      <c r="C707" s="2"/>
      <c r="D707" s="2"/>
      <c r="E707" s="2"/>
      <c r="F707" s="2"/>
      <c r="G707" s="2"/>
      <c r="H707" s="2"/>
      <c r="I707" s="2"/>
      <c r="J707" s="2"/>
      <c r="K707" s="158"/>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row>
    <row r="708" spans="1:87" ht="14.25" customHeight="1">
      <c r="A708" s="2"/>
      <c r="B708" s="2"/>
      <c r="C708" s="2"/>
      <c r="D708" s="2"/>
      <c r="E708" s="2"/>
      <c r="F708" s="2"/>
      <c r="G708" s="2"/>
      <c r="H708" s="2"/>
      <c r="I708" s="2"/>
      <c r="J708" s="2"/>
      <c r="K708" s="158"/>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row>
    <row r="709" spans="1:87" ht="14.25" customHeight="1">
      <c r="A709" s="2"/>
      <c r="B709" s="2"/>
      <c r="C709" s="2"/>
      <c r="D709" s="2"/>
      <c r="E709" s="2"/>
      <c r="F709" s="2"/>
      <c r="G709" s="2"/>
      <c r="H709" s="2"/>
      <c r="I709" s="2"/>
      <c r="J709" s="2"/>
      <c r="K709" s="158"/>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row>
    <row r="710" spans="1:87" ht="14.25" customHeight="1">
      <c r="A710" s="2"/>
      <c r="B710" s="2"/>
      <c r="C710" s="2"/>
      <c r="D710" s="2"/>
      <c r="E710" s="2"/>
      <c r="F710" s="2"/>
      <c r="G710" s="2"/>
      <c r="H710" s="2"/>
      <c r="I710" s="2"/>
      <c r="J710" s="2"/>
      <c r="K710" s="158"/>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row>
    <row r="711" spans="1:87" ht="14.25" customHeight="1">
      <c r="A711" s="2"/>
      <c r="B711" s="2"/>
      <c r="C711" s="2"/>
      <c r="D711" s="2"/>
      <c r="E711" s="2"/>
      <c r="F711" s="2"/>
      <c r="G711" s="2"/>
      <c r="H711" s="2"/>
      <c r="I711" s="2"/>
      <c r="J711" s="2"/>
      <c r="K711" s="158"/>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row>
    <row r="712" spans="1:87" ht="14.25" customHeight="1">
      <c r="A712" s="2"/>
      <c r="B712" s="2"/>
      <c r="C712" s="2"/>
      <c r="D712" s="2"/>
      <c r="E712" s="2"/>
      <c r="F712" s="2"/>
      <c r="G712" s="2"/>
      <c r="H712" s="2"/>
      <c r="I712" s="2"/>
      <c r="J712" s="2"/>
      <c r="K712" s="158"/>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row>
    <row r="713" spans="1:87" ht="14.25" customHeight="1">
      <c r="A713" s="2"/>
      <c r="B713" s="2"/>
      <c r="C713" s="2"/>
      <c r="D713" s="2"/>
      <c r="E713" s="2"/>
      <c r="F713" s="2"/>
      <c r="G713" s="2"/>
      <c r="H713" s="2"/>
      <c r="I713" s="2"/>
      <c r="J713" s="2"/>
      <c r="K713" s="158"/>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row>
    <row r="714" spans="1:87" ht="14.25" customHeight="1">
      <c r="A714" s="2"/>
      <c r="B714" s="2"/>
      <c r="C714" s="2"/>
      <c r="D714" s="2"/>
      <c r="E714" s="2"/>
      <c r="F714" s="2"/>
      <c r="G714" s="2"/>
      <c r="H714" s="2"/>
      <c r="I714" s="2"/>
      <c r="J714" s="2"/>
      <c r="K714" s="158"/>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row>
    <row r="715" spans="1:87" ht="14.25" customHeight="1">
      <c r="A715" s="2"/>
      <c r="B715" s="2"/>
      <c r="C715" s="2"/>
      <c r="D715" s="2"/>
      <c r="E715" s="2"/>
      <c r="F715" s="2"/>
      <c r="G715" s="2"/>
      <c r="H715" s="2"/>
      <c r="I715" s="2"/>
      <c r="J715" s="2"/>
      <c r="K715" s="158"/>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row>
    <row r="716" spans="1:87" ht="14.25" customHeight="1">
      <c r="A716" s="2"/>
      <c r="B716" s="2"/>
      <c r="C716" s="2"/>
      <c r="D716" s="2"/>
      <c r="E716" s="2"/>
      <c r="F716" s="2"/>
      <c r="G716" s="2"/>
      <c r="H716" s="2"/>
      <c r="I716" s="2"/>
      <c r="J716" s="2"/>
      <c r="K716" s="158"/>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row>
    <row r="717" spans="1:87" ht="14.25" customHeight="1">
      <c r="A717" s="2"/>
      <c r="B717" s="2"/>
      <c r="C717" s="2"/>
      <c r="D717" s="2"/>
      <c r="E717" s="2"/>
      <c r="F717" s="2"/>
      <c r="G717" s="2"/>
      <c r="H717" s="2"/>
      <c r="I717" s="2"/>
      <c r="J717" s="2"/>
      <c r="K717" s="158"/>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row>
    <row r="718" spans="1:87" ht="14.25" customHeight="1">
      <c r="A718" s="2"/>
      <c r="B718" s="2"/>
      <c r="C718" s="2"/>
      <c r="D718" s="2"/>
      <c r="E718" s="2"/>
      <c r="F718" s="2"/>
      <c r="G718" s="2"/>
      <c r="H718" s="2"/>
      <c r="I718" s="2"/>
      <c r="J718" s="2"/>
      <c r="K718" s="158"/>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row>
    <row r="719" spans="1:87" ht="14.25" customHeight="1">
      <c r="A719" s="2"/>
      <c r="B719" s="2"/>
      <c r="C719" s="2"/>
      <c r="D719" s="2"/>
      <c r="E719" s="2"/>
      <c r="F719" s="2"/>
      <c r="G719" s="2"/>
      <c r="H719" s="2"/>
      <c r="I719" s="2"/>
      <c r="J719" s="2"/>
      <c r="K719" s="158"/>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row>
    <row r="720" spans="1:87" ht="14.25" customHeight="1">
      <c r="A720" s="2"/>
      <c r="B720" s="2"/>
      <c r="C720" s="2"/>
      <c r="D720" s="2"/>
      <c r="E720" s="2"/>
      <c r="F720" s="2"/>
      <c r="G720" s="2"/>
      <c r="H720" s="2"/>
      <c r="I720" s="2"/>
      <c r="J720" s="2"/>
      <c r="K720" s="158"/>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row>
    <row r="721" spans="1:87" ht="14.25" customHeight="1">
      <c r="A721" s="2"/>
      <c r="B721" s="2"/>
      <c r="C721" s="2"/>
      <c r="D721" s="2"/>
      <c r="E721" s="2"/>
      <c r="F721" s="2"/>
      <c r="G721" s="2"/>
      <c r="H721" s="2"/>
      <c r="I721" s="2"/>
      <c r="J721" s="2"/>
      <c r="K721" s="158"/>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row>
    <row r="722" spans="1:87" ht="14.25" customHeight="1">
      <c r="A722" s="2"/>
      <c r="B722" s="2"/>
      <c r="C722" s="2"/>
      <c r="D722" s="2"/>
      <c r="E722" s="2"/>
      <c r="F722" s="2"/>
      <c r="G722" s="2"/>
      <c r="H722" s="2"/>
      <c r="I722" s="2"/>
      <c r="J722" s="2"/>
      <c r="K722" s="158"/>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row>
    <row r="723" spans="1:87" ht="14.25" customHeight="1">
      <c r="A723" s="2"/>
      <c r="B723" s="2"/>
      <c r="C723" s="2"/>
      <c r="D723" s="2"/>
      <c r="E723" s="2"/>
      <c r="F723" s="2"/>
      <c r="G723" s="2"/>
      <c r="H723" s="2"/>
      <c r="I723" s="2"/>
      <c r="J723" s="2"/>
      <c r="K723" s="158"/>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row>
    <row r="724" spans="1:87" ht="14.25" customHeight="1">
      <c r="A724" s="2"/>
      <c r="B724" s="2"/>
      <c r="C724" s="2"/>
      <c r="D724" s="2"/>
      <c r="E724" s="2"/>
      <c r="F724" s="2"/>
      <c r="G724" s="2"/>
      <c r="H724" s="2"/>
      <c r="I724" s="2"/>
      <c r="J724" s="2"/>
      <c r="K724" s="158"/>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row>
    <row r="725" spans="1:87" ht="14.25" customHeight="1">
      <c r="A725" s="2"/>
      <c r="B725" s="2"/>
      <c r="C725" s="2"/>
      <c r="D725" s="2"/>
      <c r="E725" s="2"/>
      <c r="F725" s="2"/>
      <c r="G725" s="2"/>
      <c r="H725" s="2"/>
      <c r="I725" s="2"/>
      <c r="J725" s="2"/>
      <c r="K725" s="158"/>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row>
    <row r="726" spans="1:87" ht="14.25" customHeight="1">
      <c r="A726" s="2"/>
      <c r="B726" s="2"/>
      <c r="C726" s="2"/>
      <c r="D726" s="2"/>
      <c r="E726" s="2"/>
      <c r="F726" s="2"/>
      <c r="G726" s="2"/>
      <c r="H726" s="2"/>
      <c r="I726" s="2"/>
      <c r="J726" s="2"/>
      <c r="K726" s="158"/>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row>
    <row r="727" spans="1:87" ht="14.25" customHeight="1">
      <c r="A727" s="2"/>
      <c r="B727" s="2"/>
      <c r="C727" s="2"/>
      <c r="D727" s="2"/>
      <c r="E727" s="2"/>
      <c r="F727" s="2"/>
      <c r="G727" s="2"/>
      <c r="H727" s="2"/>
      <c r="I727" s="2"/>
      <c r="J727" s="2"/>
      <c r="K727" s="158"/>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row>
    <row r="728" spans="1:87" ht="14.25" customHeight="1">
      <c r="A728" s="2"/>
      <c r="B728" s="2"/>
      <c r="C728" s="2"/>
      <c r="D728" s="2"/>
      <c r="E728" s="2"/>
      <c r="F728" s="2"/>
      <c r="G728" s="2"/>
      <c r="H728" s="2"/>
      <c r="I728" s="2"/>
      <c r="J728" s="2"/>
      <c r="K728" s="158"/>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row>
    <row r="729" spans="1:87" ht="14.25" customHeight="1">
      <c r="A729" s="2"/>
      <c r="B729" s="2"/>
      <c r="C729" s="2"/>
      <c r="D729" s="2"/>
      <c r="E729" s="2"/>
      <c r="F729" s="2"/>
      <c r="G729" s="2"/>
      <c r="H729" s="2"/>
      <c r="I729" s="2"/>
      <c r="J729" s="2"/>
      <c r="K729" s="158"/>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row>
    <row r="730" spans="1:87" ht="14.25" customHeight="1">
      <c r="A730" s="2"/>
      <c r="B730" s="2"/>
      <c r="C730" s="2"/>
      <c r="D730" s="2"/>
      <c r="E730" s="2"/>
      <c r="F730" s="2"/>
      <c r="G730" s="2"/>
      <c r="H730" s="2"/>
      <c r="I730" s="2"/>
      <c r="J730" s="2"/>
      <c r="K730" s="158"/>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row>
    <row r="731" spans="1:87" ht="14.25" customHeight="1">
      <c r="A731" s="2"/>
      <c r="B731" s="2"/>
      <c r="C731" s="2"/>
      <c r="D731" s="2"/>
      <c r="E731" s="2"/>
      <c r="F731" s="2"/>
      <c r="G731" s="2"/>
      <c r="H731" s="2"/>
      <c r="I731" s="2"/>
      <c r="J731" s="2"/>
      <c r="K731" s="158"/>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row>
    <row r="732" spans="1:87" ht="14.25" customHeight="1">
      <c r="A732" s="2"/>
      <c r="B732" s="2"/>
      <c r="C732" s="2"/>
      <c r="D732" s="2"/>
      <c r="E732" s="2"/>
      <c r="F732" s="2"/>
      <c r="G732" s="2"/>
      <c r="H732" s="2"/>
      <c r="I732" s="2"/>
      <c r="J732" s="2"/>
      <c r="K732" s="158"/>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row>
    <row r="733" spans="1:87" ht="14.25" customHeight="1">
      <c r="A733" s="2"/>
      <c r="B733" s="2"/>
      <c r="C733" s="2"/>
      <c r="D733" s="2"/>
      <c r="E733" s="2"/>
      <c r="F733" s="2"/>
      <c r="G733" s="2"/>
      <c r="H733" s="2"/>
      <c r="I733" s="2"/>
      <c r="J733" s="2"/>
      <c r="K733" s="158"/>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row>
    <row r="734" spans="1:87" ht="14.25" customHeight="1">
      <c r="A734" s="2"/>
      <c r="B734" s="2"/>
      <c r="C734" s="2"/>
      <c r="D734" s="2"/>
      <c r="E734" s="2"/>
      <c r="F734" s="2"/>
      <c r="G734" s="2"/>
      <c r="H734" s="2"/>
      <c r="I734" s="2"/>
      <c r="J734" s="2"/>
      <c r="K734" s="158"/>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row>
    <row r="735" spans="1:87" ht="14.25" customHeight="1">
      <c r="A735" s="2"/>
      <c r="B735" s="2"/>
      <c r="C735" s="2"/>
      <c r="D735" s="2"/>
      <c r="E735" s="2"/>
      <c r="F735" s="2"/>
      <c r="G735" s="2"/>
      <c r="H735" s="2"/>
      <c r="I735" s="2"/>
      <c r="J735" s="2"/>
      <c r="K735" s="158"/>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row>
    <row r="736" spans="1:87" ht="14.25" customHeight="1">
      <c r="A736" s="2"/>
      <c r="B736" s="2"/>
      <c r="C736" s="2"/>
      <c r="D736" s="2"/>
      <c r="E736" s="2"/>
      <c r="F736" s="2"/>
      <c r="G736" s="2"/>
      <c r="H736" s="2"/>
      <c r="I736" s="2"/>
      <c r="J736" s="2"/>
      <c r="K736" s="158"/>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row>
    <row r="737" spans="1:87" ht="14.25" customHeight="1">
      <c r="A737" s="2"/>
      <c r="B737" s="2"/>
      <c r="C737" s="2"/>
      <c r="D737" s="2"/>
      <c r="E737" s="2"/>
      <c r="F737" s="2"/>
      <c r="G737" s="2"/>
      <c r="H737" s="2"/>
      <c r="I737" s="2"/>
      <c r="J737" s="2"/>
      <c r="K737" s="158"/>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row>
    <row r="738" spans="1:87" ht="14.25" customHeight="1">
      <c r="A738" s="2"/>
      <c r="B738" s="2"/>
      <c r="C738" s="2"/>
      <c r="D738" s="2"/>
      <c r="E738" s="2"/>
      <c r="F738" s="2"/>
      <c r="G738" s="2"/>
      <c r="H738" s="2"/>
      <c r="I738" s="2"/>
      <c r="J738" s="2"/>
      <c r="K738" s="158"/>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row>
    <row r="739" spans="1:87" ht="14.25" customHeight="1">
      <c r="A739" s="2"/>
      <c r="B739" s="2"/>
      <c r="C739" s="2"/>
      <c r="D739" s="2"/>
      <c r="E739" s="2"/>
      <c r="F739" s="2"/>
      <c r="G739" s="2"/>
      <c r="H739" s="2"/>
      <c r="I739" s="2"/>
      <c r="J739" s="2"/>
      <c r="K739" s="158"/>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row>
    <row r="740" spans="1:87" ht="14.25" customHeight="1">
      <c r="A740" s="2"/>
      <c r="B740" s="2"/>
      <c r="C740" s="2"/>
      <c r="D740" s="2"/>
      <c r="E740" s="2"/>
      <c r="F740" s="2"/>
      <c r="G740" s="2"/>
      <c r="H740" s="2"/>
      <c r="I740" s="2"/>
      <c r="J740" s="2"/>
      <c r="K740" s="158"/>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row>
    <row r="741" spans="1:87" ht="14.25" customHeight="1">
      <c r="A741" s="2"/>
      <c r="B741" s="2"/>
      <c r="C741" s="2"/>
      <c r="D741" s="2"/>
      <c r="E741" s="2"/>
      <c r="F741" s="2"/>
      <c r="G741" s="2"/>
      <c r="H741" s="2"/>
      <c r="I741" s="2"/>
      <c r="J741" s="2"/>
      <c r="K741" s="158"/>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row>
    <row r="742" spans="1:87" ht="14.25" customHeight="1">
      <c r="A742" s="2"/>
      <c r="B742" s="2"/>
      <c r="C742" s="2"/>
      <c r="D742" s="2"/>
      <c r="E742" s="2"/>
      <c r="F742" s="2"/>
      <c r="G742" s="2"/>
      <c r="H742" s="2"/>
      <c r="I742" s="2"/>
      <c r="J742" s="2"/>
      <c r="K742" s="158"/>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row>
    <row r="743" spans="1:87" ht="14.25" customHeight="1">
      <c r="A743" s="2"/>
      <c r="B743" s="2"/>
      <c r="C743" s="2"/>
      <c r="D743" s="2"/>
      <c r="E743" s="2"/>
      <c r="F743" s="2"/>
      <c r="G743" s="2"/>
      <c r="H743" s="2"/>
      <c r="I743" s="2"/>
      <c r="J743" s="2"/>
      <c r="K743" s="158"/>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row>
    <row r="744" spans="1:87" ht="14.25" customHeight="1">
      <c r="A744" s="2"/>
      <c r="B744" s="2"/>
      <c r="C744" s="2"/>
      <c r="D744" s="2"/>
      <c r="E744" s="2"/>
      <c r="F744" s="2"/>
      <c r="G744" s="2"/>
      <c r="H744" s="2"/>
      <c r="I744" s="2"/>
      <c r="J744" s="2"/>
      <c r="K744" s="158"/>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row>
    <row r="745" spans="1:87" ht="14.25" customHeight="1">
      <c r="A745" s="2"/>
      <c r="B745" s="2"/>
      <c r="C745" s="2"/>
      <c r="D745" s="2"/>
      <c r="E745" s="2"/>
      <c r="F745" s="2"/>
      <c r="G745" s="2"/>
      <c r="H745" s="2"/>
      <c r="I745" s="2"/>
      <c r="J745" s="2"/>
      <c r="K745" s="158"/>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row>
    <row r="746" spans="1:87" ht="14.25" customHeight="1">
      <c r="A746" s="2"/>
      <c r="B746" s="2"/>
      <c r="C746" s="2"/>
      <c r="D746" s="2"/>
      <c r="E746" s="2"/>
      <c r="F746" s="2"/>
      <c r="G746" s="2"/>
      <c r="H746" s="2"/>
      <c r="I746" s="2"/>
      <c r="J746" s="2"/>
      <c r="K746" s="158"/>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row>
    <row r="747" spans="1:87" ht="14.25" customHeight="1">
      <c r="A747" s="2"/>
      <c r="B747" s="2"/>
      <c r="C747" s="2"/>
      <c r="D747" s="2"/>
      <c r="E747" s="2"/>
      <c r="F747" s="2"/>
      <c r="G747" s="2"/>
      <c r="H747" s="2"/>
      <c r="I747" s="2"/>
      <c r="J747" s="2"/>
      <c r="K747" s="158"/>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row>
    <row r="748" spans="1:87" ht="14.25" customHeight="1">
      <c r="A748" s="2"/>
      <c r="B748" s="2"/>
      <c r="C748" s="2"/>
      <c r="D748" s="2"/>
      <c r="E748" s="2"/>
      <c r="F748" s="2"/>
      <c r="G748" s="2"/>
      <c r="H748" s="2"/>
      <c r="I748" s="2"/>
      <c r="J748" s="2"/>
      <c r="K748" s="158"/>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row>
    <row r="749" spans="1:87" ht="14.25" customHeight="1">
      <c r="A749" s="2"/>
      <c r="B749" s="2"/>
      <c r="C749" s="2"/>
      <c r="D749" s="2"/>
      <c r="E749" s="2"/>
      <c r="F749" s="2"/>
      <c r="G749" s="2"/>
      <c r="H749" s="2"/>
      <c r="I749" s="2"/>
      <c r="J749" s="2"/>
      <c r="K749" s="158"/>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row>
    <row r="750" spans="1:87" ht="14.25" customHeight="1">
      <c r="A750" s="2"/>
      <c r="B750" s="2"/>
      <c r="C750" s="2"/>
      <c r="D750" s="2"/>
      <c r="E750" s="2"/>
      <c r="F750" s="2"/>
      <c r="G750" s="2"/>
      <c r="H750" s="2"/>
      <c r="I750" s="2"/>
      <c r="J750" s="2"/>
      <c r="K750" s="158"/>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row>
    <row r="751" spans="1:87" ht="14.25" customHeight="1">
      <c r="A751" s="2"/>
      <c r="B751" s="2"/>
      <c r="C751" s="2"/>
      <c r="D751" s="2"/>
      <c r="E751" s="2"/>
      <c r="F751" s="2"/>
      <c r="G751" s="2"/>
      <c r="H751" s="2"/>
      <c r="I751" s="2"/>
      <c r="J751" s="2"/>
      <c r="K751" s="158"/>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row>
    <row r="752" spans="1:87" ht="14.25" customHeight="1">
      <c r="A752" s="2"/>
      <c r="B752" s="2"/>
      <c r="C752" s="2"/>
      <c r="D752" s="2"/>
      <c r="E752" s="2"/>
      <c r="F752" s="2"/>
      <c r="G752" s="2"/>
      <c r="H752" s="2"/>
      <c r="I752" s="2"/>
      <c r="J752" s="2"/>
      <c r="K752" s="158"/>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row>
    <row r="753" spans="1:87" ht="14.25" customHeight="1">
      <c r="A753" s="2"/>
      <c r="B753" s="2"/>
      <c r="C753" s="2"/>
      <c r="D753" s="2"/>
      <c r="E753" s="2"/>
      <c r="F753" s="2"/>
      <c r="G753" s="2"/>
      <c r="H753" s="2"/>
      <c r="I753" s="2"/>
      <c r="J753" s="2"/>
      <c r="K753" s="158"/>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row>
    <row r="754" spans="1:87" ht="14.25" customHeight="1">
      <c r="A754" s="2"/>
      <c r="B754" s="2"/>
      <c r="C754" s="2"/>
      <c r="D754" s="2"/>
      <c r="E754" s="2"/>
      <c r="F754" s="2"/>
      <c r="G754" s="2"/>
      <c r="H754" s="2"/>
      <c r="I754" s="2"/>
      <c r="J754" s="2"/>
      <c r="K754" s="158"/>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row>
    <row r="755" spans="1:87" ht="14.25" customHeight="1">
      <c r="A755" s="2"/>
      <c r="B755" s="2"/>
      <c r="C755" s="2"/>
      <c r="D755" s="2"/>
      <c r="E755" s="2"/>
      <c r="F755" s="2"/>
      <c r="G755" s="2"/>
      <c r="H755" s="2"/>
      <c r="I755" s="2"/>
      <c r="J755" s="2"/>
      <c r="K755" s="158"/>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row>
    <row r="756" spans="1:87" ht="14.25" customHeight="1">
      <c r="A756" s="2"/>
      <c r="B756" s="2"/>
      <c r="C756" s="2"/>
      <c r="D756" s="2"/>
      <c r="E756" s="2"/>
      <c r="F756" s="2"/>
      <c r="G756" s="2"/>
      <c r="H756" s="2"/>
      <c r="I756" s="2"/>
      <c r="J756" s="2"/>
      <c r="K756" s="158"/>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row>
    <row r="757" spans="1:87" ht="14.25" customHeight="1">
      <c r="A757" s="2"/>
      <c r="B757" s="2"/>
      <c r="C757" s="2"/>
      <c r="D757" s="2"/>
      <c r="E757" s="2"/>
      <c r="F757" s="2"/>
      <c r="G757" s="2"/>
      <c r="H757" s="2"/>
      <c r="I757" s="2"/>
      <c r="J757" s="2"/>
      <c r="K757" s="158"/>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row>
    <row r="758" spans="1:87" ht="14.25" customHeight="1">
      <c r="A758" s="2"/>
      <c r="B758" s="2"/>
      <c r="C758" s="2"/>
      <c r="D758" s="2"/>
      <c r="E758" s="2"/>
      <c r="F758" s="2"/>
      <c r="G758" s="2"/>
      <c r="H758" s="2"/>
      <c r="I758" s="2"/>
      <c r="J758" s="2"/>
      <c r="K758" s="158"/>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row>
    <row r="759" spans="1:87" ht="14.25" customHeight="1">
      <c r="A759" s="2"/>
      <c r="B759" s="2"/>
      <c r="C759" s="2"/>
      <c r="D759" s="2"/>
      <c r="E759" s="2"/>
      <c r="F759" s="2"/>
      <c r="G759" s="2"/>
      <c r="H759" s="2"/>
      <c r="I759" s="2"/>
      <c r="J759" s="2"/>
      <c r="K759" s="158"/>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row>
    <row r="760" spans="1:87" ht="14.25" customHeight="1">
      <c r="A760" s="2"/>
      <c r="B760" s="2"/>
      <c r="C760" s="2"/>
      <c r="D760" s="2"/>
      <c r="E760" s="2"/>
      <c r="F760" s="2"/>
      <c r="G760" s="2"/>
      <c r="H760" s="2"/>
      <c r="I760" s="2"/>
      <c r="J760" s="2"/>
      <c r="K760" s="158"/>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row>
    <row r="761" spans="1:87" ht="14.25" customHeight="1">
      <c r="A761" s="2"/>
      <c r="B761" s="2"/>
      <c r="C761" s="2"/>
      <c r="D761" s="2"/>
      <c r="E761" s="2"/>
      <c r="F761" s="2"/>
      <c r="G761" s="2"/>
      <c r="H761" s="2"/>
      <c r="I761" s="2"/>
      <c r="J761" s="2"/>
      <c r="K761" s="158"/>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row>
    <row r="762" spans="1:87" ht="14.25" customHeight="1">
      <c r="A762" s="2"/>
      <c r="B762" s="2"/>
      <c r="C762" s="2"/>
      <c r="D762" s="2"/>
      <c r="E762" s="2"/>
      <c r="F762" s="2"/>
      <c r="G762" s="2"/>
      <c r="H762" s="2"/>
      <c r="I762" s="2"/>
      <c r="J762" s="2"/>
      <c r="K762" s="158"/>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row>
    <row r="763" spans="1:87" ht="14.25" customHeight="1">
      <c r="A763" s="2"/>
      <c r="B763" s="2"/>
      <c r="C763" s="2"/>
      <c r="D763" s="2"/>
      <c r="E763" s="2"/>
      <c r="F763" s="2"/>
      <c r="G763" s="2"/>
      <c r="H763" s="2"/>
      <c r="I763" s="2"/>
      <c r="J763" s="2"/>
      <c r="K763" s="158"/>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row>
    <row r="764" spans="1:87" ht="14.25" customHeight="1">
      <c r="A764" s="2"/>
      <c r="B764" s="2"/>
      <c r="C764" s="2"/>
      <c r="D764" s="2"/>
      <c r="E764" s="2"/>
      <c r="F764" s="2"/>
      <c r="G764" s="2"/>
      <c r="H764" s="2"/>
      <c r="I764" s="2"/>
      <c r="J764" s="2"/>
      <c r="K764" s="158"/>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row>
    <row r="765" spans="1:87" ht="14.25" customHeight="1">
      <c r="A765" s="2"/>
      <c r="B765" s="2"/>
      <c r="C765" s="2"/>
      <c r="D765" s="2"/>
      <c r="E765" s="2"/>
      <c r="F765" s="2"/>
      <c r="G765" s="2"/>
      <c r="H765" s="2"/>
      <c r="I765" s="2"/>
      <c r="J765" s="2"/>
      <c r="K765" s="158"/>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row>
    <row r="766" spans="1:87" ht="14.25" customHeight="1">
      <c r="A766" s="2"/>
      <c r="B766" s="2"/>
      <c r="C766" s="2"/>
      <c r="D766" s="2"/>
      <c r="E766" s="2"/>
      <c r="F766" s="2"/>
      <c r="G766" s="2"/>
      <c r="H766" s="2"/>
      <c r="I766" s="2"/>
      <c r="J766" s="2"/>
      <c r="K766" s="158"/>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row>
    <row r="767" spans="1:87" ht="14.25" customHeight="1">
      <c r="A767" s="2"/>
      <c r="B767" s="2"/>
      <c r="C767" s="2"/>
      <c r="D767" s="2"/>
      <c r="E767" s="2"/>
      <c r="F767" s="2"/>
      <c r="G767" s="2"/>
      <c r="H767" s="2"/>
      <c r="I767" s="2"/>
      <c r="J767" s="2"/>
      <c r="K767" s="158"/>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row>
    <row r="768" spans="1:87" ht="14.25" customHeight="1">
      <c r="A768" s="2"/>
      <c r="B768" s="2"/>
      <c r="C768" s="2"/>
      <c r="D768" s="2"/>
      <c r="E768" s="2"/>
      <c r="F768" s="2"/>
      <c r="G768" s="2"/>
      <c r="H768" s="2"/>
      <c r="I768" s="2"/>
      <c r="J768" s="2"/>
      <c r="K768" s="158"/>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row>
    <row r="769" spans="1:87" ht="14.25" customHeight="1">
      <c r="A769" s="2"/>
      <c r="B769" s="2"/>
      <c r="C769" s="2"/>
      <c r="D769" s="2"/>
      <c r="E769" s="2"/>
      <c r="F769" s="2"/>
      <c r="G769" s="2"/>
      <c r="H769" s="2"/>
      <c r="I769" s="2"/>
      <c r="J769" s="2"/>
      <c r="K769" s="158"/>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row>
    <row r="770" spans="1:87" ht="14.25" customHeight="1">
      <c r="A770" s="2"/>
      <c r="B770" s="2"/>
      <c r="C770" s="2"/>
      <c r="D770" s="2"/>
      <c r="E770" s="2"/>
      <c r="F770" s="2"/>
      <c r="G770" s="2"/>
      <c r="H770" s="2"/>
      <c r="I770" s="2"/>
      <c r="J770" s="2"/>
      <c r="K770" s="158"/>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row>
    <row r="771" spans="1:87" ht="14.25" customHeight="1">
      <c r="A771" s="2"/>
      <c r="B771" s="2"/>
      <c r="C771" s="2"/>
      <c r="D771" s="2"/>
      <c r="E771" s="2"/>
      <c r="F771" s="2"/>
      <c r="G771" s="2"/>
      <c r="H771" s="2"/>
      <c r="I771" s="2"/>
      <c r="J771" s="2"/>
      <c r="K771" s="158"/>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row>
    <row r="772" spans="1:87" ht="14.25" customHeight="1">
      <c r="A772" s="2"/>
      <c r="B772" s="2"/>
      <c r="C772" s="2"/>
      <c r="D772" s="2"/>
      <c r="E772" s="2"/>
      <c r="F772" s="2"/>
      <c r="G772" s="2"/>
      <c r="H772" s="2"/>
      <c r="I772" s="2"/>
      <c r="J772" s="2"/>
      <c r="K772" s="158"/>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row>
    <row r="773" spans="1:87" ht="14.25" customHeight="1">
      <c r="A773" s="2"/>
      <c r="B773" s="2"/>
      <c r="C773" s="2"/>
      <c r="D773" s="2"/>
      <c r="E773" s="2"/>
      <c r="F773" s="2"/>
      <c r="G773" s="2"/>
      <c r="H773" s="2"/>
      <c r="I773" s="2"/>
      <c r="J773" s="2"/>
      <c r="K773" s="158"/>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row>
    <row r="774" spans="1:87" ht="14.25" customHeight="1">
      <c r="A774" s="2"/>
      <c r="B774" s="2"/>
      <c r="C774" s="2"/>
      <c r="D774" s="2"/>
      <c r="E774" s="2"/>
      <c r="F774" s="2"/>
      <c r="G774" s="2"/>
      <c r="H774" s="2"/>
      <c r="I774" s="2"/>
      <c r="J774" s="2"/>
      <c r="K774" s="158"/>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row>
    <row r="775" spans="1:87" ht="14.25" customHeight="1">
      <c r="A775" s="2"/>
      <c r="B775" s="2"/>
      <c r="C775" s="2"/>
      <c r="D775" s="2"/>
      <c r="E775" s="2"/>
      <c r="F775" s="2"/>
      <c r="G775" s="2"/>
      <c r="H775" s="2"/>
      <c r="I775" s="2"/>
      <c r="J775" s="2"/>
      <c r="K775" s="158"/>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row>
    <row r="776" spans="1:87" ht="14.25" customHeight="1">
      <c r="A776" s="2"/>
      <c r="B776" s="2"/>
      <c r="C776" s="2"/>
      <c r="D776" s="2"/>
      <c r="E776" s="2"/>
      <c r="F776" s="2"/>
      <c r="G776" s="2"/>
      <c r="H776" s="2"/>
      <c r="I776" s="2"/>
      <c r="J776" s="2"/>
      <c r="K776" s="158"/>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row>
    <row r="777" spans="1:87" ht="14.25" customHeight="1">
      <c r="A777" s="2"/>
      <c r="B777" s="2"/>
      <c r="C777" s="2"/>
      <c r="D777" s="2"/>
      <c r="E777" s="2"/>
      <c r="F777" s="2"/>
      <c r="G777" s="2"/>
      <c r="H777" s="2"/>
      <c r="I777" s="2"/>
      <c r="J777" s="2"/>
      <c r="K777" s="158"/>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row>
    <row r="778" spans="1:87" ht="14.25" customHeight="1">
      <c r="A778" s="2"/>
      <c r="B778" s="2"/>
      <c r="C778" s="2"/>
      <c r="D778" s="2"/>
      <c r="E778" s="2"/>
      <c r="F778" s="2"/>
      <c r="G778" s="2"/>
      <c r="H778" s="2"/>
      <c r="I778" s="2"/>
      <c r="J778" s="2"/>
      <c r="K778" s="158"/>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row>
    <row r="779" spans="1:87" ht="14.25" customHeight="1">
      <c r="A779" s="2"/>
      <c r="B779" s="2"/>
      <c r="C779" s="2"/>
      <c r="D779" s="2"/>
      <c r="E779" s="2"/>
      <c r="F779" s="2"/>
      <c r="G779" s="2"/>
      <c r="H779" s="2"/>
      <c r="I779" s="2"/>
      <c r="J779" s="2"/>
      <c r="K779" s="158"/>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row>
    <row r="780" spans="1:87" ht="14.25" customHeight="1">
      <c r="A780" s="2"/>
      <c r="B780" s="2"/>
      <c r="C780" s="2"/>
      <c r="D780" s="2"/>
      <c r="E780" s="2"/>
      <c r="F780" s="2"/>
      <c r="G780" s="2"/>
      <c r="H780" s="2"/>
      <c r="I780" s="2"/>
      <c r="J780" s="2"/>
      <c r="K780" s="158"/>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row>
    <row r="781" spans="1:87" ht="14.25" customHeight="1">
      <c r="A781" s="2"/>
      <c r="B781" s="2"/>
      <c r="C781" s="2"/>
      <c r="D781" s="2"/>
      <c r="E781" s="2"/>
      <c r="F781" s="2"/>
      <c r="G781" s="2"/>
      <c r="H781" s="2"/>
      <c r="I781" s="2"/>
      <c r="J781" s="2"/>
      <c r="K781" s="158"/>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row>
    <row r="782" spans="1:87" ht="14.25" customHeight="1">
      <c r="A782" s="2"/>
      <c r="B782" s="2"/>
      <c r="C782" s="2"/>
      <c r="D782" s="2"/>
      <c r="E782" s="2"/>
      <c r="F782" s="2"/>
      <c r="G782" s="2"/>
      <c r="H782" s="2"/>
      <c r="I782" s="2"/>
      <c r="J782" s="2"/>
      <c r="K782" s="158"/>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row>
    <row r="783" spans="1:87" ht="14.25" customHeight="1">
      <c r="A783" s="2"/>
      <c r="B783" s="2"/>
      <c r="C783" s="2"/>
      <c r="D783" s="2"/>
      <c r="E783" s="2"/>
      <c r="F783" s="2"/>
      <c r="G783" s="2"/>
      <c r="H783" s="2"/>
      <c r="I783" s="2"/>
      <c r="J783" s="2"/>
      <c r="K783" s="158"/>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row>
    <row r="784" spans="1:87" ht="14.25" customHeight="1">
      <c r="A784" s="2"/>
      <c r="B784" s="2"/>
      <c r="C784" s="2"/>
      <c r="D784" s="2"/>
      <c r="E784" s="2"/>
      <c r="F784" s="2"/>
      <c r="G784" s="2"/>
      <c r="H784" s="2"/>
      <c r="I784" s="2"/>
      <c r="J784" s="2"/>
      <c r="K784" s="158"/>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row>
    <row r="785" spans="1:87" ht="14.25" customHeight="1">
      <c r="A785" s="2"/>
      <c r="B785" s="2"/>
      <c r="C785" s="2"/>
      <c r="D785" s="2"/>
      <c r="E785" s="2"/>
      <c r="F785" s="2"/>
      <c r="G785" s="2"/>
      <c r="H785" s="2"/>
      <c r="I785" s="2"/>
      <c r="J785" s="2"/>
      <c r="K785" s="158"/>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row>
    <row r="786" spans="1:87" ht="14.25" customHeight="1">
      <c r="A786" s="2"/>
      <c r="B786" s="2"/>
      <c r="C786" s="2"/>
      <c r="D786" s="2"/>
      <c r="E786" s="2"/>
      <c r="F786" s="2"/>
      <c r="G786" s="2"/>
      <c r="H786" s="2"/>
      <c r="I786" s="2"/>
      <c r="J786" s="2"/>
      <c r="K786" s="158"/>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row>
    <row r="787" spans="1:87" ht="14.25" customHeight="1">
      <c r="A787" s="2"/>
      <c r="B787" s="2"/>
      <c r="C787" s="2"/>
      <c r="D787" s="2"/>
      <c r="E787" s="2"/>
      <c r="F787" s="2"/>
      <c r="G787" s="2"/>
      <c r="H787" s="2"/>
      <c r="I787" s="2"/>
      <c r="J787" s="2"/>
      <c r="K787" s="158"/>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row>
    <row r="788" spans="1:87" ht="14.25" customHeight="1">
      <c r="A788" s="2"/>
      <c r="B788" s="2"/>
      <c r="C788" s="2"/>
      <c r="D788" s="2"/>
      <c r="E788" s="2"/>
      <c r="F788" s="2"/>
      <c r="G788" s="2"/>
      <c r="H788" s="2"/>
      <c r="I788" s="2"/>
      <c r="J788" s="2"/>
      <c r="K788" s="158"/>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row>
    <row r="789" spans="1:87" ht="14.25" customHeight="1">
      <c r="A789" s="2"/>
      <c r="B789" s="2"/>
      <c r="C789" s="2"/>
      <c r="D789" s="2"/>
      <c r="E789" s="2"/>
      <c r="F789" s="2"/>
      <c r="G789" s="2"/>
      <c r="H789" s="2"/>
      <c r="I789" s="2"/>
      <c r="J789" s="2"/>
      <c r="K789" s="158"/>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row>
    <row r="790" spans="1:87" ht="14.25" customHeight="1">
      <c r="A790" s="2"/>
      <c r="B790" s="2"/>
      <c r="C790" s="2"/>
      <c r="D790" s="2"/>
      <c r="E790" s="2"/>
      <c r="F790" s="2"/>
      <c r="G790" s="2"/>
      <c r="H790" s="2"/>
      <c r="I790" s="2"/>
      <c r="J790" s="2"/>
      <c r="K790" s="158"/>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row>
    <row r="791" spans="1:87" ht="14.25" customHeight="1">
      <c r="A791" s="2"/>
      <c r="B791" s="2"/>
      <c r="C791" s="2"/>
      <c r="D791" s="2"/>
      <c r="E791" s="2"/>
      <c r="F791" s="2"/>
      <c r="G791" s="2"/>
      <c r="H791" s="2"/>
      <c r="I791" s="2"/>
      <c r="J791" s="2"/>
      <c r="K791" s="158"/>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row>
    <row r="792" spans="1:87" ht="14.25" customHeight="1">
      <c r="A792" s="2"/>
      <c r="B792" s="2"/>
      <c r="C792" s="2"/>
      <c r="D792" s="2"/>
      <c r="E792" s="2"/>
      <c r="F792" s="2"/>
      <c r="G792" s="2"/>
      <c r="H792" s="2"/>
      <c r="I792" s="2"/>
      <c r="J792" s="2"/>
      <c r="K792" s="158"/>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row>
    <row r="793" spans="1:87" ht="14.25" customHeight="1">
      <c r="A793" s="2"/>
      <c r="B793" s="2"/>
      <c r="C793" s="2"/>
      <c r="D793" s="2"/>
      <c r="E793" s="2"/>
      <c r="F793" s="2"/>
      <c r="G793" s="2"/>
      <c r="H793" s="2"/>
      <c r="I793" s="2"/>
      <c r="J793" s="2"/>
      <c r="K793" s="158"/>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row>
    <row r="794" spans="1:87" ht="14.25" customHeight="1">
      <c r="A794" s="2"/>
      <c r="B794" s="2"/>
      <c r="C794" s="2"/>
      <c r="D794" s="2"/>
      <c r="E794" s="2"/>
      <c r="F794" s="2"/>
      <c r="G794" s="2"/>
      <c r="H794" s="2"/>
      <c r="I794" s="2"/>
      <c r="J794" s="2"/>
      <c r="K794" s="158"/>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row>
    <row r="795" spans="1:87" ht="14.25" customHeight="1">
      <c r="A795" s="2"/>
      <c r="B795" s="2"/>
      <c r="C795" s="2"/>
      <c r="D795" s="2"/>
      <c r="E795" s="2"/>
      <c r="F795" s="2"/>
      <c r="G795" s="2"/>
      <c r="H795" s="2"/>
      <c r="I795" s="2"/>
      <c r="J795" s="2"/>
      <c r="K795" s="158"/>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row>
    <row r="796" spans="1:87" ht="14.25" customHeight="1">
      <c r="A796" s="2"/>
      <c r="B796" s="2"/>
      <c r="C796" s="2"/>
      <c r="D796" s="2"/>
      <c r="E796" s="2"/>
      <c r="F796" s="2"/>
      <c r="G796" s="2"/>
      <c r="H796" s="2"/>
      <c r="I796" s="2"/>
      <c r="J796" s="2"/>
      <c r="K796" s="158"/>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row>
    <row r="797" spans="1:87" ht="14.25" customHeight="1">
      <c r="A797" s="2"/>
      <c r="B797" s="2"/>
      <c r="C797" s="2"/>
      <c r="D797" s="2"/>
      <c r="E797" s="2"/>
      <c r="F797" s="2"/>
      <c r="G797" s="2"/>
      <c r="H797" s="2"/>
      <c r="I797" s="2"/>
      <c r="J797" s="2"/>
      <c r="K797" s="158"/>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row>
    <row r="798" spans="1:87" ht="14.25" customHeight="1">
      <c r="A798" s="2"/>
      <c r="B798" s="2"/>
      <c r="C798" s="2"/>
      <c r="D798" s="2"/>
      <c r="E798" s="2"/>
      <c r="F798" s="2"/>
      <c r="G798" s="2"/>
      <c r="H798" s="2"/>
      <c r="I798" s="2"/>
      <c r="J798" s="2"/>
      <c r="K798" s="158"/>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row>
    <row r="799" spans="1:87" ht="14.25" customHeight="1">
      <c r="A799" s="2"/>
      <c r="B799" s="2"/>
      <c r="C799" s="2"/>
      <c r="D799" s="2"/>
      <c r="E799" s="2"/>
      <c r="F799" s="2"/>
      <c r="G799" s="2"/>
      <c r="H799" s="2"/>
      <c r="I799" s="2"/>
      <c r="J799" s="2"/>
      <c r="K799" s="158"/>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row>
    <row r="800" spans="1:87" ht="14.25" customHeight="1">
      <c r="A800" s="2"/>
      <c r="B800" s="2"/>
      <c r="C800" s="2"/>
      <c r="D800" s="2"/>
      <c r="E800" s="2"/>
      <c r="F800" s="2"/>
      <c r="G800" s="2"/>
      <c r="H800" s="2"/>
      <c r="I800" s="2"/>
      <c r="J800" s="2"/>
      <c r="K800" s="158"/>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row>
    <row r="801" spans="1:87" ht="14.25" customHeight="1">
      <c r="A801" s="2"/>
      <c r="B801" s="2"/>
      <c r="C801" s="2"/>
      <c r="D801" s="2"/>
      <c r="E801" s="2"/>
      <c r="F801" s="2"/>
      <c r="G801" s="2"/>
      <c r="H801" s="2"/>
      <c r="I801" s="2"/>
      <c r="J801" s="2"/>
      <c r="K801" s="158"/>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row>
    <row r="802" spans="1:87" ht="14.25" customHeight="1">
      <c r="A802" s="2"/>
      <c r="B802" s="2"/>
      <c r="C802" s="2"/>
      <c r="D802" s="2"/>
      <c r="E802" s="2"/>
      <c r="F802" s="2"/>
      <c r="G802" s="2"/>
      <c r="H802" s="2"/>
      <c r="I802" s="2"/>
      <c r="J802" s="2"/>
      <c r="K802" s="158"/>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row>
    <row r="803" spans="1:87" ht="14.25" customHeight="1">
      <c r="A803" s="2"/>
      <c r="B803" s="2"/>
      <c r="C803" s="2"/>
      <c r="D803" s="2"/>
      <c r="E803" s="2"/>
      <c r="F803" s="2"/>
      <c r="G803" s="2"/>
      <c r="H803" s="2"/>
      <c r="I803" s="2"/>
      <c r="J803" s="2"/>
      <c r="K803" s="158"/>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row>
    <row r="804" spans="1:87" ht="14.25" customHeight="1">
      <c r="A804" s="2"/>
      <c r="B804" s="2"/>
      <c r="C804" s="2"/>
      <c r="D804" s="2"/>
      <c r="E804" s="2"/>
      <c r="F804" s="2"/>
      <c r="G804" s="2"/>
      <c r="H804" s="2"/>
      <c r="I804" s="2"/>
      <c r="J804" s="2"/>
      <c r="K804" s="158"/>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row>
    <row r="805" spans="1:87" ht="14.25" customHeight="1">
      <c r="A805" s="2"/>
      <c r="B805" s="2"/>
      <c r="C805" s="2"/>
      <c r="D805" s="2"/>
      <c r="E805" s="2"/>
      <c r="F805" s="2"/>
      <c r="G805" s="2"/>
      <c r="H805" s="2"/>
      <c r="I805" s="2"/>
      <c r="J805" s="2"/>
      <c r="K805" s="158"/>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row>
    <row r="806" spans="1:87" ht="14.25" customHeight="1">
      <c r="A806" s="2"/>
      <c r="B806" s="2"/>
      <c r="C806" s="2"/>
      <c r="D806" s="2"/>
      <c r="E806" s="2"/>
      <c r="F806" s="2"/>
      <c r="G806" s="2"/>
      <c r="H806" s="2"/>
      <c r="I806" s="2"/>
      <c r="J806" s="2"/>
      <c r="K806" s="158"/>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row>
    <row r="807" spans="1:87" ht="14.25" customHeight="1">
      <c r="A807" s="2"/>
      <c r="B807" s="2"/>
      <c r="C807" s="2"/>
      <c r="D807" s="2"/>
      <c r="E807" s="2"/>
      <c r="F807" s="2"/>
      <c r="G807" s="2"/>
      <c r="H807" s="2"/>
      <c r="I807" s="2"/>
      <c r="J807" s="2"/>
      <c r="K807" s="158"/>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row>
    <row r="808" spans="1:87" ht="14.25" customHeight="1">
      <c r="A808" s="2"/>
      <c r="B808" s="2"/>
      <c r="C808" s="2"/>
      <c r="D808" s="2"/>
      <c r="E808" s="2"/>
      <c r="F808" s="2"/>
      <c r="G808" s="2"/>
      <c r="H808" s="2"/>
      <c r="I808" s="2"/>
      <c r="J808" s="2"/>
      <c r="K808" s="158"/>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row>
    <row r="809" spans="1:87" ht="14.25" customHeight="1">
      <c r="A809" s="2"/>
      <c r="B809" s="2"/>
      <c r="C809" s="2"/>
      <c r="D809" s="2"/>
      <c r="E809" s="2"/>
      <c r="F809" s="2"/>
      <c r="G809" s="2"/>
      <c r="H809" s="2"/>
      <c r="I809" s="2"/>
      <c r="J809" s="2"/>
      <c r="K809" s="158"/>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row>
    <row r="810" spans="1:87" ht="14.25" customHeight="1">
      <c r="A810" s="2"/>
      <c r="B810" s="2"/>
      <c r="C810" s="2"/>
      <c r="D810" s="2"/>
      <c r="E810" s="2"/>
      <c r="F810" s="2"/>
      <c r="G810" s="2"/>
      <c r="H810" s="2"/>
      <c r="I810" s="2"/>
      <c r="J810" s="2"/>
      <c r="K810" s="158"/>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row>
    <row r="811" spans="1:87" ht="14.25" customHeight="1">
      <c r="A811" s="2"/>
      <c r="B811" s="2"/>
      <c r="C811" s="2"/>
      <c r="D811" s="2"/>
      <c r="E811" s="2"/>
      <c r="F811" s="2"/>
      <c r="G811" s="2"/>
      <c r="H811" s="2"/>
      <c r="I811" s="2"/>
      <c r="J811" s="2"/>
      <c r="K811" s="158"/>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row>
    <row r="812" spans="1:87" ht="14.25" customHeight="1">
      <c r="A812" s="2"/>
      <c r="B812" s="2"/>
      <c r="C812" s="2"/>
      <c r="D812" s="2"/>
      <c r="E812" s="2"/>
      <c r="F812" s="2"/>
      <c r="G812" s="2"/>
      <c r="H812" s="2"/>
      <c r="I812" s="2"/>
      <c r="J812" s="2"/>
      <c r="K812" s="158"/>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row>
    <row r="813" spans="1:87" ht="14.25" customHeight="1">
      <c r="A813" s="2"/>
      <c r="B813" s="2"/>
      <c r="C813" s="2"/>
      <c r="D813" s="2"/>
      <c r="E813" s="2"/>
      <c r="F813" s="2"/>
      <c r="G813" s="2"/>
      <c r="H813" s="2"/>
      <c r="I813" s="2"/>
      <c r="J813" s="2"/>
      <c r="K813" s="158"/>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row>
    <row r="814" spans="1:87" ht="14.25" customHeight="1">
      <c r="A814" s="2"/>
      <c r="B814" s="2"/>
      <c r="C814" s="2"/>
      <c r="D814" s="2"/>
      <c r="E814" s="2"/>
      <c r="F814" s="2"/>
      <c r="G814" s="2"/>
      <c r="H814" s="2"/>
      <c r="I814" s="2"/>
      <c r="J814" s="2"/>
      <c r="K814" s="158"/>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row>
    <row r="815" spans="1:87" ht="14.25" customHeight="1">
      <c r="A815" s="2"/>
      <c r="B815" s="2"/>
      <c r="C815" s="2"/>
      <c r="D815" s="2"/>
      <c r="E815" s="2"/>
      <c r="F815" s="2"/>
      <c r="G815" s="2"/>
      <c r="H815" s="2"/>
      <c r="I815" s="2"/>
      <c r="J815" s="2"/>
      <c r="K815" s="158"/>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row>
    <row r="816" spans="1:87" ht="14.25" customHeight="1">
      <c r="A816" s="2"/>
      <c r="B816" s="2"/>
      <c r="C816" s="2"/>
      <c r="D816" s="2"/>
      <c r="E816" s="2"/>
      <c r="F816" s="2"/>
      <c r="G816" s="2"/>
      <c r="H816" s="2"/>
      <c r="I816" s="2"/>
      <c r="J816" s="2"/>
      <c r="K816" s="158"/>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row>
    <row r="817" spans="1:87" ht="14.25" customHeight="1">
      <c r="A817" s="2"/>
      <c r="B817" s="2"/>
      <c r="C817" s="2"/>
      <c r="D817" s="2"/>
      <c r="E817" s="2"/>
      <c r="F817" s="2"/>
      <c r="G817" s="2"/>
      <c r="H817" s="2"/>
      <c r="I817" s="2"/>
      <c r="J817" s="2"/>
      <c r="K817" s="158"/>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row>
    <row r="818" spans="1:87" ht="14.25" customHeight="1">
      <c r="A818" s="2"/>
      <c r="B818" s="2"/>
      <c r="C818" s="2"/>
      <c r="D818" s="2"/>
      <c r="E818" s="2"/>
      <c r="F818" s="2"/>
      <c r="G818" s="2"/>
      <c r="H818" s="2"/>
      <c r="I818" s="2"/>
      <c r="J818" s="2"/>
      <c r="K818" s="158"/>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row>
    <row r="819" spans="1:87" ht="14.25" customHeight="1">
      <c r="A819" s="2"/>
      <c r="B819" s="2"/>
      <c r="C819" s="2"/>
      <c r="D819" s="2"/>
      <c r="E819" s="2"/>
      <c r="F819" s="2"/>
      <c r="G819" s="2"/>
      <c r="H819" s="2"/>
      <c r="I819" s="2"/>
      <c r="J819" s="2"/>
      <c r="K819" s="158"/>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row>
    <row r="820" spans="1:87" ht="14.25" customHeight="1">
      <c r="A820" s="2"/>
      <c r="B820" s="2"/>
      <c r="C820" s="2"/>
      <c r="D820" s="2"/>
      <c r="E820" s="2"/>
      <c r="F820" s="2"/>
      <c r="G820" s="2"/>
      <c r="H820" s="2"/>
      <c r="I820" s="2"/>
      <c r="J820" s="2"/>
      <c r="K820" s="158"/>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row>
    <row r="821" spans="1:87" ht="14.25" customHeight="1">
      <c r="A821" s="2"/>
      <c r="B821" s="2"/>
      <c r="C821" s="2"/>
      <c r="D821" s="2"/>
      <c r="E821" s="2"/>
      <c r="F821" s="2"/>
      <c r="G821" s="2"/>
      <c r="H821" s="2"/>
      <c r="I821" s="2"/>
      <c r="J821" s="2"/>
      <c r="K821" s="158"/>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row>
    <row r="822" spans="1:87" ht="14.25" customHeight="1">
      <c r="A822" s="2"/>
      <c r="B822" s="2"/>
      <c r="C822" s="2"/>
      <c r="D822" s="2"/>
      <c r="E822" s="2"/>
      <c r="F822" s="2"/>
      <c r="G822" s="2"/>
      <c r="H822" s="2"/>
      <c r="I822" s="2"/>
      <c r="J822" s="2"/>
      <c r="K822" s="158"/>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row>
    <row r="823" spans="1:87" ht="14.25" customHeight="1">
      <c r="A823" s="2"/>
      <c r="B823" s="2"/>
      <c r="C823" s="2"/>
      <c r="D823" s="2"/>
      <c r="E823" s="2"/>
      <c r="F823" s="2"/>
      <c r="G823" s="2"/>
      <c r="H823" s="2"/>
      <c r="I823" s="2"/>
      <c r="J823" s="2"/>
      <c r="K823" s="158"/>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row>
    <row r="824" spans="1:87" ht="14.25" customHeight="1">
      <c r="A824" s="2"/>
      <c r="B824" s="2"/>
      <c r="C824" s="2"/>
      <c r="D824" s="2"/>
      <c r="E824" s="2"/>
      <c r="F824" s="2"/>
      <c r="G824" s="2"/>
      <c r="H824" s="2"/>
      <c r="I824" s="2"/>
      <c r="J824" s="2"/>
      <c r="K824" s="158"/>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row>
    <row r="825" spans="1:87" ht="14.25" customHeight="1">
      <c r="A825" s="2"/>
      <c r="B825" s="2"/>
      <c r="C825" s="2"/>
      <c r="D825" s="2"/>
      <c r="E825" s="2"/>
      <c r="F825" s="2"/>
      <c r="G825" s="2"/>
      <c r="H825" s="2"/>
      <c r="I825" s="2"/>
      <c r="J825" s="2"/>
      <c r="K825" s="158"/>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row>
    <row r="826" spans="1:87" ht="14.25" customHeight="1">
      <c r="A826" s="2"/>
      <c r="B826" s="2"/>
      <c r="C826" s="2"/>
      <c r="D826" s="2"/>
      <c r="E826" s="2"/>
      <c r="F826" s="2"/>
      <c r="G826" s="2"/>
      <c r="H826" s="2"/>
      <c r="I826" s="2"/>
      <c r="J826" s="2"/>
      <c r="K826" s="158"/>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row>
    <row r="827" spans="1:87" ht="14.25" customHeight="1">
      <c r="A827" s="2"/>
      <c r="B827" s="2"/>
      <c r="C827" s="2"/>
      <c r="D827" s="2"/>
      <c r="E827" s="2"/>
      <c r="F827" s="2"/>
      <c r="G827" s="2"/>
      <c r="H827" s="2"/>
      <c r="I827" s="2"/>
      <c r="J827" s="2"/>
      <c r="K827" s="158"/>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row>
    <row r="828" spans="1:87" ht="14.25" customHeight="1">
      <c r="A828" s="2"/>
      <c r="B828" s="2"/>
      <c r="C828" s="2"/>
      <c r="D828" s="2"/>
      <c r="E828" s="2"/>
      <c r="F828" s="2"/>
      <c r="G828" s="2"/>
      <c r="H828" s="2"/>
      <c r="I828" s="2"/>
      <c r="J828" s="2"/>
      <c r="K828" s="158"/>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row>
    <row r="829" spans="1:87" ht="14.25" customHeight="1">
      <c r="A829" s="2"/>
      <c r="B829" s="2"/>
      <c r="C829" s="2"/>
      <c r="D829" s="2"/>
      <c r="E829" s="2"/>
      <c r="F829" s="2"/>
      <c r="G829" s="2"/>
      <c r="H829" s="2"/>
      <c r="I829" s="2"/>
      <c r="J829" s="2"/>
      <c r="K829" s="158"/>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row>
    <row r="830" spans="1:87" ht="14.25" customHeight="1">
      <c r="A830" s="2"/>
      <c r="B830" s="2"/>
      <c r="C830" s="2"/>
      <c r="D830" s="2"/>
      <c r="E830" s="2"/>
      <c r="F830" s="2"/>
      <c r="G830" s="2"/>
      <c r="H830" s="2"/>
      <c r="I830" s="2"/>
      <c r="J830" s="2"/>
      <c r="K830" s="158"/>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row>
    <row r="831" spans="1:87" ht="14.25" customHeight="1">
      <c r="A831" s="2"/>
      <c r="B831" s="2"/>
      <c r="C831" s="2"/>
      <c r="D831" s="2"/>
      <c r="E831" s="2"/>
      <c r="F831" s="2"/>
      <c r="G831" s="2"/>
      <c r="H831" s="2"/>
      <c r="I831" s="2"/>
      <c r="J831" s="2"/>
      <c r="K831" s="158"/>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row>
    <row r="832" spans="1:87" ht="14.25" customHeight="1">
      <c r="A832" s="2"/>
      <c r="B832" s="2"/>
      <c r="C832" s="2"/>
      <c r="D832" s="2"/>
      <c r="E832" s="2"/>
      <c r="F832" s="2"/>
      <c r="G832" s="2"/>
      <c r="H832" s="2"/>
      <c r="I832" s="2"/>
      <c r="J832" s="2"/>
      <c r="K832" s="158"/>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row>
    <row r="833" spans="1:87" ht="14.25" customHeight="1">
      <c r="A833" s="2"/>
      <c r="B833" s="2"/>
      <c r="C833" s="2"/>
      <c r="D833" s="2"/>
      <c r="E833" s="2"/>
      <c r="F833" s="2"/>
      <c r="G833" s="2"/>
      <c r="H833" s="2"/>
      <c r="I833" s="2"/>
      <c r="J833" s="2"/>
      <c r="K833" s="158"/>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row>
    <row r="834" spans="1:87" ht="14.25" customHeight="1">
      <c r="A834" s="2"/>
      <c r="B834" s="2"/>
      <c r="C834" s="2"/>
      <c r="D834" s="2"/>
      <c r="E834" s="2"/>
      <c r="F834" s="2"/>
      <c r="G834" s="2"/>
      <c r="H834" s="2"/>
      <c r="I834" s="2"/>
      <c r="J834" s="2"/>
      <c r="K834" s="158"/>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row>
    <row r="835" spans="1:87" ht="14.25" customHeight="1">
      <c r="A835" s="2"/>
      <c r="B835" s="2"/>
      <c r="C835" s="2"/>
      <c r="D835" s="2"/>
      <c r="E835" s="2"/>
      <c r="F835" s="2"/>
      <c r="G835" s="2"/>
      <c r="H835" s="2"/>
      <c r="I835" s="2"/>
      <c r="J835" s="2"/>
      <c r="K835" s="158"/>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row>
    <row r="836" spans="1:87" ht="14.25" customHeight="1">
      <c r="A836" s="2"/>
      <c r="B836" s="2"/>
      <c r="C836" s="2"/>
      <c r="D836" s="2"/>
      <c r="E836" s="2"/>
      <c r="F836" s="2"/>
      <c r="G836" s="2"/>
      <c r="H836" s="2"/>
      <c r="I836" s="2"/>
      <c r="J836" s="2"/>
      <c r="K836" s="158"/>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row>
    <row r="837" spans="1:87" ht="14.25" customHeight="1">
      <c r="A837" s="2"/>
      <c r="B837" s="2"/>
      <c r="C837" s="2"/>
      <c r="D837" s="2"/>
      <c r="E837" s="2"/>
      <c r="F837" s="2"/>
      <c r="G837" s="2"/>
      <c r="H837" s="2"/>
      <c r="I837" s="2"/>
      <c r="J837" s="2"/>
      <c r="K837" s="158"/>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row>
    <row r="838" spans="1:87" ht="14.25" customHeight="1">
      <c r="A838" s="2"/>
      <c r="B838" s="2"/>
      <c r="C838" s="2"/>
      <c r="D838" s="2"/>
      <c r="E838" s="2"/>
      <c r="F838" s="2"/>
      <c r="G838" s="2"/>
      <c r="H838" s="2"/>
      <c r="I838" s="2"/>
      <c r="J838" s="2"/>
      <c r="K838" s="158"/>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row>
    <row r="839" spans="1:87" ht="14.25" customHeight="1">
      <c r="A839" s="2"/>
      <c r="B839" s="2"/>
      <c r="C839" s="2"/>
      <c r="D839" s="2"/>
      <c r="E839" s="2"/>
      <c r="F839" s="2"/>
      <c r="G839" s="2"/>
      <c r="H839" s="2"/>
      <c r="I839" s="2"/>
      <c r="J839" s="2"/>
      <c r="K839" s="158"/>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row>
    <row r="840" spans="1:87" ht="14.25" customHeight="1">
      <c r="A840" s="2"/>
      <c r="B840" s="2"/>
      <c r="C840" s="2"/>
      <c r="D840" s="2"/>
      <c r="E840" s="2"/>
      <c r="F840" s="2"/>
      <c r="G840" s="2"/>
      <c r="H840" s="2"/>
      <c r="I840" s="2"/>
      <c r="J840" s="2"/>
      <c r="K840" s="158"/>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row>
    <row r="841" spans="1:87" ht="14.25" customHeight="1">
      <c r="A841" s="2"/>
      <c r="B841" s="2"/>
      <c r="C841" s="2"/>
      <c r="D841" s="2"/>
      <c r="E841" s="2"/>
      <c r="F841" s="2"/>
      <c r="G841" s="2"/>
      <c r="H841" s="2"/>
      <c r="I841" s="2"/>
      <c r="J841" s="2"/>
      <c r="K841" s="158"/>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row>
    <row r="842" spans="1:87" ht="14.25" customHeight="1">
      <c r="A842" s="2"/>
      <c r="B842" s="2"/>
      <c r="C842" s="2"/>
      <c r="D842" s="2"/>
      <c r="E842" s="2"/>
      <c r="F842" s="2"/>
      <c r="G842" s="2"/>
      <c r="H842" s="2"/>
      <c r="I842" s="2"/>
      <c r="J842" s="2"/>
      <c r="K842" s="158"/>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row>
    <row r="843" spans="1:87" ht="14.25" customHeight="1">
      <c r="A843" s="2"/>
      <c r="B843" s="2"/>
      <c r="C843" s="2"/>
      <c r="D843" s="2"/>
      <c r="E843" s="2"/>
      <c r="F843" s="2"/>
      <c r="G843" s="2"/>
      <c r="H843" s="2"/>
      <c r="I843" s="2"/>
      <c r="J843" s="2"/>
      <c r="K843" s="158"/>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row>
    <row r="844" spans="1:87" ht="14.25" customHeight="1">
      <c r="A844" s="2"/>
      <c r="B844" s="2"/>
      <c r="C844" s="2"/>
      <c r="D844" s="2"/>
      <c r="E844" s="2"/>
      <c r="F844" s="2"/>
      <c r="G844" s="2"/>
      <c r="H844" s="2"/>
      <c r="I844" s="2"/>
      <c r="J844" s="2"/>
      <c r="K844" s="158"/>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row>
    <row r="845" spans="1:87" ht="14.25" customHeight="1">
      <c r="A845" s="2"/>
      <c r="B845" s="2"/>
      <c r="C845" s="2"/>
      <c r="D845" s="2"/>
      <c r="E845" s="2"/>
      <c r="F845" s="2"/>
      <c r="G845" s="2"/>
      <c r="H845" s="2"/>
      <c r="I845" s="2"/>
      <c r="J845" s="2"/>
      <c r="K845" s="158"/>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row>
    <row r="846" spans="1:87" ht="14.25" customHeight="1">
      <c r="A846" s="2"/>
      <c r="B846" s="2"/>
      <c r="C846" s="2"/>
      <c r="D846" s="2"/>
      <c r="E846" s="2"/>
      <c r="F846" s="2"/>
      <c r="G846" s="2"/>
      <c r="H846" s="2"/>
      <c r="I846" s="2"/>
      <c r="J846" s="2"/>
      <c r="K846" s="158"/>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row>
    <row r="847" spans="1:87" ht="14.25" customHeight="1">
      <c r="A847" s="2"/>
      <c r="B847" s="2"/>
      <c r="C847" s="2"/>
      <c r="D847" s="2"/>
      <c r="E847" s="2"/>
      <c r="F847" s="2"/>
      <c r="G847" s="2"/>
      <c r="H847" s="2"/>
      <c r="I847" s="2"/>
      <c r="J847" s="2"/>
      <c r="K847" s="158"/>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row>
    <row r="848" spans="1:87" ht="14.25" customHeight="1">
      <c r="A848" s="2"/>
      <c r="B848" s="2"/>
      <c r="C848" s="2"/>
      <c r="D848" s="2"/>
      <c r="E848" s="2"/>
      <c r="F848" s="2"/>
      <c r="G848" s="2"/>
      <c r="H848" s="2"/>
      <c r="I848" s="2"/>
      <c r="J848" s="2"/>
      <c r="K848" s="158"/>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row>
    <row r="849" spans="1:87" ht="14.25" customHeight="1">
      <c r="A849" s="2"/>
      <c r="B849" s="2"/>
      <c r="C849" s="2"/>
      <c r="D849" s="2"/>
      <c r="E849" s="2"/>
      <c r="F849" s="2"/>
      <c r="G849" s="2"/>
      <c r="H849" s="2"/>
      <c r="I849" s="2"/>
      <c r="J849" s="2"/>
      <c r="K849" s="158"/>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row>
    <row r="850" spans="1:87" ht="14.25" customHeight="1">
      <c r="A850" s="2"/>
      <c r="B850" s="2"/>
      <c r="C850" s="2"/>
      <c r="D850" s="2"/>
      <c r="E850" s="2"/>
      <c r="F850" s="2"/>
      <c r="G850" s="2"/>
      <c r="H850" s="2"/>
      <c r="I850" s="2"/>
      <c r="J850" s="2"/>
      <c r="K850" s="158"/>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row>
    <row r="851" spans="1:87" ht="14.25" customHeight="1">
      <c r="A851" s="2"/>
      <c r="B851" s="2"/>
      <c r="C851" s="2"/>
      <c r="D851" s="2"/>
      <c r="E851" s="2"/>
      <c r="F851" s="2"/>
      <c r="G851" s="2"/>
      <c r="H851" s="2"/>
      <c r="I851" s="2"/>
      <c r="J851" s="2"/>
      <c r="K851" s="158"/>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row>
    <row r="852" spans="1:87" ht="14.25" customHeight="1">
      <c r="A852" s="2"/>
      <c r="B852" s="2"/>
      <c r="C852" s="2"/>
      <c r="D852" s="2"/>
      <c r="E852" s="2"/>
      <c r="F852" s="2"/>
      <c r="G852" s="2"/>
      <c r="H852" s="2"/>
      <c r="I852" s="2"/>
      <c r="J852" s="2"/>
      <c r="K852" s="158"/>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row>
    <row r="853" spans="1:87" ht="14.25" customHeight="1">
      <c r="A853" s="2"/>
      <c r="B853" s="2"/>
      <c r="C853" s="2"/>
      <c r="D853" s="2"/>
      <c r="E853" s="2"/>
      <c r="F853" s="2"/>
      <c r="G853" s="2"/>
      <c r="H853" s="2"/>
      <c r="I853" s="2"/>
      <c r="J853" s="2"/>
      <c r="K853" s="158"/>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row>
    <row r="854" spans="1:87" ht="14.25" customHeight="1">
      <c r="A854" s="2"/>
      <c r="B854" s="2"/>
      <c r="C854" s="2"/>
      <c r="D854" s="2"/>
      <c r="E854" s="2"/>
      <c r="F854" s="2"/>
      <c r="G854" s="2"/>
      <c r="H854" s="2"/>
      <c r="I854" s="2"/>
      <c r="J854" s="2"/>
      <c r="K854" s="158"/>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row>
    <row r="855" spans="1:87" ht="14.25" customHeight="1">
      <c r="A855" s="2"/>
      <c r="B855" s="2"/>
      <c r="C855" s="2"/>
      <c r="D855" s="2"/>
      <c r="E855" s="2"/>
      <c r="F855" s="2"/>
      <c r="G855" s="2"/>
      <c r="H855" s="2"/>
      <c r="I855" s="2"/>
      <c r="J855" s="2"/>
      <c r="K855" s="158"/>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row>
    <row r="856" spans="1:87" ht="14.25" customHeight="1">
      <c r="A856" s="2"/>
      <c r="B856" s="2"/>
      <c r="C856" s="2"/>
      <c r="D856" s="2"/>
      <c r="E856" s="2"/>
      <c r="F856" s="2"/>
      <c r="G856" s="2"/>
      <c r="H856" s="2"/>
      <c r="I856" s="2"/>
      <c r="J856" s="2"/>
      <c r="K856" s="158"/>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row>
    <row r="857" spans="1:87" ht="14.25" customHeight="1">
      <c r="A857" s="2"/>
      <c r="B857" s="2"/>
      <c r="C857" s="2"/>
      <c r="D857" s="2"/>
      <c r="E857" s="2"/>
      <c r="F857" s="2"/>
      <c r="G857" s="2"/>
      <c r="H857" s="2"/>
      <c r="I857" s="2"/>
      <c r="J857" s="2"/>
      <c r="K857" s="158"/>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row>
    <row r="858" spans="1:87" ht="14.25" customHeight="1">
      <c r="A858" s="2"/>
      <c r="B858" s="2"/>
      <c r="C858" s="2"/>
      <c r="D858" s="2"/>
      <c r="E858" s="2"/>
      <c r="F858" s="2"/>
      <c r="G858" s="2"/>
      <c r="H858" s="2"/>
      <c r="I858" s="2"/>
      <c r="J858" s="2"/>
      <c r="K858" s="158"/>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row>
    <row r="859" spans="1:87" ht="14.25" customHeight="1">
      <c r="A859" s="2"/>
      <c r="B859" s="2"/>
      <c r="C859" s="2"/>
      <c r="D859" s="2"/>
      <c r="E859" s="2"/>
      <c r="F859" s="2"/>
      <c r="G859" s="2"/>
      <c r="H859" s="2"/>
      <c r="I859" s="2"/>
      <c r="J859" s="2"/>
      <c r="K859" s="158"/>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row>
    <row r="860" spans="1:87" ht="14.25" customHeight="1">
      <c r="A860" s="2"/>
      <c r="B860" s="2"/>
      <c r="C860" s="2"/>
      <c r="D860" s="2"/>
      <c r="E860" s="2"/>
      <c r="F860" s="2"/>
      <c r="G860" s="2"/>
      <c r="H860" s="2"/>
      <c r="I860" s="2"/>
      <c r="J860" s="2"/>
      <c r="K860" s="158"/>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row>
    <row r="861" spans="1:87" ht="14.25" customHeight="1">
      <c r="A861" s="2"/>
      <c r="B861" s="2"/>
      <c r="C861" s="2"/>
      <c r="D861" s="2"/>
      <c r="E861" s="2"/>
      <c r="F861" s="2"/>
      <c r="G861" s="2"/>
      <c r="H861" s="2"/>
      <c r="I861" s="2"/>
      <c r="J861" s="2"/>
      <c r="K861" s="158"/>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row>
    <row r="862" spans="1:87" ht="14.25" customHeight="1">
      <c r="A862" s="2"/>
      <c r="B862" s="2"/>
      <c r="C862" s="2"/>
      <c r="D862" s="2"/>
      <c r="E862" s="2"/>
      <c r="F862" s="2"/>
      <c r="G862" s="2"/>
      <c r="H862" s="2"/>
      <c r="I862" s="2"/>
      <c r="J862" s="2"/>
      <c r="K862" s="158"/>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row>
    <row r="863" spans="1:87" ht="14.25" customHeight="1">
      <c r="A863" s="2"/>
      <c r="B863" s="2"/>
      <c r="C863" s="2"/>
      <c r="D863" s="2"/>
      <c r="E863" s="2"/>
      <c r="F863" s="2"/>
      <c r="G863" s="2"/>
      <c r="H863" s="2"/>
      <c r="I863" s="2"/>
      <c r="J863" s="2"/>
      <c r="K863" s="158"/>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row>
    <row r="864" spans="1:87" ht="14.25" customHeight="1">
      <c r="A864" s="2"/>
      <c r="B864" s="2"/>
      <c r="C864" s="2"/>
      <c r="D864" s="2"/>
      <c r="E864" s="2"/>
      <c r="F864" s="2"/>
      <c r="G864" s="2"/>
      <c r="H864" s="2"/>
      <c r="I864" s="2"/>
      <c r="J864" s="2"/>
      <c r="K864" s="158"/>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row>
    <row r="865" spans="1:87" ht="14.25" customHeight="1">
      <c r="A865" s="2"/>
      <c r="B865" s="2"/>
      <c r="C865" s="2"/>
      <c r="D865" s="2"/>
      <c r="E865" s="2"/>
      <c r="F865" s="2"/>
      <c r="G865" s="2"/>
      <c r="H865" s="2"/>
      <c r="I865" s="2"/>
      <c r="J865" s="2"/>
      <c r="K865" s="158"/>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row>
    <row r="866" spans="1:87" ht="14.25" customHeight="1">
      <c r="A866" s="2"/>
      <c r="B866" s="2"/>
      <c r="C866" s="2"/>
      <c r="D866" s="2"/>
      <c r="E866" s="2"/>
      <c r="F866" s="2"/>
      <c r="G866" s="2"/>
      <c r="H866" s="2"/>
      <c r="I866" s="2"/>
      <c r="J866" s="2"/>
      <c r="K866" s="158"/>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row>
    <row r="867" spans="1:87" ht="14.25" customHeight="1">
      <c r="A867" s="2"/>
      <c r="B867" s="2"/>
      <c r="C867" s="2"/>
      <c r="D867" s="2"/>
      <c r="E867" s="2"/>
      <c r="F867" s="2"/>
      <c r="G867" s="2"/>
      <c r="H867" s="2"/>
      <c r="I867" s="2"/>
      <c r="J867" s="2"/>
      <c r="K867" s="158"/>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row>
    <row r="868" spans="1:87" ht="14.25" customHeight="1">
      <c r="A868" s="2"/>
      <c r="B868" s="2"/>
      <c r="C868" s="2"/>
      <c r="D868" s="2"/>
      <c r="E868" s="2"/>
      <c r="F868" s="2"/>
      <c r="G868" s="2"/>
      <c r="H868" s="2"/>
      <c r="I868" s="2"/>
      <c r="J868" s="2"/>
      <c r="K868" s="158"/>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row>
    <row r="869" spans="1:87" ht="14.25" customHeight="1">
      <c r="A869" s="2"/>
      <c r="B869" s="2"/>
      <c r="C869" s="2"/>
      <c r="D869" s="2"/>
      <c r="E869" s="2"/>
      <c r="F869" s="2"/>
      <c r="G869" s="2"/>
      <c r="H869" s="2"/>
      <c r="I869" s="2"/>
      <c r="J869" s="2"/>
      <c r="K869" s="158"/>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row>
    <row r="870" spans="1:87" ht="14.25" customHeight="1">
      <c r="A870" s="2"/>
      <c r="B870" s="2"/>
      <c r="C870" s="2"/>
      <c r="D870" s="2"/>
      <c r="E870" s="2"/>
      <c r="F870" s="2"/>
      <c r="G870" s="2"/>
      <c r="H870" s="2"/>
      <c r="I870" s="2"/>
      <c r="J870" s="2"/>
      <c r="K870" s="158"/>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row>
    <row r="871" spans="1:87" ht="14.25" customHeight="1">
      <c r="A871" s="2"/>
      <c r="B871" s="2"/>
      <c r="C871" s="2"/>
      <c r="D871" s="2"/>
      <c r="E871" s="2"/>
      <c r="F871" s="2"/>
      <c r="G871" s="2"/>
      <c r="H871" s="2"/>
      <c r="I871" s="2"/>
      <c r="J871" s="2"/>
      <c r="K871" s="158"/>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row>
    <row r="872" spans="1:87" ht="14.25" customHeight="1">
      <c r="A872" s="2"/>
      <c r="B872" s="2"/>
      <c r="C872" s="2"/>
      <c r="D872" s="2"/>
      <c r="E872" s="2"/>
      <c r="F872" s="2"/>
      <c r="G872" s="2"/>
      <c r="H872" s="2"/>
      <c r="I872" s="2"/>
      <c r="J872" s="2"/>
      <c r="K872" s="158"/>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row>
    <row r="873" spans="1:87" ht="14.25" customHeight="1">
      <c r="A873" s="2"/>
      <c r="B873" s="2"/>
      <c r="C873" s="2"/>
      <c r="D873" s="2"/>
      <c r="E873" s="2"/>
      <c r="F873" s="2"/>
      <c r="G873" s="2"/>
      <c r="H873" s="2"/>
      <c r="I873" s="2"/>
      <c r="J873" s="2"/>
      <c r="K873" s="158"/>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row>
    <row r="874" spans="1:87" ht="14.25" customHeight="1">
      <c r="A874" s="2"/>
      <c r="B874" s="2"/>
      <c r="C874" s="2"/>
      <c r="D874" s="2"/>
      <c r="E874" s="2"/>
      <c r="F874" s="2"/>
      <c r="G874" s="2"/>
      <c r="H874" s="2"/>
      <c r="I874" s="2"/>
      <c r="J874" s="2"/>
      <c r="K874" s="158"/>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row>
    <row r="875" spans="1:87" ht="14.25" customHeight="1">
      <c r="A875" s="2"/>
      <c r="B875" s="2"/>
      <c r="C875" s="2"/>
      <c r="D875" s="2"/>
      <c r="E875" s="2"/>
      <c r="F875" s="2"/>
      <c r="G875" s="2"/>
      <c r="H875" s="2"/>
      <c r="I875" s="2"/>
      <c r="J875" s="2"/>
      <c r="K875" s="158"/>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row>
    <row r="876" spans="1:87" ht="14.25" customHeight="1">
      <c r="A876" s="2"/>
      <c r="B876" s="2"/>
      <c r="C876" s="2"/>
      <c r="D876" s="2"/>
      <c r="E876" s="2"/>
      <c r="F876" s="2"/>
      <c r="G876" s="2"/>
      <c r="H876" s="2"/>
      <c r="I876" s="2"/>
      <c r="J876" s="2"/>
      <c r="K876" s="158"/>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row>
    <row r="877" spans="1:87" ht="14.25" customHeight="1">
      <c r="A877" s="2"/>
      <c r="B877" s="2"/>
      <c r="C877" s="2"/>
      <c r="D877" s="2"/>
      <c r="E877" s="2"/>
      <c r="F877" s="2"/>
      <c r="G877" s="2"/>
      <c r="H877" s="2"/>
      <c r="I877" s="2"/>
      <c r="J877" s="2"/>
      <c r="K877" s="158"/>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row>
    <row r="878" spans="1:87" ht="14.25" customHeight="1">
      <c r="A878" s="2"/>
      <c r="B878" s="2"/>
      <c r="C878" s="2"/>
      <c r="D878" s="2"/>
      <c r="E878" s="2"/>
      <c r="F878" s="2"/>
      <c r="G878" s="2"/>
      <c r="H878" s="2"/>
      <c r="I878" s="2"/>
      <c r="J878" s="2"/>
      <c r="K878" s="158"/>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row>
    <row r="879" spans="1:87" ht="14.25" customHeight="1">
      <c r="A879" s="2"/>
      <c r="B879" s="2"/>
      <c r="C879" s="2"/>
      <c r="D879" s="2"/>
      <c r="E879" s="2"/>
      <c r="F879" s="2"/>
      <c r="G879" s="2"/>
      <c r="H879" s="2"/>
      <c r="I879" s="2"/>
      <c r="J879" s="2"/>
      <c r="K879" s="158"/>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row>
    <row r="880" spans="1:87" ht="14.25" customHeight="1">
      <c r="A880" s="2"/>
      <c r="B880" s="2"/>
      <c r="C880" s="2"/>
      <c r="D880" s="2"/>
      <c r="E880" s="2"/>
      <c r="F880" s="2"/>
      <c r="G880" s="2"/>
      <c r="H880" s="2"/>
      <c r="I880" s="2"/>
      <c r="J880" s="2"/>
      <c r="K880" s="158"/>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row>
    <row r="881" spans="1:87" ht="14.25" customHeight="1">
      <c r="A881" s="2"/>
      <c r="B881" s="2"/>
      <c r="C881" s="2"/>
      <c r="D881" s="2"/>
      <c r="E881" s="2"/>
      <c r="F881" s="2"/>
      <c r="G881" s="2"/>
      <c r="H881" s="2"/>
      <c r="I881" s="2"/>
      <c r="J881" s="2"/>
      <c r="K881" s="158"/>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row>
    <row r="882" spans="1:87" ht="14.25" customHeight="1">
      <c r="A882" s="2"/>
      <c r="B882" s="2"/>
      <c r="C882" s="2"/>
      <c r="D882" s="2"/>
      <c r="E882" s="2"/>
      <c r="F882" s="2"/>
      <c r="G882" s="2"/>
      <c r="H882" s="2"/>
      <c r="I882" s="2"/>
      <c r="J882" s="2"/>
      <c r="K882" s="158"/>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row>
    <row r="883" spans="1:87" ht="14.25" customHeight="1">
      <c r="A883" s="2"/>
      <c r="B883" s="2"/>
      <c r="C883" s="2"/>
      <c r="D883" s="2"/>
      <c r="E883" s="2"/>
      <c r="F883" s="2"/>
      <c r="G883" s="2"/>
      <c r="H883" s="2"/>
      <c r="I883" s="2"/>
      <c r="J883" s="2"/>
      <c r="K883" s="158"/>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row>
    <row r="884" spans="1:87" ht="14.25" customHeight="1">
      <c r="A884" s="2"/>
      <c r="B884" s="2"/>
      <c r="C884" s="2"/>
      <c r="D884" s="2"/>
      <c r="E884" s="2"/>
      <c r="F884" s="2"/>
      <c r="G884" s="2"/>
      <c r="H884" s="2"/>
      <c r="I884" s="2"/>
      <c r="J884" s="2"/>
      <c r="K884" s="158"/>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row>
    <row r="885" spans="1:87" ht="14.25" customHeight="1">
      <c r="A885" s="2"/>
      <c r="B885" s="2"/>
      <c r="C885" s="2"/>
      <c r="D885" s="2"/>
      <c r="E885" s="2"/>
      <c r="F885" s="2"/>
      <c r="G885" s="2"/>
      <c r="H885" s="2"/>
      <c r="I885" s="2"/>
      <c r="J885" s="2"/>
      <c r="K885" s="158"/>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row>
    <row r="886" spans="1:87" ht="14.25" customHeight="1">
      <c r="A886" s="2"/>
      <c r="B886" s="2"/>
      <c r="C886" s="2"/>
      <c r="D886" s="2"/>
      <c r="E886" s="2"/>
      <c r="F886" s="2"/>
      <c r="G886" s="2"/>
      <c r="H886" s="2"/>
      <c r="I886" s="2"/>
      <c r="J886" s="2"/>
      <c r="K886" s="158"/>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row>
    <row r="887" spans="1:87" ht="14.25" customHeight="1">
      <c r="A887" s="2"/>
      <c r="B887" s="2"/>
      <c r="C887" s="2"/>
      <c r="D887" s="2"/>
      <c r="E887" s="2"/>
      <c r="F887" s="2"/>
      <c r="G887" s="2"/>
      <c r="H887" s="2"/>
      <c r="I887" s="2"/>
      <c r="J887" s="2"/>
      <c r="K887" s="158"/>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row>
    <row r="888" spans="1:87" ht="14.25" customHeight="1">
      <c r="A888" s="2"/>
      <c r="B888" s="2"/>
      <c r="C888" s="2"/>
      <c r="D888" s="2"/>
      <c r="E888" s="2"/>
      <c r="F888" s="2"/>
      <c r="G888" s="2"/>
      <c r="H888" s="2"/>
      <c r="I888" s="2"/>
      <c r="J888" s="2"/>
      <c r="K888" s="158"/>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row>
    <row r="889" spans="1:87" ht="14.25" customHeight="1">
      <c r="A889" s="2"/>
      <c r="B889" s="2"/>
      <c r="C889" s="2"/>
      <c r="D889" s="2"/>
      <c r="E889" s="2"/>
      <c r="F889" s="2"/>
      <c r="G889" s="2"/>
      <c r="H889" s="2"/>
      <c r="I889" s="2"/>
      <c r="J889" s="2"/>
      <c r="K889" s="158"/>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row>
    <row r="890" spans="1:87" ht="14.25" customHeight="1">
      <c r="A890" s="2"/>
      <c r="B890" s="2"/>
      <c r="C890" s="2"/>
      <c r="D890" s="2"/>
      <c r="E890" s="2"/>
      <c r="F890" s="2"/>
      <c r="G890" s="2"/>
      <c r="H890" s="2"/>
      <c r="I890" s="2"/>
      <c r="J890" s="2"/>
      <c r="K890" s="158"/>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row>
    <row r="891" spans="1:87" ht="14.25" customHeight="1">
      <c r="A891" s="2"/>
      <c r="B891" s="2"/>
      <c r="C891" s="2"/>
      <c r="D891" s="2"/>
      <c r="E891" s="2"/>
      <c r="F891" s="2"/>
      <c r="G891" s="2"/>
      <c r="H891" s="2"/>
      <c r="I891" s="2"/>
      <c r="J891" s="2"/>
      <c r="K891" s="158"/>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row>
    <row r="892" spans="1:87" ht="14.25" customHeight="1">
      <c r="A892" s="2"/>
      <c r="B892" s="2"/>
      <c r="C892" s="2"/>
      <c r="D892" s="2"/>
      <c r="E892" s="2"/>
      <c r="F892" s="2"/>
      <c r="G892" s="2"/>
      <c r="H892" s="2"/>
      <c r="I892" s="2"/>
      <c r="J892" s="2"/>
      <c r="K892" s="158"/>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row>
    <row r="893" spans="1:87" ht="14.25" customHeight="1">
      <c r="A893" s="2"/>
      <c r="B893" s="2"/>
      <c r="C893" s="2"/>
      <c r="D893" s="2"/>
      <c r="E893" s="2"/>
      <c r="F893" s="2"/>
      <c r="G893" s="2"/>
      <c r="H893" s="2"/>
      <c r="I893" s="2"/>
      <c r="J893" s="2"/>
      <c r="K893" s="158"/>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row>
    <row r="894" spans="1:87" ht="14.25" customHeight="1">
      <c r="A894" s="2"/>
      <c r="B894" s="2"/>
      <c r="C894" s="2"/>
      <c r="D894" s="2"/>
      <c r="E894" s="2"/>
      <c r="F894" s="2"/>
      <c r="G894" s="2"/>
      <c r="H894" s="2"/>
      <c r="I894" s="2"/>
      <c r="J894" s="2"/>
      <c r="K894" s="158"/>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row>
    <row r="895" spans="1:87" ht="14.25" customHeight="1">
      <c r="A895" s="2"/>
      <c r="B895" s="2"/>
      <c r="C895" s="2"/>
      <c r="D895" s="2"/>
      <c r="E895" s="2"/>
      <c r="F895" s="2"/>
      <c r="G895" s="2"/>
      <c r="H895" s="2"/>
      <c r="I895" s="2"/>
      <c r="J895" s="2"/>
      <c r="K895" s="158"/>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row>
    <row r="896" spans="1:87" ht="14.25" customHeight="1">
      <c r="A896" s="2"/>
      <c r="B896" s="2"/>
      <c r="C896" s="2"/>
      <c r="D896" s="2"/>
      <c r="E896" s="2"/>
      <c r="F896" s="2"/>
      <c r="G896" s="2"/>
      <c r="H896" s="2"/>
      <c r="I896" s="2"/>
      <c r="J896" s="2"/>
      <c r="K896" s="158"/>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row>
    <row r="897" spans="1:87" ht="14.25" customHeight="1">
      <c r="A897" s="2"/>
      <c r="B897" s="2"/>
      <c r="C897" s="2"/>
      <c r="D897" s="2"/>
      <c r="E897" s="2"/>
      <c r="F897" s="2"/>
      <c r="G897" s="2"/>
      <c r="H897" s="2"/>
      <c r="I897" s="2"/>
      <c r="J897" s="2"/>
      <c r="K897" s="158"/>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row>
    <row r="898" spans="1:87" ht="14.25" customHeight="1">
      <c r="A898" s="2"/>
      <c r="B898" s="2"/>
      <c r="C898" s="2"/>
      <c r="D898" s="2"/>
      <c r="E898" s="2"/>
      <c r="F898" s="2"/>
      <c r="G898" s="2"/>
      <c r="H898" s="2"/>
      <c r="I898" s="2"/>
      <c r="J898" s="2"/>
      <c r="K898" s="158"/>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row>
    <row r="899" spans="1:87" ht="14.25" customHeight="1">
      <c r="A899" s="2"/>
      <c r="B899" s="2"/>
      <c r="C899" s="2"/>
      <c r="D899" s="2"/>
      <c r="E899" s="2"/>
      <c r="F899" s="2"/>
      <c r="G899" s="2"/>
      <c r="H899" s="2"/>
      <c r="I899" s="2"/>
      <c r="J899" s="2"/>
      <c r="K899" s="158"/>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row>
    <row r="900" spans="1:87" ht="14.25" customHeight="1">
      <c r="A900" s="2"/>
      <c r="B900" s="2"/>
      <c r="C900" s="2"/>
      <c r="D900" s="2"/>
      <c r="E900" s="2"/>
      <c r="F900" s="2"/>
      <c r="G900" s="2"/>
      <c r="H900" s="2"/>
      <c r="I900" s="2"/>
      <c r="J900" s="2"/>
      <c r="K900" s="158"/>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row>
    <row r="901" spans="1:87" ht="14.25" customHeight="1">
      <c r="A901" s="2"/>
      <c r="B901" s="2"/>
      <c r="C901" s="2"/>
      <c r="D901" s="2"/>
      <c r="E901" s="2"/>
      <c r="F901" s="2"/>
      <c r="G901" s="2"/>
      <c r="H901" s="2"/>
      <c r="I901" s="2"/>
      <c r="J901" s="2"/>
      <c r="K901" s="158"/>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row>
    <row r="902" spans="1:87" ht="14.25" customHeight="1">
      <c r="A902" s="2"/>
      <c r="B902" s="2"/>
      <c r="C902" s="2"/>
      <c r="D902" s="2"/>
      <c r="E902" s="2"/>
      <c r="F902" s="2"/>
      <c r="G902" s="2"/>
      <c r="H902" s="2"/>
      <c r="I902" s="2"/>
      <c r="J902" s="2"/>
      <c r="K902" s="158"/>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row>
    <row r="903" spans="1:87" ht="14.25" customHeight="1">
      <c r="A903" s="2"/>
      <c r="B903" s="2"/>
      <c r="C903" s="2"/>
      <c r="D903" s="2"/>
      <c r="E903" s="2"/>
      <c r="F903" s="2"/>
      <c r="G903" s="2"/>
      <c r="H903" s="2"/>
      <c r="I903" s="2"/>
      <c r="J903" s="2"/>
      <c r="K903" s="158"/>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row>
    <row r="904" spans="1:87" ht="14.25" customHeight="1">
      <c r="A904" s="2"/>
      <c r="B904" s="2"/>
      <c r="C904" s="2"/>
      <c r="D904" s="2"/>
      <c r="E904" s="2"/>
      <c r="F904" s="2"/>
      <c r="G904" s="2"/>
      <c r="H904" s="2"/>
      <c r="I904" s="2"/>
      <c r="J904" s="2"/>
      <c r="K904" s="158"/>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row>
    <row r="905" spans="1:87" ht="14.25" customHeight="1">
      <c r="A905" s="2"/>
      <c r="B905" s="2"/>
      <c r="C905" s="2"/>
      <c r="D905" s="2"/>
      <c r="E905" s="2"/>
      <c r="F905" s="2"/>
      <c r="G905" s="2"/>
      <c r="H905" s="2"/>
      <c r="I905" s="2"/>
      <c r="J905" s="2"/>
      <c r="K905" s="158"/>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row>
    <row r="906" spans="1:87" ht="14.25" customHeight="1">
      <c r="A906" s="2"/>
      <c r="B906" s="2"/>
      <c r="C906" s="2"/>
      <c r="D906" s="2"/>
      <c r="E906" s="2"/>
      <c r="F906" s="2"/>
      <c r="G906" s="2"/>
      <c r="H906" s="2"/>
      <c r="I906" s="2"/>
      <c r="J906" s="2"/>
      <c r="K906" s="158"/>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row>
    <row r="907" spans="1:87" ht="14.25" customHeight="1">
      <c r="A907" s="2"/>
      <c r="B907" s="2"/>
      <c r="C907" s="2"/>
      <c r="D907" s="2"/>
      <c r="E907" s="2"/>
      <c r="F907" s="2"/>
      <c r="G907" s="2"/>
      <c r="H907" s="2"/>
      <c r="I907" s="2"/>
      <c r="J907" s="2"/>
      <c r="K907" s="158"/>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row>
    <row r="908" spans="1:87" ht="14.25" customHeight="1">
      <c r="A908" s="2"/>
      <c r="B908" s="2"/>
      <c r="C908" s="2"/>
      <c r="D908" s="2"/>
      <c r="E908" s="2"/>
      <c r="F908" s="2"/>
      <c r="G908" s="2"/>
      <c r="H908" s="2"/>
      <c r="I908" s="2"/>
      <c r="J908" s="2"/>
      <c r="K908" s="158"/>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row>
    <row r="909" spans="1:87" ht="14.25" customHeight="1">
      <c r="A909" s="2"/>
      <c r="B909" s="2"/>
      <c r="C909" s="2"/>
      <c r="D909" s="2"/>
      <c r="E909" s="2"/>
      <c r="F909" s="2"/>
      <c r="G909" s="2"/>
      <c r="H909" s="2"/>
      <c r="I909" s="2"/>
      <c r="J909" s="2"/>
      <c r="K909" s="158"/>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row>
    <row r="910" spans="1:87" ht="14.25" customHeight="1">
      <c r="A910" s="2"/>
      <c r="B910" s="2"/>
      <c r="C910" s="2"/>
      <c r="D910" s="2"/>
      <c r="E910" s="2"/>
      <c r="F910" s="2"/>
      <c r="G910" s="2"/>
      <c r="H910" s="2"/>
      <c r="I910" s="2"/>
      <c r="J910" s="2"/>
      <c r="K910" s="158"/>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row>
    <row r="911" spans="1:87" ht="14.25" customHeight="1">
      <c r="A911" s="2"/>
      <c r="B911" s="2"/>
      <c r="C911" s="2"/>
      <c r="D911" s="2"/>
      <c r="E911" s="2"/>
      <c r="F911" s="2"/>
      <c r="G911" s="2"/>
      <c r="H911" s="2"/>
      <c r="I911" s="2"/>
      <c r="J911" s="2"/>
      <c r="K911" s="158"/>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row>
    <row r="912" spans="1:87" ht="14.25" customHeight="1">
      <c r="A912" s="2"/>
      <c r="B912" s="2"/>
      <c r="C912" s="2"/>
      <c r="D912" s="2"/>
      <c r="E912" s="2"/>
      <c r="F912" s="2"/>
      <c r="G912" s="2"/>
      <c r="H912" s="2"/>
      <c r="I912" s="2"/>
      <c r="J912" s="2"/>
      <c r="K912" s="158"/>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row>
    <row r="913" spans="1:87" ht="14.25" customHeight="1">
      <c r="A913" s="2"/>
      <c r="B913" s="2"/>
      <c r="C913" s="2"/>
      <c r="D913" s="2"/>
      <c r="E913" s="2"/>
      <c r="F913" s="2"/>
      <c r="G913" s="2"/>
      <c r="H913" s="2"/>
      <c r="I913" s="2"/>
      <c r="J913" s="2"/>
      <c r="K913" s="158"/>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row>
    <row r="914" spans="1:87" ht="14.25" customHeight="1">
      <c r="A914" s="2"/>
      <c r="B914" s="2"/>
      <c r="C914" s="2"/>
      <c r="D914" s="2"/>
      <c r="E914" s="2"/>
      <c r="F914" s="2"/>
      <c r="G914" s="2"/>
      <c r="H914" s="2"/>
      <c r="I914" s="2"/>
      <c r="J914" s="2"/>
      <c r="K914" s="158"/>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row>
    <row r="915" spans="1:87" ht="14.25" customHeight="1">
      <c r="A915" s="2"/>
      <c r="B915" s="2"/>
      <c r="C915" s="2"/>
      <c r="D915" s="2"/>
      <c r="E915" s="2"/>
      <c r="F915" s="2"/>
      <c r="G915" s="2"/>
      <c r="H915" s="2"/>
      <c r="I915" s="2"/>
      <c r="J915" s="2"/>
      <c r="K915" s="158"/>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row>
    <row r="916" spans="1:87" ht="14.25" customHeight="1">
      <c r="A916" s="2"/>
      <c r="B916" s="2"/>
      <c r="C916" s="2"/>
      <c r="D916" s="2"/>
      <c r="E916" s="2"/>
      <c r="F916" s="2"/>
      <c r="G916" s="2"/>
      <c r="H916" s="2"/>
      <c r="I916" s="2"/>
      <c r="J916" s="2"/>
      <c r="K916" s="158"/>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row>
    <row r="917" spans="1:87" ht="14.25" customHeight="1">
      <c r="A917" s="2"/>
      <c r="B917" s="2"/>
      <c r="C917" s="2"/>
      <c r="D917" s="2"/>
      <c r="E917" s="2"/>
      <c r="F917" s="2"/>
      <c r="G917" s="2"/>
      <c r="H917" s="2"/>
      <c r="I917" s="2"/>
      <c r="J917" s="2"/>
      <c r="K917" s="158"/>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row>
    <row r="918" spans="1:87" ht="14.25" customHeight="1">
      <c r="A918" s="2"/>
      <c r="B918" s="2"/>
      <c r="C918" s="2"/>
      <c r="D918" s="2"/>
      <c r="E918" s="2"/>
      <c r="F918" s="2"/>
      <c r="G918" s="2"/>
      <c r="H918" s="2"/>
      <c r="I918" s="2"/>
      <c r="J918" s="2"/>
      <c r="K918" s="158"/>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row>
    <row r="919" spans="1:87" ht="14.25" customHeight="1">
      <c r="A919" s="2"/>
      <c r="B919" s="2"/>
      <c r="C919" s="2"/>
      <c r="D919" s="2"/>
      <c r="E919" s="2"/>
      <c r="F919" s="2"/>
      <c r="G919" s="2"/>
      <c r="H919" s="2"/>
      <c r="I919" s="2"/>
      <c r="J919" s="2"/>
      <c r="K919" s="158"/>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row>
    <row r="920" spans="1:87" ht="14.25" customHeight="1">
      <c r="A920" s="2"/>
      <c r="B920" s="2"/>
      <c r="C920" s="2"/>
      <c r="D920" s="2"/>
      <c r="E920" s="2"/>
      <c r="F920" s="2"/>
      <c r="G920" s="2"/>
      <c r="H920" s="2"/>
      <c r="I920" s="2"/>
      <c r="J920" s="2"/>
      <c r="K920" s="158"/>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row>
    <row r="921" spans="1:87" ht="14.25" customHeight="1">
      <c r="A921" s="2"/>
      <c r="B921" s="2"/>
      <c r="C921" s="2"/>
      <c r="D921" s="2"/>
      <c r="E921" s="2"/>
      <c r="F921" s="2"/>
      <c r="G921" s="2"/>
      <c r="H921" s="2"/>
      <c r="I921" s="2"/>
      <c r="J921" s="2"/>
      <c r="K921" s="158"/>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row>
    <row r="922" spans="1:87" ht="14.25" customHeight="1">
      <c r="A922" s="2"/>
      <c r="B922" s="2"/>
      <c r="C922" s="2"/>
      <c r="D922" s="2"/>
      <c r="E922" s="2"/>
      <c r="F922" s="2"/>
      <c r="G922" s="2"/>
      <c r="H922" s="2"/>
      <c r="I922" s="2"/>
      <c r="J922" s="2"/>
      <c r="K922" s="158"/>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row>
    <row r="923" spans="1:87" ht="14.25" customHeight="1">
      <c r="A923" s="2"/>
      <c r="B923" s="2"/>
      <c r="C923" s="2"/>
      <c r="D923" s="2"/>
      <c r="E923" s="2"/>
      <c r="F923" s="2"/>
      <c r="G923" s="2"/>
      <c r="H923" s="2"/>
      <c r="I923" s="2"/>
      <c r="J923" s="2"/>
      <c r="K923" s="158"/>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row>
    <row r="924" spans="1:87" ht="14.25" customHeight="1">
      <c r="A924" s="2"/>
      <c r="B924" s="2"/>
      <c r="C924" s="2"/>
      <c r="D924" s="2"/>
      <c r="E924" s="2"/>
      <c r="F924" s="2"/>
      <c r="G924" s="2"/>
      <c r="H924" s="2"/>
      <c r="I924" s="2"/>
      <c r="J924" s="2"/>
      <c r="K924" s="158"/>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row>
    <row r="925" spans="1:87" ht="14.25" customHeight="1">
      <c r="A925" s="2"/>
      <c r="B925" s="2"/>
      <c r="C925" s="2"/>
      <c r="D925" s="2"/>
      <c r="E925" s="2"/>
      <c r="F925" s="2"/>
      <c r="G925" s="2"/>
      <c r="H925" s="2"/>
      <c r="I925" s="2"/>
      <c r="J925" s="2"/>
      <c r="K925" s="158"/>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row>
    <row r="926" spans="1:87" ht="14.25" customHeight="1">
      <c r="A926" s="2"/>
      <c r="B926" s="2"/>
      <c r="C926" s="2"/>
      <c r="D926" s="2"/>
      <c r="E926" s="2"/>
      <c r="F926" s="2"/>
      <c r="G926" s="2"/>
      <c r="H926" s="2"/>
      <c r="I926" s="2"/>
      <c r="J926" s="2"/>
      <c r="K926" s="158"/>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row>
    <row r="927" spans="1:87" ht="14.25" customHeight="1">
      <c r="A927" s="2"/>
      <c r="B927" s="2"/>
      <c r="C927" s="2"/>
      <c r="D927" s="2"/>
      <c r="E927" s="2"/>
      <c r="F927" s="2"/>
      <c r="G927" s="2"/>
      <c r="H927" s="2"/>
      <c r="I927" s="2"/>
      <c r="J927" s="2"/>
      <c r="K927" s="158"/>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row>
    <row r="928" spans="1:87" ht="14.25" customHeight="1">
      <c r="A928" s="2"/>
      <c r="B928" s="2"/>
      <c r="C928" s="2"/>
      <c r="D928" s="2"/>
      <c r="E928" s="2"/>
      <c r="F928" s="2"/>
      <c r="G928" s="2"/>
      <c r="H928" s="2"/>
      <c r="I928" s="2"/>
      <c r="J928" s="2"/>
      <c r="K928" s="158"/>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row>
    <row r="929" spans="1:87" ht="14.25" customHeight="1">
      <c r="A929" s="2"/>
      <c r="B929" s="2"/>
      <c r="C929" s="2"/>
      <c r="D929" s="2"/>
      <c r="E929" s="2"/>
      <c r="F929" s="2"/>
      <c r="G929" s="2"/>
      <c r="H929" s="2"/>
      <c r="I929" s="2"/>
      <c r="J929" s="2"/>
      <c r="K929" s="158"/>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row>
    <row r="930" spans="1:87" ht="14.25" customHeight="1">
      <c r="A930" s="2"/>
      <c r="B930" s="2"/>
      <c r="C930" s="2"/>
      <c r="D930" s="2"/>
      <c r="E930" s="2"/>
      <c r="F930" s="2"/>
      <c r="G930" s="2"/>
      <c r="H930" s="2"/>
      <c r="I930" s="2"/>
      <c r="J930" s="2"/>
      <c r="K930" s="158"/>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row>
    <row r="931" spans="1:87" ht="14.25" customHeight="1">
      <c r="A931" s="2"/>
      <c r="B931" s="2"/>
      <c r="C931" s="2"/>
      <c r="D931" s="2"/>
      <c r="E931" s="2"/>
      <c r="F931" s="2"/>
      <c r="G931" s="2"/>
      <c r="H931" s="2"/>
      <c r="I931" s="2"/>
      <c r="J931" s="2"/>
      <c r="K931" s="158"/>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row>
    <row r="932" spans="1:87" ht="14.25" customHeight="1">
      <c r="A932" s="2"/>
      <c r="B932" s="2"/>
      <c r="C932" s="2"/>
      <c r="D932" s="2"/>
      <c r="E932" s="2"/>
      <c r="F932" s="2"/>
      <c r="G932" s="2"/>
      <c r="H932" s="2"/>
      <c r="I932" s="2"/>
      <c r="J932" s="2"/>
      <c r="K932" s="158"/>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row>
    <row r="933" spans="1:87" ht="14.25" customHeight="1">
      <c r="A933" s="2"/>
      <c r="B933" s="2"/>
      <c r="C933" s="2"/>
      <c r="D933" s="2"/>
      <c r="E933" s="2"/>
      <c r="F933" s="2"/>
      <c r="G933" s="2"/>
      <c r="H933" s="2"/>
      <c r="I933" s="2"/>
      <c r="J933" s="2"/>
      <c r="K933" s="158"/>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row>
    <row r="934" spans="1:87" ht="14.25" customHeight="1">
      <c r="A934" s="2"/>
      <c r="B934" s="2"/>
      <c r="C934" s="2"/>
      <c r="D934" s="2"/>
      <c r="E934" s="2"/>
      <c r="F934" s="2"/>
      <c r="G934" s="2"/>
      <c r="H934" s="2"/>
      <c r="I934" s="2"/>
      <c r="J934" s="2"/>
      <c r="K934" s="158"/>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row>
    <row r="935" spans="1:87" ht="14.25" customHeight="1">
      <c r="A935" s="2"/>
      <c r="B935" s="2"/>
      <c r="C935" s="2"/>
      <c r="D935" s="2"/>
      <c r="E935" s="2"/>
      <c r="F935" s="2"/>
      <c r="G935" s="2"/>
      <c r="H935" s="2"/>
      <c r="I935" s="2"/>
      <c r="J935" s="2"/>
      <c r="K935" s="158"/>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row>
    <row r="936" spans="1:87" ht="14.25" customHeight="1">
      <c r="A936" s="2"/>
      <c r="B936" s="2"/>
      <c r="C936" s="2"/>
      <c r="D936" s="2"/>
      <c r="E936" s="2"/>
      <c r="F936" s="2"/>
      <c r="G936" s="2"/>
      <c r="H936" s="2"/>
      <c r="I936" s="2"/>
      <c r="J936" s="2"/>
      <c r="K936" s="158"/>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row>
    <row r="937" spans="1:87" ht="14.25" customHeight="1">
      <c r="A937" s="2"/>
      <c r="B937" s="2"/>
      <c r="C937" s="2"/>
      <c r="D937" s="2"/>
      <c r="E937" s="2"/>
      <c r="F937" s="2"/>
      <c r="G937" s="2"/>
      <c r="H937" s="2"/>
      <c r="I937" s="2"/>
      <c r="J937" s="2"/>
      <c r="K937" s="158"/>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row>
    <row r="938" spans="1:87" ht="14.25" customHeight="1">
      <c r="A938" s="2"/>
      <c r="B938" s="2"/>
      <c r="C938" s="2"/>
      <c r="D938" s="2"/>
      <c r="E938" s="2"/>
      <c r="F938" s="2"/>
      <c r="G938" s="2"/>
      <c r="H938" s="2"/>
      <c r="I938" s="2"/>
      <c r="J938" s="2"/>
      <c r="K938" s="158"/>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row>
    <row r="939" spans="1:87" ht="14.25" customHeight="1">
      <c r="A939" s="2"/>
      <c r="B939" s="2"/>
      <c r="C939" s="2"/>
      <c r="D939" s="2"/>
      <c r="E939" s="2"/>
      <c r="F939" s="2"/>
      <c r="G939" s="2"/>
      <c r="H939" s="2"/>
      <c r="I939" s="2"/>
      <c r="J939" s="2"/>
      <c r="K939" s="158"/>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row>
    <row r="940" spans="1:87" ht="14.25" customHeight="1">
      <c r="A940" s="2"/>
      <c r="B940" s="2"/>
      <c r="C940" s="2"/>
      <c r="D940" s="2"/>
      <c r="E940" s="2"/>
      <c r="F940" s="2"/>
      <c r="G940" s="2"/>
      <c r="H940" s="2"/>
      <c r="I940" s="2"/>
      <c r="J940" s="2"/>
      <c r="K940" s="158"/>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row>
    <row r="941" spans="1:87" ht="14.25" customHeight="1">
      <c r="A941" s="2"/>
      <c r="B941" s="2"/>
      <c r="C941" s="2"/>
      <c r="D941" s="2"/>
      <c r="E941" s="2"/>
      <c r="F941" s="2"/>
      <c r="G941" s="2"/>
      <c r="H941" s="2"/>
      <c r="I941" s="2"/>
      <c r="J941" s="2"/>
      <c r="K941" s="158"/>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row>
    <row r="942" spans="1:87" ht="14.25" customHeight="1">
      <c r="A942" s="2"/>
      <c r="B942" s="2"/>
      <c r="C942" s="2"/>
      <c r="D942" s="2"/>
      <c r="E942" s="2"/>
      <c r="F942" s="2"/>
      <c r="G942" s="2"/>
      <c r="H942" s="2"/>
      <c r="I942" s="2"/>
      <c r="J942" s="2"/>
      <c r="K942" s="158"/>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row>
    <row r="943" spans="1:87" ht="14.25" customHeight="1">
      <c r="A943" s="2"/>
      <c r="B943" s="2"/>
      <c r="C943" s="2"/>
      <c r="D943" s="2"/>
      <c r="E943" s="2"/>
      <c r="F943" s="2"/>
      <c r="G943" s="2"/>
      <c r="H943" s="2"/>
      <c r="I943" s="2"/>
      <c r="J943" s="2"/>
      <c r="K943" s="158"/>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row>
    <row r="944" spans="1:87" ht="14.25" customHeight="1">
      <c r="A944" s="2"/>
      <c r="B944" s="2"/>
      <c r="C944" s="2"/>
      <c r="D944" s="2"/>
      <c r="E944" s="2"/>
      <c r="F944" s="2"/>
      <c r="G944" s="2"/>
      <c r="H944" s="2"/>
      <c r="I944" s="2"/>
      <c r="J944" s="2"/>
      <c r="K944" s="158"/>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row>
    <row r="945" spans="1:87" ht="14.25" customHeight="1">
      <c r="A945" s="2"/>
      <c r="B945" s="2"/>
      <c r="C945" s="2"/>
      <c r="D945" s="2"/>
      <c r="E945" s="2"/>
      <c r="F945" s="2"/>
      <c r="G945" s="2"/>
      <c r="H945" s="2"/>
      <c r="I945" s="2"/>
      <c r="J945" s="2"/>
      <c r="K945" s="158"/>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row>
    <row r="946" spans="1:87" ht="14.25" customHeight="1">
      <c r="A946" s="2"/>
      <c r="B946" s="2"/>
      <c r="C946" s="2"/>
      <c r="D946" s="2"/>
      <c r="E946" s="2"/>
      <c r="F946" s="2"/>
      <c r="G946" s="2"/>
      <c r="H946" s="2"/>
      <c r="I946" s="2"/>
      <c r="J946" s="2"/>
      <c r="K946" s="158"/>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row>
    <row r="947" spans="1:87" ht="14.25" customHeight="1">
      <c r="A947" s="2"/>
      <c r="B947" s="2"/>
      <c r="C947" s="2"/>
      <c r="D947" s="2"/>
      <c r="E947" s="2"/>
      <c r="F947" s="2"/>
      <c r="G947" s="2"/>
      <c r="H947" s="2"/>
      <c r="I947" s="2"/>
      <c r="J947" s="2"/>
      <c r="K947" s="158"/>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row>
    <row r="948" spans="1:87" ht="14.25" customHeight="1">
      <c r="A948" s="2"/>
      <c r="B948" s="2"/>
      <c r="C948" s="2"/>
      <c r="D948" s="2"/>
      <c r="E948" s="2"/>
      <c r="F948" s="2"/>
      <c r="G948" s="2"/>
      <c r="H948" s="2"/>
      <c r="I948" s="2"/>
      <c r="J948" s="2"/>
      <c r="K948" s="158"/>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row>
    <row r="949" spans="1:87" ht="14.25" customHeight="1">
      <c r="A949" s="2"/>
      <c r="B949" s="2"/>
      <c r="C949" s="2"/>
      <c r="D949" s="2"/>
      <c r="E949" s="2"/>
      <c r="F949" s="2"/>
      <c r="G949" s="2"/>
      <c r="H949" s="2"/>
      <c r="I949" s="2"/>
      <c r="J949" s="2"/>
      <c r="K949" s="158"/>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row>
    <row r="950" spans="1:87" ht="14.25" customHeight="1">
      <c r="A950" s="2"/>
      <c r="B950" s="2"/>
      <c r="C950" s="2"/>
      <c r="D950" s="2"/>
      <c r="E950" s="2"/>
      <c r="F950" s="2"/>
      <c r="G950" s="2"/>
      <c r="H950" s="2"/>
      <c r="I950" s="2"/>
      <c r="J950" s="2"/>
      <c r="K950" s="158"/>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row>
    <row r="951" spans="1:87" ht="14.25" customHeight="1">
      <c r="A951" s="2"/>
      <c r="B951" s="2"/>
      <c r="C951" s="2"/>
      <c r="D951" s="2"/>
      <c r="E951" s="2"/>
      <c r="F951" s="2"/>
      <c r="G951" s="2"/>
      <c r="H951" s="2"/>
      <c r="I951" s="2"/>
      <c r="J951" s="2"/>
      <c r="K951" s="158"/>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row>
    <row r="952" spans="1:87" ht="14.25" customHeight="1">
      <c r="A952" s="2"/>
      <c r="B952" s="2"/>
      <c r="C952" s="2"/>
      <c r="D952" s="2"/>
      <c r="E952" s="2"/>
      <c r="F952" s="2"/>
      <c r="G952" s="2"/>
      <c r="H952" s="2"/>
      <c r="I952" s="2"/>
      <c r="J952" s="2"/>
      <c r="K952" s="158"/>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row>
    <row r="953" spans="1:87" ht="14.25" customHeight="1">
      <c r="A953" s="2"/>
      <c r="B953" s="2"/>
      <c r="C953" s="2"/>
      <c r="D953" s="2"/>
      <c r="E953" s="2"/>
      <c r="F953" s="2"/>
      <c r="G953" s="2"/>
      <c r="H953" s="2"/>
      <c r="I953" s="2"/>
      <c r="J953" s="2"/>
      <c r="K953" s="158"/>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row>
    <row r="954" spans="1:87" ht="14.25" customHeight="1">
      <c r="A954" s="2"/>
      <c r="B954" s="2"/>
      <c r="C954" s="2"/>
      <c r="D954" s="2"/>
      <c r="E954" s="2"/>
      <c r="F954" s="2"/>
      <c r="G954" s="2"/>
      <c r="H954" s="2"/>
      <c r="I954" s="2"/>
      <c r="J954" s="2"/>
      <c r="K954" s="158"/>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row>
    <row r="955" spans="1:87" ht="14.25" customHeight="1">
      <c r="A955" s="2"/>
      <c r="B955" s="2"/>
      <c r="C955" s="2"/>
      <c r="D955" s="2"/>
      <c r="E955" s="2"/>
      <c r="F955" s="2"/>
      <c r="G955" s="2"/>
      <c r="H955" s="2"/>
      <c r="I955" s="2"/>
      <c r="J955" s="2"/>
      <c r="K955" s="158"/>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row>
    <row r="956" spans="1:87" ht="14.25" customHeight="1">
      <c r="A956" s="2"/>
      <c r="B956" s="2"/>
      <c r="C956" s="2"/>
      <c r="D956" s="2"/>
      <c r="E956" s="2"/>
      <c r="F956" s="2"/>
      <c r="G956" s="2"/>
      <c r="H956" s="2"/>
      <c r="I956" s="2"/>
      <c r="J956" s="2"/>
      <c r="K956" s="158"/>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row>
    <row r="957" spans="1:87" ht="14.25" customHeight="1">
      <c r="A957" s="2"/>
      <c r="B957" s="2"/>
      <c r="C957" s="2"/>
      <c r="D957" s="2"/>
      <c r="E957" s="2"/>
      <c r="F957" s="2"/>
      <c r="G957" s="2"/>
      <c r="H957" s="2"/>
      <c r="I957" s="2"/>
      <c r="J957" s="2"/>
      <c r="K957" s="158"/>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row>
    <row r="958" spans="1:87" ht="14.25" customHeight="1">
      <c r="A958" s="2"/>
      <c r="B958" s="2"/>
      <c r="C958" s="2"/>
      <c r="D958" s="2"/>
      <c r="E958" s="2"/>
      <c r="F958" s="2"/>
      <c r="G958" s="2"/>
      <c r="H958" s="2"/>
      <c r="I958" s="2"/>
      <c r="J958" s="2"/>
      <c r="K958" s="158"/>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row>
    <row r="959" spans="1:87" ht="14.25" customHeight="1">
      <c r="A959" s="2"/>
      <c r="B959" s="2"/>
      <c r="C959" s="2"/>
      <c r="D959" s="2"/>
      <c r="E959" s="2"/>
      <c r="F959" s="2"/>
      <c r="G959" s="2"/>
      <c r="H959" s="2"/>
      <c r="I959" s="2"/>
      <c r="J959" s="2"/>
      <c r="K959" s="158"/>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row>
    <row r="960" spans="1:87" ht="14.25" customHeight="1">
      <c r="A960" s="2"/>
      <c r="B960" s="2"/>
      <c r="C960" s="2"/>
      <c r="D960" s="2"/>
      <c r="E960" s="2"/>
      <c r="F960" s="2"/>
      <c r="G960" s="2"/>
      <c r="H960" s="2"/>
      <c r="I960" s="2"/>
      <c r="J960" s="2"/>
      <c r="K960" s="158"/>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row>
    <row r="961" spans="1:87" ht="14.25" customHeight="1">
      <c r="A961" s="2"/>
      <c r="B961" s="2"/>
      <c r="C961" s="2"/>
      <c r="D961" s="2"/>
      <c r="E961" s="2"/>
      <c r="F961" s="2"/>
      <c r="G961" s="2"/>
      <c r="H961" s="2"/>
      <c r="I961" s="2"/>
      <c r="J961" s="2"/>
      <c r="K961" s="158"/>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row>
    <row r="962" spans="1:87" ht="14.25" customHeight="1">
      <c r="A962" s="2"/>
      <c r="B962" s="2"/>
      <c r="C962" s="2"/>
      <c r="D962" s="2"/>
      <c r="E962" s="2"/>
      <c r="F962" s="2"/>
      <c r="G962" s="2"/>
      <c r="H962" s="2"/>
      <c r="I962" s="2"/>
      <c r="J962" s="2"/>
      <c r="K962" s="158"/>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row>
    <row r="963" spans="1:87" ht="14.25" customHeight="1">
      <c r="A963" s="2"/>
      <c r="B963" s="2"/>
      <c r="C963" s="2"/>
      <c r="D963" s="2"/>
      <c r="E963" s="2"/>
      <c r="F963" s="2"/>
      <c r="G963" s="2"/>
      <c r="H963" s="2"/>
      <c r="I963" s="2"/>
      <c r="J963" s="2"/>
      <c r="K963" s="158"/>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row>
    <row r="964" spans="1:87" ht="14.25" customHeight="1">
      <c r="A964" s="2"/>
      <c r="B964" s="2"/>
      <c r="C964" s="2"/>
      <c r="D964" s="2"/>
      <c r="E964" s="2"/>
      <c r="F964" s="2"/>
      <c r="G964" s="2"/>
      <c r="H964" s="2"/>
      <c r="I964" s="2"/>
      <c r="J964" s="2"/>
      <c r="K964" s="158"/>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row>
    <row r="965" spans="1:87" ht="14.25" customHeight="1">
      <c r="A965" s="2"/>
      <c r="B965" s="2"/>
      <c r="C965" s="2"/>
      <c r="D965" s="2"/>
      <c r="E965" s="2"/>
      <c r="F965" s="2"/>
      <c r="G965" s="2"/>
      <c r="H965" s="2"/>
      <c r="I965" s="2"/>
      <c r="J965" s="2"/>
      <c r="K965" s="158"/>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row>
    <row r="966" spans="1:87" ht="14.25" customHeight="1">
      <c r="A966" s="2"/>
      <c r="B966" s="2"/>
      <c r="C966" s="2"/>
      <c r="D966" s="2"/>
      <c r="E966" s="2"/>
      <c r="F966" s="2"/>
      <c r="G966" s="2"/>
      <c r="H966" s="2"/>
      <c r="I966" s="2"/>
      <c r="J966" s="2"/>
      <c r="K966" s="158"/>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row>
    <row r="967" spans="1:87" ht="14.25" customHeight="1">
      <c r="A967" s="2"/>
      <c r="B967" s="2"/>
      <c r="C967" s="2"/>
      <c r="D967" s="2"/>
      <c r="E967" s="2"/>
      <c r="F967" s="2"/>
      <c r="G967" s="2"/>
      <c r="H967" s="2"/>
      <c r="I967" s="2"/>
      <c r="J967" s="2"/>
      <c r="K967" s="158"/>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row>
    <row r="968" spans="1:87" ht="14.25" customHeight="1">
      <c r="A968" s="2"/>
      <c r="B968" s="2"/>
      <c r="C968" s="2"/>
      <c r="D968" s="2"/>
      <c r="E968" s="2"/>
      <c r="F968" s="2"/>
      <c r="G968" s="2"/>
      <c r="H968" s="2"/>
      <c r="I968" s="2"/>
      <c r="J968" s="2"/>
      <c r="K968" s="158"/>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row>
    <row r="969" spans="1:87" ht="14.25" customHeight="1">
      <c r="A969" s="2"/>
      <c r="B969" s="2"/>
      <c r="C969" s="2"/>
      <c r="D969" s="2"/>
      <c r="E969" s="2"/>
      <c r="F969" s="2"/>
      <c r="G969" s="2"/>
      <c r="H969" s="2"/>
      <c r="I969" s="2"/>
      <c r="J969" s="2"/>
      <c r="K969" s="158"/>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row>
    <row r="970" spans="1:87" ht="14.25" customHeight="1">
      <c r="A970" s="2"/>
      <c r="B970" s="2"/>
      <c r="C970" s="2"/>
      <c r="D970" s="2"/>
      <c r="E970" s="2"/>
      <c r="F970" s="2"/>
      <c r="G970" s="2"/>
      <c r="H970" s="2"/>
      <c r="I970" s="2"/>
      <c r="J970" s="2"/>
      <c r="K970" s="158"/>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row>
    <row r="971" spans="1:87" ht="14.25" customHeight="1">
      <c r="A971" s="2"/>
      <c r="B971" s="2"/>
      <c r="C971" s="2"/>
      <c r="D971" s="2"/>
      <c r="E971" s="2"/>
      <c r="F971" s="2"/>
      <c r="G971" s="2"/>
      <c r="H971" s="2"/>
      <c r="I971" s="2"/>
      <c r="J971" s="2"/>
      <c r="K971" s="158"/>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row>
    <row r="972" spans="1:87" ht="14.25" customHeight="1">
      <c r="A972" s="2"/>
      <c r="B972" s="2"/>
      <c r="C972" s="2"/>
      <c r="D972" s="2"/>
      <c r="E972" s="2"/>
      <c r="F972" s="2"/>
      <c r="G972" s="2"/>
      <c r="H972" s="2"/>
      <c r="I972" s="2"/>
      <c r="J972" s="2"/>
      <c r="K972" s="158"/>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row>
    <row r="973" spans="1:87" ht="14.25" customHeight="1">
      <c r="A973" s="2"/>
      <c r="B973" s="2"/>
      <c r="C973" s="2"/>
      <c r="D973" s="2"/>
      <c r="E973" s="2"/>
      <c r="F973" s="2"/>
      <c r="G973" s="2"/>
      <c r="H973" s="2"/>
      <c r="I973" s="2"/>
      <c r="J973" s="2"/>
      <c r="K973" s="158"/>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row>
    <row r="974" spans="1:87" ht="14.25" customHeight="1">
      <c r="A974" s="2"/>
      <c r="B974" s="2"/>
      <c r="C974" s="2"/>
      <c r="D974" s="2"/>
      <c r="E974" s="2"/>
      <c r="F974" s="2"/>
      <c r="G974" s="2"/>
      <c r="H974" s="2"/>
      <c r="I974" s="2"/>
      <c r="J974" s="2"/>
      <c r="K974" s="158"/>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row>
    <row r="975" spans="1:87" ht="14.25" customHeight="1">
      <c r="A975" s="2"/>
      <c r="B975" s="2"/>
      <c r="C975" s="2"/>
      <c r="D975" s="2"/>
      <c r="E975" s="2"/>
      <c r="F975" s="2"/>
      <c r="G975" s="2"/>
      <c r="H975" s="2"/>
      <c r="I975" s="2"/>
      <c r="J975" s="2"/>
      <c r="K975" s="158"/>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row>
    <row r="976" spans="1:87" ht="14.25" customHeight="1">
      <c r="A976" s="2"/>
      <c r="B976" s="2"/>
      <c r="C976" s="2"/>
      <c r="D976" s="2"/>
      <c r="E976" s="2"/>
      <c r="F976" s="2"/>
      <c r="G976" s="2"/>
      <c r="H976" s="2"/>
      <c r="I976" s="2"/>
      <c r="J976" s="2"/>
      <c r="K976" s="158"/>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row>
    <row r="977" spans="1:87" ht="14.25" customHeight="1">
      <c r="A977" s="2"/>
      <c r="B977" s="2"/>
      <c r="C977" s="2"/>
      <c r="D977" s="2"/>
      <c r="E977" s="2"/>
      <c r="F977" s="2"/>
      <c r="G977" s="2"/>
      <c r="H977" s="2"/>
      <c r="I977" s="2"/>
      <c r="J977" s="2"/>
      <c r="K977" s="158"/>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row>
    <row r="978" spans="1:87" ht="14.25" customHeight="1">
      <c r="A978" s="2"/>
      <c r="B978" s="2"/>
      <c r="C978" s="2"/>
      <c r="D978" s="2"/>
      <c r="E978" s="2"/>
      <c r="F978" s="2"/>
      <c r="G978" s="2"/>
      <c r="H978" s="2"/>
      <c r="I978" s="2"/>
      <c r="J978" s="2"/>
      <c r="K978" s="158"/>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row>
    <row r="979" spans="1:87" ht="14.25" customHeight="1">
      <c r="A979" s="2"/>
      <c r="B979" s="2"/>
      <c r="C979" s="2"/>
      <c r="D979" s="2"/>
      <c r="E979" s="2"/>
      <c r="F979" s="2"/>
      <c r="G979" s="2"/>
      <c r="H979" s="2"/>
      <c r="I979" s="2"/>
      <c r="J979" s="2"/>
      <c r="K979" s="158"/>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row>
    <row r="980" spans="1:87" ht="14.25" customHeight="1">
      <c r="A980" s="2"/>
      <c r="B980" s="2"/>
      <c r="C980" s="2"/>
      <c r="D980" s="2"/>
      <c r="E980" s="2"/>
      <c r="F980" s="2"/>
      <c r="G980" s="2"/>
      <c r="H980" s="2"/>
      <c r="I980" s="2"/>
      <c r="J980" s="2"/>
      <c r="K980" s="158"/>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row>
    <row r="981" spans="1:87" ht="14.25" customHeight="1">
      <c r="A981" s="2"/>
      <c r="B981" s="2"/>
      <c r="C981" s="2"/>
      <c r="D981" s="2"/>
      <c r="E981" s="2"/>
      <c r="F981" s="2"/>
      <c r="G981" s="2"/>
      <c r="H981" s="2"/>
      <c r="I981" s="2"/>
      <c r="J981" s="2"/>
      <c r="K981" s="158"/>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row>
    <row r="982" spans="1:87" ht="14.25" customHeight="1">
      <c r="A982" s="2"/>
      <c r="B982" s="2"/>
      <c r="C982" s="2"/>
      <c r="D982" s="2"/>
      <c r="E982" s="2"/>
      <c r="F982" s="2"/>
      <c r="G982" s="2"/>
      <c r="H982" s="2"/>
      <c r="I982" s="2"/>
      <c r="J982" s="2"/>
      <c r="K982" s="158"/>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row>
    <row r="983" spans="1:87" ht="14.25" customHeight="1">
      <c r="A983" s="2"/>
      <c r="B983" s="2"/>
      <c r="C983" s="2"/>
      <c r="D983" s="2"/>
      <c r="E983" s="2"/>
      <c r="F983" s="2"/>
      <c r="G983" s="2"/>
      <c r="H983" s="2"/>
      <c r="I983" s="2"/>
      <c r="J983" s="2"/>
      <c r="K983" s="158"/>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row>
    <row r="984" spans="1:87" ht="14.25" customHeight="1">
      <c r="A984" s="2"/>
      <c r="B984" s="2"/>
      <c r="C984" s="2"/>
      <c r="D984" s="2"/>
      <c r="E984" s="2"/>
      <c r="F984" s="2"/>
      <c r="G984" s="2"/>
      <c r="H984" s="2"/>
      <c r="I984" s="2"/>
      <c r="J984" s="2"/>
      <c r="K984" s="158"/>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row>
    <row r="985" spans="1:87" ht="14.25" customHeight="1">
      <c r="A985" s="2"/>
      <c r="B985" s="2"/>
      <c r="C985" s="2"/>
      <c r="D985" s="2"/>
      <c r="E985" s="2"/>
      <c r="F985" s="2"/>
      <c r="G985" s="2"/>
      <c r="H985" s="2"/>
      <c r="I985" s="2"/>
      <c r="J985" s="2"/>
      <c r="K985" s="158"/>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row>
    <row r="986" spans="1:87" ht="14.25" customHeight="1">
      <c r="A986" s="2"/>
      <c r="B986" s="2"/>
      <c r="C986" s="2"/>
      <c r="D986" s="2"/>
      <c r="E986" s="2"/>
      <c r="F986" s="2"/>
      <c r="G986" s="2"/>
      <c r="H986" s="2"/>
      <c r="I986" s="2"/>
      <c r="J986" s="2"/>
      <c r="K986" s="158"/>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row>
    <row r="987" spans="1:87" ht="14.25" customHeight="1">
      <c r="A987" s="2"/>
      <c r="B987" s="2"/>
      <c r="C987" s="2"/>
      <c r="D987" s="2"/>
      <c r="E987" s="2"/>
      <c r="F987" s="2"/>
      <c r="G987" s="2"/>
      <c r="H987" s="2"/>
      <c r="I987" s="2"/>
      <c r="J987" s="2"/>
      <c r="K987" s="158"/>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row>
    <row r="988" spans="1:87" ht="14.25" customHeight="1">
      <c r="A988" s="2"/>
      <c r="B988" s="2"/>
      <c r="C988" s="2"/>
      <c r="D988" s="2"/>
      <c r="E988" s="2"/>
      <c r="F988" s="2"/>
      <c r="G988" s="2"/>
      <c r="H988" s="2"/>
      <c r="I988" s="2"/>
      <c r="J988" s="2"/>
      <c r="K988" s="158"/>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row>
    <row r="989" spans="1:87" ht="14.25" customHeight="1">
      <c r="A989" s="2"/>
      <c r="B989" s="2"/>
      <c r="C989" s="2"/>
      <c r="D989" s="2"/>
      <c r="E989" s="2"/>
      <c r="F989" s="2"/>
      <c r="G989" s="2"/>
      <c r="H989" s="2"/>
      <c r="I989" s="2"/>
      <c r="J989" s="2"/>
      <c r="K989" s="158"/>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row>
    <row r="990" spans="1:87" ht="14.25" customHeight="1">
      <c r="A990" s="2"/>
      <c r="B990" s="2"/>
      <c r="C990" s="2"/>
      <c r="D990" s="2"/>
      <c r="E990" s="2"/>
      <c r="F990" s="2"/>
      <c r="G990" s="2"/>
      <c r="H990" s="2"/>
      <c r="I990" s="2"/>
      <c r="J990" s="2"/>
      <c r="K990" s="158"/>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row>
    <row r="991" spans="1:87" ht="14.25" customHeight="1">
      <c r="A991" s="2"/>
      <c r="B991" s="2"/>
      <c r="C991" s="2"/>
      <c r="D991" s="2"/>
      <c r="E991" s="2"/>
      <c r="F991" s="2"/>
      <c r="G991" s="2"/>
      <c r="H991" s="2"/>
      <c r="I991" s="2"/>
      <c r="J991" s="2"/>
      <c r="K991" s="158"/>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row>
    <row r="992" spans="1:87" ht="14.25" customHeight="1">
      <c r="A992" s="2"/>
      <c r="B992" s="2"/>
      <c r="C992" s="2"/>
      <c r="D992" s="2"/>
      <c r="E992" s="2"/>
      <c r="F992" s="2"/>
      <c r="G992" s="2"/>
      <c r="H992" s="2"/>
      <c r="I992" s="2"/>
      <c r="J992" s="2"/>
      <c r="K992" s="158"/>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row>
    <row r="993" spans="1:87" ht="14.25" customHeight="1">
      <c r="A993" s="2"/>
      <c r="B993" s="2"/>
      <c r="C993" s="2"/>
      <c r="D993" s="2"/>
      <c r="E993" s="2"/>
      <c r="F993" s="2"/>
      <c r="G993" s="2"/>
      <c r="H993" s="2"/>
      <c r="I993" s="2"/>
      <c r="J993" s="2"/>
      <c r="K993" s="158"/>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row>
    <row r="994" spans="1:87" ht="14.25" customHeight="1">
      <c r="A994" s="2"/>
      <c r="B994" s="2"/>
      <c r="C994" s="2"/>
      <c r="D994" s="2"/>
      <c r="E994" s="2"/>
      <c r="F994" s="2"/>
      <c r="G994" s="2"/>
      <c r="H994" s="2"/>
      <c r="I994" s="2"/>
      <c r="J994" s="2"/>
      <c r="K994" s="158"/>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row>
    <row r="995" spans="1:87" ht="14.25" customHeight="1">
      <c r="A995" s="2"/>
      <c r="B995" s="2"/>
      <c r="C995" s="2"/>
      <c r="D995" s="2"/>
      <c r="E995" s="2"/>
      <c r="F995" s="2"/>
      <c r="G995" s="2"/>
      <c r="H995" s="2"/>
      <c r="I995" s="2"/>
      <c r="J995" s="2"/>
      <c r="K995" s="158"/>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row>
    <row r="996" spans="1:87" ht="14.25" customHeight="1">
      <c r="A996" s="2"/>
      <c r="B996" s="2"/>
      <c r="C996" s="2"/>
      <c r="D996" s="2"/>
      <c r="E996" s="2"/>
      <c r="F996" s="2"/>
      <c r="G996" s="2"/>
      <c r="H996" s="2"/>
      <c r="I996" s="2"/>
      <c r="J996" s="2"/>
      <c r="K996" s="158"/>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row>
    <row r="997" spans="1:87" ht="14.25" customHeight="1">
      <c r="A997" s="2"/>
      <c r="B997" s="2"/>
      <c r="C997" s="2"/>
      <c r="D997" s="2"/>
      <c r="E997" s="2"/>
      <c r="F997" s="2"/>
      <c r="G997" s="2"/>
      <c r="H997" s="2"/>
      <c r="I997" s="2"/>
      <c r="J997" s="2"/>
      <c r="K997" s="158"/>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row>
    <row r="998" spans="1:87" ht="14.25" customHeight="1">
      <c r="A998" s="2"/>
      <c r="B998" s="2"/>
      <c r="C998" s="2"/>
      <c r="D998" s="2"/>
      <c r="E998" s="2"/>
      <c r="F998" s="2"/>
      <c r="G998" s="2"/>
      <c r="H998" s="2"/>
      <c r="I998" s="2"/>
      <c r="J998" s="2"/>
      <c r="K998" s="158"/>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row>
    <row r="999" spans="1:87" ht="14.25" customHeight="1">
      <c r="A999" s="2"/>
      <c r="B999" s="2"/>
      <c r="C999" s="2"/>
      <c r="D999" s="2"/>
      <c r="E999" s="2"/>
      <c r="F999" s="2"/>
      <c r="G999" s="2"/>
      <c r="H999" s="2"/>
      <c r="I999" s="2"/>
      <c r="J999" s="2"/>
      <c r="K999" s="158"/>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row>
    <row r="1000" spans="1:87" ht="14.25" customHeight="1">
      <c r="A1000" s="2"/>
      <c r="B1000" s="2"/>
      <c r="C1000" s="2"/>
      <c r="D1000" s="2"/>
      <c r="E1000" s="2"/>
      <c r="F1000" s="2"/>
      <c r="G1000" s="2"/>
      <c r="H1000" s="2"/>
      <c r="I1000" s="2"/>
      <c r="J1000" s="2"/>
      <c r="K1000" s="158"/>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row>
  </sheetData>
  <mergeCells count="15">
    <mergeCell ref="BR5:BW5"/>
    <mergeCell ref="BX5:CC5"/>
    <mergeCell ref="CD5:CI5"/>
    <mergeCell ref="L4:AI4"/>
    <mergeCell ref="AL4:BI4"/>
    <mergeCell ref="BL4:CI4"/>
    <mergeCell ref="L5:Q5"/>
    <mergeCell ref="R5:W5"/>
    <mergeCell ref="X5:AC5"/>
    <mergeCell ref="AD5:AI5"/>
    <mergeCell ref="AL5:AQ5"/>
    <mergeCell ref="AR5:AW5"/>
    <mergeCell ref="AX5:BC5"/>
    <mergeCell ref="BD5:BI5"/>
    <mergeCell ref="BL5:BQ5"/>
  </mergeCells>
  <pageMargins left="0.7" right="0.7" top="0.75" bottom="0.75" header="0" footer="0"/>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sheetPr>
  <dimension ref="A1:AD1000"/>
  <sheetViews>
    <sheetView showGridLines="0" zoomScale="80" zoomScaleNormal="80" workbookViewId="0">
      <pane ySplit="2" topLeftCell="A3" activePane="bottomLeft" state="frozen"/>
      <selection pane="bottomLeft"/>
    </sheetView>
  </sheetViews>
  <sheetFormatPr defaultColWidth="14.44140625" defaultRowHeight="15" customHeight="1" outlineLevelRow="1"/>
  <cols>
    <col min="1" max="2" width="1.6640625" style="2" customWidth="1"/>
    <col min="3" max="3" width="12.44140625" style="2" customWidth="1"/>
    <col min="4" max="4" width="10.5546875" style="2" customWidth="1"/>
    <col min="5" max="5" width="12.88671875" style="2" customWidth="1"/>
    <col min="6" max="15" width="10.5546875" style="2" customWidth="1"/>
    <col min="16" max="16" width="12.44140625" style="2" customWidth="1"/>
    <col min="17" max="18" width="10.5546875" style="2" customWidth="1"/>
    <col min="19" max="19" width="1.6640625" style="2" customWidth="1"/>
    <col min="20" max="25" width="10.5546875" style="2" customWidth="1"/>
    <col min="26" max="29" width="8.6640625" style="2" customWidth="1"/>
    <col min="30" max="30" width="8.6640625" style="969" customWidth="1"/>
    <col min="31" max="16384" width="14.44140625" style="969"/>
  </cols>
  <sheetData>
    <row r="1" spans="1:30" ht="13.5" customHeight="1">
      <c r="A1" s="4"/>
      <c r="B1" s="4"/>
      <c r="C1" s="5" t="str">
        <f ca="1">Company_Name&amp;" - "&amp;MID(CELL("filename",A1),FIND("]",CELL("filename",A1))+1,255)&amp;": "&amp;Case_Scenario&amp;" Case"</f>
        <v>Hamilton Lane Inc. - Charts: Base Case</v>
      </c>
      <c r="D1" s="4"/>
      <c r="E1" s="4"/>
      <c r="F1" s="4"/>
      <c r="G1" s="4"/>
      <c r="H1" s="4"/>
      <c r="I1" s="4"/>
      <c r="J1" s="4"/>
      <c r="K1" s="4"/>
      <c r="L1" s="4"/>
      <c r="M1" s="4"/>
      <c r="N1" s="4"/>
      <c r="O1" s="4"/>
      <c r="P1" s="4"/>
      <c r="Q1" s="4"/>
      <c r="R1" s="4"/>
      <c r="S1" s="4"/>
      <c r="T1" s="4"/>
      <c r="U1" s="4"/>
      <c r="V1" s="4"/>
      <c r="W1" s="4"/>
      <c r="X1" s="4"/>
      <c r="Y1" s="4"/>
      <c r="Z1" s="4"/>
      <c r="AA1" s="4"/>
      <c r="AB1" s="4"/>
      <c r="AC1" s="4"/>
      <c r="AD1" s="968"/>
    </row>
    <row r="2" spans="1:30" ht="13.5" customHeight="1">
      <c r="C2" s="7" t="str">
        <f>Cover!C2</f>
        <v>$ in Millions Except Per Share Data</v>
      </c>
    </row>
    <row r="3" spans="1:30" ht="13.5" customHeight="1">
      <c r="A3" s="3" t="s">
        <v>0</v>
      </c>
      <c r="B3" s="9"/>
      <c r="C3" s="9"/>
      <c r="D3" s="9"/>
      <c r="E3" s="9"/>
      <c r="F3" s="9"/>
      <c r="G3" s="9"/>
      <c r="H3" s="9"/>
      <c r="I3" s="9"/>
      <c r="J3" s="9"/>
      <c r="K3" s="9"/>
      <c r="L3" s="9"/>
      <c r="M3" s="9"/>
      <c r="N3" s="9"/>
      <c r="O3" s="9"/>
      <c r="P3" s="9"/>
      <c r="Q3" s="9"/>
      <c r="R3" s="9"/>
      <c r="S3" s="9" t="s">
        <v>0</v>
      </c>
      <c r="T3" s="9"/>
      <c r="U3" s="9"/>
      <c r="V3" s="9"/>
      <c r="W3" s="9"/>
      <c r="X3" s="9"/>
      <c r="Y3" s="9"/>
      <c r="Z3" s="9"/>
      <c r="AA3" s="9"/>
      <c r="AB3" s="9"/>
      <c r="AC3" s="9"/>
      <c r="AD3" s="970"/>
    </row>
    <row r="4" spans="1:30" ht="13.5" customHeight="1">
      <c r="A4" s="10"/>
      <c r="B4" s="9"/>
      <c r="C4" s="76" t="s">
        <v>802</v>
      </c>
      <c r="D4" s="78"/>
      <c r="E4" s="78"/>
      <c r="F4" s="78"/>
      <c r="G4" s="78"/>
      <c r="H4" s="78"/>
      <c r="I4" s="78"/>
      <c r="J4" s="9"/>
      <c r="K4" s="9"/>
      <c r="L4" s="9"/>
      <c r="M4" s="9"/>
      <c r="N4" s="9"/>
      <c r="O4" s="9"/>
      <c r="P4" s="9"/>
      <c r="Q4" s="9"/>
      <c r="R4" s="9"/>
      <c r="S4" s="9"/>
      <c r="T4" s="9"/>
      <c r="U4" s="9"/>
      <c r="V4" s="9"/>
      <c r="W4" s="9"/>
      <c r="X4" s="9"/>
      <c r="Y4" s="9"/>
      <c r="Z4" s="9"/>
      <c r="AA4" s="9"/>
      <c r="AB4" s="9"/>
      <c r="AC4" s="9"/>
      <c r="AD4" s="970"/>
    </row>
    <row r="5" spans="1:30" ht="13.5" customHeight="1">
      <c r="A5" s="10"/>
      <c r="B5" s="9"/>
      <c r="C5" s="139"/>
      <c r="D5" s="139"/>
      <c r="E5" s="139"/>
      <c r="F5" s="139"/>
      <c r="G5" s="139"/>
      <c r="H5" s="139"/>
      <c r="I5" s="139"/>
      <c r="J5" s="9"/>
      <c r="K5" s="9"/>
      <c r="L5" s="9"/>
      <c r="M5" s="9"/>
      <c r="N5" s="9"/>
      <c r="O5" s="9"/>
      <c r="P5" s="9"/>
      <c r="Q5" s="9"/>
      <c r="R5" s="9"/>
      <c r="S5" s="9"/>
      <c r="T5" s="9"/>
      <c r="U5" s="9"/>
      <c r="V5" s="9"/>
      <c r="W5" s="9"/>
      <c r="X5" s="9"/>
      <c r="Y5" s="9"/>
      <c r="Z5" s="9"/>
      <c r="AA5" s="9"/>
      <c r="AB5" s="9"/>
      <c r="AC5" s="9"/>
      <c r="AD5" s="970"/>
    </row>
    <row r="6" spans="1:30" ht="13.5" customHeight="1">
      <c r="A6" s="10"/>
      <c r="B6" s="9"/>
      <c r="C6" s="136"/>
      <c r="D6" s="741">
        <f>Summary!T$6</f>
        <v>2023</v>
      </c>
      <c r="E6" s="741">
        <f>Summary!U$6</f>
        <v>2024</v>
      </c>
      <c r="F6" s="741">
        <f>Summary!V$6</f>
        <v>2025</v>
      </c>
      <c r="G6" s="741" t="str">
        <f>Summary!W$6</f>
        <v>2026e</v>
      </c>
      <c r="H6" s="741" t="str">
        <f>Summary!X$6</f>
        <v>2027e</v>
      </c>
      <c r="I6" s="742" t="str">
        <f>Summary!Y$6</f>
        <v>2028e</v>
      </c>
      <c r="J6" s="9"/>
      <c r="K6" s="743"/>
      <c r="L6" s="9"/>
      <c r="M6" s="9"/>
      <c r="N6" s="9"/>
      <c r="O6" s="9"/>
      <c r="P6" s="9"/>
      <c r="Q6" s="9"/>
      <c r="R6" s="9"/>
      <c r="S6" s="9"/>
      <c r="T6" s="9"/>
      <c r="U6" s="9"/>
      <c r="V6" s="9"/>
      <c r="W6" s="9"/>
      <c r="X6" s="9"/>
      <c r="Y6" s="9"/>
      <c r="Z6" s="9"/>
      <c r="AA6" s="9"/>
      <c r="AB6" s="9"/>
      <c r="AC6" s="9"/>
      <c r="AD6" s="970"/>
    </row>
    <row r="7" spans="1:30" ht="13.5" customHeight="1">
      <c r="A7" s="10"/>
      <c r="B7" s="9"/>
      <c r="C7" s="744" t="s">
        <v>268</v>
      </c>
      <c r="D7" s="745">
        <f>Summary!T16</f>
        <v>0.45373170459552953</v>
      </c>
      <c r="E7" s="745">
        <f>Summary!U16</f>
        <v>0.44383957879684099</v>
      </c>
      <c r="F7" s="745">
        <f>Summary!V16</f>
        <v>0.44399576977238686</v>
      </c>
      <c r="G7" s="745">
        <f>Summary!W16</f>
        <v>0.43402416863218435</v>
      </c>
      <c r="H7" s="745">
        <f>Summary!X16</f>
        <v>0.4300000000000001</v>
      </c>
      <c r="I7" s="745">
        <f>Summary!Y16</f>
        <v>0.41999999999999993</v>
      </c>
      <c r="J7" s="9"/>
      <c r="K7" s="9"/>
      <c r="L7" s="9"/>
      <c r="M7" s="9"/>
      <c r="N7" s="9"/>
      <c r="O7" s="9"/>
      <c r="P7" s="9"/>
      <c r="Q7" s="9"/>
      <c r="R7" s="9"/>
      <c r="S7" s="9"/>
      <c r="T7" s="9"/>
      <c r="U7" s="9"/>
      <c r="V7" s="9"/>
      <c r="W7" s="9"/>
      <c r="X7" s="9"/>
      <c r="Y7" s="9"/>
      <c r="Z7" s="746"/>
      <c r="AA7" s="9"/>
      <c r="AB7" s="9"/>
      <c r="AC7" s="9"/>
      <c r="AD7" s="970"/>
    </row>
    <row r="8" spans="1:30" ht="13.5" customHeight="1">
      <c r="A8" s="10"/>
      <c r="B8" s="9"/>
      <c r="C8" s="744" t="s">
        <v>285</v>
      </c>
      <c r="D8" s="745">
        <f>Summary!T28</f>
        <v>0.30609377157198159</v>
      </c>
      <c r="E8" s="745">
        <f>Summary!U28</f>
        <v>0.28793590951932141</v>
      </c>
      <c r="F8" s="745">
        <f>Summary!V28</f>
        <v>0.30885430400412928</v>
      </c>
      <c r="G8" s="745">
        <f ca="1">Summary!W28</f>
        <v>0.31884633779249583</v>
      </c>
      <c r="H8" s="745">
        <f ca="1">Summary!X28</f>
        <v>0.32799103590865797</v>
      </c>
      <c r="I8" s="745">
        <f ca="1">Summary!Y28</f>
        <v>0.33319999999999989</v>
      </c>
      <c r="J8" s="9"/>
      <c r="K8" s="9"/>
      <c r="L8" s="9"/>
      <c r="M8" s="9"/>
      <c r="N8" s="9"/>
      <c r="O8" s="9"/>
      <c r="P8" s="9"/>
      <c r="Q8" s="9"/>
      <c r="R8" s="9"/>
      <c r="S8" s="9"/>
      <c r="T8" s="9"/>
      <c r="U8" s="9"/>
      <c r="V8" s="9"/>
      <c r="W8" s="9"/>
      <c r="X8" s="9"/>
      <c r="Y8" s="9"/>
      <c r="Z8" s="9"/>
      <c r="AA8" s="9"/>
      <c r="AB8" s="9"/>
      <c r="AC8" s="9"/>
      <c r="AD8" s="970"/>
    </row>
    <row r="9" spans="1:30" ht="13.5" customHeight="1">
      <c r="A9" s="10"/>
      <c r="B9" s="9"/>
      <c r="C9" s="747" t="s">
        <v>803</v>
      </c>
      <c r="D9" s="748">
        <f>Summary!T20</f>
        <v>0.35376820557046484</v>
      </c>
      <c r="E9" s="748">
        <f>Summary!U20</f>
        <v>0.41023252118835341</v>
      </c>
      <c r="F9" s="748">
        <f>Summary!V20</f>
        <v>0.44008954168793946</v>
      </c>
      <c r="G9" s="748">
        <f ca="1">Summary!W20</f>
        <v>0.38493270800595436</v>
      </c>
      <c r="H9" s="748">
        <f ca="1">Summary!X20</f>
        <v>0.36821253734164766</v>
      </c>
      <c r="I9" s="748">
        <f ca="1">Summary!Y20</f>
        <v>0.35990145696180914</v>
      </c>
      <c r="J9" s="9"/>
      <c r="K9" s="9"/>
      <c r="L9" s="9"/>
      <c r="M9" s="9"/>
      <c r="N9" s="9"/>
      <c r="O9" s="9"/>
      <c r="P9" s="9"/>
      <c r="Q9" s="9"/>
      <c r="R9" s="9"/>
      <c r="S9" s="9"/>
      <c r="T9" s="9"/>
      <c r="U9" s="9"/>
      <c r="V9" s="9"/>
      <c r="W9" s="9"/>
      <c r="X9" s="9"/>
      <c r="Y9" s="9"/>
      <c r="Z9" s="9"/>
      <c r="AA9" s="9"/>
      <c r="AB9" s="9"/>
      <c r="AC9" s="9"/>
      <c r="AD9" s="970"/>
    </row>
    <row r="10" spans="1:30" ht="13.5" customHeight="1">
      <c r="A10" s="10"/>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70"/>
    </row>
    <row r="11" spans="1:30" ht="13.5" customHeight="1">
      <c r="A11" s="10"/>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70"/>
    </row>
    <row r="12" spans="1:30" ht="13.5" customHeight="1">
      <c r="A12" s="10"/>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70"/>
    </row>
    <row r="13" spans="1:30" ht="13.5" customHeight="1">
      <c r="A13" s="10"/>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70"/>
    </row>
    <row r="14" spans="1:30" ht="13.5" customHeight="1">
      <c r="A14" s="10"/>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70"/>
    </row>
    <row r="15" spans="1:30" ht="13.5" customHeight="1">
      <c r="A15" s="10"/>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70"/>
    </row>
    <row r="16" spans="1:30" ht="13.5" customHeight="1">
      <c r="A16" s="10"/>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70"/>
    </row>
    <row r="17" spans="1:30" ht="13.5" customHeight="1">
      <c r="A17" s="10"/>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70"/>
    </row>
    <row r="18" spans="1:30" ht="13.5" customHeight="1">
      <c r="A18" s="10"/>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70"/>
    </row>
    <row r="19" spans="1:30" ht="13.5" customHeight="1">
      <c r="A19" s="10"/>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70"/>
    </row>
    <row r="20" spans="1:30" ht="13.5" customHeight="1">
      <c r="A20" s="10"/>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70"/>
    </row>
    <row r="21" spans="1:30" ht="13.5" customHeight="1">
      <c r="A21" s="10"/>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70"/>
    </row>
    <row r="22" spans="1:30" ht="13.5" customHeight="1">
      <c r="A22" s="10"/>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70"/>
    </row>
    <row r="23" spans="1:30" ht="13.5" customHeight="1">
      <c r="A23" s="10"/>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70"/>
    </row>
    <row r="24" spans="1:30" ht="13.5" customHeight="1">
      <c r="A24" s="10"/>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70"/>
    </row>
    <row r="25" spans="1:30" ht="13.5" customHeight="1">
      <c r="A25" s="10" t="s">
        <v>0</v>
      </c>
      <c r="B25" s="9"/>
      <c r="C25" s="76" t="str">
        <f>Ticker&amp;" - Financial Analysis"</f>
        <v>HLNE - Financial Analysis</v>
      </c>
      <c r="D25" s="78"/>
      <c r="E25" s="78"/>
      <c r="F25" s="78"/>
      <c r="G25" s="78"/>
      <c r="H25" s="78"/>
      <c r="I25" s="78"/>
      <c r="J25" s="78"/>
      <c r="K25" s="78"/>
      <c r="L25" s="78"/>
      <c r="M25" s="78"/>
      <c r="N25" s="78"/>
      <c r="O25" s="78"/>
      <c r="P25" s="78"/>
      <c r="Q25" s="78"/>
      <c r="R25" s="9"/>
      <c r="S25" s="9"/>
      <c r="T25" s="9"/>
      <c r="U25" s="9"/>
      <c r="V25" s="9"/>
      <c r="W25" s="9"/>
      <c r="X25" s="9"/>
      <c r="Y25" s="9"/>
      <c r="Z25" s="9"/>
      <c r="AA25" s="9"/>
      <c r="AB25" s="9"/>
      <c r="AC25" s="9"/>
      <c r="AD25" s="970"/>
    </row>
    <row r="26" spans="1:30" ht="13.5" customHeight="1">
      <c r="A26" s="10"/>
      <c r="B26" s="9"/>
      <c r="C26" s="139"/>
      <c r="D26" s="139"/>
      <c r="E26" s="139"/>
      <c r="F26" s="139"/>
      <c r="G26" s="139"/>
      <c r="H26" s="139"/>
      <c r="I26" s="139"/>
      <c r="J26" s="9"/>
      <c r="K26" s="9"/>
      <c r="L26" s="9"/>
      <c r="M26" s="9"/>
      <c r="N26" s="9"/>
      <c r="O26" s="9"/>
      <c r="P26" s="9"/>
      <c r="Q26" s="9"/>
      <c r="R26" s="9"/>
      <c r="S26" s="9"/>
      <c r="T26" s="9"/>
      <c r="U26" s="9"/>
      <c r="V26" s="9"/>
      <c r="W26" s="9"/>
      <c r="X26" s="9"/>
      <c r="Y26" s="9"/>
      <c r="Z26" s="9"/>
      <c r="AA26" s="9"/>
      <c r="AB26" s="9"/>
      <c r="AC26" s="9"/>
      <c r="AD26" s="970"/>
    </row>
    <row r="27" spans="1:30" ht="13.5" customHeight="1">
      <c r="A27" s="10"/>
      <c r="B27" s="9"/>
      <c r="C27" s="139"/>
      <c r="D27" s="139"/>
      <c r="E27" s="139"/>
      <c r="F27" s="139"/>
      <c r="G27" s="139"/>
      <c r="H27" s="139"/>
      <c r="I27" s="139"/>
      <c r="J27" s="9"/>
      <c r="K27" s="9"/>
      <c r="L27" s="9"/>
      <c r="M27" s="9"/>
      <c r="N27" s="9"/>
      <c r="O27" s="9"/>
      <c r="P27" s="9"/>
      <c r="Q27" s="9"/>
      <c r="R27" s="9"/>
      <c r="S27" s="9"/>
      <c r="T27" s="9"/>
      <c r="U27" s="9"/>
      <c r="V27" s="9"/>
      <c r="W27" s="9"/>
      <c r="X27" s="9"/>
      <c r="Y27" s="9"/>
      <c r="Z27" s="9"/>
      <c r="AA27" s="9"/>
      <c r="AB27" s="9"/>
      <c r="AC27" s="9"/>
      <c r="AD27" s="970"/>
    </row>
    <row r="28" spans="1:30" ht="13.5" customHeight="1">
      <c r="A28" s="10"/>
      <c r="B28" s="9"/>
      <c r="C28" s="76" t="str">
        <f>'Revenue Build'!$C$32</f>
        <v>Management &amp; Advisory Fees</v>
      </c>
      <c r="D28" s="76"/>
      <c r="E28" s="76"/>
      <c r="F28" s="76"/>
      <c r="G28" s="76"/>
      <c r="H28" s="76"/>
      <c r="I28" s="76"/>
      <c r="J28" s="9"/>
      <c r="K28" s="76" t="str">
        <f>'Revenue Build'!$C$30</f>
        <v>Total Company Revenue</v>
      </c>
      <c r="L28" s="76"/>
      <c r="M28" s="76"/>
      <c r="N28" s="76"/>
      <c r="O28" s="76"/>
      <c r="P28" s="76"/>
      <c r="Q28" s="76"/>
      <c r="R28" s="9"/>
      <c r="S28" s="9"/>
      <c r="T28" s="9"/>
      <c r="U28" s="9"/>
      <c r="V28" s="9"/>
      <c r="W28" s="9"/>
      <c r="X28" s="9"/>
      <c r="Y28" s="9"/>
      <c r="Z28" s="9"/>
      <c r="AA28" s="9"/>
      <c r="AB28" s="9"/>
      <c r="AC28" s="9"/>
      <c r="AD28" s="970"/>
    </row>
    <row r="29" spans="1:30" ht="13.5" customHeight="1">
      <c r="A29" s="10"/>
      <c r="B29" s="9"/>
      <c r="C29" s="139"/>
      <c r="D29" s="139"/>
      <c r="E29" s="139"/>
      <c r="F29" s="139"/>
      <c r="G29" s="139"/>
      <c r="H29" s="139"/>
      <c r="I29" s="139"/>
      <c r="J29" s="9"/>
      <c r="K29" s="9"/>
      <c r="L29" s="9"/>
      <c r="M29" s="9"/>
      <c r="N29" s="9"/>
      <c r="O29" s="9"/>
      <c r="P29" s="9"/>
      <c r="Q29" s="9"/>
      <c r="R29" s="9"/>
      <c r="S29" s="9"/>
      <c r="T29" s="9"/>
      <c r="U29" s="9"/>
      <c r="V29" s="9"/>
      <c r="W29" s="9"/>
      <c r="X29" s="9"/>
      <c r="Y29" s="9"/>
      <c r="Z29" s="9"/>
      <c r="AA29" s="9"/>
      <c r="AB29" s="9"/>
      <c r="AC29" s="9"/>
      <c r="AD29" s="970"/>
    </row>
    <row r="30" spans="1:30" ht="13.5" customHeight="1">
      <c r="A30" s="10"/>
      <c r="B30" s="9"/>
      <c r="C30" s="136"/>
      <c r="D30" s="741">
        <f t="shared" ref="D30:I30" si="0">D6</f>
        <v>2023</v>
      </c>
      <c r="E30" s="741">
        <f t="shared" si="0"/>
        <v>2024</v>
      </c>
      <c r="F30" s="741">
        <f t="shared" si="0"/>
        <v>2025</v>
      </c>
      <c r="G30" s="741" t="str">
        <f t="shared" si="0"/>
        <v>2026e</v>
      </c>
      <c r="H30" s="741" t="str">
        <f t="shared" si="0"/>
        <v>2027e</v>
      </c>
      <c r="I30" s="742" t="str">
        <f t="shared" si="0"/>
        <v>2028e</v>
      </c>
      <c r="J30" s="9"/>
      <c r="K30" s="136"/>
      <c r="L30" s="741">
        <f t="shared" ref="L30:Q30" si="1">D30</f>
        <v>2023</v>
      </c>
      <c r="M30" s="741">
        <f t="shared" si="1"/>
        <v>2024</v>
      </c>
      <c r="N30" s="741">
        <f t="shared" si="1"/>
        <v>2025</v>
      </c>
      <c r="O30" s="741" t="str">
        <f t="shared" si="1"/>
        <v>2026e</v>
      </c>
      <c r="P30" s="741" t="str">
        <f t="shared" si="1"/>
        <v>2027e</v>
      </c>
      <c r="Q30" s="742" t="str">
        <f t="shared" si="1"/>
        <v>2028e</v>
      </c>
      <c r="R30" s="9"/>
      <c r="S30" s="9"/>
      <c r="T30" s="9"/>
      <c r="U30" s="9"/>
      <c r="V30" s="9"/>
      <c r="W30" s="9"/>
      <c r="X30" s="9"/>
      <c r="Y30" s="9"/>
      <c r="Z30" s="9"/>
      <c r="AA30" s="9"/>
      <c r="AB30" s="9"/>
      <c r="AC30" s="9"/>
      <c r="AD30" s="970"/>
    </row>
    <row r="31" spans="1:30" ht="13.5" customHeight="1">
      <c r="A31" s="10"/>
      <c r="B31" s="9"/>
      <c r="C31" s="749" t="str">
        <f>C28</f>
        <v>Management &amp; Advisory Fees</v>
      </c>
      <c r="D31" s="724">
        <f t="array" ref="D31">INDEX(Revenue_Data_Summary,MATCH($C31,'Revenue Build'!$C$28:$C$49,0),MATCH(Charts!D$30,'Revenue Build'!$C$28:$AG$28,0))</f>
        <v>371.87299999999999</v>
      </c>
      <c r="E31" s="724">
        <f t="array" ref="E31">INDEX(Revenue_Data_Summary,MATCH($C31,'Revenue Build'!$C$28:$C$49,0),MATCH(Charts!E$30,'Revenue Build'!$C$28:$AG$28,0))</f>
        <v>451.93600000000004</v>
      </c>
      <c r="F31" s="724">
        <f t="array" ref="F31">INDEX(Revenue_Data_Summary,MATCH($C31,'Revenue Build'!$C$28:$C$49,0),MATCH(Charts!F$30,'Revenue Build'!$C$28:$AG$28,0))</f>
        <v>513.86500000000001</v>
      </c>
      <c r="G31" s="724">
        <f t="array" ref="G31">INDEX(Revenue_Data_Summary,MATCH($C31,'Revenue Build'!$C$28:$C$49,0),MATCH(Charts!G$30,'Revenue Build'!$C$28:$AG$28,0))</f>
        <v>585.79587592000007</v>
      </c>
      <c r="H31" s="724">
        <f t="array" ref="H31">INDEX(Revenue_Data_Summary,MATCH($C31,'Revenue Build'!$C$28:$C$49,0),MATCH(Charts!H$30,'Revenue Build'!$C$28:$AG$28,0))</f>
        <v>743.71028518290507</v>
      </c>
      <c r="I31" s="724">
        <f t="array" ref="I31">INDEX(Revenue_Data_Summary,MATCH($C31,'Revenue Build'!$C$28:$C$49,0),MATCH(Charts!I$30,'Revenue Build'!$C$28:$AG$28,0))</f>
        <v>795.77000514570852</v>
      </c>
      <c r="J31" s="9"/>
      <c r="K31" s="749" t="str">
        <f>K28</f>
        <v>Total Company Revenue</v>
      </c>
      <c r="L31" s="724">
        <f t="array" ref="L31">INDEX(Revenue_Data_Summary,MATCH($K31,'Revenue Build'!$C$28:$C$49,0),MATCH(Charts!L$30,'Revenue Build'!$C$28:$AG$28,0))</f>
        <v>528.75300000000004</v>
      </c>
      <c r="M31" s="724">
        <f t="array" ref="M31">INDEX(Revenue_Data_Summary,MATCH($K31,'Revenue Build'!$C$28:$C$49,0),MATCH(Charts!M$30,'Revenue Build'!$C$28:$AG$28,0))</f>
        <v>553.84199999999998</v>
      </c>
      <c r="N31" s="724">
        <f t="array" ref="N31">INDEX(Revenue_Data_Summary,MATCH($K31,'Revenue Build'!$C$28:$C$49,0),MATCH(Charts!N$30,'Revenue Build'!$C$28:$AG$28,0))</f>
        <v>712.96399999999994</v>
      </c>
      <c r="O31" s="724">
        <f t="array" ref="O31">INDEX(Revenue_Data_Summary,MATCH($K31,'Revenue Build'!$C$28:$C$49,0),MATCH(Charts!O$30,'Revenue Build'!$C$28:$AG$28,0))</f>
        <v>766.65695015999995</v>
      </c>
      <c r="P31" s="724">
        <f t="array" ref="P31">INDEX(Revenue_Data_Summary,MATCH($K31,'Revenue Build'!$C$28:$C$49,0),MATCH(Charts!P$30,'Revenue Build'!$C$28:$AG$28,0))</f>
        <v>972.52829778227476</v>
      </c>
      <c r="Q31" s="724">
        <f t="array" ref="Q31">INDEX(Revenue_Data_Summary,MATCH($K31,'Revenue Build'!$C$28:$C$49,0),MATCH(Charts!Q$30,'Revenue Build'!$C$28:$AG$28,0))</f>
        <v>1040.6052786270343</v>
      </c>
      <c r="R31" s="9"/>
      <c r="S31" s="9"/>
      <c r="T31" s="9"/>
      <c r="U31" s="9"/>
      <c r="V31" s="9"/>
      <c r="W31" s="9"/>
      <c r="X31" s="9"/>
      <c r="Y31" s="9"/>
      <c r="Z31" s="9"/>
      <c r="AA31" s="9"/>
      <c r="AB31" s="9"/>
      <c r="AC31" s="9"/>
      <c r="AD31" s="970"/>
    </row>
    <row r="32" spans="1:30" ht="13.5" customHeight="1">
      <c r="A32" s="10"/>
      <c r="B32" s="9"/>
      <c r="C32" s="747" t="s">
        <v>804</v>
      </c>
      <c r="D32" s="750">
        <v>0</v>
      </c>
      <c r="E32" s="751">
        <f>E31/D31-1</f>
        <v>0.2152966200826627</v>
      </c>
      <c r="F32" s="751">
        <f>F31/E31-1</f>
        <v>0.13703046449054734</v>
      </c>
      <c r="G32" s="751">
        <f>G31/F31-1</f>
        <v>0.1399801035680579</v>
      </c>
      <c r="H32" s="751">
        <f>H31/G31-1</f>
        <v>0.26957241550206956</v>
      </c>
      <c r="I32" s="751">
        <f>I31/H31-1</f>
        <v>7.0000000000000062E-2</v>
      </c>
      <c r="J32" s="9"/>
      <c r="K32" s="747" t="s">
        <v>804</v>
      </c>
      <c r="L32" s="750">
        <v>0</v>
      </c>
      <c r="M32" s="751">
        <f>M31/L31-1</f>
        <v>4.7449376173752E-2</v>
      </c>
      <c r="N32" s="751">
        <f>N31/M31-1</f>
        <v>0.28730576590435541</v>
      </c>
      <c r="O32" s="751">
        <f>O31/N31-1</f>
        <v>7.530948289114181E-2</v>
      </c>
      <c r="P32" s="751">
        <f>P31/O31-1</f>
        <v>0.26853124801035166</v>
      </c>
      <c r="Q32" s="751">
        <f>Q31/P31-1</f>
        <v>7.0000000000000284E-2</v>
      </c>
      <c r="R32" s="9"/>
      <c r="S32" s="9"/>
      <c r="T32" s="9"/>
      <c r="U32" s="9"/>
      <c r="V32" s="9"/>
      <c r="W32" s="9"/>
      <c r="X32" s="9"/>
      <c r="Y32" s="9"/>
      <c r="Z32" s="9"/>
      <c r="AA32" s="9"/>
      <c r="AB32" s="9"/>
      <c r="AC32" s="9"/>
      <c r="AD32" s="970"/>
    </row>
    <row r="33" spans="1:30" ht="13.5" customHeight="1">
      <c r="A33" s="10"/>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70"/>
    </row>
    <row r="34" spans="1:30" ht="13.5" customHeight="1">
      <c r="A34" s="10"/>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70"/>
    </row>
    <row r="35" spans="1:30" ht="13.5" customHeight="1">
      <c r="A35" s="10"/>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70"/>
    </row>
    <row r="36" spans="1:30" ht="13.5" customHeight="1">
      <c r="A36" s="10"/>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70"/>
    </row>
    <row r="37" spans="1:30" ht="13.5" customHeight="1">
      <c r="A37" s="10"/>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70"/>
    </row>
    <row r="38" spans="1:30" ht="13.5" customHeight="1">
      <c r="A38" s="10"/>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70"/>
    </row>
    <row r="39" spans="1:30" ht="13.5" customHeight="1">
      <c r="A39" s="10"/>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70"/>
    </row>
    <row r="40" spans="1:30" ht="13.5" customHeight="1">
      <c r="A40" s="10"/>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70"/>
    </row>
    <row r="41" spans="1:30" ht="13.5" customHeight="1">
      <c r="A41" s="10"/>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70"/>
    </row>
    <row r="42" spans="1:30" ht="13.5" customHeight="1">
      <c r="A42" s="10"/>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70"/>
    </row>
    <row r="43" spans="1:30" ht="13.5" customHeight="1">
      <c r="A43" s="10"/>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70"/>
    </row>
    <row r="44" spans="1:30" ht="13.5" customHeight="1">
      <c r="A44" s="10"/>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70"/>
    </row>
    <row r="45" spans="1:30" ht="13.5" customHeight="1">
      <c r="A45" s="10"/>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70"/>
    </row>
    <row r="46" spans="1:30" ht="13.5" customHeight="1">
      <c r="A46" s="10"/>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70"/>
    </row>
    <row r="47" spans="1:30" ht="13.5" customHeight="1">
      <c r="A47" s="10"/>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70"/>
    </row>
    <row r="48" spans="1:30" ht="13.5" hidden="1" customHeight="1" outlineLevel="1">
      <c r="A48" s="10"/>
      <c r="B48" s="9"/>
      <c r="C48" s="76" t="str">
        <f>'Revenue Build'!$C$35</f>
        <v>Incentive Fees</v>
      </c>
      <c r="D48" s="76"/>
      <c r="E48" s="76"/>
      <c r="F48" s="76"/>
      <c r="G48" s="76"/>
      <c r="H48" s="76"/>
      <c r="I48" s="76"/>
      <c r="J48" s="9"/>
      <c r="K48" s="76" t="str">
        <f>'Revenue Build'!$C$44</f>
        <v>Segment 5 Revenue</v>
      </c>
      <c r="L48" s="76"/>
      <c r="M48" s="76"/>
      <c r="N48" s="76"/>
      <c r="O48" s="76"/>
      <c r="P48" s="76"/>
      <c r="Q48" s="76"/>
      <c r="R48" s="9"/>
      <c r="S48" s="9"/>
      <c r="T48" s="9"/>
      <c r="U48" s="9"/>
      <c r="V48" s="9"/>
      <c r="W48" s="9"/>
      <c r="X48" s="9"/>
      <c r="Y48" s="9"/>
      <c r="Z48" s="9"/>
      <c r="AA48" s="9"/>
      <c r="AB48" s="9"/>
      <c r="AC48" s="9"/>
      <c r="AD48" s="970"/>
    </row>
    <row r="49" spans="1:30" ht="13.5" hidden="1" customHeight="1" outlineLevel="1">
      <c r="A49" s="10"/>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70"/>
    </row>
    <row r="50" spans="1:30" ht="13.5" hidden="1" customHeight="1" outlineLevel="1">
      <c r="A50" s="10"/>
      <c r="B50" s="9"/>
      <c r="C50" s="136"/>
      <c r="D50" s="741">
        <f t="shared" ref="D50:I50" si="2">D30</f>
        <v>2023</v>
      </c>
      <c r="E50" s="741">
        <f t="shared" si="2"/>
        <v>2024</v>
      </c>
      <c r="F50" s="741">
        <f t="shared" si="2"/>
        <v>2025</v>
      </c>
      <c r="G50" s="741" t="str">
        <f t="shared" si="2"/>
        <v>2026e</v>
      </c>
      <c r="H50" s="741" t="str">
        <f t="shared" si="2"/>
        <v>2027e</v>
      </c>
      <c r="I50" s="742" t="str">
        <f t="shared" si="2"/>
        <v>2028e</v>
      </c>
      <c r="J50" s="9"/>
      <c r="K50" s="136"/>
      <c r="L50" s="741">
        <f t="shared" ref="L50:Q50" si="3">L30</f>
        <v>2023</v>
      </c>
      <c r="M50" s="741">
        <f t="shared" si="3"/>
        <v>2024</v>
      </c>
      <c r="N50" s="741">
        <f t="shared" si="3"/>
        <v>2025</v>
      </c>
      <c r="O50" s="741" t="str">
        <f t="shared" si="3"/>
        <v>2026e</v>
      </c>
      <c r="P50" s="741" t="str">
        <f t="shared" si="3"/>
        <v>2027e</v>
      </c>
      <c r="Q50" s="742" t="str">
        <f t="shared" si="3"/>
        <v>2028e</v>
      </c>
      <c r="R50" s="9"/>
      <c r="S50" s="9"/>
      <c r="T50" s="9"/>
      <c r="U50" s="9"/>
      <c r="V50" s="9"/>
      <c r="W50" s="9"/>
      <c r="X50" s="9"/>
      <c r="Y50" s="9"/>
      <c r="Z50" s="9"/>
      <c r="AA50" s="9"/>
      <c r="AB50" s="9"/>
      <c r="AC50" s="9"/>
      <c r="AD50" s="970"/>
    </row>
    <row r="51" spans="1:30" ht="13.5" hidden="1" customHeight="1" outlineLevel="1">
      <c r="A51" s="10"/>
      <c r="B51" s="9"/>
      <c r="C51" s="749" t="str">
        <f>C48</f>
        <v>Incentive Fees</v>
      </c>
      <c r="D51" s="724">
        <f t="array" ref="D51">INDEX(Revenue_Data_Summary,MATCH($C51,'Revenue Build'!$C$28:$C$49,0),MATCH(Charts!D$50,'Revenue Build'!$C$28:$AG$28,0))</f>
        <v>156.88</v>
      </c>
      <c r="E51" s="724">
        <f t="array" ref="E51">INDEX(Revenue_Data_Summary,MATCH($C51,'Revenue Build'!$C$28:$C$49,0),MATCH(Charts!E$50,'Revenue Build'!$C$28:$AG$28,0))</f>
        <v>101.90600000000001</v>
      </c>
      <c r="F51" s="724">
        <f t="array" ref="F51">INDEX(Revenue_Data_Summary,MATCH($C51,'Revenue Build'!$C$28:$C$49,0),MATCH(Charts!F$50,'Revenue Build'!$C$28:$AG$28,0))</f>
        <v>199.09899999999999</v>
      </c>
      <c r="G51" s="724">
        <f t="array" ref="G51">INDEX(Revenue_Data_Summary,MATCH($C51,'Revenue Build'!$C$28:$C$49,0),MATCH(Charts!G$50,'Revenue Build'!$C$28:$AG$28,0))</f>
        <v>180.86107423999999</v>
      </c>
      <c r="H51" s="724">
        <f t="array" ref="H51">INDEX(Revenue_Data_Summary,MATCH($C51,'Revenue Build'!$C$28:$C$49,0),MATCH(Charts!H$50,'Revenue Build'!$C$28:$AG$28,0))</f>
        <v>228.81801259936981</v>
      </c>
      <c r="I51" s="724">
        <f t="array" ref="I51">INDEX(Revenue_Data_Summary,MATCH($C51,'Revenue Build'!$C$28:$C$49,0),MATCH(Charts!I$50,'Revenue Build'!$C$28:$AG$28,0))</f>
        <v>244.83527348132571</v>
      </c>
      <c r="J51" s="9"/>
      <c r="K51" s="749" t="str">
        <f>K48</f>
        <v>Segment 5 Revenue</v>
      </c>
      <c r="L51" s="724">
        <f t="array" ref="L51">INDEX(Revenue_Data_Summary,MATCH($K51,'Revenue Build'!$C$28:$C$49,0),MATCH(Charts!L$50,'Revenue Build'!$C$28:$AG$28,0))</f>
        <v>0</v>
      </c>
      <c r="M51" s="724">
        <f t="array" ref="M51">INDEX(Revenue_Data_Summary,MATCH($K51,'Revenue Build'!$C$28:$C$49,0),MATCH(Charts!M$50,'Revenue Build'!$C$28:$AG$28,0))</f>
        <v>0</v>
      </c>
      <c r="N51" s="724">
        <f t="array" ref="N51">INDEX(Revenue_Data_Summary,MATCH($K51,'Revenue Build'!$C$28:$C$49,0),MATCH(Charts!N$50,'Revenue Build'!$C$28:$AG$28,0))</f>
        <v>0</v>
      </c>
      <c r="O51" s="724">
        <f t="array" ref="O51">INDEX(Revenue_Data_Summary,MATCH($K51,'Revenue Build'!$C$28:$C$49,0),MATCH(Charts!O$50,'Revenue Build'!$C$28:$AG$28,0))</f>
        <v>0</v>
      </c>
      <c r="P51" s="724">
        <f t="array" ref="P51">INDEX(Revenue_Data_Summary,MATCH($K51,'Revenue Build'!$C$28:$C$49,0),MATCH(Charts!P$50,'Revenue Build'!$C$28:$AG$28,0))</f>
        <v>0</v>
      </c>
      <c r="Q51" s="724">
        <f t="array" ref="Q51">INDEX(Revenue_Data_Summary,MATCH($K51,'Revenue Build'!$C$28:$C$49,0),MATCH(Charts!Q$50,'Revenue Build'!$C$28:$AG$28,0))</f>
        <v>0</v>
      </c>
      <c r="R51" s="9"/>
      <c r="S51" s="9"/>
      <c r="T51" s="9"/>
      <c r="U51" s="9"/>
      <c r="V51" s="9"/>
      <c r="W51" s="9"/>
      <c r="X51" s="9"/>
      <c r="Y51" s="9"/>
      <c r="Z51" s="9"/>
      <c r="AA51" s="9"/>
      <c r="AB51" s="9"/>
      <c r="AC51" s="9"/>
      <c r="AD51" s="970"/>
    </row>
    <row r="52" spans="1:30" ht="13.5" hidden="1" customHeight="1" outlineLevel="1">
      <c r="A52" s="10"/>
      <c r="B52" s="9"/>
      <c r="C52" s="747" t="s">
        <v>804</v>
      </c>
      <c r="D52" s="750">
        <v>0</v>
      </c>
      <c r="E52" s="751">
        <f>E51/D51-1</f>
        <v>-0.35042070372259049</v>
      </c>
      <c r="F52" s="751">
        <f>F51/E51-1</f>
        <v>0.95375149647714541</v>
      </c>
      <c r="G52" s="751">
        <f>G51/F51-1</f>
        <v>-9.1602297148654643E-2</v>
      </c>
      <c r="H52" s="751">
        <f>H51/G51-1</f>
        <v>0.26515898216844414</v>
      </c>
      <c r="I52" s="751">
        <f>I51/H51-1</f>
        <v>7.0000000000000062E-2</v>
      </c>
      <c r="J52" s="9"/>
      <c r="K52" s="747" t="s">
        <v>804</v>
      </c>
      <c r="L52" s="750">
        <v>0</v>
      </c>
      <c r="M52" s="751">
        <v>0</v>
      </c>
      <c r="N52" s="751" t="e">
        <f>N51/M51-1</f>
        <v>#DIV/0!</v>
      </c>
      <c r="O52" s="751" t="e">
        <f>O51/N51-1</f>
        <v>#DIV/0!</v>
      </c>
      <c r="P52" s="751" t="e">
        <f>P51/O51-1</f>
        <v>#DIV/0!</v>
      </c>
      <c r="Q52" s="751" t="e">
        <f>Q51/P51-1</f>
        <v>#DIV/0!</v>
      </c>
      <c r="R52" s="9"/>
      <c r="S52" s="9"/>
      <c r="T52" s="9"/>
      <c r="U52" s="9"/>
      <c r="V52" s="9"/>
      <c r="W52" s="9"/>
      <c r="X52" s="9"/>
      <c r="Y52" s="9"/>
      <c r="Z52" s="9"/>
      <c r="AA52" s="9"/>
      <c r="AB52" s="9"/>
      <c r="AC52" s="9"/>
      <c r="AD52" s="970"/>
    </row>
    <row r="53" spans="1:30" ht="13.5" hidden="1" customHeight="1" outlineLevel="1">
      <c r="A53" s="10"/>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70"/>
    </row>
    <row r="54" spans="1:30" ht="13.5" hidden="1" customHeight="1" outlineLevel="1">
      <c r="A54" s="10"/>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70"/>
    </row>
    <row r="55" spans="1:30" ht="13.5" hidden="1" customHeight="1" outlineLevel="1">
      <c r="A55" s="10"/>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70"/>
    </row>
    <row r="56" spans="1:30" ht="13.5" hidden="1" customHeight="1" outlineLevel="1">
      <c r="A56" s="10"/>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70"/>
    </row>
    <row r="57" spans="1:30" ht="13.5" hidden="1" customHeight="1" outlineLevel="1">
      <c r="A57" s="10"/>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70"/>
    </row>
    <row r="58" spans="1:30" ht="13.5" hidden="1" customHeight="1" outlineLevel="1">
      <c r="A58" s="10"/>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70"/>
    </row>
    <row r="59" spans="1:30" ht="13.5" hidden="1" customHeight="1" outlineLevel="1">
      <c r="A59" s="10"/>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70"/>
    </row>
    <row r="60" spans="1:30" ht="13.5" hidden="1" customHeight="1" outlineLevel="1">
      <c r="A60" s="10"/>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70"/>
    </row>
    <row r="61" spans="1:30" ht="13.5" hidden="1" customHeight="1" outlineLevel="1">
      <c r="A61" s="10"/>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70"/>
    </row>
    <row r="62" spans="1:30" ht="13.5" hidden="1" customHeight="1" outlineLevel="1">
      <c r="A62" s="10"/>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70"/>
    </row>
    <row r="63" spans="1:30" ht="13.5" hidden="1" customHeight="1" outlineLevel="1">
      <c r="A63" s="10"/>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70"/>
    </row>
    <row r="64" spans="1:30" ht="13.5" hidden="1" customHeight="1" outlineLevel="1">
      <c r="A64" s="10"/>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70"/>
    </row>
    <row r="65" spans="1:30" ht="13.5" hidden="1" customHeight="1" outlineLevel="1">
      <c r="A65" s="10"/>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70"/>
    </row>
    <row r="66" spans="1:30" ht="13.5" customHeight="1" collapsed="1">
      <c r="A66" s="10"/>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70"/>
    </row>
    <row r="67" spans="1:30" ht="13.5" customHeight="1">
      <c r="A67" s="10"/>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70"/>
    </row>
    <row r="68" spans="1:30" ht="13.5" customHeight="1">
      <c r="A68" s="10" t="s">
        <v>0</v>
      </c>
      <c r="B68" s="9"/>
      <c r="C68" s="76" t="str">
        <f>Ticker&amp;" - Free Cash Flow"</f>
        <v>HLNE - Free Cash Flow</v>
      </c>
      <c r="D68" s="76"/>
      <c r="E68" s="76"/>
      <c r="F68" s="76"/>
      <c r="G68" s="76"/>
      <c r="H68" s="76"/>
      <c r="I68" s="76"/>
      <c r="J68" s="139"/>
      <c r="K68" s="76" t="str">
        <f>Ticker&amp;" - Adj. EPS"</f>
        <v>HLNE - Adj. EPS</v>
      </c>
      <c r="L68" s="76"/>
      <c r="M68" s="76"/>
      <c r="N68" s="76"/>
      <c r="O68" s="76"/>
      <c r="P68" s="76"/>
      <c r="Q68" s="76"/>
      <c r="R68" s="9"/>
      <c r="S68" s="9"/>
      <c r="T68" s="9"/>
      <c r="U68" s="9"/>
      <c r="V68" s="9"/>
      <c r="W68" s="9"/>
      <c r="X68" s="9"/>
      <c r="Y68" s="9"/>
      <c r="Z68" s="9"/>
      <c r="AA68" s="9"/>
      <c r="AB68" s="9"/>
      <c r="AC68" s="9"/>
      <c r="AD68" s="970"/>
    </row>
    <row r="69" spans="1:30" ht="13.5" customHeight="1">
      <c r="A69" s="10"/>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70"/>
    </row>
    <row r="70" spans="1:30" ht="13.5" customHeight="1">
      <c r="A70" s="10"/>
      <c r="B70" s="9"/>
      <c r="C70" s="136"/>
      <c r="D70" s="741">
        <f t="shared" ref="D70:I70" si="4">D50</f>
        <v>2023</v>
      </c>
      <c r="E70" s="741">
        <f t="shared" si="4"/>
        <v>2024</v>
      </c>
      <c r="F70" s="741">
        <f t="shared" si="4"/>
        <v>2025</v>
      </c>
      <c r="G70" s="741" t="str">
        <f t="shared" si="4"/>
        <v>2026e</v>
      </c>
      <c r="H70" s="741" t="str">
        <f t="shared" si="4"/>
        <v>2027e</v>
      </c>
      <c r="I70" s="742" t="str">
        <f t="shared" si="4"/>
        <v>2028e</v>
      </c>
      <c r="J70" s="9"/>
      <c r="K70" s="136"/>
      <c r="L70" s="741">
        <f t="shared" ref="L70:Q70" si="5">L50</f>
        <v>2023</v>
      </c>
      <c r="M70" s="741">
        <f t="shared" si="5"/>
        <v>2024</v>
      </c>
      <c r="N70" s="741">
        <f t="shared" si="5"/>
        <v>2025</v>
      </c>
      <c r="O70" s="741" t="str">
        <f t="shared" si="5"/>
        <v>2026e</v>
      </c>
      <c r="P70" s="741" t="str">
        <f t="shared" si="5"/>
        <v>2027e</v>
      </c>
      <c r="Q70" s="742" t="str">
        <f t="shared" si="5"/>
        <v>2028e</v>
      </c>
      <c r="R70" s="9"/>
      <c r="S70" s="9"/>
      <c r="T70" s="9"/>
      <c r="U70" s="9"/>
      <c r="V70" s="9"/>
      <c r="W70" s="9"/>
      <c r="X70" s="9"/>
      <c r="Y70" s="9"/>
      <c r="Z70" s="9"/>
      <c r="AA70" s="9"/>
      <c r="AB70" s="9"/>
      <c r="AC70" s="9"/>
      <c r="AD70" s="970"/>
    </row>
    <row r="71" spans="1:30" ht="13.5" customHeight="1">
      <c r="A71" s="10"/>
      <c r="B71" s="9"/>
      <c r="C71" s="744" t="str">
        <f>Model!C114</f>
        <v>Free Cash Flow (FCF)</v>
      </c>
      <c r="D71" s="724">
        <f t="array" ref="D71">INDEX(Data,MATCH($C71,Line_Items,0),MATCH(Charts!D$70,Fiscal_Periods,0))</f>
        <v>191.15300000000002</v>
      </c>
      <c r="E71" s="724">
        <f t="array" ref="E71">INDEX(Data,MATCH($C71,Line_Items,0),MATCH(Charts!E$70,Fiscal_Periods,0))</f>
        <v>161.31300000000005</v>
      </c>
      <c r="F71" s="724">
        <f t="array" ref="F71">INDEX(Data,MATCH($C71,Line_Items,0),MATCH(Charts!F$70,Fiscal_Periods,0))</f>
        <v>238.05100000000002</v>
      </c>
      <c r="G71" s="724">
        <f t="array" aca="1" ref="G71" ca="1">INDEX(Data,MATCH($C71,Line_Items,0),MATCH(Charts!G$70,Fiscal_Periods,0))</f>
        <v>292.20212879943847</v>
      </c>
      <c r="H71" s="724">
        <f t="array" aca="1" ref="H71" ca="1">INDEX(Data,MATCH($C71,Line_Items,0),MATCH(Charts!H$70,Fiscal_Periods,0))</f>
        <v>289.95116687698101</v>
      </c>
      <c r="I71" s="724">
        <f t="array" aca="1" ref="I71" ca="1">INDEX(Data,MATCH($C71,Line_Items,0),MATCH(Charts!I$70,Fiscal_Periods,0))</f>
        <v>387.78288756231422</v>
      </c>
      <c r="J71" s="9"/>
      <c r="K71" s="744" t="str">
        <f>Model!C57</f>
        <v>Adj. EPS (Diluted)</v>
      </c>
      <c r="L71" s="752">
        <f t="array" ref="L71">INDEX(Data,MATCH($K71,Line_Items,0),MATCH(Charts!L$70,Fiscal_Periods,0))</f>
        <v>2.0297217773473872</v>
      </c>
      <c r="M71" s="752">
        <f t="array" ref="M71">INDEX(Data,MATCH($K71,Line_Items,0),MATCH(Charts!M$70,Fiscal_Periods,0))</f>
        <v>2.6133209647495361</v>
      </c>
      <c r="N71" s="752">
        <f t="array" ref="N71">INDEX(Data,MATCH($K71,Line_Items,0),MATCH(Charts!N$70,Fiscal_Periods,0))</f>
        <v>5.3949627791563284</v>
      </c>
      <c r="O71" s="752">
        <f t="array" aca="1" ref="O71" ca="1">INDEX(Data,MATCH($K71,Line_Items,0),MATCH(Charts!O$70,Fiscal_Periods,0))</f>
        <v>3.7993392151880983</v>
      </c>
      <c r="P71" s="752">
        <f t="array" aca="1" ref="P71" ca="1">INDEX(Data,MATCH($K71,Line_Items,0),MATCH(Charts!P$70,Fiscal_Periods,0))</f>
        <v>4.7821320412240276</v>
      </c>
      <c r="Q71" s="752">
        <f t="array" aca="1" ref="Q71" ca="1">INDEX(Data,MATCH($K71,Line_Items,0),MATCH(Charts!Q$70,Fiscal_Periods,0))</f>
        <v>5.2892287943405707</v>
      </c>
      <c r="R71" s="9"/>
      <c r="S71" s="9"/>
      <c r="T71" s="9"/>
      <c r="U71" s="9"/>
      <c r="V71" s="9"/>
      <c r="W71" s="9"/>
      <c r="X71" s="9"/>
      <c r="Y71" s="9"/>
      <c r="Z71" s="9"/>
      <c r="AA71" s="9"/>
      <c r="AB71" s="9"/>
      <c r="AC71" s="9"/>
      <c r="AD71" s="970"/>
    </row>
    <row r="72" spans="1:30" ht="13.5" customHeight="1">
      <c r="A72" s="10"/>
      <c r="B72" s="9"/>
      <c r="C72" s="747" t="s">
        <v>804</v>
      </c>
      <c r="D72" s="750">
        <v>0</v>
      </c>
      <c r="E72" s="751">
        <f>E71/D71-1</f>
        <v>-0.15610531877605882</v>
      </c>
      <c r="F72" s="751">
        <f>F71/E71-1</f>
        <v>0.47570871535462089</v>
      </c>
      <c r="G72" s="751">
        <f ca="1">G71/F71-1</f>
        <v>0.2274770061853908</v>
      </c>
      <c r="H72" s="751">
        <f ca="1">H71/G71-1</f>
        <v>-7.7034412162084731E-3</v>
      </c>
      <c r="I72" s="751">
        <f ca="1">I71/H71-1</f>
        <v>0.33740757707259283</v>
      </c>
      <c r="J72" s="9"/>
      <c r="K72" s="747" t="s">
        <v>804</v>
      </c>
      <c r="L72" s="750">
        <v>0</v>
      </c>
      <c r="M72" s="751">
        <f>M71/L71-1</f>
        <v>0.28752669154727495</v>
      </c>
      <c r="N72" s="751">
        <f>N71/M71-1</f>
        <v>1.0644087932281172</v>
      </c>
      <c r="O72" s="751">
        <f ca="1">O71/N71-1</f>
        <v>-0.29576173725108734</v>
      </c>
      <c r="P72" s="751">
        <f ca="1">P71/O71-1</f>
        <v>0.25867467219224682</v>
      </c>
      <c r="Q72" s="751">
        <f ca="1">Q71/P71-1</f>
        <v>0.10603988947715193</v>
      </c>
      <c r="R72" s="9"/>
      <c r="S72" s="9"/>
      <c r="T72" s="9"/>
      <c r="U72" s="9"/>
      <c r="V72" s="9"/>
      <c r="W72" s="9"/>
      <c r="X72" s="9"/>
      <c r="Y72" s="9"/>
      <c r="Z72" s="9"/>
      <c r="AA72" s="9"/>
      <c r="AB72" s="9"/>
      <c r="AC72" s="9"/>
      <c r="AD72" s="970"/>
    </row>
    <row r="73" spans="1:30" ht="13.5" customHeight="1">
      <c r="A73" s="10"/>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70"/>
    </row>
    <row r="74" spans="1:30" ht="13.5" customHeight="1">
      <c r="A74" s="10"/>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70"/>
    </row>
    <row r="75" spans="1:30" ht="13.5" customHeight="1">
      <c r="A75" s="10"/>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70"/>
    </row>
    <row r="76" spans="1:30" ht="13.5" customHeight="1">
      <c r="A76" s="10"/>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70"/>
    </row>
    <row r="77" spans="1:30" ht="13.5" customHeight="1">
      <c r="A77" s="10"/>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70"/>
    </row>
    <row r="78" spans="1:30" ht="13.5" customHeight="1">
      <c r="A78" s="10"/>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70"/>
    </row>
    <row r="79" spans="1:30" ht="13.5" customHeight="1">
      <c r="A79" s="10"/>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70"/>
    </row>
    <row r="80" spans="1:30" ht="13.5" customHeight="1">
      <c r="A80" s="10"/>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70"/>
    </row>
    <row r="81" spans="1:30" ht="13.5" customHeight="1">
      <c r="A81" s="10"/>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70"/>
    </row>
    <row r="82" spans="1:30" ht="13.5" customHeight="1">
      <c r="A82" s="10"/>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70"/>
    </row>
    <row r="83" spans="1:30" ht="13.5" customHeight="1">
      <c r="A83" s="10"/>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70"/>
    </row>
    <row r="84" spans="1:30" ht="13.5" customHeight="1">
      <c r="A84" s="10"/>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70"/>
    </row>
    <row r="85" spans="1:30" ht="13.5" customHeight="1">
      <c r="A85" s="10"/>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70"/>
    </row>
    <row r="86" spans="1:30" ht="13.5" customHeight="1">
      <c r="A86" s="10"/>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70"/>
    </row>
    <row r="87" spans="1:30" ht="13.5" customHeight="1">
      <c r="A87" s="10"/>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70"/>
    </row>
    <row r="88" spans="1:30" ht="13.5" customHeight="1">
      <c r="A88" s="10"/>
      <c r="B88" s="9"/>
      <c r="C88" s="76" t="str">
        <f>'Revenue Build'!$C$30</f>
        <v>Total Company Revenue</v>
      </c>
      <c r="D88" s="76"/>
      <c r="E88" s="76"/>
      <c r="F88" s="76"/>
      <c r="G88" s="76"/>
      <c r="H88" s="76"/>
      <c r="I88" s="76"/>
      <c r="J88" s="76"/>
      <c r="K88" s="76"/>
      <c r="L88" s="76"/>
      <c r="M88" s="76"/>
      <c r="N88" s="76"/>
      <c r="O88" s="76"/>
      <c r="P88" s="76"/>
      <c r="Q88" s="76"/>
      <c r="R88" s="731" t="str">
        <f>Last_FQR</f>
        <v>1Q</v>
      </c>
      <c r="S88" s="9"/>
      <c r="T88" s="9"/>
      <c r="U88" s="9"/>
      <c r="V88" s="9"/>
      <c r="W88" s="9"/>
      <c r="X88" s="9"/>
      <c r="Y88" s="9"/>
      <c r="Z88" s="9"/>
      <c r="AA88" s="9"/>
      <c r="AB88" s="9"/>
      <c r="AC88" s="9"/>
      <c r="AD88" s="970"/>
    </row>
    <row r="89" spans="1:30" ht="13.5" customHeight="1">
      <c r="A89" s="10"/>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70"/>
    </row>
    <row r="90" spans="1:30" ht="13.5" customHeight="1">
      <c r="A90" s="10"/>
      <c r="B90" s="9"/>
      <c r="C90" s="136"/>
      <c r="D90" s="741">
        <f>E90-1</f>
        <v>2019</v>
      </c>
      <c r="E90" s="741">
        <f>F90-1</f>
        <v>2020</v>
      </c>
      <c r="F90" s="741">
        <f>G90-1</f>
        <v>2021</v>
      </c>
      <c r="G90" s="741">
        <f>H90-1</f>
        <v>2022</v>
      </c>
      <c r="H90" s="741">
        <f t="shared" ref="H90:M90" si="6">D70</f>
        <v>2023</v>
      </c>
      <c r="I90" s="741">
        <f t="shared" si="6"/>
        <v>2024</v>
      </c>
      <c r="J90" s="741">
        <f t="shared" si="6"/>
        <v>2025</v>
      </c>
      <c r="K90" s="741" t="str">
        <f t="shared" si="6"/>
        <v>2026e</v>
      </c>
      <c r="L90" s="741" t="str">
        <f t="shared" si="6"/>
        <v>2027e</v>
      </c>
      <c r="M90" s="741" t="str">
        <f t="shared" si="6"/>
        <v>2028e</v>
      </c>
      <c r="N90" s="741" t="str">
        <f>H90&amp;" YTD"</f>
        <v>2023 YTD</v>
      </c>
      <c r="O90" s="741" t="str">
        <f>J90&amp;" YTD"</f>
        <v>2025 YTD</v>
      </c>
      <c r="P90" s="741" t="str">
        <f>LEFT(G70,4)&amp;" YTD"</f>
        <v>2026 YTD</v>
      </c>
      <c r="Q90" s="742" t="str">
        <f>LEFT(H70,4)&amp;" YTD"</f>
        <v>2027 YTD</v>
      </c>
      <c r="R90" s="9"/>
      <c r="S90" s="9"/>
      <c r="T90" s="9"/>
      <c r="U90" s="9"/>
      <c r="V90" s="9"/>
      <c r="W90" s="9"/>
      <c r="X90" s="9"/>
      <c r="Y90" s="9"/>
      <c r="Z90" s="9"/>
      <c r="AA90" s="9"/>
      <c r="AB90" s="9"/>
      <c r="AC90" s="9"/>
      <c r="AD90" s="970"/>
    </row>
    <row r="91" spans="1:30" ht="13.5" customHeight="1">
      <c r="A91" s="10"/>
      <c r="B91" s="9"/>
      <c r="C91" s="749" t="str">
        <f>C88</f>
        <v>Total Company Revenue</v>
      </c>
      <c r="D91" s="753">
        <v>252</v>
      </c>
      <c r="E91" s="753">
        <v>274</v>
      </c>
      <c r="F91" s="753">
        <v>341.6</v>
      </c>
      <c r="G91" s="753">
        <v>368</v>
      </c>
      <c r="H91" s="724">
        <f t="array" ref="H91">INDEX(Revenue_Data_Summary,MATCH($C91,'Revenue Build'!$C$28:$C$49,0),MATCH(Charts!H$90,'Revenue Build'!$C$28:$AG$28,0))</f>
        <v>528.75300000000004</v>
      </c>
      <c r="I91" s="724">
        <f t="array" ref="I91">INDEX(Revenue_Data_Summary,MATCH($C91,'Revenue Build'!$C$28:$C$49,0),MATCH(Charts!I$90,'Revenue Build'!$C$28:$AG$28,0))</f>
        <v>553.84199999999998</v>
      </c>
      <c r="J91" s="724">
        <f t="array" ref="J91">INDEX(Revenue_Data_Summary,MATCH($C91,'Revenue Build'!$C$28:$C$49,0),MATCH(Charts!J$90,'Revenue Build'!$C$28:$AG$28,0))</f>
        <v>712.96399999999994</v>
      </c>
      <c r="K91" s="724">
        <f t="array" ref="K91">INDEX(Revenue_Data_Summary,MATCH($C91,'Revenue Build'!$C$28:$C$49,0),MATCH(Charts!K$90,'Revenue Build'!$C$28:$AG$28,0))</f>
        <v>766.65695015999995</v>
      </c>
      <c r="L91" s="724">
        <f t="array" ref="L91">INDEX(Revenue_Data_Summary,MATCH($C91,'Revenue Build'!$C$28:$C$49,0),MATCH(Charts!L$90,'Revenue Build'!$C$28:$AG$28,0))</f>
        <v>972.52829778227476</v>
      </c>
      <c r="M91" s="724">
        <f t="array" ref="M91">INDEX(Revenue_Data_Summary,MATCH($C91,'Revenue Build'!$C$28:$C$49,0),MATCH(Charts!M$90,'Revenue Build'!$C$28:$AG$28,0))</f>
        <v>1040.6052786270343</v>
      </c>
      <c r="N91" s="724">
        <f>IF(Charts!$R$88="1Q",SUM('Revenue Build'!K30),IF(Charts!$R$88="2Q",SUM('Revenue Build'!K30:L30),IF(Charts!$R$88="3Q",SUM('Revenue Build'!K30:M30),IF(Charts!$R$88="4Q",SUM('Revenue Build'!K30:N30),"N/A"))))</f>
        <v>125.03700000000001</v>
      </c>
      <c r="O91" s="724">
        <f>IF(Charts!$R$88="1Q",SUM('Revenue Build'!P30),IF(Charts!$R$88="2Q",SUM('Revenue Build'!P30:Q30),IF(Charts!$R$88="3Q",SUM('Revenue Build'!P30:R30),IF(Charts!$R$88="4Q",SUM('Revenue Build'!P30:S30),"N/A"))))</f>
        <v>196.73099999999999</v>
      </c>
      <c r="P91" s="724">
        <f>IF(Charts!$R$88="1Q",SUM('Revenue Build'!U30),IF(Charts!$R$88="2Q",SUM('Revenue Build'!U30:V30),IF(Charts!$R$88="3Q",SUM('Revenue Build'!U30:W30),IF(Charts!$R$88="4Q",SUM('Revenue Build'!U30:X30),"N/A"))))</f>
        <v>175.958</v>
      </c>
      <c r="Q91" s="724">
        <f>IF(Charts!$R$88="1Q",SUM('Revenue Build'!V30),IF(Charts!$R$88="2Q",SUM('Revenue Build'!V30:W30),IF(Charts!$R$88="3Q",SUM('Revenue Build'!V30:X30),IF(Charts!$R$88="4Q",SUM('Revenue Build'!V30:Y30),"N/A"))))</f>
        <v>183.91066000000001</v>
      </c>
      <c r="R91" s="724"/>
      <c r="S91" s="9"/>
      <c r="T91" s="724"/>
      <c r="U91" s="9"/>
      <c r="V91" s="9"/>
      <c r="W91" s="724"/>
      <c r="X91" s="724"/>
      <c r="Y91" s="9"/>
      <c r="Z91" s="9"/>
      <c r="AA91" s="9"/>
      <c r="AB91" s="9"/>
      <c r="AC91" s="9"/>
      <c r="AD91" s="971"/>
    </row>
    <row r="92" spans="1:30" ht="13.5" customHeight="1">
      <c r="A92" s="10"/>
      <c r="B92" s="9"/>
      <c r="C92" s="747" t="s">
        <v>804</v>
      </c>
      <c r="D92" s="750"/>
      <c r="E92" s="751">
        <f t="shared" ref="E92:M92" si="7">E91/D91-1</f>
        <v>8.7301587301587213E-2</v>
      </c>
      <c r="F92" s="751">
        <f t="shared" si="7"/>
        <v>0.24671532846715327</v>
      </c>
      <c r="G92" s="751">
        <f t="shared" si="7"/>
        <v>7.7283372365339442E-2</v>
      </c>
      <c r="H92" s="751">
        <f t="shared" si="7"/>
        <v>0.43682880434782612</v>
      </c>
      <c r="I92" s="751">
        <f t="shared" si="7"/>
        <v>4.7449376173752E-2</v>
      </c>
      <c r="J92" s="751">
        <f t="shared" si="7"/>
        <v>0.28730576590435541</v>
      </c>
      <c r="K92" s="751">
        <f t="shared" si="7"/>
        <v>7.530948289114181E-2</v>
      </c>
      <c r="L92" s="751">
        <f t="shared" si="7"/>
        <v>0.26853124801035166</v>
      </c>
      <c r="M92" s="751">
        <f t="shared" si="7"/>
        <v>7.0000000000000284E-2</v>
      </c>
      <c r="N92" s="751">
        <v>0.17499999999999999</v>
      </c>
      <c r="O92" s="751">
        <f>O91/N91-1</f>
        <v>0.57338227884546167</v>
      </c>
      <c r="P92" s="751">
        <f>P91/O91-1</f>
        <v>-0.10559088298234642</v>
      </c>
      <c r="Q92" s="751">
        <f>Q91/P91-1</f>
        <v>4.5196353675308831E-2</v>
      </c>
      <c r="R92" s="9"/>
      <c r="S92" s="9"/>
      <c r="T92" s="9"/>
      <c r="U92" s="9"/>
      <c r="V92" s="9"/>
      <c r="W92" s="9"/>
      <c r="X92" s="9"/>
      <c r="Y92" s="9"/>
      <c r="Z92" s="9"/>
      <c r="AA92" s="9"/>
      <c r="AB92" s="9"/>
      <c r="AC92" s="9"/>
      <c r="AD92" s="970"/>
    </row>
    <row r="93" spans="1:30" ht="13.5" customHeight="1">
      <c r="A93" s="10"/>
      <c r="B93" s="9"/>
      <c r="C93" s="9"/>
      <c r="D93" s="750"/>
      <c r="E93" s="751"/>
      <c r="F93" s="751"/>
      <c r="G93" s="751"/>
      <c r="H93" s="751"/>
      <c r="I93" s="751"/>
      <c r="J93" s="751"/>
      <c r="K93" s="751"/>
      <c r="L93" s="751"/>
      <c r="M93" s="750"/>
      <c r="N93" s="751"/>
      <c r="O93" s="751"/>
      <c r="P93" s="751"/>
      <c r="Q93" s="9"/>
      <c r="R93" s="9"/>
      <c r="S93" s="9"/>
      <c r="T93" s="9"/>
      <c r="U93" s="9"/>
      <c r="V93" s="9"/>
      <c r="W93" s="9"/>
      <c r="X93" s="9"/>
      <c r="Y93" s="9"/>
      <c r="Z93" s="9"/>
      <c r="AA93" s="9"/>
      <c r="AB93" s="9"/>
      <c r="AC93" s="9"/>
      <c r="AD93" s="970"/>
    </row>
    <row r="94" spans="1:30" ht="13.5" customHeight="1">
      <c r="A94" s="10"/>
      <c r="B94" s="9"/>
      <c r="C94" s="9"/>
      <c r="D94" s="750"/>
      <c r="E94" s="751"/>
      <c r="F94" s="751"/>
      <c r="G94" s="751"/>
      <c r="H94" s="751"/>
      <c r="I94" s="751"/>
      <c r="J94" s="751"/>
      <c r="K94" s="751"/>
      <c r="L94" s="751"/>
      <c r="M94" s="750"/>
      <c r="N94" s="751"/>
      <c r="O94" s="751"/>
      <c r="P94" s="751"/>
      <c r="Q94" s="9"/>
      <c r="R94" s="9"/>
      <c r="S94" s="9"/>
      <c r="T94" s="9"/>
      <c r="U94" s="9"/>
      <c r="V94" s="9"/>
      <c r="W94" s="9"/>
      <c r="X94" s="9"/>
      <c r="Y94" s="9"/>
      <c r="Z94" s="9"/>
      <c r="AA94" s="9"/>
      <c r="AB94" s="9"/>
      <c r="AC94" s="9"/>
      <c r="AD94" s="970"/>
    </row>
    <row r="95" spans="1:30" ht="13.5" customHeight="1">
      <c r="A95" s="10"/>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70"/>
    </row>
    <row r="96" spans="1:30" ht="13.5" customHeight="1">
      <c r="A96" s="10"/>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70"/>
    </row>
    <row r="97" spans="1:30" ht="13.5" customHeight="1">
      <c r="A97" s="10"/>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70"/>
    </row>
    <row r="98" spans="1:30" ht="13.5" customHeight="1">
      <c r="A98" s="10"/>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70"/>
    </row>
    <row r="99" spans="1:30" ht="13.5" customHeight="1">
      <c r="A99" s="10"/>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70"/>
    </row>
    <row r="100" spans="1:30" ht="13.5" customHeight="1">
      <c r="A100" s="10"/>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70"/>
    </row>
    <row r="101" spans="1:30" ht="13.5" customHeight="1">
      <c r="A101" s="10"/>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70"/>
    </row>
    <row r="102" spans="1:30" ht="13.5" customHeight="1">
      <c r="A102" s="10"/>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70"/>
    </row>
    <row r="103" spans="1:30" ht="13.5" customHeight="1">
      <c r="A103" s="10"/>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70"/>
    </row>
    <row r="104" spans="1:30" ht="13.5" customHeight="1">
      <c r="A104" s="10"/>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70"/>
    </row>
    <row r="105" spans="1:30" ht="13.5" customHeight="1">
      <c r="A105" s="10"/>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70"/>
    </row>
    <row r="106" spans="1:30" ht="13.5" customHeight="1">
      <c r="A106" s="10"/>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70"/>
    </row>
    <row r="107" spans="1:30" ht="13.5" customHeight="1">
      <c r="A107" s="10"/>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70"/>
    </row>
    <row r="108" spans="1:30" ht="13.5" customHeight="1">
      <c r="A108" s="10"/>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70"/>
    </row>
    <row r="109" spans="1:30" ht="13.5" customHeight="1">
      <c r="A109" s="10"/>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70"/>
    </row>
    <row r="110" spans="1:30" ht="13.5" customHeight="1">
      <c r="A110" s="10"/>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70"/>
    </row>
    <row r="111" spans="1:30" ht="13.5" customHeight="1">
      <c r="A111" s="10"/>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70"/>
    </row>
    <row r="112" spans="1:30" ht="13.5" customHeight="1">
      <c r="A112" s="10"/>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70"/>
    </row>
    <row r="113" spans="1:30" ht="13.5" customHeight="1">
      <c r="A113" s="10"/>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70"/>
    </row>
    <row r="114" spans="1:30" ht="13.5" customHeight="1">
      <c r="A114" s="10" t="s">
        <v>0</v>
      </c>
      <c r="B114" s="9"/>
      <c r="C114" s="76" t="s">
        <v>805</v>
      </c>
      <c r="D114" s="78"/>
      <c r="E114" s="78"/>
      <c r="F114" s="78"/>
      <c r="G114" s="78"/>
      <c r="H114" s="78"/>
      <c r="I114" s="78"/>
      <c r="J114" s="78"/>
      <c r="K114" s="78"/>
      <c r="L114" s="78"/>
      <c r="M114" s="78"/>
      <c r="N114" s="78"/>
      <c r="O114" s="78"/>
      <c r="P114" s="78"/>
      <c r="Q114" s="78"/>
      <c r="R114" s="9"/>
      <c r="S114" s="9"/>
      <c r="T114" s="9"/>
      <c r="U114" s="9"/>
      <c r="V114" s="9"/>
      <c r="W114" s="9"/>
      <c r="X114" s="9"/>
      <c r="Y114" s="9"/>
      <c r="Z114" s="9"/>
      <c r="AA114" s="9"/>
      <c r="AB114" s="9"/>
      <c r="AC114" s="9"/>
      <c r="AD114" s="970"/>
    </row>
    <row r="115" spans="1:30" ht="13.5" customHeight="1">
      <c r="A115" s="10"/>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70"/>
    </row>
    <row r="116" spans="1:30" ht="13.5" customHeight="1">
      <c r="A116" s="10"/>
      <c r="B116" s="9"/>
      <c r="C116" s="136"/>
      <c r="D116" s="754" t="str">
        <f>'Segment Analysis'!$C$16</f>
        <v>Management &amp; Advisory Fees</v>
      </c>
      <c r="E116" s="754" t="str">
        <f>'Segment Analysis'!$C$17</f>
        <v>Incentive Fees</v>
      </c>
      <c r="F116" s="754" t="str">
        <f>'Segment Analysis'!$C$20</f>
        <v>Segment 5</v>
      </c>
      <c r="G116" s="754" t="str">
        <f>'Segment Analysis'!$C$18</f>
        <v>Segment 3</v>
      </c>
      <c r="H116" s="754" t="str">
        <f>'Segment Analysis'!$C$19</f>
        <v>Segment 4</v>
      </c>
      <c r="I116" s="755" t="str">
        <f>'Segment Analysis'!$C$21</f>
        <v>Segment 6</v>
      </c>
      <c r="J116" s="64"/>
      <c r="K116" s="9"/>
      <c r="L116" s="9"/>
      <c r="M116" s="9"/>
      <c r="N116" s="9"/>
      <c r="O116" s="9"/>
      <c r="P116" s="9"/>
      <c r="Q116" s="9"/>
      <c r="R116" s="9"/>
      <c r="S116" s="9"/>
      <c r="T116" s="9"/>
      <c r="U116" s="9"/>
      <c r="V116" s="9"/>
      <c r="W116" s="9"/>
      <c r="X116" s="9"/>
      <c r="Y116" s="9"/>
      <c r="Z116" s="9"/>
      <c r="AA116" s="9"/>
      <c r="AB116" s="9"/>
      <c r="AC116" s="9"/>
      <c r="AD116" s="970"/>
    </row>
    <row r="117" spans="1:30" ht="13.5" customHeight="1">
      <c r="A117" s="10"/>
      <c r="B117" s="9"/>
      <c r="C117" s="747" t="s">
        <v>806</v>
      </c>
      <c r="D117" s="756">
        <f>'Segment Analysis'!$T$16</f>
        <v>0.72074466592983666</v>
      </c>
      <c r="E117" s="757">
        <f>'Segment Analysis'!$T$17</f>
        <v>0.27925533407016345</v>
      </c>
      <c r="F117" s="757">
        <f>'Segment Analysis'!$T$20</f>
        <v>0</v>
      </c>
      <c r="G117" s="757">
        <f>'Segment Analysis'!$T$18</f>
        <v>0</v>
      </c>
      <c r="H117" s="757">
        <f>'Segment Analysis'!$T$19</f>
        <v>0</v>
      </c>
      <c r="I117" s="757">
        <f>'Segment Analysis'!$T$21</f>
        <v>0</v>
      </c>
      <c r="J117" s="758" t="s">
        <v>807</v>
      </c>
      <c r="K117" s="759">
        <f>SUM(D117:I117)</f>
        <v>1</v>
      </c>
      <c r="L117" s="760" t="s">
        <v>808</v>
      </c>
      <c r="M117" s="9"/>
      <c r="N117" s="9"/>
      <c r="O117" s="9"/>
      <c r="P117" s="9"/>
      <c r="Q117" s="9"/>
      <c r="R117" s="9"/>
      <c r="S117" s="9"/>
      <c r="T117" s="9"/>
      <c r="U117" s="9"/>
      <c r="V117" s="9"/>
      <c r="W117" s="9"/>
      <c r="X117" s="9"/>
      <c r="Y117" s="9"/>
      <c r="Z117" s="9"/>
      <c r="AA117" s="9"/>
      <c r="AB117" s="9"/>
      <c r="AC117" s="9"/>
      <c r="AD117" s="970"/>
    </row>
    <row r="118" spans="1:30" ht="13.5" customHeight="1">
      <c r="A118" s="10"/>
      <c r="B118" s="9"/>
      <c r="C118" s="9"/>
      <c r="D118" s="9"/>
      <c r="E118" s="9"/>
      <c r="F118" s="148"/>
      <c r="G118" s="9"/>
      <c r="H118" s="9"/>
      <c r="I118" s="9"/>
      <c r="J118" s="9"/>
      <c r="K118" s="9"/>
      <c r="L118" s="9"/>
      <c r="M118" s="9"/>
      <c r="N118" s="9"/>
      <c r="O118" s="9"/>
      <c r="P118" s="9"/>
      <c r="Q118" s="9"/>
      <c r="R118" s="9"/>
      <c r="S118" s="9"/>
      <c r="T118" s="9"/>
      <c r="U118" s="9"/>
      <c r="V118" s="9"/>
      <c r="W118" s="9"/>
      <c r="X118" s="9"/>
      <c r="Y118" s="9"/>
      <c r="Z118" s="9"/>
      <c r="AA118" s="9"/>
      <c r="AB118" s="9"/>
      <c r="AC118" s="9"/>
      <c r="AD118" s="970"/>
    </row>
    <row r="119" spans="1:30" ht="13.5" customHeight="1">
      <c r="A119" s="10"/>
      <c r="B119" s="9"/>
      <c r="C119" s="9"/>
      <c r="D119" s="9"/>
      <c r="E119" s="9"/>
      <c r="F119" s="9"/>
      <c r="G119" s="9"/>
      <c r="H119" s="9"/>
      <c r="I119" s="9"/>
      <c r="J119" s="9"/>
      <c r="K119" s="9"/>
      <c r="L119" s="9"/>
      <c r="M119" s="9"/>
      <c r="N119" s="9"/>
      <c r="O119" s="9"/>
      <c r="P119" s="9"/>
      <c r="Q119" s="9"/>
      <c r="R119" s="761"/>
      <c r="S119" s="761"/>
      <c r="T119" s="761"/>
      <c r="U119" s="761"/>
      <c r="V119" s="761"/>
      <c r="W119" s="761"/>
      <c r="X119" s="9"/>
      <c r="Y119" s="9"/>
      <c r="Z119" s="9"/>
      <c r="AA119" s="9"/>
      <c r="AB119" s="9"/>
      <c r="AC119" s="9"/>
      <c r="AD119" s="970"/>
    </row>
    <row r="120" spans="1:30" ht="13.5" customHeight="1">
      <c r="A120" s="10"/>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70"/>
    </row>
    <row r="121" spans="1:30" ht="13.5" customHeight="1">
      <c r="A121" s="10"/>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70"/>
    </row>
    <row r="122" spans="1:30" ht="13.5" customHeight="1">
      <c r="A122" s="10"/>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70"/>
    </row>
    <row r="123" spans="1:30" ht="13.5" customHeight="1">
      <c r="A123" s="10"/>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70"/>
    </row>
    <row r="124" spans="1:30" ht="13.5" customHeight="1">
      <c r="A124" s="10"/>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70"/>
    </row>
    <row r="125" spans="1:30" ht="13.5" customHeight="1">
      <c r="A125" s="10"/>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70"/>
    </row>
    <row r="126" spans="1:30" ht="13.5" customHeight="1">
      <c r="A126" s="10"/>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70"/>
    </row>
    <row r="127" spans="1:30" ht="13.5" customHeight="1">
      <c r="A127" s="10"/>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70"/>
    </row>
    <row r="128" spans="1:30" ht="13.5" customHeight="1">
      <c r="A128" s="10"/>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70"/>
    </row>
    <row r="129" spans="1:30" ht="13.5" customHeight="1">
      <c r="A129" s="10"/>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70"/>
    </row>
    <row r="130" spans="1:30" ht="13.5" customHeight="1">
      <c r="A130" s="10"/>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70"/>
    </row>
    <row r="131" spans="1:30" ht="13.5" customHeight="1">
      <c r="A131" s="10"/>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70"/>
    </row>
    <row r="132" spans="1:30" ht="13.5" customHeight="1">
      <c r="A132" s="10"/>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70"/>
    </row>
    <row r="133" spans="1:30" ht="13.5" customHeight="1">
      <c r="A133" s="10" t="s">
        <v>0</v>
      </c>
      <c r="B133" s="9"/>
      <c r="C133" s="76" t="str">
        <f>Ticker&amp;" - Debt Distribution"</f>
        <v>HLNE - Debt Distribution</v>
      </c>
      <c r="D133" s="78"/>
      <c r="E133" s="78"/>
      <c r="F133" s="78"/>
      <c r="G133" s="78"/>
      <c r="H133" s="78"/>
      <c r="I133" s="78"/>
      <c r="J133" s="78"/>
      <c r="K133" s="78"/>
      <c r="L133" s="78"/>
      <c r="M133" s="78"/>
      <c r="N133" s="78"/>
      <c r="O133" s="78"/>
      <c r="P133" s="78"/>
      <c r="Q133" s="78"/>
      <c r="R133" s="9"/>
      <c r="S133" s="9"/>
      <c r="T133" s="9"/>
      <c r="U133" s="9"/>
      <c r="V133" s="9"/>
      <c r="W133" s="9"/>
      <c r="X133" s="9"/>
      <c r="Y133" s="9"/>
      <c r="Z133" s="9"/>
      <c r="AA133" s="9"/>
      <c r="AB133" s="9"/>
      <c r="AC133" s="9"/>
      <c r="AD133" s="970"/>
    </row>
    <row r="134" spans="1:30" ht="13.5" customHeight="1">
      <c r="A134" s="10"/>
      <c r="B134" s="9"/>
      <c r="C134" s="37"/>
      <c r="D134" s="139"/>
      <c r="E134" s="139"/>
      <c r="F134" s="139"/>
      <c r="G134" s="139"/>
      <c r="H134" s="139"/>
      <c r="I134" s="139"/>
      <c r="J134" s="139"/>
      <c r="K134" s="139"/>
      <c r="L134" s="139"/>
      <c r="M134" s="139"/>
      <c r="N134" s="139"/>
      <c r="O134" s="139"/>
      <c r="P134" s="139"/>
      <c r="Q134" s="139"/>
      <c r="R134" s="9"/>
      <c r="S134" s="9"/>
      <c r="T134" s="9"/>
      <c r="U134" s="9"/>
      <c r="V134" s="9"/>
      <c r="W134" s="9"/>
      <c r="X134" s="9"/>
      <c r="Y134" s="9"/>
      <c r="Z134" s="9"/>
      <c r="AA134" s="9"/>
      <c r="AB134" s="9"/>
      <c r="AC134" s="9"/>
      <c r="AD134" s="970"/>
    </row>
    <row r="135" spans="1:30" ht="13.5" customHeight="1">
      <c r="A135" s="10"/>
      <c r="B135" s="9"/>
      <c r="C135" s="136"/>
      <c r="D135" s="762">
        <v>2021</v>
      </c>
      <c r="E135" s="763">
        <f t="shared" ref="E135:M135" si="8">D135+1</f>
        <v>2022</v>
      </c>
      <c r="F135" s="763">
        <f t="shared" si="8"/>
        <v>2023</v>
      </c>
      <c r="G135" s="763">
        <f t="shared" si="8"/>
        <v>2024</v>
      </c>
      <c r="H135" s="763">
        <f t="shared" si="8"/>
        <v>2025</v>
      </c>
      <c r="I135" s="763">
        <f t="shared" si="8"/>
        <v>2026</v>
      </c>
      <c r="J135" s="763">
        <f t="shared" si="8"/>
        <v>2027</v>
      </c>
      <c r="K135" s="763">
        <f t="shared" si="8"/>
        <v>2028</v>
      </c>
      <c r="L135" s="763">
        <f t="shared" si="8"/>
        <v>2029</v>
      </c>
      <c r="M135" s="967">
        <f t="shared" si="8"/>
        <v>2030</v>
      </c>
      <c r="N135" s="966"/>
      <c r="O135" s="966"/>
      <c r="P135" s="966"/>
      <c r="Q135" s="966"/>
      <c r="R135" s="764"/>
      <c r="S135" s="764"/>
      <c r="T135" s="764"/>
      <c r="U135" s="764"/>
      <c r="V135" s="764"/>
      <c r="W135" s="764"/>
      <c r="X135" s="9"/>
      <c r="Y135" s="9"/>
      <c r="Z135" s="9"/>
      <c r="AA135" s="9"/>
      <c r="AB135" s="9"/>
      <c r="AC135" s="9"/>
      <c r="AD135" s="970"/>
    </row>
    <row r="136" spans="1:30" ht="13.5" customHeight="1">
      <c r="A136" s="10"/>
      <c r="B136" s="9"/>
      <c r="C136" s="744" t="s">
        <v>809</v>
      </c>
      <c r="D136" s="753">
        <v>0</v>
      </c>
      <c r="E136" s="753">
        <v>0</v>
      </c>
      <c r="F136" s="753">
        <v>0</v>
      </c>
      <c r="G136" s="753">
        <v>0</v>
      </c>
      <c r="H136" s="753">
        <v>0</v>
      </c>
      <c r="I136" s="753">
        <v>0</v>
      </c>
      <c r="J136" s="753">
        <v>0</v>
      </c>
      <c r="K136" s="753">
        <v>0</v>
      </c>
      <c r="L136" s="753">
        <v>0</v>
      </c>
      <c r="M136" s="753">
        <v>0</v>
      </c>
      <c r="N136" s="753"/>
      <c r="O136" s="753"/>
      <c r="P136" s="753"/>
      <c r="Q136" s="753"/>
      <c r="R136" s="761"/>
      <c r="S136" s="761"/>
      <c r="T136" s="761"/>
      <c r="U136" s="761"/>
      <c r="V136" s="761"/>
      <c r="W136" s="761"/>
      <c r="X136" s="9"/>
      <c r="Y136" s="9"/>
      <c r="Z136" s="9"/>
      <c r="AA136" s="9"/>
      <c r="AB136" s="9"/>
      <c r="AC136" s="9"/>
      <c r="AD136" s="970"/>
    </row>
    <row r="137" spans="1:30" ht="13.5" customHeight="1">
      <c r="A137" s="10"/>
      <c r="B137" s="9"/>
      <c r="C137" s="744" t="s">
        <v>810</v>
      </c>
      <c r="D137" s="765">
        <v>163.30000000000001</v>
      </c>
      <c r="E137" s="765">
        <v>171.8</v>
      </c>
      <c r="F137" s="765">
        <v>214</v>
      </c>
      <c r="G137" s="765">
        <v>196.9</v>
      </c>
      <c r="H137" s="965">
        <f>Model!T142</f>
        <v>290.303</v>
      </c>
      <c r="I137" s="965">
        <f>Model!U142</f>
        <v>288.58199999999999</v>
      </c>
      <c r="J137" s="965">
        <f>Model!V142</f>
        <v>287.08199999999999</v>
      </c>
      <c r="K137" s="965">
        <f>Model!W142</f>
        <v>285.58199999999999</v>
      </c>
      <c r="L137" s="965">
        <f>Model!X142</f>
        <v>284.08199999999999</v>
      </c>
      <c r="M137" s="965">
        <f>Model!Y142</f>
        <v>284.08199999999999</v>
      </c>
      <c r="N137" s="765"/>
      <c r="O137" s="765"/>
      <c r="P137" s="765"/>
      <c r="Q137" s="765"/>
      <c r="R137" s="761"/>
      <c r="S137" s="761"/>
      <c r="T137" s="761"/>
      <c r="U137" s="761"/>
      <c r="V137" s="761"/>
      <c r="W137" s="761"/>
      <c r="X137" s="9"/>
      <c r="Y137" s="9"/>
      <c r="Z137" s="9"/>
      <c r="AA137" s="9"/>
      <c r="AB137" s="9"/>
      <c r="AC137" s="9"/>
      <c r="AD137" s="970"/>
    </row>
    <row r="138" spans="1:30" ht="13.5" customHeight="1">
      <c r="A138" s="10"/>
      <c r="B138" s="9"/>
      <c r="C138" s="747" t="s">
        <v>811</v>
      </c>
      <c r="D138" s="765">
        <v>0</v>
      </c>
      <c r="E138" s="765">
        <v>0</v>
      </c>
      <c r="F138" s="765">
        <v>0</v>
      </c>
      <c r="G138" s="765">
        <v>0</v>
      </c>
      <c r="H138" s="765">
        <v>0</v>
      </c>
      <c r="I138" s="765">
        <v>0</v>
      </c>
      <c r="J138" s="765">
        <v>0</v>
      </c>
      <c r="K138" s="765">
        <v>0</v>
      </c>
      <c r="L138" s="765">
        <v>0</v>
      </c>
      <c r="M138" s="765">
        <v>0</v>
      </c>
      <c r="N138" s="765"/>
      <c r="O138" s="765"/>
      <c r="P138" s="765"/>
      <c r="Q138" s="765"/>
      <c r="R138" s="9"/>
      <c r="S138" s="9"/>
      <c r="T138" s="9"/>
      <c r="U138" s="9"/>
      <c r="V138" s="9"/>
      <c r="W138" s="9"/>
      <c r="X138" s="9"/>
      <c r="Y138" s="9"/>
      <c r="Z138" s="9"/>
      <c r="AA138" s="9"/>
      <c r="AB138" s="9"/>
      <c r="AC138" s="9"/>
      <c r="AD138" s="970"/>
    </row>
    <row r="139" spans="1:30" ht="13.5" customHeight="1">
      <c r="A139" s="10"/>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70"/>
    </row>
    <row r="140" spans="1:30" ht="13.5" customHeight="1">
      <c r="A140" s="10"/>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70"/>
    </row>
    <row r="141" spans="1:30" ht="13.5" customHeight="1">
      <c r="A141" s="10"/>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70"/>
    </row>
    <row r="142" spans="1:30" ht="13.5" customHeight="1">
      <c r="A142" s="10"/>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70"/>
    </row>
    <row r="143" spans="1:30" ht="13.5" customHeight="1">
      <c r="A143" s="10"/>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70"/>
    </row>
    <row r="144" spans="1:30" ht="13.5" customHeight="1">
      <c r="A144" s="10"/>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70"/>
    </row>
    <row r="145" spans="1:30" ht="13.5" customHeight="1">
      <c r="A145" s="10"/>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70"/>
    </row>
    <row r="146" spans="1:30" ht="13.5" customHeight="1">
      <c r="A146" s="10"/>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70"/>
    </row>
    <row r="147" spans="1:30" ht="13.5" customHeight="1">
      <c r="A147" s="10"/>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70"/>
    </row>
    <row r="148" spans="1:30" ht="13.5" customHeight="1">
      <c r="A148" s="10"/>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70"/>
    </row>
    <row r="149" spans="1:30" ht="13.5" customHeight="1">
      <c r="A149" s="10"/>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70"/>
    </row>
    <row r="150" spans="1:30" ht="13.5" customHeight="1">
      <c r="A150" s="10"/>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70"/>
    </row>
    <row r="151" spans="1:30" ht="13.5" customHeight="1">
      <c r="A151" s="10"/>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70"/>
    </row>
    <row r="152" spans="1:30" ht="13.5" customHeight="1">
      <c r="A152" s="10"/>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70"/>
    </row>
    <row r="153" spans="1:30" ht="13.5" customHeight="1">
      <c r="A153" s="10"/>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70"/>
    </row>
    <row r="154" spans="1:30" ht="13.5" hidden="1" customHeight="1" outlineLevel="1">
      <c r="A154" s="10" t="s">
        <v>0</v>
      </c>
      <c r="B154" s="9"/>
      <c r="C154" s="76" t="s">
        <v>812</v>
      </c>
      <c r="D154" s="78"/>
      <c r="E154" s="78"/>
      <c r="F154" s="78"/>
      <c r="G154" s="78"/>
      <c r="H154" s="78"/>
      <c r="I154" s="78"/>
      <c r="J154" s="78"/>
      <c r="K154" s="78"/>
      <c r="L154" s="78"/>
      <c r="M154" s="78"/>
      <c r="N154" s="78"/>
      <c r="O154" s="78"/>
      <c r="P154" s="78"/>
      <c r="Q154" s="78"/>
      <c r="R154" s="9"/>
      <c r="S154" s="9"/>
      <c r="T154" s="9"/>
      <c r="U154" s="9"/>
      <c r="V154" s="9"/>
      <c r="W154" s="9"/>
      <c r="X154" s="9"/>
      <c r="Y154" s="9"/>
      <c r="Z154" s="9"/>
      <c r="AA154" s="9"/>
      <c r="AB154" s="9"/>
      <c r="AC154" s="9"/>
      <c r="AD154" s="970"/>
    </row>
    <row r="155" spans="1:30" ht="13.5" hidden="1" customHeight="1" outlineLevel="1">
      <c r="A155" s="10"/>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70"/>
    </row>
    <row r="156" spans="1:30" ht="13.5" hidden="1" customHeight="1" outlineLevel="1">
      <c r="A156" s="10"/>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70"/>
    </row>
    <row r="157" spans="1:30" ht="13.5" hidden="1" customHeight="1" outlineLevel="1">
      <c r="A157" s="10"/>
      <c r="B157" s="9"/>
      <c r="C157" s="76" t="s">
        <v>813</v>
      </c>
      <c r="D157" s="76"/>
      <c r="E157" s="76"/>
      <c r="F157" s="76"/>
      <c r="G157" s="76"/>
      <c r="H157" s="76"/>
      <c r="I157" s="76"/>
      <c r="J157" s="9"/>
      <c r="K157" s="766" t="s">
        <v>814</v>
      </c>
      <c r="L157" s="76"/>
      <c r="M157" s="76"/>
      <c r="N157" s="76"/>
      <c r="O157" s="76"/>
      <c r="P157" s="76"/>
      <c r="Q157" s="76"/>
      <c r="R157" s="9"/>
      <c r="S157" s="9"/>
      <c r="T157" s="9"/>
      <c r="U157" s="9"/>
      <c r="V157" s="9"/>
      <c r="W157" s="9"/>
      <c r="X157" s="9"/>
      <c r="Y157" s="9"/>
      <c r="Z157" s="9"/>
      <c r="AA157" s="9"/>
      <c r="AB157" s="9"/>
      <c r="AC157" s="9"/>
      <c r="AD157" s="970"/>
    </row>
    <row r="158" spans="1:30" ht="13.5" hidden="1" customHeight="1" outlineLevel="1">
      <c r="A158" s="10"/>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70"/>
    </row>
    <row r="159" spans="1:30" ht="13.5" hidden="1" customHeight="1" outlineLevel="1">
      <c r="A159" s="10"/>
      <c r="B159" s="9"/>
      <c r="C159" s="136"/>
      <c r="D159" s="767">
        <v>42735</v>
      </c>
      <c r="E159" s="768">
        <f>EDATE(D159,12)</f>
        <v>43100</v>
      </c>
      <c r="F159" s="768">
        <f>EDATE(E159,12)</f>
        <v>43465</v>
      </c>
      <c r="G159" s="768">
        <f>EDATE(F159,12)</f>
        <v>43830</v>
      </c>
      <c r="H159" s="768">
        <f>EDATE(G159,12)</f>
        <v>44196</v>
      </c>
      <c r="I159" s="769">
        <f>EDATE(H159,12)</f>
        <v>44561</v>
      </c>
      <c r="J159" s="9"/>
      <c r="K159" s="136" t="s">
        <v>815</v>
      </c>
      <c r="L159" s="767">
        <v>41639</v>
      </c>
      <c r="M159" s="768">
        <f>EDATE(L159,12)</f>
        <v>42004</v>
      </c>
      <c r="N159" s="768">
        <f>EDATE(M159,12)</f>
        <v>42369</v>
      </c>
      <c r="O159" s="768">
        <f>EDATE(N159,12)</f>
        <v>42735</v>
      </c>
      <c r="P159" s="768">
        <f>EDATE(O159,12)</f>
        <v>43100</v>
      </c>
      <c r="Q159" s="769">
        <f>EDATE(P159,12)</f>
        <v>43465</v>
      </c>
      <c r="R159" s="9"/>
      <c r="S159" s="9"/>
      <c r="T159" s="9"/>
      <c r="U159" s="9"/>
      <c r="V159" s="9"/>
      <c r="W159" s="9"/>
      <c r="X159" s="9"/>
      <c r="Y159" s="9"/>
      <c r="Z159" s="9"/>
      <c r="AA159" s="9"/>
      <c r="AB159" s="9"/>
      <c r="AC159" s="9"/>
      <c r="AD159" s="970"/>
    </row>
    <row r="160" spans="1:30" ht="13.5" hidden="1" customHeight="1" outlineLevel="1">
      <c r="A160" s="10"/>
      <c r="B160" s="9"/>
      <c r="C160" s="747" t="s">
        <v>816</v>
      </c>
      <c r="D160" s="753">
        <v>380</v>
      </c>
      <c r="E160" s="753">
        <v>400</v>
      </c>
      <c r="F160" s="753">
        <v>420</v>
      </c>
      <c r="G160" s="753">
        <v>460</v>
      </c>
      <c r="H160" s="753">
        <v>480</v>
      </c>
      <c r="I160" s="753">
        <v>490</v>
      </c>
      <c r="J160" s="9"/>
      <c r="K160" s="747" t="s">
        <v>817</v>
      </c>
      <c r="L160" s="750">
        <v>0.1</v>
      </c>
      <c r="M160" s="750">
        <v>0.11</v>
      </c>
      <c r="N160" s="750">
        <v>0.12</v>
      </c>
      <c r="O160" s="750">
        <v>0.13</v>
      </c>
      <c r="P160" s="750">
        <v>0.14000000000000001</v>
      </c>
      <c r="Q160" s="750">
        <v>0.15</v>
      </c>
      <c r="R160" s="9"/>
      <c r="S160" s="9"/>
      <c r="T160" s="9"/>
      <c r="U160" s="9"/>
      <c r="V160" s="9"/>
      <c r="W160" s="9"/>
      <c r="X160" s="9"/>
      <c r="Y160" s="9"/>
      <c r="Z160" s="9"/>
      <c r="AA160" s="9"/>
      <c r="AB160" s="9"/>
      <c r="AC160" s="9"/>
      <c r="AD160" s="970"/>
    </row>
    <row r="161" spans="1:30" ht="13.5" hidden="1" customHeight="1" outlineLevel="1">
      <c r="A161" s="10"/>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70"/>
    </row>
    <row r="162" spans="1:30" ht="13.5" hidden="1" customHeight="1" outlineLevel="1">
      <c r="A162" s="10"/>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70"/>
    </row>
    <row r="163" spans="1:30" ht="13.5" hidden="1" customHeight="1" outlineLevel="1">
      <c r="A163" s="10"/>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70"/>
    </row>
    <row r="164" spans="1:30" ht="13.5" hidden="1" customHeight="1" outlineLevel="1">
      <c r="A164" s="10"/>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70"/>
    </row>
    <row r="165" spans="1:30" ht="13.5" hidden="1" customHeight="1" outlineLevel="1">
      <c r="A165" s="10"/>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70"/>
    </row>
    <row r="166" spans="1:30" ht="13.5" hidden="1" customHeight="1" outlineLevel="1">
      <c r="A166" s="10"/>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70"/>
    </row>
    <row r="167" spans="1:30" ht="13.5" hidden="1" customHeight="1" outlineLevel="1">
      <c r="A167" s="10"/>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70"/>
    </row>
    <row r="168" spans="1:30" ht="13.5" hidden="1" customHeight="1" outlineLevel="1">
      <c r="A168" s="10"/>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70"/>
    </row>
    <row r="169" spans="1:30" ht="13.5" hidden="1" customHeight="1" outlineLevel="1">
      <c r="A169" s="10"/>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70"/>
    </row>
    <row r="170" spans="1:30" ht="13.5" hidden="1" customHeight="1" outlineLevel="1">
      <c r="A170" s="10"/>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70"/>
    </row>
    <row r="171" spans="1:30" ht="13.5" hidden="1" customHeight="1" outlineLevel="1">
      <c r="A171" s="10"/>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70"/>
    </row>
    <row r="172" spans="1:30" ht="13.5" hidden="1" customHeight="1" outlineLevel="1">
      <c r="A172" s="10"/>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70"/>
    </row>
    <row r="173" spans="1:30" ht="13.5" hidden="1" customHeight="1" outlineLevel="1">
      <c r="A173" s="10"/>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70"/>
    </row>
    <row r="174" spans="1:30" ht="13.5" hidden="1" customHeight="1" outlineLevel="1">
      <c r="A174" s="10"/>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70"/>
    </row>
    <row r="175" spans="1:30" ht="13.5" hidden="1" customHeight="1" outlineLevel="1">
      <c r="A175" s="10"/>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70"/>
    </row>
    <row r="176" spans="1:30" ht="13.5" customHeight="1" collapsed="1">
      <c r="A176" s="10"/>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70"/>
    </row>
    <row r="177" spans="1:30" ht="13.5" customHeight="1">
      <c r="A177" s="10" t="s">
        <v>0</v>
      </c>
      <c r="B177" s="9"/>
      <c r="C177" s="76" t="str">
        <f>Ticker&amp;" - One Year Stock Price Performance"</f>
        <v>HLNE - One Year Stock Price Performance</v>
      </c>
      <c r="D177" s="78"/>
      <c r="E177" s="78"/>
      <c r="F177" s="78"/>
      <c r="G177" s="78"/>
      <c r="H177" s="78"/>
      <c r="I177" s="78"/>
      <c r="J177" s="78"/>
      <c r="K177" s="78"/>
      <c r="L177" s="78"/>
      <c r="M177" s="78"/>
      <c r="N177" s="78"/>
      <c r="O177" s="78"/>
      <c r="P177" s="78"/>
      <c r="Q177" s="78"/>
      <c r="R177" s="9"/>
      <c r="S177" s="9"/>
      <c r="T177" s="9"/>
      <c r="U177" s="9"/>
      <c r="V177" s="9"/>
      <c r="W177" s="9"/>
      <c r="X177" s="9"/>
      <c r="Y177" s="9"/>
      <c r="Z177" s="9"/>
      <c r="AA177" s="9"/>
      <c r="AB177" s="9"/>
      <c r="AC177" s="9"/>
      <c r="AD177" s="970"/>
    </row>
    <row r="178" spans="1:30" ht="13.5" customHeight="1">
      <c r="A178" s="10"/>
      <c r="B178" s="9"/>
      <c r="C178" s="9"/>
      <c r="D178" s="9"/>
      <c r="E178" s="9"/>
      <c r="F178" s="1045" t="s">
        <v>818</v>
      </c>
      <c r="G178" s="1046"/>
      <c r="H178" s="1046"/>
      <c r="I178" s="9"/>
      <c r="J178" s="9"/>
      <c r="K178" s="9"/>
      <c r="L178" s="9"/>
      <c r="M178" s="9"/>
      <c r="N178" s="9"/>
      <c r="O178" s="9"/>
      <c r="P178" s="9"/>
      <c r="Q178" s="9"/>
      <c r="R178" s="9"/>
      <c r="S178" s="9"/>
      <c r="T178" s="9"/>
      <c r="U178" s="9"/>
      <c r="V178" s="9"/>
      <c r="W178" s="9"/>
      <c r="X178" s="9"/>
      <c r="Y178" s="9"/>
      <c r="Z178" s="9"/>
      <c r="AA178" s="9"/>
      <c r="AB178" s="9"/>
      <c r="AC178" s="9"/>
      <c r="AD178" s="970"/>
    </row>
    <row r="179" spans="1:30" ht="13.5" customHeight="1">
      <c r="A179" s="10"/>
      <c r="B179" s="9"/>
      <c r="C179" s="145" t="s">
        <v>176</v>
      </c>
      <c r="D179" s="145" t="s">
        <v>819</v>
      </c>
      <c r="E179" s="145" t="s">
        <v>249</v>
      </c>
      <c r="F179" s="145" t="s">
        <v>247</v>
      </c>
      <c r="G179" s="145" t="s">
        <v>246</v>
      </c>
      <c r="H179" s="145" t="s">
        <v>245</v>
      </c>
      <c r="I179" s="9"/>
      <c r="J179" s="9"/>
      <c r="K179" s="9"/>
      <c r="L179" s="9"/>
      <c r="M179" s="9"/>
      <c r="N179" s="1047" t="s">
        <v>820</v>
      </c>
      <c r="O179" s="1048"/>
      <c r="P179" s="1049"/>
      <c r="Q179" s="9"/>
      <c r="R179" s="9"/>
      <c r="S179" s="9"/>
      <c r="T179" s="9"/>
      <c r="U179" s="9"/>
      <c r="V179" s="9"/>
      <c r="W179" s="9"/>
      <c r="X179" s="9"/>
      <c r="Y179" s="9"/>
      <c r="Z179" s="9"/>
      <c r="AA179" s="9"/>
      <c r="AB179" s="9"/>
      <c r="AC179" s="9"/>
      <c r="AD179" s="970"/>
    </row>
    <row r="180" spans="1:30" ht="13.5" customHeight="1">
      <c r="A180" s="10"/>
      <c r="B180" s="9"/>
      <c r="C180" s="740">
        <v>46255</v>
      </c>
      <c r="D180" s="64"/>
      <c r="E180" s="64"/>
      <c r="F180" s="342">
        <v>167</v>
      </c>
      <c r="G180" s="342">
        <v>236</v>
      </c>
      <c r="H180" s="342">
        <v>295</v>
      </c>
      <c r="I180" s="9"/>
      <c r="J180" s="9"/>
      <c r="K180" s="9"/>
      <c r="L180" s="9"/>
      <c r="M180" s="9"/>
      <c r="N180" s="64"/>
      <c r="O180" s="64"/>
      <c r="P180" s="64"/>
      <c r="Q180" s="9"/>
      <c r="R180" s="9"/>
      <c r="S180" s="9"/>
      <c r="T180" s="9"/>
      <c r="U180" s="9"/>
      <c r="V180" s="9"/>
      <c r="W180" s="9"/>
      <c r="X180" s="9"/>
      <c r="Y180" s="9"/>
      <c r="Z180" s="9"/>
      <c r="AA180" s="9"/>
      <c r="AB180" s="9"/>
      <c r="AC180" s="9"/>
      <c r="AD180" s="970"/>
    </row>
    <row r="181" spans="1:30" ht="13.5" customHeight="1">
      <c r="A181" s="10"/>
      <c r="B181" s="9"/>
      <c r="C181" s="770">
        <v>45938</v>
      </c>
      <c r="D181" s="342">
        <v>121.709999084473</v>
      </c>
      <c r="E181" s="765">
        <v>135257</v>
      </c>
      <c r="F181" s="91">
        <f>$D$181</f>
        <v>121.709999084473</v>
      </c>
      <c r="G181" s="91">
        <f>$D$181</f>
        <v>121.709999084473</v>
      </c>
      <c r="H181" s="91">
        <f>$D$181</f>
        <v>121.709999084473</v>
      </c>
      <c r="I181" s="9"/>
      <c r="J181" s="9"/>
      <c r="K181" s="9"/>
      <c r="L181" s="9"/>
      <c r="M181" s="9"/>
      <c r="N181" s="9"/>
      <c r="O181" s="9"/>
      <c r="P181" s="9"/>
      <c r="Q181" s="9"/>
      <c r="R181" s="9"/>
      <c r="S181" s="9"/>
      <c r="T181" s="9"/>
      <c r="U181" s="9"/>
      <c r="V181" s="9"/>
      <c r="W181" s="9"/>
      <c r="X181" s="9"/>
      <c r="Y181" s="9"/>
      <c r="Z181" s="9"/>
      <c r="AA181" s="9"/>
      <c r="AB181" s="9"/>
      <c r="AC181" s="9"/>
      <c r="AD181" s="970"/>
    </row>
    <row r="182" spans="1:30" ht="13.5" customHeight="1">
      <c r="A182" s="10"/>
      <c r="B182" s="9"/>
      <c r="C182" s="770">
        <v>45937</v>
      </c>
      <c r="D182" s="771">
        <v>122.6</v>
      </c>
      <c r="E182" s="765">
        <v>386481</v>
      </c>
      <c r="F182" s="9"/>
      <c r="G182" s="9"/>
      <c r="H182" s="9"/>
      <c r="I182" s="9"/>
      <c r="J182" s="9"/>
      <c r="K182" s="9"/>
      <c r="L182" s="9"/>
      <c r="M182" s="9"/>
      <c r="N182" s="64"/>
      <c r="O182" s="145" t="s">
        <v>160</v>
      </c>
      <c r="P182" s="145" t="s">
        <v>249</v>
      </c>
      <c r="Q182" s="9"/>
      <c r="R182" s="9"/>
      <c r="S182" s="9"/>
      <c r="T182" s="9"/>
      <c r="U182" s="9"/>
      <c r="V182" s="9"/>
      <c r="W182" s="9"/>
      <c r="X182" s="9"/>
      <c r="Y182" s="9"/>
      <c r="Z182" s="9"/>
      <c r="AA182" s="9"/>
      <c r="AB182" s="9"/>
      <c r="AC182" s="9"/>
      <c r="AD182" s="970"/>
    </row>
    <row r="183" spans="1:30" ht="13.5" customHeight="1">
      <c r="A183" s="10"/>
      <c r="B183" s="9"/>
      <c r="C183" s="770">
        <v>45936</v>
      </c>
      <c r="D183" s="771">
        <v>125.09</v>
      </c>
      <c r="E183" s="765">
        <v>679554</v>
      </c>
      <c r="F183" s="9"/>
      <c r="G183" s="9"/>
      <c r="H183" s="9"/>
      <c r="I183" s="9"/>
      <c r="J183" s="9"/>
      <c r="K183" s="9"/>
      <c r="L183" s="9"/>
      <c r="M183" s="9"/>
      <c r="N183" s="135" t="s">
        <v>161</v>
      </c>
      <c r="O183" s="152">
        <f>MAX(D181:D447)*1.1</f>
        <v>221.78200000000001</v>
      </c>
      <c r="P183" s="100">
        <f>MAX(E181:E447)</f>
        <v>6424265</v>
      </c>
      <c r="Q183" s="9"/>
      <c r="R183" s="9"/>
      <c r="S183" s="9"/>
      <c r="T183" s="9"/>
      <c r="U183" s="9"/>
      <c r="V183" s="9"/>
      <c r="W183" s="9"/>
      <c r="X183" s="9"/>
      <c r="Y183" s="9"/>
      <c r="Z183" s="9"/>
      <c r="AA183" s="9"/>
      <c r="AB183" s="9"/>
      <c r="AC183" s="9"/>
      <c r="AD183" s="970"/>
    </row>
    <row r="184" spans="1:30" ht="13.5" customHeight="1">
      <c r="A184" s="10"/>
      <c r="B184" s="9"/>
      <c r="C184" s="770">
        <v>45933</v>
      </c>
      <c r="D184" s="771">
        <v>127.6</v>
      </c>
      <c r="E184" s="765">
        <v>866740</v>
      </c>
      <c r="F184" s="9"/>
      <c r="G184" s="9"/>
      <c r="H184" s="9"/>
      <c r="I184" s="9"/>
      <c r="J184" s="9"/>
      <c r="K184" s="9"/>
      <c r="L184" s="9"/>
      <c r="M184" s="9"/>
      <c r="N184" s="135" t="s">
        <v>162</v>
      </c>
      <c r="O184" s="152">
        <f>MIN(D181:D447)*0.9</f>
        <v>109.5389991760257</v>
      </c>
      <c r="P184" s="100">
        <f>MIN(E181:E447)*0.9</f>
        <v>121731.3</v>
      </c>
      <c r="Q184" s="9"/>
      <c r="R184" s="9"/>
      <c r="S184" s="9"/>
      <c r="T184" s="9"/>
      <c r="U184" s="9"/>
      <c r="V184" s="9"/>
      <c r="W184" s="9"/>
      <c r="X184" s="9"/>
      <c r="Y184" s="9"/>
      <c r="Z184" s="9"/>
      <c r="AA184" s="9"/>
      <c r="AB184" s="9"/>
      <c r="AC184" s="9"/>
      <c r="AD184" s="970"/>
    </row>
    <row r="185" spans="1:30" ht="13.5" customHeight="1">
      <c r="A185" s="10"/>
      <c r="B185" s="9"/>
      <c r="C185" s="770">
        <v>45932</v>
      </c>
      <c r="D185" s="771">
        <v>126.55</v>
      </c>
      <c r="E185" s="765">
        <v>593316</v>
      </c>
      <c r="F185" s="9"/>
      <c r="G185" s="9"/>
      <c r="H185" s="9"/>
      <c r="I185" s="9"/>
      <c r="J185" s="9"/>
      <c r="K185" s="9"/>
      <c r="L185" s="9"/>
      <c r="M185" s="9"/>
      <c r="N185" s="9"/>
      <c r="O185" s="9"/>
      <c r="P185" s="9"/>
      <c r="Q185" s="9"/>
      <c r="R185" s="9"/>
      <c r="S185" s="9"/>
      <c r="T185" s="9"/>
      <c r="U185" s="9"/>
      <c r="V185" s="9"/>
      <c r="W185" s="9"/>
      <c r="X185" s="9"/>
      <c r="Y185" s="9"/>
      <c r="Z185" s="9"/>
      <c r="AA185" s="9"/>
      <c r="AB185" s="9"/>
      <c r="AC185" s="9"/>
      <c r="AD185" s="970"/>
    </row>
    <row r="186" spans="1:30" ht="13.5" customHeight="1">
      <c r="A186" s="10"/>
      <c r="B186" s="9"/>
      <c r="C186" s="770">
        <v>45931</v>
      </c>
      <c r="D186" s="771">
        <v>128.80000000000001</v>
      </c>
      <c r="E186" s="765">
        <v>554201</v>
      </c>
      <c r="F186" s="9"/>
      <c r="G186" s="9"/>
      <c r="H186" s="9"/>
      <c r="I186" s="9"/>
      <c r="J186" s="9"/>
      <c r="K186" s="9"/>
      <c r="L186" s="9"/>
      <c r="M186" s="9"/>
      <c r="N186" s="9"/>
      <c r="O186" s="9"/>
      <c r="P186" s="9"/>
      <c r="Q186" s="9"/>
      <c r="R186" s="9"/>
      <c r="S186" s="9"/>
      <c r="T186" s="9"/>
      <c r="U186" s="9"/>
      <c r="V186" s="9"/>
      <c r="W186" s="9"/>
      <c r="X186" s="9"/>
      <c r="Y186" s="9"/>
      <c r="Z186" s="9"/>
      <c r="AA186" s="9"/>
      <c r="AB186" s="9"/>
      <c r="AC186" s="9"/>
      <c r="AD186" s="970"/>
    </row>
    <row r="187" spans="1:30" ht="13.5" customHeight="1">
      <c r="A187" s="10"/>
      <c r="B187" s="9"/>
      <c r="C187" s="770">
        <v>45930</v>
      </c>
      <c r="D187" s="771">
        <v>134.79</v>
      </c>
      <c r="E187" s="765">
        <v>320278</v>
      </c>
      <c r="F187" s="9"/>
      <c r="G187" s="9"/>
      <c r="H187" s="9"/>
      <c r="I187" s="9"/>
      <c r="J187" s="9"/>
      <c r="K187" s="9"/>
      <c r="L187" s="9"/>
      <c r="M187" s="9"/>
      <c r="N187" s="9"/>
      <c r="O187" s="9"/>
      <c r="P187" s="9"/>
      <c r="Q187" s="9"/>
      <c r="R187" s="9"/>
      <c r="S187" s="9"/>
      <c r="T187" s="9"/>
      <c r="U187" s="9"/>
      <c r="V187" s="9"/>
      <c r="W187" s="9"/>
      <c r="X187" s="9"/>
      <c r="Y187" s="9"/>
      <c r="Z187" s="9"/>
      <c r="AA187" s="9"/>
      <c r="AB187" s="9"/>
      <c r="AC187" s="9"/>
      <c r="AD187" s="970"/>
    </row>
    <row r="188" spans="1:30" ht="13.5" customHeight="1">
      <c r="A188" s="10"/>
      <c r="B188" s="9"/>
      <c r="C188" s="770">
        <v>45929</v>
      </c>
      <c r="D188" s="771">
        <v>139</v>
      </c>
      <c r="E188" s="765">
        <v>300434</v>
      </c>
      <c r="F188" s="9"/>
      <c r="G188" s="9"/>
      <c r="H188" s="9"/>
      <c r="I188" s="9"/>
      <c r="J188" s="9"/>
      <c r="K188" s="9"/>
      <c r="L188" s="9"/>
      <c r="M188" s="9"/>
      <c r="N188" s="9"/>
      <c r="O188" s="9"/>
      <c r="P188" s="9"/>
      <c r="Q188" s="9"/>
      <c r="R188" s="9"/>
      <c r="S188" s="9"/>
      <c r="T188" s="9"/>
      <c r="U188" s="9"/>
      <c r="V188" s="9"/>
      <c r="W188" s="9"/>
      <c r="X188" s="9"/>
      <c r="Y188" s="9"/>
      <c r="Z188" s="9"/>
      <c r="AA188" s="9"/>
      <c r="AB188" s="9"/>
      <c r="AC188" s="9"/>
      <c r="AD188" s="970"/>
    </row>
    <row r="189" spans="1:30" ht="13.5" customHeight="1">
      <c r="A189" s="10"/>
      <c r="B189" s="9"/>
      <c r="C189" s="770">
        <v>45926</v>
      </c>
      <c r="D189" s="771">
        <v>140.9</v>
      </c>
      <c r="E189" s="765">
        <v>213776</v>
      </c>
      <c r="F189" s="9"/>
      <c r="G189" s="9"/>
      <c r="H189" s="9"/>
      <c r="I189" s="9"/>
      <c r="J189" s="9"/>
      <c r="K189" s="9"/>
      <c r="L189" s="9"/>
      <c r="M189" s="9"/>
      <c r="N189" s="9"/>
      <c r="O189" s="9"/>
      <c r="P189" s="9"/>
      <c r="Q189" s="9"/>
      <c r="R189" s="9"/>
      <c r="S189" s="9"/>
      <c r="T189" s="9"/>
      <c r="U189" s="9"/>
      <c r="V189" s="9"/>
      <c r="W189" s="9"/>
      <c r="X189" s="9"/>
      <c r="Y189" s="9"/>
      <c r="Z189" s="9"/>
      <c r="AA189" s="9"/>
      <c r="AB189" s="9"/>
      <c r="AC189" s="9"/>
      <c r="AD189" s="970"/>
    </row>
    <row r="190" spans="1:30" ht="13.5" customHeight="1">
      <c r="A190" s="10"/>
      <c r="B190" s="9"/>
      <c r="C190" s="770">
        <v>45925</v>
      </c>
      <c r="D190" s="771">
        <v>139.66</v>
      </c>
      <c r="E190" s="765">
        <v>442192</v>
      </c>
      <c r="F190" s="9"/>
      <c r="G190" s="9"/>
      <c r="H190" s="9"/>
      <c r="I190" s="9"/>
      <c r="J190" s="9"/>
      <c r="K190" s="9"/>
      <c r="L190" s="9"/>
      <c r="M190" s="9"/>
      <c r="N190" s="9"/>
      <c r="O190" s="9"/>
      <c r="P190" s="9"/>
      <c r="Q190" s="9"/>
      <c r="R190" s="9"/>
      <c r="S190" s="9"/>
      <c r="T190" s="9"/>
      <c r="U190" s="9"/>
      <c r="V190" s="9"/>
      <c r="W190" s="9"/>
      <c r="X190" s="9"/>
      <c r="Y190" s="9"/>
      <c r="Z190" s="9"/>
      <c r="AA190" s="9"/>
      <c r="AB190" s="9"/>
      <c r="AC190" s="9"/>
      <c r="AD190" s="970"/>
    </row>
    <row r="191" spans="1:30" ht="13.5" customHeight="1">
      <c r="A191" s="10"/>
      <c r="B191" s="9"/>
      <c r="C191" s="770">
        <v>45924</v>
      </c>
      <c r="D191" s="771">
        <v>142.78</v>
      </c>
      <c r="E191" s="765">
        <v>547372</v>
      </c>
      <c r="F191" s="9"/>
      <c r="G191" s="9"/>
      <c r="H191" s="9"/>
      <c r="I191" s="9"/>
      <c r="J191" s="9"/>
      <c r="K191" s="9"/>
      <c r="L191" s="9"/>
      <c r="M191" s="9"/>
      <c r="N191" s="9"/>
      <c r="O191" s="9"/>
      <c r="P191" s="9"/>
      <c r="Q191" s="9"/>
      <c r="R191" s="9"/>
      <c r="S191" s="9"/>
      <c r="T191" s="9"/>
      <c r="U191" s="9"/>
      <c r="V191" s="9"/>
      <c r="W191" s="9"/>
      <c r="X191" s="9"/>
      <c r="Y191" s="9"/>
      <c r="Z191" s="9"/>
      <c r="AA191" s="9"/>
      <c r="AB191" s="9"/>
      <c r="AC191" s="9"/>
      <c r="AD191" s="970"/>
    </row>
    <row r="192" spans="1:30" ht="13.5" customHeight="1">
      <c r="A192" s="10"/>
      <c r="B192" s="9"/>
      <c r="C192" s="770">
        <v>45923</v>
      </c>
      <c r="D192" s="771">
        <v>149.9</v>
      </c>
      <c r="E192" s="765">
        <v>452869</v>
      </c>
      <c r="F192" s="9"/>
      <c r="G192" s="9"/>
      <c r="H192" s="9"/>
      <c r="I192" s="9"/>
      <c r="J192" s="9"/>
      <c r="K192" s="9"/>
      <c r="L192" s="9"/>
      <c r="M192" s="9"/>
      <c r="N192" s="9"/>
      <c r="O192" s="9"/>
      <c r="P192" s="9"/>
      <c r="Q192" s="9"/>
      <c r="R192" s="9"/>
      <c r="S192" s="9"/>
      <c r="T192" s="9"/>
      <c r="U192" s="9"/>
      <c r="V192" s="9"/>
      <c r="W192" s="9"/>
      <c r="X192" s="9"/>
      <c r="Y192" s="9"/>
      <c r="Z192" s="9"/>
      <c r="AA192" s="9"/>
      <c r="AB192" s="9"/>
      <c r="AC192" s="9"/>
      <c r="AD192" s="970"/>
    </row>
    <row r="193" spans="1:30" ht="13.5" customHeight="1">
      <c r="A193" s="10"/>
      <c r="B193" s="9"/>
      <c r="C193" s="770">
        <v>45922</v>
      </c>
      <c r="D193" s="771">
        <v>149.15</v>
      </c>
      <c r="E193" s="765">
        <v>367991</v>
      </c>
      <c r="F193" s="9"/>
      <c r="G193" s="9"/>
      <c r="H193" s="9"/>
      <c r="I193" s="9"/>
      <c r="J193" s="9"/>
      <c r="K193" s="9"/>
      <c r="L193" s="9"/>
      <c r="M193" s="9"/>
      <c r="N193" s="9"/>
      <c r="O193" s="9"/>
      <c r="P193" s="9"/>
      <c r="Q193" s="9"/>
      <c r="R193" s="9"/>
      <c r="S193" s="9"/>
      <c r="T193" s="9"/>
      <c r="U193" s="9"/>
      <c r="V193" s="9"/>
      <c r="W193" s="9"/>
      <c r="X193" s="9"/>
      <c r="Y193" s="9"/>
      <c r="Z193" s="9"/>
      <c r="AA193" s="9"/>
      <c r="AB193" s="9"/>
      <c r="AC193" s="9"/>
      <c r="AD193" s="970"/>
    </row>
    <row r="194" spans="1:30" ht="13.5" customHeight="1">
      <c r="A194" s="10"/>
      <c r="B194" s="9"/>
      <c r="C194" s="770">
        <v>45919</v>
      </c>
      <c r="D194" s="771">
        <v>150.36000000000001</v>
      </c>
      <c r="E194" s="765">
        <v>1090538</v>
      </c>
      <c r="F194" s="9"/>
      <c r="G194" s="9"/>
      <c r="H194" s="9"/>
      <c r="I194" s="9"/>
      <c r="J194" s="9"/>
      <c r="K194" s="9"/>
      <c r="L194" s="9"/>
      <c r="M194" s="9"/>
      <c r="N194" s="9"/>
      <c r="O194" s="9"/>
      <c r="P194" s="9"/>
      <c r="Q194" s="9"/>
      <c r="R194" s="9"/>
      <c r="S194" s="9"/>
      <c r="T194" s="9"/>
      <c r="U194" s="9"/>
      <c r="V194" s="9"/>
      <c r="W194" s="9"/>
      <c r="X194" s="9"/>
      <c r="Y194" s="9"/>
      <c r="Z194" s="9"/>
      <c r="AA194" s="9"/>
      <c r="AB194" s="9"/>
      <c r="AC194" s="9"/>
      <c r="AD194" s="970"/>
    </row>
    <row r="195" spans="1:30" ht="13.5" customHeight="1">
      <c r="A195" s="10"/>
      <c r="B195" s="9"/>
      <c r="C195" s="770">
        <v>45918</v>
      </c>
      <c r="D195" s="771">
        <v>150.98500000000001</v>
      </c>
      <c r="E195" s="765">
        <v>316187</v>
      </c>
      <c r="F195" s="9"/>
      <c r="G195" s="9"/>
      <c r="H195" s="9"/>
      <c r="I195" s="9"/>
      <c r="J195" s="9"/>
      <c r="K195" s="9"/>
      <c r="L195" s="9"/>
      <c r="M195" s="9"/>
      <c r="N195" s="9"/>
      <c r="O195" s="9"/>
      <c r="P195" s="9"/>
      <c r="Q195" s="9"/>
      <c r="R195" s="9"/>
      <c r="S195" s="9"/>
      <c r="T195" s="9"/>
      <c r="U195" s="9"/>
      <c r="V195" s="9"/>
      <c r="W195" s="9"/>
      <c r="X195" s="9"/>
      <c r="Y195" s="9"/>
      <c r="Z195" s="9"/>
      <c r="AA195" s="9"/>
      <c r="AB195" s="9"/>
      <c r="AC195" s="9"/>
      <c r="AD195" s="970"/>
    </row>
    <row r="196" spans="1:30" ht="13.5" customHeight="1">
      <c r="A196" s="10"/>
      <c r="B196" s="9"/>
      <c r="C196" s="770">
        <v>45917</v>
      </c>
      <c r="D196" s="771">
        <v>146.13</v>
      </c>
      <c r="E196" s="765">
        <v>236286</v>
      </c>
      <c r="F196" s="9"/>
      <c r="G196" s="9"/>
      <c r="H196" s="9"/>
      <c r="I196" s="9"/>
      <c r="J196" s="9"/>
      <c r="K196" s="9"/>
      <c r="L196" s="9"/>
      <c r="M196" s="9"/>
      <c r="N196" s="9"/>
      <c r="O196" s="9"/>
      <c r="P196" s="9"/>
      <c r="Q196" s="9"/>
      <c r="R196" s="9"/>
      <c r="S196" s="9"/>
      <c r="T196" s="9"/>
      <c r="U196" s="9"/>
      <c r="V196" s="9"/>
      <c r="W196" s="9"/>
      <c r="X196" s="9"/>
      <c r="Y196" s="9"/>
      <c r="Z196" s="9"/>
      <c r="AA196" s="9"/>
      <c r="AB196" s="9"/>
      <c r="AC196" s="9"/>
      <c r="AD196" s="970"/>
    </row>
    <row r="197" spans="1:30" ht="13.5" customHeight="1">
      <c r="A197" s="10"/>
      <c r="B197" s="9"/>
      <c r="C197" s="770">
        <v>45916</v>
      </c>
      <c r="D197" s="771">
        <v>147.58000000000001</v>
      </c>
      <c r="E197" s="765">
        <v>276770</v>
      </c>
      <c r="F197" s="9"/>
      <c r="G197" s="9"/>
      <c r="H197" s="9"/>
      <c r="I197" s="9"/>
      <c r="J197" s="9"/>
      <c r="K197" s="9"/>
      <c r="L197" s="9"/>
      <c r="M197" s="9"/>
      <c r="N197" s="9"/>
      <c r="O197" s="9"/>
      <c r="P197" s="9"/>
      <c r="Q197" s="9"/>
      <c r="R197" s="9"/>
      <c r="S197" s="9"/>
      <c r="T197" s="9"/>
      <c r="U197" s="9"/>
      <c r="V197" s="9"/>
      <c r="W197" s="9"/>
      <c r="X197" s="9"/>
      <c r="Y197" s="9"/>
      <c r="Z197" s="9"/>
      <c r="AA197" s="9"/>
      <c r="AB197" s="9"/>
      <c r="AC197" s="9"/>
      <c r="AD197" s="970"/>
    </row>
    <row r="198" spans="1:30" ht="13.5" customHeight="1">
      <c r="A198" s="10"/>
      <c r="B198" s="9"/>
      <c r="C198" s="770">
        <v>45915</v>
      </c>
      <c r="D198" s="771">
        <v>146.53</v>
      </c>
      <c r="E198" s="765">
        <v>295297</v>
      </c>
      <c r="F198" s="9"/>
      <c r="G198" s="9"/>
      <c r="H198" s="9"/>
      <c r="I198" s="9"/>
      <c r="J198" s="9"/>
      <c r="K198" s="9"/>
      <c r="L198" s="9"/>
      <c r="M198" s="9"/>
      <c r="N198" s="9"/>
      <c r="O198" s="9"/>
      <c r="P198" s="9"/>
      <c r="Q198" s="9"/>
      <c r="R198" s="9"/>
      <c r="S198" s="9"/>
      <c r="T198" s="9"/>
      <c r="U198" s="9"/>
      <c r="V198" s="9"/>
      <c r="W198" s="9"/>
      <c r="X198" s="9"/>
      <c r="Y198" s="9"/>
      <c r="Z198" s="9"/>
      <c r="AA198" s="9"/>
      <c r="AB198" s="9"/>
      <c r="AC198" s="9"/>
      <c r="AD198" s="970"/>
    </row>
    <row r="199" spans="1:30" ht="13.5" customHeight="1">
      <c r="A199" s="10"/>
      <c r="B199" s="9"/>
      <c r="C199" s="770">
        <v>45912</v>
      </c>
      <c r="D199" s="771">
        <v>148.79</v>
      </c>
      <c r="E199" s="765">
        <v>299411</v>
      </c>
      <c r="F199" s="9"/>
      <c r="G199" s="9"/>
      <c r="H199" s="9"/>
      <c r="I199" s="9"/>
      <c r="J199" s="9"/>
      <c r="K199" s="9"/>
      <c r="L199" s="9"/>
      <c r="M199" s="9"/>
      <c r="N199" s="9"/>
      <c r="O199" s="9"/>
      <c r="P199" s="9"/>
      <c r="Q199" s="9"/>
      <c r="R199" s="9"/>
      <c r="S199" s="9"/>
      <c r="T199" s="9"/>
      <c r="U199" s="9"/>
      <c r="V199" s="9"/>
      <c r="W199" s="9"/>
      <c r="X199" s="9"/>
      <c r="Y199" s="9"/>
      <c r="Z199" s="9"/>
      <c r="AA199" s="9"/>
      <c r="AB199" s="9"/>
      <c r="AC199" s="9"/>
      <c r="AD199" s="970"/>
    </row>
    <row r="200" spans="1:30" ht="13.5" customHeight="1">
      <c r="A200" s="10"/>
      <c r="B200" s="9"/>
      <c r="C200" s="770">
        <v>45911</v>
      </c>
      <c r="D200" s="771">
        <v>153.80000000000001</v>
      </c>
      <c r="E200" s="765">
        <v>316724</v>
      </c>
      <c r="F200" s="9"/>
      <c r="G200" s="9"/>
      <c r="H200" s="9"/>
      <c r="I200" s="9"/>
      <c r="J200" s="9"/>
      <c r="K200" s="9"/>
      <c r="L200" s="9"/>
      <c r="M200" s="9"/>
      <c r="N200" s="9"/>
      <c r="O200" s="9"/>
      <c r="P200" s="9"/>
      <c r="Q200" s="9"/>
      <c r="R200" s="9"/>
      <c r="S200" s="9"/>
      <c r="T200" s="9"/>
      <c r="U200" s="9"/>
      <c r="V200" s="9"/>
      <c r="W200" s="9"/>
      <c r="X200" s="9"/>
      <c r="Y200" s="9"/>
      <c r="Z200" s="9"/>
      <c r="AA200" s="9"/>
      <c r="AB200" s="9"/>
      <c r="AC200" s="9"/>
      <c r="AD200" s="970"/>
    </row>
    <row r="201" spans="1:30" ht="13.5" customHeight="1">
      <c r="A201" s="10"/>
      <c r="B201" s="9"/>
      <c r="C201" s="770">
        <v>45910</v>
      </c>
      <c r="D201" s="771">
        <v>149.25</v>
      </c>
      <c r="E201" s="765">
        <v>314914</v>
      </c>
      <c r="F201" s="9"/>
      <c r="G201" s="9"/>
      <c r="H201" s="9"/>
      <c r="I201" s="9"/>
      <c r="J201" s="9"/>
      <c r="K201" s="9"/>
      <c r="L201" s="9"/>
      <c r="M201" s="9"/>
      <c r="N201" s="9"/>
      <c r="O201" s="9"/>
      <c r="P201" s="9"/>
      <c r="Q201" s="9"/>
      <c r="R201" s="9"/>
      <c r="S201" s="9"/>
      <c r="T201" s="9"/>
      <c r="U201" s="9"/>
      <c r="V201" s="9"/>
      <c r="W201" s="9"/>
      <c r="X201" s="9"/>
      <c r="Y201" s="9"/>
      <c r="Z201" s="9"/>
      <c r="AA201" s="9"/>
      <c r="AB201" s="9"/>
      <c r="AC201" s="9"/>
      <c r="AD201" s="970"/>
    </row>
    <row r="202" spans="1:30" ht="13.5" customHeight="1">
      <c r="A202" s="10"/>
      <c r="B202" s="9"/>
      <c r="C202" s="770">
        <v>45909</v>
      </c>
      <c r="D202" s="771">
        <v>147.94</v>
      </c>
      <c r="E202" s="765">
        <v>332340</v>
      </c>
      <c r="F202" s="9"/>
      <c r="G202" s="9"/>
      <c r="H202" s="9"/>
      <c r="I202" s="9"/>
      <c r="J202" s="9"/>
      <c r="K202" s="9"/>
      <c r="L202" s="9"/>
      <c r="M202" s="9"/>
      <c r="N202" s="9"/>
      <c r="O202" s="9"/>
      <c r="P202" s="9"/>
      <c r="Q202" s="9"/>
      <c r="R202" s="9"/>
      <c r="S202" s="9"/>
      <c r="T202" s="9"/>
      <c r="U202" s="9"/>
      <c r="V202" s="9"/>
      <c r="W202" s="9"/>
      <c r="X202" s="9"/>
      <c r="Y202" s="9"/>
      <c r="Z202" s="9"/>
      <c r="AA202" s="9"/>
      <c r="AB202" s="9"/>
      <c r="AC202" s="9"/>
      <c r="AD202" s="970"/>
    </row>
    <row r="203" spans="1:30" ht="13.5" customHeight="1">
      <c r="A203" s="10"/>
      <c r="B203" s="9"/>
      <c r="C203" s="770">
        <v>45908</v>
      </c>
      <c r="D203" s="771">
        <v>148.66</v>
      </c>
      <c r="E203" s="765">
        <v>461837</v>
      </c>
      <c r="F203" s="9"/>
      <c r="G203" s="9"/>
      <c r="H203" s="9"/>
      <c r="I203" s="9"/>
      <c r="J203" s="9"/>
      <c r="K203" s="9"/>
      <c r="L203" s="9"/>
      <c r="M203" s="9"/>
      <c r="N203" s="9"/>
      <c r="O203" s="9"/>
      <c r="P203" s="9"/>
      <c r="Q203" s="9"/>
      <c r="R203" s="9"/>
      <c r="S203" s="9"/>
      <c r="T203" s="9"/>
      <c r="U203" s="9"/>
      <c r="V203" s="9"/>
      <c r="W203" s="9"/>
      <c r="X203" s="9"/>
      <c r="Y203" s="9"/>
      <c r="Z203" s="9"/>
      <c r="AA203" s="9"/>
      <c r="AB203" s="9"/>
      <c r="AC203" s="9"/>
      <c r="AD203" s="970"/>
    </row>
    <row r="204" spans="1:30" ht="13.5" customHeight="1">
      <c r="A204" s="10"/>
      <c r="B204" s="9"/>
      <c r="C204" s="770">
        <v>45905</v>
      </c>
      <c r="D204" s="771">
        <v>146.12</v>
      </c>
      <c r="E204" s="765">
        <v>318368</v>
      </c>
      <c r="F204" s="9"/>
      <c r="G204" s="9"/>
      <c r="H204" s="9"/>
      <c r="I204" s="9"/>
      <c r="J204" s="9"/>
      <c r="K204" s="9"/>
      <c r="L204" s="9"/>
      <c r="M204" s="9"/>
      <c r="N204" s="9"/>
      <c r="O204" s="9"/>
      <c r="P204" s="9"/>
      <c r="Q204" s="9"/>
      <c r="R204" s="9"/>
      <c r="S204" s="9"/>
      <c r="T204" s="9"/>
      <c r="U204" s="9"/>
      <c r="V204" s="9"/>
      <c r="W204" s="9"/>
      <c r="X204" s="9"/>
      <c r="Y204" s="9"/>
      <c r="Z204" s="9"/>
      <c r="AA204" s="9"/>
      <c r="AB204" s="9"/>
      <c r="AC204" s="9"/>
      <c r="AD204" s="970"/>
    </row>
    <row r="205" spans="1:30" ht="13.5" customHeight="1">
      <c r="A205" s="10"/>
      <c r="B205" s="9"/>
      <c r="C205" s="770">
        <v>45904</v>
      </c>
      <c r="D205" s="771">
        <v>147.04</v>
      </c>
      <c r="E205" s="765">
        <v>452194</v>
      </c>
      <c r="F205" s="9"/>
      <c r="G205" s="9"/>
      <c r="H205" s="9"/>
      <c r="I205" s="9"/>
      <c r="J205" s="9"/>
      <c r="K205" s="9"/>
      <c r="L205" s="9"/>
      <c r="M205" s="9"/>
      <c r="N205" s="9"/>
      <c r="O205" s="9"/>
      <c r="P205" s="9"/>
      <c r="Q205" s="9"/>
      <c r="R205" s="9"/>
      <c r="S205" s="9"/>
      <c r="T205" s="9"/>
      <c r="U205" s="9"/>
      <c r="V205" s="9"/>
      <c r="W205" s="9"/>
      <c r="X205" s="9"/>
      <c r="Y205" s="9"/>
      <c r="Z205" s="9"/>
      <c r="AA205" s="9"/>
      <c r="AB205" s="9"/>
      <c r="AC205" s="9"/>
      <c r="AD205" s="970"/>
    </row>
    <row r="206" spans="1:30" ht="13.5" customHeight="1">
      <c r="A206" s="10"/>
      <c r="B206" s="9"/>
      <c r="C206" s="770">
        <v>45903</v>
      </c>
      <c r="D206" s="771">
        <v>143.78</v>
      </c>
      <c r="E206" s="765">
        <v>757296</v>
      </c>
      <c r="F206" s="9"/>
      <c r="G206" s="9"/>
      <c r="H206" s="9"/>
      <c r="I206" s="9"/>
      <c r="J206" s="9"/>
      <c r="K206" s="9"/>
      <c r="L206" s="9"/>
      <c r="M206" s="9"/>
      <c r="N206" s="9"/>
      <c r="O206" s="9"/>
      <c r="P206" s="9"/>
      <c r="Q206" s="9"/>
      <c r="R206" s="9"/>
      <c r="S206" s="9"/>
      <c r="T206" s="9"/>
      <c r="U206" s="9"/>
      <c r="V206" s="9"/>
      <c r="W206" s="9"/>
      <c r="X206" s="9"/>
      <c r="Y206" s="9"/>
      <c r="Z206" s="9"/>
      <c r="AA206" s="9"/>
      <c r="AB206" s="9"/>
      <c r="AC206" s="9"/>
      <c r="AD206" s="970"/>
    </row>
    <row r="207" spans="1:30" ht="13.5" customHeight="1">
      <c r="A207" s="10"/>
      <c r="B207" s="9"/>
      <c r="C207" s="770">
        <v>45902</v>
      </c>
      <c r="D207" s="771">
        <v>150.65</v>
      </c>
      <c r="E207" s="765">
        <v>238217</v>
      </c>
      <c r="F207" s="9"/>
      <c r="G207" s="9"/>
      <c r="H207" s="9"/>
      <c r="I207" s="9"/>
      <c r="J207" s="9"/>
      <c r="K207" s="9"/>
      <c r="L207" s="9"/>
      <c r="M207" s="9"/>
      <c r="N207" s="9"/>
      <c r="O207" s="9"/>
      <c r="P207" s="9"/>
      <c r="Q207" s="9"/>
      <c r="R207" s="9"/>
      <c r="S207" s="9"/>
      <c r="T207" s="9"/>
      <c r="U207" s="9"/>
      <c r="V207" s="9"/>
      <c r="W207" s="9"/>
      <c r="X207" s="9"/>
      <c r="Y207" s="9"/>
      <c r="Z207" s="9"/>
      <c r="AA207" s="9"/>
      <c r="AB207" s="9"/>
      <c r="AC207" s="9"/>
      <c r="AD207" s="970"/>
    </row>
    <row r="208" spans="1:30" ht="13.5" customHeight="1">
      <c r="A208" s="10"/>
      <c r="B208" s="9"/>
      <c r="C208" s="770">
        <v>45898</v>
      </c>
      <c r="D208" s="771">
        <v>154.34</v>
      </c>
      <c r="E208" s="765">
        <v>299723</v>
      </c>
      <c r="F208" s="9"/>
      <c r="G208" s="9"/>
      <c r="H208" s="9"/>
      <c r="I208" s="9"/>
      <c r="J208" s="9"/>
      <c r="K208" s="9"/>
      <c r="L208" s="9"/>
      <c r="M208" s="9"/>
      <c r="N208" s="9"/>
      <c r="O208" s="9"/>
      <c r="P208" s="9"/>
      <c r="Q208" s="9"/>
      <c r="R208" s="9"/>
      <c r="S208" s="9"/>
      <c r="T208" s="9"/>
      <c r="U208" s="9"/>
      <c r="V208" s="9"/>
      <c r="W208" s="9"/>
      <c r="X208" s="9"/>
      <c r="Y208" s="9"/>
      <c r="Z208" s="9"/>
      <c r="AA208" s="9"/>
      <c r="AB208" s="9"/>
      <c r="AC208" s="9"/>
      <c r="AD208" s="970"/>
    </row>
    <row r="209" spans="1:30" ht="13.5" customHeight="1">
      <c r="A209" s="10"/>
      <c r="B209" s="9"/>
      <c r="C209" s="770">
        <v>45897</v>
      </c>
      <c r="D209" s="771">
        <v>154.86000000000001</v>
      </c>
      <c r="E209" s="765">
        <v>235619</v>
      </c>
      <c r="F209" s="9"/>
      <c r="G209" s="9"/>
      <c r="H209" s="9"/>
      <c r="I209" s="9"/>
      <c r="J209" s="9"/>
      <c r="K209" s="9"/>
      <c r="L209" s="9"/>
      <c r="M209" s="9"/>
      <c r="N209" s="9"/>
      <c r="O209" s="9"/>
      <c r="P209" s="9"/>
      <c r="Q209" s="9"/>
      <c r="R209" s="9"/>
      <c r="S209" s="9"/>
      <c r="T209" s="9"/>
      <c r="U209" s="9"/>
      <c r="V209" s="9"/>
      <c r="W209" s="9"/>
      <c r="X209" s="9"/>
      <c r="Y209" s="9"/>
      <c r="Z209" s="9"/>
      <c r="AA209" s="9"/>
      <c r="AB209" s="9"/>
      <c r="AC209" s="9"/>
      <c r="AD209" s="970"/>
    </row>
    <row r="210" spans="1:30" ht="13.5" customHeight="1">
      <c r="A210" s="10"/>
      <c r="B210" s="9"/>
      <c r="C210" s="770">
        <v>45896</v>
      </c>
      <c r="D210" s="771">
        <v>154.52000000000001</v>
      </c>
      <c r="E210" s="765">
        <v>281838</v>
      </c>
      <c r="F210" s="9"/>
      <c r="G210" s="9"/>
      <c r="H210" s="9"/>
      <c r="I210" s="9"/>
      <c r="J210" s="9"/>
      <c r="K210" s="9"/>
      <c r="L210" s="9"/>
      <c r="M210" s="9"/>
      <c r="N210" s="9"/>
      <c r="O210" s="9"/>
      <c r="P210" s="9"/>
      <c r="Q210" s="9"/>
      <c r="R210" s="9"/>
      <c r="S210" s="9"/>
      <c r="T210" s="9"/>
      <c r="U210" s="9"/>
      <c r="V210" s="9"/>
      <c r="W210" s="9"/>
      <c r="X210" s="9"/>
      <c r="Y210" s="9"/>
      <c r="Z210" s="9"/>
      <c r="AA210" s="9"/>
      <c r="AB210" s="9"/>
      <c r="AC210" s="9"/>
      <c r="AD210" s="970"/>
    </row>
    <row r="211" spans="1:30" ht="13.5" customHeight="1">
      <c r="A211" s="10"/>
      <c r="B211" s="9"/>
      <c r="C211" s="770">
        <v>45895</v>
      </c>
      <c r="D211" s="771">
        <v>154.34</v>
      </c>
      <c r="E211" s="765">
        <v>447523</v>
      </c>
      <c r="F211" s="9"/>
      <c r="G211" s="9"/>
      <c r="H211" s="9"/>
      <c r="I211" s="9"/>
      <c r="J211" s="9"/>
      <c r="K211" s="9"/>
      <c r="L211" s="9"/>
      <c r="M211" s="9"/>
      <c r="N211" s="9"/>
      <c r="O211" s="9"/>
      <c r="P211" s="9"/>
      <c r="Q211" s="9"/>
      <c r="R211" s="9"/>
      <c r="S211" s="9"/>
      <c r="T211" s="9"/>
      <c r="U211" s="9"/>
      <c r="V211" s="9"/>
      <c r="W211" s="9"/>
      <c r="X211" s="9"/>
      <c r="Y211" s="9"/>
      <c r="Z211" s="9"/>
      <c r="AA211" s="9"/>
      <c r="AB211" s="9"/>
      <c r="AC211" s="9"/>
      <c r="AD211" s="970"/>
    </row>
    <row r="212" spans="1:30" ht="13.5" customHeight="1">
      <c r="A212" s="10"/>
      <c r="B212" s="9"/>
      <c r="C212" s="770">
        <v>45894</v>
      </c>
      <c r="D212" s="771">
        <v>154.30000000000001</v>
      </c>
      <c r="E212" s="765">
        <v>407358</v>
      </c>
      <c r="F212" s="9"/>
      <c r="G212" s="9"/>
      <c r="H212" s="9"/>
      <c r="I212" s="9"/>
      <c r="J212" s="9"/>
      <c r="K212" s="9"/>
      <c r="L212" s="9"/>
      <c r="M212" s="9"/>
      <c r="N212" s="9"/>
      <c r="O212" s="9"/>
      <c r="P212" s="9"/>
      <c r="Q212" s="9"/>
      <c r="R212" s="9"/>
      <c r="S212" s="9"/>
      <c r="T212" s="9"/>
      <c r="U212" s="9"/>
      <c r="V212" s="9"/>
      <c r="W212" s="9"/>
      <c r="X212" s="9"/>
      <c r="Y212" s="9"/>
      <c r="Z212" s="9"/>
      <c r="AA212" s="9"/>
      <c r="AB212" s="9"/>
      <c r="AC212" s="9"/>
      <c r="AD212" s="970"/>
    </row>
    <row r="213" spans="1:30" ht="13.5" customHeight="1">
      <c r="A213" s="10"/>
      <c r="B213" s="9"/>
      <c r="C213" s="770">
        <v>45891</v>
      </c>
      <c r="D213" s="771">
        <v>156.75</v>
      </c>
      <c r="E213" s="765">
        <v>267956</v>
      </c>
      <c r="F213" s="9"/>
      <c r="G213" s="9"/>
      <c r="H213" s="9"/>
      <c r="I213" s="9"/>
      <c r="J213" s="9"/>
      <c r="K213" s="9"/>
      <c r="L213" s="9"/>
      <c r="M213" s="9"/>
      <c r="N213" s="9"/>
      <c r="O213" s="9"/>
      <c r="P213" s="9"/>
      <c r="Q213" s="9"/>
      <c r="R213" s="9"/>
      <c r="S213" s="9"/>
      <c r="T213" s="9"/>
      <c r="U213" s="9"/>
      <c r="V213" s="9"/>
      <c r="W213" s="9"/>
      <c r="X213" s="9"/>
      <c r="Y213" s="9"/>
      <c r="Z213" s="9"/>
      <c r="AA213" s="9"/>
      <c r="AB213" s="9"/>
      <c r="AC213" s="9"/>
      <c r="AD213" s="970"/>
    </row>
    <row r="214" spans="1:30" ht="13.5" customHeight="1">
      <c r="A214" s="10"/>
      <c r="B214" s="9"/>
      <c r="C214" s="770">
        <v>45890</v>
      </c>
      <c r="D214" s="771">
        <v>149.86000000000001</v>
      </c>
      <c r="E214" s="765">
        <v>245148</v>
      </c>
      <c r="F214" s="9"/>
      <c r="G214" s="9"/>
      <c r="H214" s="9"/>
      <c r="I214" s="9"/>
      <c r="J214" s="9"/>
      <c r="K214" s="9"/>
      <c r="L214" s="9"/>
      <c r="M214" s="9"/>
      <c r="N214" s="9"/>
      <c r="O214" s="9"/>
      <c r="P214" s="9"/>
      <c r="Q214" s="9"/>
      <c r="R214" s="9"/>
      <c r="S214" s="9"/>
      <c r="T214" s="9"/>
      <c r="U214" s="9"/>
      <c r="V214" s="9"/>
      <c r="W214" s="9"/>
      <c r="X214" s="9"/>
      <c r="Y214" s="9"/>
      <c r="Z214" s="9"/>
      <c r="AA214" s="9"/>
      <c r="AB214" s="9"/>
      <c r="AC214" s="9"/>
      <c r="AD214" s="970"/>
    </row>
    <row r="215" spans="1:30" ht="13.5" customHeight="1">
      <c r="A215" s="10"/>
      <c r="B215" s="9"/>
      <c r="C215" s="770">
        <v>45889</v>
      </c>
      <c r="D215" s="771">
        <v>150.41999999999999</v>
      </c>
      <c r="E215" s="765">
        <v>333758</v>
      </c>
      <c r="F215" s="9"/>
      <c r="G215" s="9"/>
      <c r="H215" s="9"/>
      <c r="I215" s="9"/>
      <c r="J215" s="9"/>
      <c r="K215" s="9"/>
      <c r="L215" s="9"/>
      <c r="M215" s="9"/>
      <c r="N215" s="9"/>
      <c r="O215" s="9"/>
      <c r="P215" s="9"/>
      <c r="Q215" s="9"/>
      <c r="R215" s="9"/>
      <c r="S215" s="9"/>
      <c r="T215" s="9"/>
      <c r="U215" s="9"/>
      <c r="V215" s="9"/>
      <c r="W215" s="9"/>
      <c r="X215" s="9"/>
      <c r="Y215" s="9"/>
      <c r="Z215" s="9"/>
      <c r="AA215" s="9"/>
      <c r="AB215" s="9"/>
      <c r="AC215" s="9"/>
      <c r="AD215" s="970"/>
    </row>
    <row r="216" spans="1:30" ht="13.5" customHeight="1">
      <c r="A216" s="10"/>
      <c r="B216" s="9"/>
      <c r="C216" s="770">
        <v>45888</v>
      </c>
      <c r="D216" s="771">
        <v>150.91999999999999</v>
      </c>
      <c r="E216" s="765">
        <v>696516</v>
      </c>
      <c r="F216" s="9"/>
      <c r="G216" s="9"/>
      <c r="H216" s="9"/>
      <c r="I216" s="9"/>
      <c r="J216" s="9"/>
      <c r="K216" s="9"/>
      <c r="L216" s="9"/>
      <c r="M216" s="9"/>
      <c r="N216" s="9"/>
      <c r="O216" s="9"/>
      <c r="P216" s="9"/>
      <c r="Q216" s="9"/>
      <c r="R216" s="9"/>
      <c r="S216" s="9"/>
      <c r="T216" s="9"/>
      <c r="U216" s="9"/>
      <c r="V216" s="9"/>
      <c r="W216" s="9"/>
      <c r="X216" s="9"/>
      <c r="Y216" s="9"/>
      <c r="Z216" s="9"/>
      <c r="AA216" s="9"/>
      <c r="AB216" s="9"/>
      <c r="AC216" s="9"/>
      <c r="AD216" s="970"/>
    </row>
    <row r="217" spans="1:30" ht="13.5" customHeight="1">
      <c r="A217" s="10"/>
      <c r="B217" s="9"/>
      <c r="C217" s="770">
        <v>45887</v>
      </c>
      <c r="D217" s="771">
        <v>155.4</v>
      </c>
      <c r="E217" s="765">
        <v>221703</v>
      </c>
      <c r="F217" s="9"/>
      <c r="G217" s="9"/>
      <c r="H217" s="9"/>
      <c r="I217" s="9"/>
      <c r="J217" s="9"/>
      <c r="K217" s="9"/>
      <c r="L217" s="9"/>
      <c r="M217" s="9"/>
      <c r="N217" s="9"/>
      <c r="O217" s="9"/>
      <c r="P217" s="9"/>
      <c r="Q217" s="9"/>
      <c r="R217" s="9"/>
      <c r="S217" s="9"/>
      <c r="T217" s="9"/>
      <c r="U217" s="9"/>
      <c r="V217" s="9"/>
      <c r="W217" s="9"/>
      <c r="X217" s="9"/>
      <c r="Y217" s="9"/>
      <c r="Z217" s="9"/>
      <c r="AA217" s="9"/>
      <c r="AB217" s="9"/>
      <c r="AC217" s="9"/>
      <c r="AD217" s="970"/>
    </row>
    <row r="218" spans="1:30" ht="13.5" customHeight="1">
      <c r="A218" s="10"/>
      <c r="B218" s="9"/>
      <c r="C218" s="770">
        <v>45884</v>
      </c>
      <c r="D218" s="771">
        <v>155.46</v>
      </c>
      <c r="E218" s="765">
        <v>403423</v>
      </c>
      <c r="F218" s="9"/>
      <c r="G218" s="9"/>
      <c r="H218" s="9"/>
      <c r="I218" s="9"/>
      <c r="J218" s="9"/>
      <c r="K218" s="9"/>
      <c r="L218" s="9"/>
      <c r="M218" s="9"/>
      <c r="N218" s="9"/>
      <c r="O218" s="9"/>
      <c r="P218" s="9"/>
      <c r="Q218" s="9"/>
      <c r="R218" s="9"/>
      <c r="S218" s="9"/>
      <c r="T218" s="9"/>
      <c r="U218" s="9"/>
      <c r="V218" s="9"/>
      <c r="W218" s="9"/>
      <c r="X218" s="9"/>
      <c r="Y218" s="9"/>
      <c r="Z218" s="9"/>
      <c r="AA218" s="9"/>
      <c r="AB218" s="9"/>
      <c r="AC218" s="9"/>
      <c r="AD218" s="970"/>
    </row>
    <row r="219" spans="1:30" ht="13.5" customHeight="1">
      <c r="A219" s="10"/>
      <c r="B219" s="9"/>
      <c r="C219" s="770">
        <v>45883</v>
      </c>
      <c r="D219" s="771">
        <v>158.44</v>
      </c>
      <c r="E219" s="765">
        <v>378096</v>
      </c>
      <c r="F219" s="9"/>
      <c r="G219" s="9"/>
      <c r="H219" s="9"/>
      <c r="I219" s="9"/>
      <c r="J219" s="9"/>
      <c r="K219" s="9"/>
      <c r="L219" s="9"/>
      <c r="M219" s="9"/>
      <c r="N219" s="9"/>
      <c r="O219" s="9"/>
      <c r="P219" s="9"/>
      <c r="Q219" s="9"/>
      <c r="R219" s="9"/>
      <c r="S219" s="9"/>
      <c r="T219" s="9"/>
      <c r="U219" s="9"/>
      <c r="V219" s="9"/>
      <c r="W219" s="9"/>
      <c r="X219" s="9"/>
      <c r="Y219" s="9"/>
      <c r="Z219" s="9"/>
      <c r="AA219" s="9"/>
      <c r="AB219" s="9"/>
      <c r="AC219" s="9"/>
      <c r="AD219" s="970"/>
    </row>
    <row r="220" spans="1:30" ht="13.5" customHeight="1">
      <c r="A220" s="10"/>
      <c r="B220" s="9"/>
      <c r="C220" s="770">
        <v>45882</v>
      </c>
      <c r="D220" s="771">
        <v>160.88</v>
      </c>
      <c r="E220" s="765">
        <v>277285</v>
      </c>
      <c r="F220" s="9"/>
      <c r="G220" s="9"/>
      <c r="H220" s="9"/>
      <c r="I220" s="9"/>
      <c r="J220" s="9"/>
      <c r="K220" s="9"/>
      <c r="L220" s="9"/>
      <c r="M220" s="9"/>
      <c r="N220" s="9"/>
      <c r="O220" s="9"/>
      <c r="P220" s="9"/>
      <c r="Q220" s="9"/>
      <c r="R220" s="9"/>
      <c r="S220" s="9"/>
      <c r="T220" s="9"/>
      <c r="U220" s="9"/>
      <c r="V220" s="9"/>
      <c r="W220" s="9"/>
      <c r="X220" s="9"/>
      <c r="Y220" s="9"/>
      <c r="Z220" s="9"/>
      <c r="AA220" s="9"/>
      <c r="AB220" s="9"/>
      <c r="AC220" s="9"/>
      <c r="AD220" s="970"/>
    </row>
    <row r="221" spans="1:30" ht="13.5" customHeight="1">
      <c r="A221" s="10"/>
      <c r="B221" s="9"/>
      <c r="C221" s="770">
        <v>45881</v>
      </c>
      <c r="D221" s="771">
        <v>158.66999999999999</v>
      </c>
      <c r="E221" s="765">
        <v>234563</v>
      </c>
      <c r="F221" s="9"/>
      <c r="G221" s="9"/>
      <c r="H221" s="9"/>
      <c r="I221" s="9"/>
      <c r="J221" s="9"/>
      <c r="K221" s="9"/>
      <c r="L221" s="9"/>
      <c r="M221" s="9"/>
      <c r="N221" s="9"/>
      <c r="O221" s="9"/>
      <c r="P221" s="9"/>
      <c r="Q221" s="9"/>
      <c r="R221" s="9"/>
      <c r="S221" s="9"/>
      <c r="T221" s="9"/>
      <c r="U221" s="9"/>
      <c r="V221" s="9"/>
      <c r="W221" s="9"/>
      <c r="X221" s="9"/>
      <c r="Y221" s="9"/>
      <c r="Z221" s="9"/>
      <c r="AA221" s="9"/>
      <c r="AB221" s="9"/>
      <c r="AC221" s="9"/>
      <c r="AD221" s="970"/>
    </row>
    <row r="222" spans="1:30" ht="13.5" customHeight="1">
      <c r="A222" s="10"/>
      <c r="B222" s="9"/>
      <c r="C222" s="770">
        <v>45880</v>
      </c>
      <c r="D222" s="771">
        <v>152.55000000000001</v>
      </c>
      <c r="E222" s="765">
        <v>311770</v>
      </c>
      <c r="F222" s="9"/>
      <c r="G222" s="9"/>
      <c r="H222" s="9"/>
      <c r="I222" s="9"/>
      <c r="J222" s="9"/>
      <c r="K222" s="9"/>
      <c r="L222" s="9"/>
      <c r="M222" s="9"/>
      <c r="N222" s="9"/>
      <c r="O222" s="9"/>
      <c r="P222" s="9"/>
      <c r="Q222" s="9"/>
      <c r="R222" s="9"/>
      <c r="S222" s="9"/>
      <c r="T222" s="9"/>
      <c r="U222" s="9"/>
      <c r="V222" s="9"/>
      <c r="W222" s="9"/>
      <c r="X222" s="9"/>
      <c r="Y222" s="9"/>
      <c r="Z222" s="9"/>
      <c r="AA222" s="9"/>
      <c r="AB222" s="9"/>
      <c r="AC222" s="9"/>
      <c r="AD222" s="970"/>
    </row>
    <row r="223" spans="1:30" ht="13.5" customHeight="1">
      <c r="A223" s="10"/>
      <c r="B223" s="9"/>
      <c r="C223" s="770">
        <v>45877</v>
      </c>
      <c r="D223" s="771">
        <v>154.54</v>
      </c>
      <c r="E223" s="765">
        <v>276637</v>
      </c>
      <c r="F223" s="9"/>
      <c r="G223" s="9"/>
      <c r="H223" s="9"/>
      <c r="I223" s="9"/>
      <c r="J223" s="9"/>
      <c r="K223" s="9"/>
      <c r="L223" s="9"/>
      <c r="M223" s="9"/>
      <c r="N223" s="9"/>
      <c r="O223" s="9"/>
      <c r="P223" s="9"/>
      <c r="Q223" s="9"/>
      <c r="R223" s="9"/>
      <c r="S223" s="9"/>
      <c r="T223" s="9"/>
      <c r="U223" s="9"/>
      <c r="V223" s="9"/>
      <c r="W223" s="9"/>
      <c r="X223" s="9"/>
      <c r="Y223" s="9"/>
      <c r="Z223" s="9"/>
      <c r="AA223" s="9"/>
      <c r="AB223" s="9"/>
      <c r="AC223" s="9"/>
      <c r="AD223" s="970"/>
    </row>
    <row r="224" spans="1:30" ht="13.5" customHeight="1">
      <c r="A224" s="10"/>
      <c r="B224" s="9"/>
      <c r="C224" s="770">
        <v>45876</v>
      </c>
      <c r="D224" s="771">
        <v>153.19</v>
      </c>
      <c r="E224" s="765">
        <v>314834</v>
      </c>
      <c r="F224" s="9"/>
      <c r="G224" s="9"/>
      <c r="H224" s="9"/>
      <c r="I224" s="9"/>
      <c r="J224" s="9"/>
      <c r="K224" s="9"/>
      <c r="L224" s="9"/>
      <c r="M224" s="9"/>
      <c r="N224" s="9"/>
      <c r="O224" s="9"/>
      <c r="P224" s="9"/>
      <c r="Q224" s="9"/>
      <c r="R224" s="9"/>
      <c r="S224" s="9"/>
      <c r="T224" s="9"/>
      <c r="U224" s="9"/>
      <c r="V224" s="9"/>
      <c r="W224" s="9"/>
      <c r="X224" s="9"/>
      <c r="Y224" s="9"/>
      <c r="Z224" s="9"/>
      <c r="AA224" s="9"/>
      <c r="AB224" s="9"/>
      <c r="AC224" s="9"/>
      <c r="AD224" s="970"/>
    </row>
    <row r="225" spans="1:30" ht="13.5" customHeight="1">
      <c r="A225" s="10"/>
      <c r="B225" s="9"/>
      <c r="C225" s="770">
        <v>45875</v>
      </c>
      <c r="D225" s="771">
        <v>156.57</v>
      </c>
      <c r="E225" s="765">
        <v>570536</v>
      </c>
      <c r="F225" s="9"/>
      <c r="G225" s="9"/>
      <c r="H225" s="9"/>
      <c r="I225" s="9"/>
      <c r="J225" s="9"/>
      <c r="K225" s="9"/>
      <c r="L225" s="9"/>
      <c r="M225" s="9"/>
      <c r="N225" s="9"/>
      <c r="O225" s="9"/>
      <c r="P225" s="9"/>
      <c r="Q225" s="9"/>
      <c r="R225" s="9"/>
      <c r="S225" s="9"/>
      <c r="T225" s="9"/>
      <c r="U225" s="9"/>
      <c r="V225" s="9"/>
      <c r="W225" s="9"/>
      <c r="X225" s="9"/>
      <c r="Y225" s="9"/>
      <c r="Z225" s="9"/>
      <c r="AA225" s="9"/>
      <c r="AB225" s="9"/>
      <c r="AC225" s="9"/>
      <c r="AD225" s="970"/>
    </row>
    <row r="226" spans="1:30" ht="13.5" customHeight="1">
      <c r="A226" s="10"/>
      <c r="B226" s="9"/>
      <c r="C226" s="770">
        <v>45874</v>
      </c>
      <c r="D226" s="771">
        <v>156.77000000000001</v>
      </c>
      <c r="E226" s="765">
        <v>618243</v>
      </c>
      <c r="F226" s="9"/>
      <c r="G226" s="9"/>
      <c r="H226" s="9"/>
      <c r="I226" s="9"/>
      <c r="J226" s="9"/>
      <c r="K226" s="9"/>
      <c r="L226" s="9"/>
      <c r="M226" s="9"/>
      <c r="N226" s="9"/>
      <c r="O226" s="9"/>
      <c r="P226" s="9"/>
      <c r="Q226" s="9"/>
      <c r="R226" s="9"/>
      <c r="S226" s="9"/>
      <c r="T226" s="9"/>
      <c r="U226" s="9"/>
      <c r="V226" s="9"/>
      <c r="W226" s="9"/>
      <c r="X226" s="9"/>
      <c r="Y226" s="9"/>
      <c r="Z226" s="9"/>
      <c r="AA226" s="9"/>
      <c r="AB226" s="9"/>
      <c r="AC226" s="9"/>
      <c r="AD226" s="970"/>
    </row>
    <row r="227" spans="1:30" ht="13.5" customHeight="1">
      <c r="A227" s="10"/>
      <c r="B227" s="9"/>
      <c r="C227" s="770">
        <v>45873</v>
      </c>
      <c r="D227" s="771">
        <v>150.9</v>
      </c>
      <c r="E227" s="765">
        <v>503267</v>
      </c>
      <c r="F227" s="9"/>
      <c r="G227" s="9"/>
      <c r="H227" s="9"/>
      <c r="I227" s="9"/>
      <c r="J227" s="9"/>
      <c r="K227" s="9"/>
      <c r="L227" s="9"/>
      <c r="M227" s="9"/>
      <c r="N227" s="9"/>
      <c r="O227" s="9"/>
      <c r="P227" s="9"/>
      <c r="Q227" s="9"/>
      <c r="R227" s="9"/>
      <c r="S227" s="9"/>
      <c r="T227" s="9"/>
      <c r="U227" s="9"/>
      <c r="V227" s="9"/>
      <c r="W227" s="9"/>
      <c r="X227" s="9"/>
      <c r="Y227" s="9"/>
      <c r="Z227" s="9"/>
      <c r="AA227" s="9"/>
      <c r="AB227" s="9"/>
      <c r="AC227" s="9"/>
      <c r="AD227" s="970"/>
    </row>
    <row r="228" spans="1:30" ht="13.5" customHeight="1">
      <c r="A228" s="10"/>
      <c r="B228" s="9"/>
      <c r="C228" s="770">
        <v>45870</v>
      </c>
      <c r="D228" s="771">
        <v>147.79</v>
      </c>
      <c r="E228" s="765">
        <v>538811</v>
      </c>
      <c r="F228" s="9"/>
      <c r="G228" s="9"/>
      <c r="H228" s="9"/>
      <c r="I228" s="9"/>
      <c r="J228" s="9"/>
      <c r="K228" s="9"/>
      <c r="L228" s="9"/>
      <c r="M228" s="9"/>
      <c r="N228" s="9"/>
      <c r="O228" s="9"/>
      <c r="P228" s="9"/>
      <c r="Q228" s="9"/>
      <c r="R228" s="9"/>
      <c r="S228" s="9"/>
      <c r="T228" s="9"/>
      <c r="U228" s="9"/>
      <c r="V228" s="9"/>
      <c r="W228" s="9"/>
      <c r="X228" s="9"/>
      <c r="Y228" s="9"/>
      <c r="Z228" s="9"/>
      <c r="AA228" s="9"/>
      <c r="AB228" s="9"/>
      <c r="AC228" s="9"/>
      <c r="AD228" s="970"/>
    </row>
    <row r="229" spans="1:30" ht="13.5" customHeight="1">
      <c r="A229" s="10"/>
      <c r="B229" s="9"/>
      <c r="C229" s="770">
        <v>45869</v>
      </c>
      <c r="D229" s="771">
        <v>152.30000000000001</v>
      </c>
      <c r="E229" s="765">
        <v>337357</v>
      </c>
      <c r="F229" s="9"/>
      <c r="G229" s="9"/>
      <c r="H229" s="9"/>
      <c r="I229" s="9"/>
      <c r="J229" s="9"/>
      <c r="K229" s="9"/>
      <c r="L229" s="9"/>
      <c r="M229" s="9"/>
      <c r="N229" s="9"/>
      <c r="O229" s="9"/>
      <c r="P229" s="9"/>
      <c r="Q229" s="9"/>
      <c r="R229" s="9"/>
      <c r="S229" s="9"/>
      <c r="T229" s="9"/>
      <c r="U229" s="9"/>
      <c r="V229" s="9"/>
      <c r="W229" s="9"/>
      <c r="X229" s="9"/>
      <c r="Y229" s="9"/>
      <c r="Z229" s="9"/>
      <c r="AA229" s="9"/>
      <c r="AB229" s="9"/>
      <c r="AC229" s="9"/>
      <c r="AD229" s="970"/>
    </row>
    <row r="230" spans="1:30" ht="13.5" customHeight="1">
      <c r="A230" s="10"/>
      <c r="B230" s="9"/>
      <c r="C230" s="770">
        <v>45868</v>
      </c>
      <c r="D230" s="771">
        <v>155.5</v>
      </c>
      <c r="E230" s="765">
        <v>348989</v>
      </c>
      <c r="F230" s="9"/>
      <c r="G230" s="9"/>
      <c r="H230" s="9"/>
      <c r="I230" s="9"/>
      <c r="J230" s="9"/>
      <c r="K230" s="9"/>
      <c r="L230" s="9"/>
      <c r="M230" s="9"/>
      <c r="N230" s="9"/>
      <c r="O230" s="9"/>
      <c r="P230" s="9"/>
      <c r="Q230" s="9"/>
      <c r="R230" s="9"/>
      <c r="S230" s="9"/>
      <c r="T230" s="9"/>
      <c r="U230" s="9"/>
      <c r="V230" s="9"/>
      <c r="W230" s="9"/>
      <c r="X230" s="9"/>
      <c r="Y230" s="9"/>
      <c r="Z230" s="9"/>
      <c r="AA230" s="9"/>
      <c r="AB230" s="9"/>
      <c r="AC230" s="9"/>
      <c r="AD230" s="970"/>
    </row>
    <row r="231" spans="1:30" ht="13.5" customHeight="1">
      <c r="A231" s="10"/>
      <c r="B231" s="9"/>
      <c r="C231" s="770">
        <v>45867</v>
      </c>
      <c r="D231" s="771">
        <v>155.09</v>
      </c>
      <c r="E231" s="765">
        <v>309554</v>
      </c>
      <c r="F231" s="9"/>
      <c r="G231" s="9"/>
      <c r="H231" s="9"/>
      <c r="I231" s="9"/>
      <c r="J231" s="9"/>
      <c r="K231" s="9"/>
      <c r="L231" s="9"/>
      <c r="M231" s="9"/>
      <c r="N231" s="9"/>
      <c r="O231" s="9"/>
      <c r="P231" s="9"/>
      <c r="Q231" s="9"/>
      <c r="R231" s="9"/>
      <c r="S231" s="9"/>
      <c r="T231" s="9"/>
      <c r="U231" s="9"/>
      <c r="V231" s="9"/>
      <c r="W231" s="9"/>
      <c r="X231" s="9"/>
      <c r="Y231" s="9"/>
      <c r="Z231" s="9"/>
      <c r="AA231" s="9"/>
      <c r="AB231" s="9"/>
      <c r="AC231" s="9"/>
      <c r="AD231" s="970"/>
    </row>
    <row r="232" spans="1:30" ht="13.5" customHeight="1">
      <c r="A232" s="10"/>
      <c r="B232" s="9"/>
      <c r="C232" s="770">
        <v>45866</v>
      </c>
      <c r="D232" s="771">
        <v>155.78</v>
      </c>
      <c r="E232" s="765">
        <v>354864</v>
      </c>
      <c r="F232" s="9"/>
      <c r="G232" s="9"/>
      <c r="H232" s="9"/>
      <c r="I232" s="9"/>
      <c r="J232" s="9"/>
      <c r="K232" s="9"/>
      <c r="L232" s="9"/>
      <c r="M232" s="9"/>
      <c r="N232" s="9"/>
      <c r="O232" s="9"/>
      <c r="P232" s="9"/>
      <c r="Q232" s="9"/>
      <c r="R232" s="9"/>
      <c r="S232" s="9"/>
      <c r="T232" s="9"/>
      <c r="U232" s="9"/>
      <c r="V232" s="9"/>
      <c r="W232" s="9"/>
      <c r="X232" s="9"/>
      <c r="Y232" s="9"/>
      <c r="Z232" s="9"/>
      <c r="AA232" s="9"/>
      <c r="AB232" s="9"/>
      <c r="AC232" s="9"/>
      <c r="AD232" s="970"/>
    </row>
    <row r="233" spans="1:30" ht="13.5" customHeight="1">
      <c r="A233" s="10"/>
      <c r="B233" s="9"/>
      <c r="C233" s="770">
        <v>45863</v>
      </c>
      <c r="D233" s="771">
        <v>156.86000000000001</v>
      </c>
      <c r="E233" s="765">
        <v>238241</v>
      </c>
      <c r="F233" s="9"/>
      <c r="G233" s="9"/>
      <c r="H233" s="9"/>
      <c r="I233" s="9"/>
      <c r="J233" s="9"/>
      <c r="K233" s="9"/>
      <c r="L233" s="9"/>
      <c r="M233" s="9"/>
      <c r="N233" s="9"/>
      <c r="O233" s="9"/>
      <c r="P233" s="9"/>
      <c r="Q233" s="9"/>
      <c r="R233" s="9"/>
      <c r="S233" s="9"/>
      <c r="T233" s="9"/>
      <c r="U233" s="9"/>
      <c r="V233" s="9"/>
      <c r="W233" s="9"/>
      <c r="X233" s="9"/>
      <c r="Y233" s="9"/>
      <c r="Z233" s="9"/>
      <c r="AA233" s="9"/>
      <c r="AB233" s="9"/>
      <c r="AC233" s="9"/>
      <c r="AD233" s="970"/>
    </row>
    <row r="234" spans="1:30" ht="13.5" customHeight="1">
      <c r="A234" s="10"/>
      <c r="B234" s="9"/>
      <c r="C234" s="770">
        <v>45862</v>
      </c>
      <c r="D234" s="771">
        <v>156.57</v>
      </c>
      <c r="E234" s="765">
        <v>274084</v>
      </c>
      <c r="F234" s="9"/>
      <c r="G234" s="9"/>
      <c r="H234" s="9"/>
      <c r="I234" s="9"/>
      <c r="J234" s="9"/>
      <c r="K234" s="9"/>
      <c r="L234" s="9"/>
      <c r="M234" s="9"/>
      <c r="N234" s="9"/>
      <c r="O234" s="9"/>
      <c r="P234" s="9"/>
      <c r="Q234" s="9"/>
      <c r="R234" s="9"/>
      <c r="S234" s="9"/>
      <c r="T234" s="9"/>
      <c r="U234" s="9"/>
      <c r="V234" s="9"/>
      <c r="W234" s="9"/>
      <c r="X234" s="9"/>
      <c r="Y234" s="9"/>
      <c r="Z234" s="9"/>
      <c r="AA234" s="9"/>
      <c r="AB234" s="9"/>
      <c r="AC234" s="9"/>
      <c r="AD234" s="970"/>
    </row>
    <row r="235" spans="1:30" ht="13.5" customHeight="1">
      <c r="A235" s="10"/>
      <c r="B235" s="9"/>
      <c r="C235" s="770">
        <v>45861</v>
      </c>
      <c r="D235" s="771">
        <v>155.52000000000001</v>
      </c>
      <c r="E235" s="765">
        <v>263016</v>
      </c>
      <c r="F235" s="9"/>
      <c r="G235" s="9"/>
      <c r="H235" s="9"/>
      <c r="I235" s="9"/>
      <c r="J235" s="9"/>
      <c r="K235" s="9"/>
      <c r="L235" s="9"/>
      <c r="M235" s="9"/>
      <c r="N235" s="9"/>
      <c r="O235" s="9"/>
      <c r="P235" s="9"/>
      <c r="Q235" s="9"/>
      <c r="R235" s="9"/>
      <c r="S235" s="9"/>
      <c r="T235" s="9"/>
      <c r="U235" s="9"/>
      <c r="V235" s="9"/>
      <c r="W235" s="9"/>
      <c r="X235" s="9"/>
      <c r="Y235" s="9"/>
      <c r="Z235" s="9"/>
      <c r="AA235" s="9"/>
      <c r="AB235" s="9"/>
      <c r="AC235" s="9"/>
      <c r="AD235" s="970"/>
    </row>
    <row r="236" spans="1:30" ht="13.5" customHeight="1">
      <c r="A236" s="10"/>
      <c r="B236" s="9"/>
      <c r="C236" s="770">
        <v>45860</v>
      </c>
      <c r="D236" s="771">
        <v>154.27000000000001</v>
      </c>
      <c r="E236" s="765">
        <v>448392</v>
      </c>
      <c r="F236" s="9"/>
      <c r="G236" s="9"/>
      <c r="H236" s="9"/>
      <c r="I236" s="9"/>
      <c r="J236" s="9"/>
      <c r="K236" s="9"/>
      <c r="L236" s="9"/>
      <c r="M236" s="9"/>
      <c r="N236" s="9"/>
      <c r="O236" s="9"/>
      <c r="P236" s="9"/>
      <c r="Q236" s="9"/>
      <c r="R236" s="9"/>
      <c r="S236" s="9"/>
      <c r="T236" s="9"/>
      <c r="U236" s="9"/>
      <c r="V236" s="9"/>
      <c r="W236" s="9"/>
      <c r="X236" s="9"/>
      <c r="Y236" s="9"/>
      <c r="Z236" s="9"/>
      <c r="AA236" s="9"/>
      <c r="AB236" s="9"/>
      <c r="AC236" s="9"/>
      <c r="AD236" s="970"/>
    </row>
    <row r="237" spans="1:30" ht="13.5" customHeight="1">
      <c r="A237" s="10"/>
      <c r="B237" s="9"/>
      <c r="C237" s="770">
        <v>45859</v>
      </c>
      <c r="D237" s="771">
        <v>151.87</v>
      </c>
      <c r="E237" s="765">
        <v>324063</v>
      </c>
      <c r="F237" s="9"/>
      <c r="G237" s="9"/>
      <c r="H237" s="9"/>
      <c r="I237" s="9"/>
      <c r="J237" s="9"/>
      <c r="K237" s="9"/>
      <c r="L237" s="9"/>
      <c r="M237" s="9"/>
      <c r="N237" s="9"/>
      <c r="O237" s="9"/>
      <c r="P237" s="9"/>
      <c r="Q237" s="9"/>
      <c r="R237" s="9"/>
      <c r="S237" s="9"/>
      <c r="T237" s="9"/>
      <c r="U237" s="9"/>
      <c r="V237" s="9"/>
      <c r="W237" s="9"/>
      <c r="X237" s="9"/>
      <c r="Y237" s="9"/>
      <c r="Z237" s="9"/>
      <c r="AA237" s="9"/>
      <c r="AB237" s="9"/>
      <c r="AC237" s="9"/>
      <c r="AD237" s="970"/>
    </row>
    <row r="238" spans="1:30" ht="13.5" customHeight="1">
      <c r="A238" s="10"/>
      <c r="B238" s="9"/>
      <c r="C238" s="770">
        <v>45856</v>
      </c>
      <c r="D238" s="771">
        <v>154.63999999999999</v>
      </c>
      <c r="E238" s="765">
        <v>432445</v>
      </c>
      <c r="F238" s="9"/>
      <c r="G238" s="9"/>
      <c r="H238" s="9"/>
      <c r="I238" s="9"/>
      <c r="J238" s="9"/>
      <c r="K238" s="9"/>
      <c r="L238" s="9"/>
      <c r="M238" s="9"/>
      <c r="N238" s="9"/>
      <c r="O238" s="9"/>
      <c r="P238" s="9"/>
      <c r="Q238" s="9"/>
      <c r="R238" s="9"/>
      <c r="S238" s="9"/>
      <c r="T238" s="9"/>
      <c r="U238" s="9"/>
      <c r="V238" s="9"/>
      <c r="W238" s="9"/>
      <c r="X238" s="9"/>
      <c r="Y238" s="9"/>
      <c r="Z238" s="9"/>
      <c r="AA238" s="9"/>
      <c r="AB238" s="9"/>
      <c r="AC238" s="9"/>
      <c r="AD238" s="970"/>
    </row>
    <row r="239" spans="1:30" ht="13.5" customHeight="1">
      <c r="A239" s="10"/>
      <c r="B239" s="9"/>
      <c r="C239" s="770">
        <v>45855</v>
      </c>
      <c r="D239" s="771">
        <v>159.1</v>
      </c>
      <c r="E239" s="765">
        <v>733183</v>
      </c>
      <c r="F239" s="9"/>
      <c r="G239" s="9"/>
      <c r="H239" s="9"/>
      <c r="I239" s="9"/>
      <c r="J239" s="9"/>
      <c r="K239" s="9"/>
      <c r="L239" s="9"/>
      <c r="M239" s="9"/>
      <c r="N239" s="9"/>
      <c r="O239" s="9"/>
      <c r="P239" s="9"/>
      <c r="Q239" s="9"/>
      <c r="R239" s="9"/>
      <c r="S239" s="9"/>
      <c r="T239" s="9"/>
      <c r="U239" s="9"/>
      <c r="V239" s="9"/>
      <c r="W239" s="9"/>
      <c r="X239" s="9"/>
      <c r="Y239" s="9"/>
      <c r="Z239" s="9"/>
      <c r="AA239" s="9"/>
      <c r="AB239" s="9"/>
      <c r="AC239" s="9"/>
      <c r="AD239" s="970"/>
    </row>
    <row r="240" spans="1:30" ht="13.5" customHeight="1">
      <c r="A240" s="10"/>
      <c r="B240" s="9"/>
      <c r="C240" s="770">
        <v>45854</v>
      </c>
      <c r="D240" s="771">
        <v>151.94999999999999</v>
      </c>
      <c r="E240" s="765">
        <v>353984</v>
      </c>
      <c r="F240" s="9"/>
      <c r="G240" s="9"/>
      <c r="H240" s="9"/>
      <c r="I240" s="9"/>
      <c r="J240" s="9"/>
      <c r="K240" s="9"/>
      <c r="L240" s="9"/>
      <c r="M240" s="9"/>
      <c r="N240" s="9"/>
      <c r="O240" s="9"/>
      <c r="P240" s="9"/>
      <c r="Q240" s="9"/>
      <c r="R240" s="9"/>
      <c r="S240" s="9"/>
      <c r="T240" s="9"/>
      <c r="U240" s="9"/>
      <c r="V240" s="9"/>
      <c r="W240" s="9"/>
      <c r="X240" s="9"/>
      <c r="Y240" s="9"/>
      <c r="Z240" s="9"/>
      <c r="AA240" s="9"/>
      <c r="AB240" s="9"/>
      <c r="AC240" s="9"/>
      <c r="AD240" s="970"/>
    </row>
    <row r="241" spans="1:30" ht="13.5" customHeight="1">
      <c r="A241" s="10"/>
      <c r="B241" s="9"/>
      <c r="C241" s="770">
        <v>45853</v>
      </c>
      <c r="D241" s="771">
        <v>145.72</v>
      </c>
      <c r="E241" s="765">
        <v>509815</v>
      </c>
      <c r="F241" s="9"/>
      <c r="G241" s="9"/>
      <c r="H241" s="9"/>
      <c r="I241" s="9"/>
      <c r="J241" s="9"/>
      <c r="K241" s="9"/>
      <c r="L241" s="9"/>
      <c r="M241" s="9"/>
      <c r="N241" s="9"/>
      <c r="O241" s="9"/>
      <c r="P241" s="9"/>
      <c r="Q241" s="9"/>
      <c r="R241" s="9"/>
      <c r="S241" s="9"/>
      <c r="T241" s="9"/>
      <c r="U241" s="9"/>
      <c r="V241" s="9"/>
      <c r="W241" s="9"/>
      <c r="X241" s="9"/>
      <c r="Y241" s="9"/>
      <c r="Z241" s="9"/>
      <c r="AA241" s="9"/>
      <c r="AB241" s="9"/>
      <c r="AC241" s="9"/>
      <c r="AD241" s="970"/>
    </row>
    <row r="242" spans="1:30" ht="13.5" customHeight="1">
      <c r="A242" s="10"/>
      <c r="B242" s="9"/>
      <c r="C242" s="770">
        <v>45852</v>
      </c>
      <c r="D242" s="771">
        <v>150.31</v>
      </c>
      <c r="E242" s="765">
        <v>368534</v>
      </c>
      <c r="F242" s="9"/>
      <c r="G242" s="9"/>
      <c r="H242" s="9"/>
      <c r="I242" s="9"/>
      <c r="J242" s="9"/>
      <c r="K242" s="9"/>
      <c r="L242" s="9"/>
      <c r="M242" s="9"/>
      <c r="N242" s="9"/>
      <c r="O242" s="9"/>
      <c r="P242" s="9"/>
      <c r="Q242" s="9"/>
      <c r="R242" s="9"/>
      <c r="S242" s="9"/>
      <c r="T242" s="9"/>
      <c r="U242" s="9"/>
      <c r="V242" s="9"/>
      <c r="W242" s="9"/>
      <c r="X242" s="9"/>
      <c r="Y242" s="9"/>
      <c r="Z242" s="9"/>
      <c r="AA242" s="9"/>
      <c r="AB242" s="9"/>
      <c r="AC242" s="9"/>
      <c r="AD242" s="970"/>
    </row>
    <row r="243" spans="1:30" ht="13.5" customHeight="1">
      <c r="A243" s="10"/>
      <c r="B243" s="9"/>
      <c r="C243" s="770">
        <v>45849</v>
      </c>
      <c r="D243" s="771">
        <v>151.38</v>
      </c>
      <c r="E243" s="765">
        <v>458339</v>
      </c>
      <c r="F243" s="9"/>
      <c r="G243" s="9"/>
      <c r="H243" s="9"/>
      <c r="I243" s="9"/>
      <c r="J243" s="9"/>
      <c r="K243" s="9"/>
      <c r="L243" s="9"/>
      <c r="M243" s="9"/>
      <c r="N243" s="9"/>
      <c r="O243" s="9"/>
      <c r="P243" s="9"/>
      <c r="Q243" s="9"/>
      <c r="R243" s="9"/>
      <c r="S243" s="9"/>
      <c r="T243" s="9"/>
      <c r="U243" s="9"/>
      <c r="V243" s="9"/>
      <c r="W243" s="9"/>
      <c r="X243" s="9"/>
      <c r="Y243" s="9"/>
      <c r="Z243" s="9"/>
      <c r="AA243" s="9"/>
      <c r="AB243" s="9"/>
      <c r="AC243" s="9"/>
      <c r="AD243" s="970"/>
    </row>
    <row r="244" spans="1:30" ht="13.5" customHeight="1">
      <c r="A244" s="10"/>
      <c r="B244" s="9"/>
      <c r="C244" s="770">
        <v>45848</v>
      </c>
      <c r="D244" s="771">
        <v>153.22999999999999</v>
      </c>
      <c r="E244" s="765">
        <v>457180</v>
      </c>
      <c r="F244" s="9"/>
      <c r="G244" s="9"/>
      <c r="H244" s="9"/>
      <c r="I244" s="9"/>
      <c r="J244" s="9"/>
      <c r="K244" s="9"/>
      <c r="L244" s="9"/>
      <c r="M244" s="9"/>
      <c r="N244" s="9"/>
      <c r="O244" s="9"/>
      <c r="P244" s="9"/>
      <c r="Q244" s="9"/>
      <c r="R244" s="9"/>
      <c r="S244" s="9"/>
      <c r="T244" s="9"/>
      <c r="U244" s="9"/>
      <c r="V244" s="9"/>
      <c r="W244" s="9"/>
      <c r="X244" s="9"/>
      <c r="Y244" s="9"/>
      <c r="Z244" s="9"/>
      <c r="AA244" s="9"/>
      <c r="AB244" s="9"/>
      <c r="AC244" s="9"/>
      <c r="AD244" s="970"/>
    </row>
    <row r="245" spans="1:30" ht="13.5" customHeight="1">
      <c r="A245" s="10"/>
      <c r="B245" s="9"/>
      <c r="C245" s="770">
        <v>45847</v>
      </c>
      <c r="D245" s="771">
        <v>149.09</v>
      </c>
      <c r="E245" s="765">
        <v>263395</v>
      </c>
      <c r="F245" s="9"/>
      <c r="G245" s="9"/>
      <c r="H245" s="9"/>
      <c r="I245" s="9"/>
      <c r="J245" s="9"/>
      <c r="K245" s="9"/>
      <c r="L245" s="9"/>
      <c r="M245" s="9"/>
      <c r="N245" s="9"/>
      <c r="O245" s="9"/>
      <c r="P245" s="9"/>
      <c r="Q245" s="9"/>
      <c r="R245" s="9"/>
      <c r="S245" s="9"/>
      <c r="T245" s="9"/>
      <c r="U245" s="9"/>
      <c r="V245" s="9"/>
      <c r="W245" s="9"/>
      <c r="X245" s="9"/>
      <c r="Y245" s="9"/>
      <c r="Z245" s="9"/>
      <c r="AA245" s="9"/>
      <c r="AB245" s="9"/>
      <c r="AC245" s="9"/>
      <c r="AD245" s="970"/>
    </row>
    <row r="246" spans="1:30" ht="13.5" customHeight="1">
      <c r="A246" s="10"/>
      <c r="B246" s="9"/>
      <c r="C246" s="770">
        <v>45846</v>
      </c>
      <c r="D246" s="771">
        <v>147.15</v>
      </c>
      <c r="E246" s="765">
        <v>495357</v>
      </c>
      <c r="F246" s="9"/>
      <c r="G246" s="9"/>
      <c r="H246" s="9"/>
      <c r="I246" s="9"/>
      <c r="J246" s="9"/>
      <c r="K246" s="9"/>
      <c r="L246" s="9"/>
      <c r="M246" s="9"/>
      <c r="N246" s="9"/>
      <c r="O246" s="9"/>
      <c r="P246" s="9"/>
      <c r="Q246" s="9"/>
      <c r="R246" s="9"/>
      <c r="S246" s="9"/>
      <c r="T246" s="9"/>
      <c r="U246" s="9"/>
      <c r="V246" s="9"/>
      <c r="W246" s="9"/>
      <c r="X246" s="9"/>
      <c r="Y246" s="9"/>
      <c r="Z246" s="9"/>
      <c r="AA246" s="9"/>
      <c r="AB246" s="9"/>
      <c r="AC246" s="9"/>
      <c r="AD246" s="970"/>
    </row>
    <row r="247" spans="1:30" ht="13.5" customHeight="1">
      <c r="A247" s="10"/>
      <c r="B247" s="9"/>
      <c r="C247" s="770">
        <v>45845</v>
      </c>
      <c r="D247" s="771">
        <v>146.1</v>
      </c>
      <c r="E247" s="765">
        <v>489579</v>
      </c>
      <c r="F247" s="9"/>
      <c r="G247" s="9"/>
      <c r="H247" s="9"/>
      <c r="I247" s="9"/>
      <c r="J247" s="9"/>
      <c r="K247" s="9"/>
      <c r="L247" s="9"/>
      <c r="M247" s="9"/>
      <c r="N247" s="9"/>
      <c r="O247" s="9"/>
      <c r="P247" s="9"/>
      <c r="Q247" s="9"/>
      <c r="R247" s="9"/>
      <c r="S247" s="9"/>
      <c r="T247" s="9"/>
      <c r="U247" s="9"/>
      <c r="V247" s="9"/>
      <c r="W247" s="9"/>
      <c r="X247" s="9"/>
      <c r="Y247" s="9"/>
      <c r="Z247" s="9"/>
      <c r="AA247" s="9"/>
      <c r="AB247" s="9"/>
      <c r="AC247" s="9"/>
      <c r="AD247" s="970"/>
    </row>
    <row r="248" spans="1:30" ht="13.5" customHeight="1">
      <c r="A248" s="10"/>
      <c r="B248" s="9"/>
      <c r="C248" s="770">
        <v>45841</v>
      </c>
      <c r="D248" s="771">
        <v>147.02000000000001</v>
      </c>
      <c r="E248" s="765">
        <v>201133</v>
      </c>
      <c r="F248" s="9"/>
      <c r="G248" s="9"/>
      <c r="H248" s="9"/>
      <c r="I248" s="9"/>
      <c r="J248" s="9"/>
      <c r="K248" s="9"/>
      <c r="L248" s="9"/>
      <c r="M248" s="9"/>
      <c r="N248" s="9"/>
      <c r="O248" s="9"/>
      <c r="P248" s="9"/>
      <c r="Q248" s="9"/>
      <c r="R248" s="9"/>
      <c r="S248" s="9"/>
      <c r="T248" s="9"/>
      <c r="U248" s="9"/>
      <c r="V248" s="9"/>
      <c r="W248" s="9"/>
      <c r="X248" s="9"/>
      <c r="Y248" s="9"/>
      <c r="Z248" s="9"/>
      <c r="AA248" s="9"/>
      <c r="AB248" s="9"/>
      <c r="AC248" s="9"/>
      <c r="AD248" s="970"/>
    </row>
    <row r="249" spans="1:30" ht="13.5" customHeight="1">
      <c r="A249" s="10"/>
      <c r="B249" s="9"/>
      <c r="C249" s="770">
        <v>45840</v>
      </c>
      <c r="D249" s="771">
        <v>145.15</v>
      </c>
      <c r="E249" s="765">
        <v>463402</v>
      </c>
      <c r="F249" s="9"/>
      <c r="G249" s="9"/>
      <c r="H249" s="9"/>
      <c r="I249" s="9"/>
      <c r="J249" s="9"/>
      <c r="K249" s="9"/>
      <c r="L249" s="9"/>
      <c r="M249" s="9"/>
      <c r="N249" s="9"/>
      <c r="O249" s="9"/>
      <c r="P249" s="9"/>
      <c r="Q249" s="9"/>
      <c r="R249" s="9"/>
      <c r="S249" s="9"/>
      <c r="T249" s="9"/>
      <c r="U249" s="9"/>
      <c r="V249" s="9"/>
      <c r="W249" s="9"/>
      <c r="X249" s="9"/>
      <c r="Y249" s="9"/>
      <c r="Z249" s="9"/>
      <c r="AA249" s="9"/>
      <c r="AB249" s="9"/>
      <c r="AC249" s="9"/>
      <c r="AD249" s="970"/>
    </row>
    <row r="250" spans="1:30" ht="13.5" customHeight="1">
      <c r="A250" s="10"/>
      <c r="B250" s="9"/>
      <c r="C250" s="770">
        <v>45839</v>
      </c>
      <c r="D250" s="771">
        <v>144.79</v>
      </c>
      <c r="E250" s="765">
        <v>543839</v>
      </c>
      <c r="F250" s="9"/>
      <c r="G250" s="9"/>
      <c r="H250" s="9"/>
      <c r="I250" s="9"/>
      <c r="J250" s="9"/>
      <c r="K250" s="9"/>
      <c r="L250" s="9"/>
      <c r="M250" s="9"/>
      <c r="N250" s="9"/>
      <c r="O250" s="9"/>
      <c r="P250" s="9"/>
      <c r="Q250" s="9"/>
      <c r="R250" s="9"/>
      <c r="S250" s="9"/>
      <c r="T250" s="9"/>
      <c r="U250" s="9"/>
      <c r="V250" s="9"/>
      <c r="W250" s="9"/>
      <c r="X250" s="9"/>
      <c r="Y250" s="9"/>
      <c r="Z250" s="9"/>
      <c r="AA250" s="9"/>
      <c r="AB250" s="9"/>
      <c r="AC250" s="9"/>
      <c r="AD250" s="970"/>
    </row>
    <row r="251" spans="1:30" ht="13.5" customHeight="1">
      <c r="A251" s="10"/>
      <c r="B251" s="9"/>
      <c r="C251" s="770">
        <v>45838</v>
      </c>
      <c r="D251" s="771">
        <v>142.12</v>
      </c>
      <c r="E251" s="765">
        <v>665817</v>
      </c>
      <c r="F251" s="9"/>
      <c r="G251" s="9"/>
      <c r="H251" s="9"/>
      <c r="I251" s="9"/>
      <c r="J251" s="9"/>
      <c r="K251" s="9"/>
      <c r="L251" s="9"/>
      <c r="M251" s="9"/>
      <c r="N251" s="9"/>
      <c r="O251" s="9"/>
      <c r="P251" s="9"/>
      <c r="Q251" s="9"/>
      <c r="R251" s="9"/>
      <c r="S251" s="9"/>
      <c r="T251" s="9"/>
      <c r="U251" s="9"/>
      <c r="V251" s="9"/>
      <c r="W251" s="9"/>
      <c r="X251" s="9"/>
      <c r="Y251" s="9"/>
      <c r="Z251" s="9"/>
      <c r="AA251" s="9"/>
      <c r="AB251" s="9"/>
      <c r="AC251" s="9"/>
      <c r="AD251" s="970"/>
    </row>
    <row r="252" spans="1:30" ht="13.5" customHeight="1">
      <c r="A252" s="10"/>
      <c r="B252" s="9"/>
      <c r="C252" s="770">
        <v>45835</v>
      </c>
      <c r="D252" s="771">
        <v>144.13999999999999</v>
      </c>
      <c r="E252" s="765">
        <v>6424265</v>
      </c>
      <c r="F252" s="9"/>
      <c r="G252" s="9"/>
      <c r="H252" s="9"/>
      <c r="I252" s="9"/>
      <c r="J252" s="9"/>
      <c r="K252" s="9"/>
      <c r="L252" s="9"/>
      <c r="M252" s="9"/>
      <c r="N252" s="9"/>
      <c r="O252" s="9"/>
      <c r="P252" s="9"/>
      <c r="Q252" s="9"/>
      <c r="R252" s="9"/>
      <c r="S252" s="9"/>
      <c r="T252" s="9"/>
      <c r="U252" s="9"/>
      <c r="V252" s="9"/>
      <c r="W252" s="9"/>
      <c r="X252" s="9"/>
      <c r="Y252" s="9"/>
      <c r="Z252" s="9"/>
      <c r="AA252" s="9"/>
      <c r="AB252" s="9"/>
      <c r="AC252" s="9"/>
      <c r="AD252" s="970"/>
    </row>
    <row r="253" spans="1:30" ht="13.5" customHeight="1">
      <c r="A253" s="10"/>
      <c r="B253" s="9"/>
      <c r="C253" s="770">
        <v>45834</v>
      </c>
      <c r="D253" s="771">
        <v>144.24</v>
      </c>
      <c r="E253" s="765">
        <v>625675</v>
      </c>
      <c r="F253" s="9"/>
      <c r="G253" s="9"/>
      <c r="H253" s="9"/>
      <c r="I253" s="9"/>
      <c r="J253" s="9"/>
      <c r="K253" s="9"/>
      <c r="L253" s="9"/>
      <c r="M253" s="9"/>
      <c r="N253" s="9"/>
      <c r="O253" s="9"/>
      <c r="P253" s="9"/>
      <c r="Q253" s="9"/>
      <c r="R253" s="9"/>
      <c r="S253" s="9"/>
      <c r="T253" s="9"/>
      <c r="U253" s="9"/>
      <c r="V253" s="9"/>
      <c r="W253" s="9"/>
      <c r="X253" s="9"/>
      <c r="Y253" s="9"/>
      <c r="Z253" s="9"/>
      <c r="AA253" s="9"/>
      <c r="AB253" s="9"/>
      <c r="AC253" s="9"/>
      <c r="AD253" s="970"/>
    </row>
    <row r="254" spans="1:30" ht="13.5" customHeight="1">
      <c r="A254" s="10"/>
      <c r="B254" s="9"/>
      <c r="C254" s="770">
        <v>45833</v>
      </c>
      <c r="D254" s="771">
        <v>142.52000000000001</v>
      </c>
      <c r="E254" s="765">
        <v>489239</v>
      </c>
      <c r="F254" s="9"/>
      <c r="G254" s="9"/>
      <c r="H254" s="9"/>
      <c r="I254" s="9"/>
      <c r="J254" s="9"/>
      <c r="K254" s="9"/>
      <c r="L254" s="9"/>
      <c r="M254" s="9"/>
      <c r="N254" s="9"/>
      <c r="O254" s="9"/>
      <c r="P254" s="9"/>
      <c r="Q254" s="9"/>
      <c r="R254" s="9"/>
      <c r="S254" s="9"/>
      <c r="T254" s="9"/>
      <c r="U254" s="9"/>
      <c r="V254" s="9"/>
      <c r="W254" s="9"/>
      <c r="X254" s="9"/>
      <c r="Y254" s="9"/>
      <c r="Z254" s="9"/>
      <c r="AA254" s="9"/>
      <c r="AB254" s="9"/>
      <c r="AC254" s="9"/>
      <c r="AD254" s="970"/>
    </row>
    <row r="255" spans="1:30" ht="13.5" customHeight="1">
      <c r="A255" s="10"/>
      <c r="B255" s="9"/>
      <c r="C255" s="770">
        <v>45832</v>
      </c>
      <c r="D255" s="771">
        <v>142.66999999999999</v>
      </c>
      <c r="E255" s="765">
        <v>524518</v>
      </c>
      <c r="F255" s="9"/>
      <c r="G255" s="9"/>
      <c r="H255" s="9"/>
      <c r="I255" s="9"/>
      <c r="J255" s="9"/>
      <c r="K255" s="9"/>
      <c r="L255" s="9"/>
      <c r="M255" s="9"/>
      <c r="N255" s="9"/>
      <c r="O255" s="9"/>
      <c r="P255" s="9"/>
      <c r="Q255" s="9"/>
      <c r="R255" s="9"/>
      <c r="S255" s="9"/>
      <c r="T255" s="9"/>
      <c r="U255" s="9"/>
      <c r="V255" s="9"/>
      <c r="W255" s="9"/>
      <c r="X255" s="9"/>
      <c r="Y255" s="9"/>
      <c r="Z255" s="9"/>
      <c r="AA255" s="9"/>
      <c r="AB255" s="9"/>
      <c r="AC255" s="9"/>
      <c r="AD255" s="970"/>
    </row>
    <row r="256" spans="1:30" ht="13.5" customHeight="1">
      <c r="A256" s="10"/>
      <c r="B256" s="9"/>
      <c r="C256" s="770">
        <v>45831</v>
      </c>
      <c r="D256" s="771">
        <v>138.84</v>
      </c>
      <c r="E256" s="765">
        <v>672565</v>
      </c>
      <c r="F256" s="9"/>
      <c r="G256" s="9"/>
      <c r="H256" s="9"/>
      <c r="I256" s="9"/>
      <c r="J256" s="9"/>
      <c r="K256" s="9"/>
      <c r="L256" s="9"/>
      <c r="M256" s="9"/>
      <c r="N256" s="9"/>
      <c r="O256" s="9"/>
      <c r="P256" s="9"/>
      <c r="Q256" s="9"/>
      <c r="R256" s="9"/>
      <c r="S256" s="9"/>
      <c r="T256" s="9"/>
      <c r="U256" s="9"/>
      <c r="V256" s="9"/>
      <c r="W256" s="9"/>
      <c r="X256" s="9"/>
      <c r="Y256" s="9"/>
      <c r="Z256" s="9"/>
      <c r="AA256" s="9"/>
      <c r="AB256" s="9"/>
      <c r="AC256" s="9"/>
      <c r="AD256" s="970"/>
    </row>
    <row r="257" spans="1:30" ht="13.5" customHeight="1">
      <c r="A257" s="10"/>
      <c r="B257" s="9"/>
      <c r="C257" s="770">
        <v>45828</v>
      </c>
      <c r="D257" s="771">
        <v>136.69</v>
      </c>
      <c r="E257" s="765">
        <v>780968</v>
      </c>
      <c r="F257" s="9"/>
      <c r="G257" s="9"/>
      <c r="H257" s="9"/>
      <c r="I257" s="9"/>
      <c r="J257" s="9"/>
      <c r="K257" s="9"/>
      <c r="L257" s="9"/>
      <c r="M257" s="9"/>
      <c r="N257" s="9"/>
      <c r="O257" s="9"/>
      <c r="P257" s="9"/>
      <c r="Q257" s="9"/>
      <c r="R257" s="9"/>
      <c r="S257" s="9"/>
      <c r="T257" s="9"/>
      <c r="U257" s="9"/>
      <c r="V257" s="9"/>
      <c r="W257" s="9"/>
      <c r="X257" s="9"/>
      <c r="Y257" s="9"/>
      <c r="Z257" s="9"/>
      <c r="AA257" s="9"/>
      <c r="AB257" s="9"/>
      <c r="AC257" s="9"/>
      <c r="AD257" s="970"/>
    </row>
    <row r="258" spans="1:30" ht="13.5" customHeight="1">
      <c r="A258" s="10"/>
      <c r="B258" s="9"/>
      <c r="C258" s="770">
        <v>45826</v>
      </c>
      <c r="D258" s="771">
        <v>136.97999999999999</v>
      </c>
      <c r="E258" s="765">
        <v>506550</v>
      </c>
      <c r="F258" s="9"/>
      <c r="G258" s="9"/>
      <c r="H258" s="9"/>
      <c r="I258" s="9"/>
      <c r="J258" s="9"/>
      <c r="K258" s="9"/>
      <c r="L258" s="9"/>
      <c r="M258" s="9"/>
      <c r="N258" s="9"/>
      <c r="O258" s="9"/>
      <c r="P258" s="9"/>
      <c r="Q258" s="9"/>
      <c r="R258" s="9"/>
      <c r="S258" s="9"/>
      <c r="T258" s="9"/>
      <c r="U258" s="9"/>
      <c r="V258" s="9"/>
      <c r="W258" s="9"/>
      <c r="X258" s="9"/>
      <c r="Y258" s="9"/>
      <c r="Z258" s="9"/>
      <c r="AA258" s="9"/>
      <c r="AB258" s="9"/>
      <c r="AC258" s="9"/>
      <c r="AD258" s="970"/>
    </row>
    <row r="259" spans="1:30" ht="13.5" customHeight="1">
      <c r="A259" s="10"/>
      <c r="B259" s="9"/>
      <c r="C259" s="770">
        <v>45825</v>
      </c>
      <c r="D259" s="771">
        <v>135.91</v>
      </c>
      <c r="E259" s="765">
        <v>905233</v>
      </c>
      <c r="F259" s="9"/>
      <c r="G259" s="9"/>
      <c r="H259" s="9"/>
      <c r="I259" s="9"/>
      <c r="J259" s="9"/>
      <c r="K259" s="9"/>
      <c r="L259" s="9"/>
      <c r="M259" s="9"/>
      <c r="N259" s="9"/>
      <c r="O259" s="9"/>
      <c r="P259" s="9"/>
      <c r="Q259" s="9"/>
      <c r="R259" s="9"/>
      <c r="S259" s="9"/>
      <c r="T259" s="9"/>
      <c r="U259" s="9"/>
      <c r="V259" s="9"/>
      <c r="W259" s="9"/>
      <c r="X259" s="9"/>
      <c r="Y259" s="9"/>
      <c r="Z259" s="9"/>
      <c r="AA259" s="9"/>
      <c r="AB259" s="9"/>
      <c r="AC259" s="9"/>
      <c r="AD259" s="970"/>
    </row>
    <row r="260" spans="1:30" ht="13.5" customHeight="1">
      <c r="A260" s="10"/>
      <c r="B260" s="9"/>
      <c r="C260" s="770">
        <v>45824</v>
      </c>
      <c r="D260" s="771">
        <v>137.53</v>
      </c>
      <c r="E260" s="765">
        <v>1376351</v>
      </c>
      <c r="F260" s="9"/>
      <c r="G260" s="9"/>
      <c r="H260" s="9"/>
      <c r="I260" s="9"/>
      <c r="J260" s="9"/>
      <c r="K260" s="9"/>
      <c r="L260" s="9"/>
      <c r="M260" s="9"/>
      <c r="N260" s="9"/>
      <c r="O260" s="9"/>
      <c r="P260" s="9"/>
      <c r="Q260" s="9"/>
      <c r="R260" s="9"/>
      <c r="S260" s="9"/>
      <c r="T260" s="9"/>
      <c r="U260" s="9"/>
      <c r="V260" s="9"/>
      <c r="W260" s="9"/>
      <c r="X260" s="9"/>
      <c r="Y260" s="9"/>
      <c r="Z260" s="9"/>
      <c r="AA260" s="9"/>
      <c r="AB260" s="9"/>
      <c r="AC260" s="9"/>
      <c r="AD260" s="970"/>
    </row>
    <row r="261" spans="1:30" ht="13.5" customHeight="1">
      <c r="A261" s="10"/>
      <c r="B261" s="9"/>
      <c r="C261" s="770">
        <v>45821</v>
      </c>
      <c r="D261" s="771">
        <v>138.94999999999999</v>
      </c>
      <c r="E261" s="765">
        <v>791537</v>
      </c>
      <c r="F261" s="9"/>
      <c r="G261" s="9"/>
      <c r="H261" s="9"/>
      <c r="I261" s="9"/>
      <c r="J261" s="9"/>
      <c r="K261" s="9"/>
      <c r="L261" s="9"/>
      <c r="M261" s="9"/>
      <c r="N261" s="9"/>
      <c r="O261" s="9"/>
      <c r="P261" s="9"/>
      <c r="Q261" s="9"/>
      <c r="R261" s="9"/>
      <c r="S261" s="9"/>
      <c r="T261" s="9"/>
      <c r="U261" s="9"/>
      <c r="V261" s="9"/>
      <c r="W261" s="9"/>
      <c r="X261" s="9"/>
      <c r="Y261" s="9"/>
      <c r="Z261" s="9"/>
      <c r="AA261" s="9"/>
      <c r="AB261" s="9"/>
      <c r="AC261" s="9"/>
      <c r="AD261" s="970"/>
    </row>
    <row r="262" spans="1:30" ht="13.5" customHeight="1">
      <c r="A262" s="10"/>
      <c r="B262" s="9"/>
      <c r="C262" s="770">
        <v>45820</v>
      </c>
      <c r="D262" s="771">
        <v>146.49</v>
      </c>
      <c r="E262" s="765">
        <v>855171</v>
      </c>
      <c r="F262" s="9"/>
      <c r="G262" s="9"/>
      <c r="H262" s="9"/>
      <c r="I262" s="9"/>
      <c r="J262" s="9"/>
      <c r="K262" s="9"/>
      <c r="L262" s="9"/>
      <c r="M262" s="9"/>
      <c r="N262" s="9"/>
      <c r="O262" s="9"/>
      <c r="P262" s="9"/>
      <c r="Q262" s="9"/>
      <c r="R262" s="9"/>
      <c r="S262" s="9"/>
      <c r="T262" s="9"/>
      <c r="U262" s="9"/>
      <c r="V262" s="9"/>
      <c r="W262" s="9"/>
      <c r="X262" s="9"/>
      <c r="Y262" s="9"/>
      <c r="Z262" s="9"/>
      <c r="AA262" s="9"/>
      <c r="AB262" s="9"/>
      <c r="AC262" s="9"/>
      <c r="AD262" s="970"/>
    </row>
    <row r="263" spans="1:30" ht="13.5" customHeight="1">
      <c r="A263" s="10"/>
      <c r="B263" s="9"/>
      <c r="C263" s="770">
        <v>45819</v>
      </c>
      <c r="D263" s="771">
        <v>147.34</v>
      </c>
      <c r="E263" s="765">
        <v>797793</v>
      </c>
      <c r="F263" s="9"/>
      <c r="G263" s="9"/>
      <c r="H263" s="9"/>
      <c r="I263" s="9"/>
      <c r="J263" s="9"/>
      <c r="K263" s="9"/>
      <c r="L263" s="9"/>
      <c r="M263" s="9"/>
      <c r="N263" s="9"/>
      <c r="O263" s="9"/>
      <c r="P263" s="9"/>
      <c r="Q263" s="9"/>
      <c r="R263" s="9"/>
      <c r="S263" s="9"/>
      <c r="T263" s="9"/>
      <c r="U263" s="9"/>
      <c r="V263" s="9"/>
      <c r="W263" s="9"/>
      <c r="X263" s="9"/>
      <c r="Y263" s="9"/>
      <c r="Z263" s="9"/>
      <c r="AA263" s="9"/>
      <c r="AB263" s="9"/>
      <c r="AC263" s="9"/>
      <c r="AD263" s="970"/>
    </row>
    <row r="264" spans="1:30" ht="13.5" customHeight="1">
      <c r="A264" s="10"/>
      <c r="B264" s="9"/>
      <c r="C264" s="770">
        <v>45818</v>
      </c>
      <c r="D264" s="771">
        <v>151.66999999999999</v>
      </c>
      <c r="E264" s="765">
        <v>543397</v>
      </c>
      <c r="F264" s="9"/>
      <c r="G264" s="9"/>
      <c r="H264" s="9"/>
      <c r="I264" s="9"/>
      <c r="J264" s="9"/>
      <c r="K264" s="9"/>
      <c r="L264" s="9"/>
      <c r="M264" s="9"/>
      <c r="N264" s="9"/>
      <c r="O264" s="9"/>
      <c r="P264" s="9"/>
      <c r="Q264" s="9"/>
      <c r="R264" s="9"/>
      <c r="S264" s="9"/>
      <c r="T264" s="9"/>
      <c r="U264" s="9"/>
      <c r="V264" s="9"/>
      <c r="W264" s="9"/>
      <c r="X264" s="9"/>
      <c r="Y264" s="9"/>
      <c r="Z264" s="9"/>
      <c r="AA264" s="9"/>
      <c r="AB264" s="9"/>
      <c r="AC264" s="9"/>
      <c r="AD264" s="970"/>
    </row>
    <row r="265" spans="1:30" ht="13.5" customHeight="1">
      <c r="A265" s="10"/>
      <c r="B265" s="9"/>
      <c r="C265" s="770">
        <v>45817</v>
      </c>
      <c r="D265" s="771">
        <v>151.72999999999999</v>
      </c>
      <c r="E265" s="765">
        <v>635252</v>
      </c>
      <c r="F265" s="9"/>
      <c r="G265" s="9"/>
      <c r="H265" s="9"/>
      <c r="I265" s="9"/>
      <c r="J265" s="9"/>
      <c r="K265" s="9"/>
      <c r="L265" s="9"/>
      <c r="M265" s="9"/>
      <c r="N265" s="9"/>
      <c r="O265" s="9"/>
      <c r="P265" s="9"/>
      <c r="Q265" s="9"/>
      <c r="R265" s="9"/>
      <c r="S265" s="9"/>
      <c r="T265" s="9"/>
      <c r="U265" s="9"/>
      <c r="V265" s="9"/>
      <c r="W265" s="9"/>
      <c r="X265" s="9"/>
      <c r="Y265" s="9"/>
      <c r="Z265" s="9"/>
      <c r="AA265" s="9"/>
      <c r="AB265" s="9"/>
      <c r="AC265" s="9"/>
      <c r="AD265" s="970"/>
    </row>
    <row r="266" spans="1:30" ht="13.5" customHeight="1">
      <c r="A266" s="10"/>
      <c r="B266" s="9"/>
      <c r="C266" s="770">
        <v>45814</v>
      </c>
      <c r="D266" s="771">
        <v>150.82</v>
      </c>
      <c r="E266" s="765">
        <v>609332</v>
      </c>
      <c r="F266" s="9"/>
      <c r="G266" s="9"/>
      <c r="H266" s="9"/>
      <c r="I266" s="9"/>
      <c r="J266" s="9"/>
      <c r="K266" s="9"/>
      <c r="L266" s="9"/>
      <c r="M266" s="9"/>
      <c r="N266" s="9"/>
      <c r="O266" s="9"/>
      <c r="P266" s="9"/>
      <c r="Q266" s="9"/>
      <c r="R266" s="9"/>
      <c r="S266" s="9"/>
      <c r="T266" s="9"/>
      <c r="U266" s="9"/>
      <c r="V266" s="9"/>
      <c r="W266" s="9"/>
      <c r="X266" s="9"/>
      <c r="Y266" s="9"/>
      <c r="Z266" s="9"/>
      <c r="AA266" s="9"/>
      <c r="AB266" s="9"/>
      <c r="AC266" s="9"/>
      <c r="AD266" s="970"/>
    </row>
    <row r="267" spans="1:30" ht="13.5" customHeight="1">
      <c r="A267" s="10"/>
      <c r="B267" s="9"/>
      <c r="C267" s="770">
        <v>45813</v>
      </c>
      <c r="D267" s="771">
        <v>150.63</v>
      </c>
      <c r="E267" s="765">
        <v>566672</v>
      </c>
      <c r="F267" s="9"/>
      <c r="G267" s="9"/>
      <c r="H267" s="9"/>
      <c r="I267" s="9"/>
      <c r="J267" s="9"/>
      <c r="K267" s="9"/>
      <c r="L267" s="9"/>
      <c r="M267" s="9"/>
      <c r="N267" s="9"/>
      <c r="O267" s="9"/>
      <c r="P267" s="9"/>
      <c r="Q267" s="9"/>
      <c r="R267" s="9"/>
      <c r="S267" s="9"/>
      <c r="T267" s="9"/>
      <c r="U267" s="9"/>
      <c r="V267" s="9"/>
      <c r="W267" s="9"/>
      <c r="X267" s="9"/>
      <c r="Y267" s="9"/>
      <c r="Z267" s="9"/>
      <c r="AA267" s="9"/>
      <c r="AB267" s="9"/>
      <c r="AC267" s="9"/>
      <c r="AD267" s="970"/>
    </row>
    <row r="268" spans="1:30" ht="13.5" customHeight="1">
      <c r="A268" s="10"/>
      <c r="B268" s="9"/>
      <c r="C268" s="770">
        <v>45812</v>
      </c>
      <c r="D268" s="771">
        <v>149.08000000000001</v>
      </c>
      <c r="E268" s="765">
        <v>475008</v>
      </c>
      <c r="F268" s="9"/>
      <c r="G268" s="9"/>
      <c r="H268" s="9"/>
      <c r="I268" s="9"/>
      <c r="J268" s="9"/>
      <c r="K268" s="9"/>
      <c r="L268" s="9"/>
      <c r="M268" s="9"/>
      <c r="N268" s="9"/>
      <c r="O268" s="9"/>
      <c r="P268" s="9"/>
      <c r="Q268" s="9"/>
      <c r="R268" s="9"/>
      <c r="S268" s="9"/>
      <c r="T268" s="9"/>
      <c r="U268" s="9"/>
      <c r="V268" s="9"/>
      <c r="W268" s="9"/>
      <c r="X268" s="9"/>
      <c r="Y268" s="9"/>
      <c r="Z268" s="9"/>
      <c r="AA268" s="9"/>
      <c r="AB268" s="9"/>
      <c r="AC268" s="9"/>
      <c r="AD268" s="970"/>
    </row>
    <row r="269" spans="1:30" ht="13.5" customHeight="1">
      <c r="A269" s="10"/>
      <c r="B269" s="9"/>
      <c r="C269" s="770">
        <v>45811</v>
      </c>
      <c r="D269" s="771">
        <v>149.51</v>
      </c>
      <c r="E269" s="765">
        <v>505319</v>
      </c>
      <c r="F269" s="9"/>
      <c r="G269" s="9"/>
      <c r="H269" s="9"/>
      <c r="I269" s="9"/>
      <c r="J269" s="9"/>
      <c r="K269" s="9"/>
      <c r="L269" s="9"/>
      <c r="M269" s="9"/>
      <c r="N269" s="9"/>
      <c r="O269" s="9"/>
      <c r="P269" s="9"/>
      <c r="Q269" s="9"/>
      <c r="R269" s="9"/>
      <c r="S269" s="9"/>
      <c r="T269" s="9"/>
      <c r="U269" s="9"/>
      <c r="V269" s="9"/>
      <c r="W269" s="9"/>
      <c r="X269" s="9"/>
      <c r="Y269" s="9"/>
      <c r="Z269" s="9"/>
      <c r="AA269" s="9"/>
      <c r="AB269" s="9"/>
      <c r="AC269" s="9"/>
      <c r="AD269" s="970"/>
    </row>
    <row r="270" spans="1:30" ht="13.5" customHeight="1">
      <c r="A270" s="10"/>
      <c r="B270" s="9"/>
      <c r="C270" s="770">
        <v>45810</v>
      </c>
      <c r="D270" s="771">
        <v>148.96</v>
      </c>
      <c r="E270" s="765">
        <v>770086</v>
      </c>
      <c r="F270" s="9"/>
      <c r="G270" s="9"/>
      <c r="H270" s="9"/>
      <c r="I270" s="9"/>
      <c r="J270" s="9"/>
      <c r="K270" s="9"/>
      <c r="L270" s="9"/>
      <c r="M270" s="9"/>
      <c r="N270" s="9"/>
      <c r="O270" s="9"/>
      <c r="P270" s="9"/>
      <c r="Q270" s="9"/>
      <c r="R270" s="9"/>
      <c r="S270" s="9"/>
      <c r="T270" s="9"/>
      <c r="U270" s="9"/>
      <c r="V270" s="9"/>
      <c r="W270" s="9"/>
      <c r="X270" s="9"/>
      <c r="Y270" s="9"/>
      <c r="Z270" s="9"/>
      <c r="AA270" s="9"/>
      <c r="AB270" s="9"/>
      <c r="AC270" s="9"/>
      <c r="AD270" s="970"/>
    </row>
    <row r="271" spans="1:30" ht="13.5" customHeight="1">
      <c r="A271" s="10"/>
      <c r="B271" s="9"/>
      <c r="C271" s="770">
        <v>45807</v>
      </c>
      <c r="D271" s="771">
        <v>149</v>
      </c>
      <c r="E271" s="765">
        <v>1480590</v>
      </c>
      <c r="F271" s="9"/>
      <c r="G271" s="9"/>
      <c r="H271" s="9"/>
      <c r="I271" s="9"/>
      <c r="J271" s="9"/>
      <c r="K271" s="9"/>
      <c r="L271" s="9"/>
      <c r="M271" s="9"/>
      <c r="N271" s="9"/>
      <c r="O271" s="9"/>
      <c r="P271" s="9"/>
      <c r="Q271" s="9"/>
      <c r="R271" s="9"/>
      <c r="S271" s="9"/>
      <c r="T271" s="9"/>
      <c r="U271" s="9"/>
      <c r="V271" s="9"/>
      <c r="W271" s="9"/>
      <c r="X271" s="9"/>
      <c r="Y271" s="9"/>
      <c r="Z271" s="9"/>
      <c r="AA271" s="9"/>
      <c r="AB271" s="9"/>
      <c r="AC271" s="9"/>
      <c r="AD271" s="970"/>
    </row>
    <row r="272" spans="1:30" ht="13.5" customHeight="1">
      <c r="A272" s="10"/>
      <c r="B272" s="9"/>
      <c r="C272" s="770">
        <v>45806</v>
      </c>
      <c r="D272" s="771">
        <v>156.08000000000001</v>
      </c>
      <c r="E272" s="765">
        <v>1737620</v>
      </c>
      <c r="F272" s="9"/>
      <c r="G272" s="9"/>
      <c r="H272" s="9"/>
      <c r="I272" s="9"/>
      <c r="J272" s="9"/>
      <c r="K272" s="9"/>
      <c r="L272" s="9"/>
      <c r="M272" s="9"/>
      <c r="N272" s="9"/>
      <c r="O272" s="9"/>
      <c r="P272" s="9"/>
      <c r="Q272" s="9"/>
      <c r="R272" s="9"/>
      <c r="S272" s="9"/>
      <c r="T272" s="9"/>
      <c r="U272" s="9"/>
      <c r="V272" s="9"/>
      <c r="W272" s="9"/>
      <c r="X272" s="9"/>
      <c r="Y272" s="9"/>
      <c r="Z272" s="9"/>
      <c r="AA272" s="9"/>
      <c r="AB272" s="9"/>
      <c r="AC272" s="9"/>
      <c r="AD272" s="970"/>
    </row>
    <row r="273" spans="1:30" ht="13.5" customHeight="1">
      <c r="A273" s="10"/>
      <c r="B273" s="9"/>
      <c r="C273" s="770">
        <v>45805</v>
      </c>
      <c r="D273" s="771">
        <v>175.49</v>
      </c>
      <c r="E273" s="765">
        <v>1622206</v>
      </c>
      <c r="F273" s="9"/>
      <c r="G273" s="9"/>
      <c r="H273" s="9"/>
      <c r="I273" s="9"/>
      <c r="J273" s="9"/>
      <c r="K273" s="9"/>
      <c r="L273" s="9"/>
      <c r="M273" s="9"/>
      <c r="N273" s="9"/>
      <c r="O273" s="9"/>
      <c r="P273" s="9"/>
      <c r="Q273" s="9"/>
      <c r="R273" s="9"/>
      <c r="S273" s="9"/>
      <c r="T273" s="9"/>
      <c r="U273" s="9"/>
      <c r="V273" s="9"/>
      <c r="W273" s="9"/>
      <c r="X273" s="9"/>
      <c r="Y273" s="9"/>
      <c r="Z273" s="9"/>
      <c r="AA273" s="9"/>
      <c r="AB273" s="9"/>
      <c r="AC273" s="9"/>
      <c r="AD273" s="970"/>
    </row>
    <row r="274" spans="1:30" ht="13.5" customHeight="1">
      <c r="A274" s="10"/>
      <c r="B274" s="9"/>
      <c r="C274" s="770">
        <v>45804</v>
      </c>
      <c r="D274" s="771">
        <v>172.6</v>
      </c>
      <c r="E274" s="765">
        <v>557125</v>
      </c>
      <c r="F274" s="9"/>
      <c r="G274" s="9"/>
      <c r="H274" s="9"/>
      <c r="I274" s="9"/>
      <c r="J274" s="9"/>
      <c r="K274" s="9"/>
      <c r="L274" s="9"/>
      <c r="M274" s="9"/>
      <c r="N274" s="9"/>
      <c r="O274" s="9"/>
      <c r="P274" s="9"/>
      <c r="Q274" s="9"/>
      <c r="R274" s="9"/>
      <c r="S274" s="9"/>
      <c r="T274" s="9"/>
      <c r="U274" s="9"/>
      <c r="V274" s="9"/>
      <c r="W274" s="9"/>
      <c r="X274" s="9"/>
      <c r="Y274" s="9"/>
      <c r="Z274" s="9"/>
      <c r="AA274" s="9"/>
      <c r="AB274" s="9"/>
      <c r="AC274" s="9"/>
      <c r="AD274" s="970"/>
    </row>
    <row r="275" spans="1:30" ht="13.5" customHeight="1">
      <c r="A275" s="10"/>
      <c r="B275" s="9"/>
      <c r="C275" s="770">
        <v>45800</v>
      </c>
      <c r="D275" s="771">
        <v>165.41</v>
      </c>
      <c r="E275" s="765">
        <v>401837</v>
      </c>
      <c r="F275" s="9"/>
      <c r="G275" s="9"/>
      <c r="H275" s="9"/>
      <c r="I275" s="9"/>
      <c r="J275" s="9"/>
      <c r="K275" s="9"/>
      <c r="L275" s="9"/>
      <c r="M275" s="9"/>
      <c r="N275" s="9"/>
      <c r="O275" s="9"/>
      <c r="P275" s="9"/>
      <c r="Q275" s="9"/>
      <c r="R275" s="9"/>
      <c r="S275" s="9"/>
      <c r="T275" s="9"/>
      <c r="U275" s="9"/>
      <c r="V275" s="9"/>
      <c r="W275" s="9"/>
      <c r="X275" s="9"/>
      <c r="Y275" s="9"/>
      <c r="Z275" s="9"/>
      <c r="AA275" s="9"/>
      <c r="AB275" s="9"/>
      <c r="AC275" s="9"/>
      <c r="AD275" s="970"/>
    </row>
    <row r="276" spans="1:30" ht="13.5" customHeight="1">
      <c r="A276" s="10"/>
      <c r="B276" s="9"/>
      <c r="C276" s="770">
        <v>45799</v>
      </c>
      <c r="D276" s="771">
        <v>163.86</v>
      </c>
      <c r="E276" s="765">
        <v>453882</v>
      </c>
      <c r="F276" s="9"/>
      <c r="G276" s="9"/>
      <c r="H276" s="9"/>
      <c r="I276" s="9"/>
      <c r="J276" s="9"/>
      <c r="K276" s="9"/>
      <c r="L276" s="9"/>
      <c r="M276" s="9"/>
      <c r="N276" s="9"/>
      <c r="O276" s="9"/>
      <c r="P276" s="9"/>
      <c r="Q276" s="9"/>
      <c r="R276" s="9"/>
      <c r="S276" s="9"/>
      <c r="T276" s="9"/>
      <c r="U276" s="9"/>
      <c r="V276" s="9"/>
      <c r="W276" s="9"/>
      <c r="X276" s="9"/>
      <c r="Y276" s="9"/>
      <c r="Z276" s="9"/>
      <c r="AA276" s="9"/>
      <c r="AB276" s="9"/>
      <c r="AC276" s="9"/>
      <c r="AD276" s="970"/>
    </row>
    <row r="277" spans="1:30" ht="13.5" customHeight="1">
      <c r="A277" s="10"/>
      <c r="B277" s="9"/>
      <c r="C277" s="770">
        <v>45798</v>
      </c>
      <c r="D277" s="771">
        <v>161.72</v>
      </c>
      <c r="E277" s="765">
        <v>410990</v>
      </c>
      <c r="F277" s="9"/>
      <c r="G277" s="9"/>
      <c r="H277" s="9"/>
      <c r="I277" s="9"/>
      <c r="J277" s="9"/>
      <c r="K277" s="9"/>
      <c r="L277" s="9"/>
      <c r="M277" s="9"/>
      <c r="N277" s="9"/>
      <c r="O277" s="9"/>
      <c r="P277" s="9"/>
      <c r="Q277" s="9"/>
      <c r="R277" s="9"/>
      <c r="S277" s="9"/>
      <c r="T277" s="9"/>
      <c r="U277" s="9"/>
      <c r="V277" s="9"/>
      <c r="W277" s="9"/>
      <c r="X277" s="9"/>
      <c r="Y277" s="9"/>
      <c r="Z277" s="9"/>
      <c r="AA277" s="9"/>
      <c r="AB277" s="9"/>
      <c r="AC277" s="9"/>
      <c r="AD277" s="970"/>
    </row>
    <row r="278" spans="1:30" ht="13.5" customHeight="1">
      <c r="A278" s="10"/>
      <c r="B278" s="9"/>
      <c r="C278" s="770">
        <v>45797</v>
      </c>
      <c r="D278" s="771">
        <v>169.7</v>
      </c>
      <c r="E278" s="765">
        <v>524393</v>
      </c>
      <c r="F278" s="9"/>
      <c r="G278" s="9"/>
      <c r="H278" s="9"/>
      <c r="I278" s="9"/>
      <c r="J278" s="9"/>
      <c r="K278" s="9"/>
      <c r="L278" s="9"/>
      <c r="M278" s="9"/>
      <c r="N278" s="9"/>
      <c r="O278" s="9"/>
      <c r="P278" s="9"/>
      <c r="Q278" s="9"/>
      <c r="R278" s="9"/>
      <c r="S278" s="9"/>
      <c r="T278" s="9"/>
      <c r="U278" s="9"/>
      <c r="V278" s="9"/>
      <c r="W278" s="9"/>
      <c r="X278" s="9"/>
      <c r="Y278" s="9"/>
      <c r="Z278" s="9"/>
      <c r="AA278" s="9"/>
      <c r="AB278" s="9"/>
      <c r="AC278" s="9"/>
      <c r="AD278" s="970"/>
    </row>
    <row r="279" spans="1:30" ht="13.5" customHeight="1">
      <c r="A279" s="10"/>
      <c r="B279" s="9"/>
      <c r="C279" s="770">
        <v>45796</v>
      </c>
      <c r="D279" s="771">
        <v>172.52</v>
      </c>
      <c r="E279" s="765">
        <v>335302</v>
      </c>
      <c r="F279" s="9"/>
      <c r="G279" s="9"/>
      <c r="H279" s="9"/>
      <c r="I279" s="9"/>
      <c r="J279" s="9"/>
      <c r="K279" s="9"/>
      <c r="L279" s="9"/>
      <c r="M279" s="9"/>
      <c r="N279" s="9"/>
      <c r="O279" s="9"/>
      <c r="P279" s="9"/>
      <c r="Q279" s="9"/>
      <c r="R279" s="9"/>
      <c r="S279" s="9"/>
      <c r="T279" s="9"/>
      <c r="U279" s="9"/>
      <c r="V279" s="9"/>
      <c r="W279" s="9"/>
      <c r="X279" s="9"/>
      <c r="Y279" s="9"/>
      <c r="Z279" s="9"/>
      <c r="AA279" s="9"/>
      <c r="AB279" s="9"/>
      <c r="AC279" s="9"/>
      <c r="AD279" s="970"/>
    </row>
    <row r="280" spans="1:30" ht="13.5" customHeight="1">
      <c r="A280" s="10"/>
      <c r="B280" s="9"/>
      <c r="C280" s="770">
        <v>45793</v>
      </c>
      <c r="D280" s="771">
        <v>172.74</v>
      </c>
      <c r="E280" s="765">
        <v>387017</v>
      </c>
      <c r="F280" s="9"/>
      <c r="G280" s="9"/>
      <c r="H280" s="9"/>
      <c r="I280" s="9"/>
      <c r="J280" s="9"/>
      <c r="K280" s="9"/>
      <c r="L280" s="9"/>
      <c r="M280" s="9"/>
      <c r="N280" s="9"/>
      <c r="O280" s="9"/>
      <c r="P280" s="9"/>
      <c r="Q280" s="9"/>
      <c r="R280" s="9"/>
      <c r="S280" s="9"/>
      <c r="T280" s="9"/>
      <c r="U280" s="9"/>
      <c r="V280" s="9"/>
      <c r="W280" s="9"/>
      <c r="X280" s="9"/>
      <c r="Y280" s="9"/>
      <c r="Z280" s="9"/>
      <c r="AA280" s="9"/>
      <c r="AB280" s="9"/>
      <c r="AC280" s="9"/>
      <c r="AD280" s="970"/>
    </row>
    <row r="281" spans="1:30" ht="13.5" customHeight="1">
      <c r="A281" s="10"/>
      <c r="B281" s="9"/>
      <c r="C281" s="770">
        <v>45792</v>
      </c>
      <c r="D281" s="771">
        <v>170.11</v>
      </c>
      <c r="E281" s="765">
        <v>448421</v>
      </c>
      <c r="F281" s="9"/>
      <c r="G281" s="9"/>
      <c r="H281" s="9"/>
      <c r="I281" s="9"/>
      <c r="J281" s="9"/>
      <c r="K281" s="9"/>
      <c r="L281" s="9"/>
      <c r="M281" s="9"/>
      <c r="N281" s="9"/>
      <c r="O281" s="9"/>
      <c r="P281" s="9"/>
      <c r="Q281" s="9"/>
      <c r="R281" s="9"/>
      <c r="S281" s="9"/>
      <c r="T281" s="9"/>
      <c r="U281" s="9"/>
      <c r="V281" s="9"/>
      <c r="W281" s="9"/>
      <c r="X281" s="9"/>
      <c r="Y281" s="9"/>
      <c r="Z281" s="9"/>
      <c r="AA281" s="9"/>
      <c r="AB281" s="9"/>
      <c r="AC281" s="9"/>
      <c r="AD281" s="970"/>
    </row>
    <row r="282" spans="1:30" ht="13.5" customHeight="1">
      <c r="A282" s="10"/>
      <c r="B282" s="9"/>
      <c r="C282" s="770">
        <v>45791</v>
      </c>
      <c r="D282" s="771">
        <v>174.82</v>
      </c>
      <c r="E282" s="765">
        <v>367332</v>
      </c>
      <c r="F282" s="9"/>
      <c r="G282" s="9"/>
      <c r="H282" s="9"/>
      <c r="I282" s="9"/>
      <c r="J282" s="9"/>
      <c r="K282" s="9"/>
      <c r="L282" s="9"/>
      <c r="M282" s="9"/>
      <c r="N282" s="9"/>
      <c r="O282" s="9"/>
      <c r="P282" s="9"/>
      <c r="Q282" s="9"/>
      <c r="R282" s="9"/>
      <c r="S282" s="9"/>
      <c r="T282" s="9"/>
      <c r="U282" s="9"/>
      <c r="V282" s="9"/>
      <c r="W282" s="9"/>
      <c r="X282" s="9"/>
      <c r="Y282" s="9"/>
      <c r="Z282" s="9"/>
      <c r="AA282" s="9"/>
      <c r="AB282" s="9"/>
      <c r="AC282" s="9"/>
      <c r="AD282" s="970"/>
    </row>
    <row r="283" spans="1:30" ht="13.5" customHeight="1">
      <c r="A283" s="10"/>
      <c r="B283" s="9"/>
      <c r="C283" s="770">
        <v>45790</v>
      </c>
      <c r="D283" s="771">
        <v>174.04</v>
      </c>
      <c r="E283" s="765">
        <v>367418</v>
      </c>
      <c r="F283" s="9"/>
      <c r="G283" s="9"/>
      <c r="H283" s="9"/>
      <c r="I283" s="9"/>
      <c r="J283" s="9"/>
      <c r="K283" s="9"/>
      <c r="L283" s="9"/>
      <c r="M283" s="9"/>
      <c r="N283" s="9"/>
      <c r="O283" s="9"/>
      <c r="P283" s="9"/>
      <c r="Q283" s="9"/>
      <c r="R283" s="9"/>
      <c r="S283" s="9"/>
      <c r="T283" s="9"/>
      <c r="U283" s="9"/>
      <c r="V283" s="9"/>
      <c r="W283" s="9"/>
      <c r="X283" s="9"/>
      <c r="Y283" s="9"/>
      <c r="Z283" s="9"/>
      <c r="AA283" s="9"/>
      <c r="AB283" s="9"/>
      <c r="AC283" s="9"/>
      <c r="AD283" s="970"/>
    </row>
    <row r="284" spans="1:30" ht="13.5" customHeight="1">
      <c r="A284" s="10"/>
      <c r="B284" s="9"/>
      <c r="C284" s="770">
        <v>45789</v>
      </c>
      <c r="D284" s="771">
        <v>172.95</v>
      </c>
      <c r="E284" s="765">
        <v>424284</v>
      </c>
      <c r="F284" s="9"/>
      <c r="G284" s="9"/>
      <c r="H284" s="9"/>
      <c r="I284" s="9"/>
      <c r="J284" s="9"/>
      <c r="K284" s="9"/>
      <c r="L284" s="9"/>
      <c r="M284" s="9"/>
      <c r="N284" s="9"/>
      <c r="O284" s="9"/>
      <c r="P284" s="9"/>
      <c r="Q284" s="9"/>
      <c r="R284" s="9"/>
      <c r="S284" s="9"/>
      <c r="T284" s="9"/>
      <c r="U284" s="9"/>
      <c r="V284" s="9"/>
      <c r="W284" s="9"/>
      <c r="X284" s="9"/>
      <c r="Y284" s="9"/>
      <c r="Z284" s="9"/>
      <c r="AA284" s="9"/>
      <c r="AB284" s="9"/>
      <c r="AC284" s="9"/>
      <c r="AD284" s="970"/>
    </row>
    <row r="285" spans="1:30" ht="13.5" customHeight="1">
      <c r="A285" s="10"/>
      <c r="B285" s="9"/>
      <c r="C285" s="770">
        <v>45786</v>
      </c>
      <c r="D285" s="771">
        <v>162.68</v>
      </c>
      <c r="E285" s="765">
        <v>311214</v>
      </c>
      <c r="F285" s="9"/>
      <c r="G285" s="9"/>
      <c r="H285" s="9"/>
      <c r="I285" s="9"/>
      <c r="J285" s="9"/>
      <c r="K285" s="9"/>
      <c r="L285" s="9"/>
      <c r="M285" s="9"/>
      <c r="N285" s="9"/>
      <c r="O285" s="9"/>
      <c r="P285" s="9"/>
      <c r="Q285" s="9"/>
      <c r="R285" s="9"/>
      <c r="S285" s="9"/>
      <c r="T285" s="9"/>
      <c r="U285" s="9"/>
      <c r="V285" s="9"/>
      <c r="W285" s="9"/>
      <c r="X285" s="9"/>
      <c r="Y285" s="9"/>
      <c r="Z285" s="9"/>
      <c r="AA285" s="9"/>
      <c r="AB285" s="9"/>
      <c r="AC285" s="9"/>
      <c r="AD285" s="970"/>
    </row>
    <row r="286" spans="1:30" ht="13.5" customHeight="1">
      <c r="A286" s="10"/>
      <c r="B286" s="9"/>
      <c r="C286" s="770">
        <v>45785</v>
      </c>
      <c r="D286" s="771">
        <v>162.69999999999999</v>
      </c>
      <c r="E286" s="765">
        <v>337587</v>
      </c>
      <c r="F286" s="9"/>
      <c r="G286" s="9"/>
      <c r="H286" s="9"/>
      <c r="I286" s="9"/>
      <c r="J286" s="9"/>
      <c r="K286" s="9"/>
      <c r="L286" s="9"/>
      <c r="M286" s="9"/>
      <c r="N286" s="9"/>
      <c r="O286" s="9"/>
      <c r="P286" s="9"/>
      <c r="Q286" s="9"/>
      <c r="R286" s="9"/>
      <c r="S286" s="9"/>
      <c r="T286" s="9"/>
      <c r="U286" s="9"/>
      <c r="V286" s="9"/>
      <c r="W286" s="9"/>
      <c r="X286" s="9"/>
      <c r="Y286" s="9"/>
      <c r="Z286" s="9"/>
      <c r="AA286" s="9"/>
      <c r="AB286" s="9"/>
      <c r="AC286" s="9"/>
      <c r="AD286" s="970"/>
    </row>
    <row r="287" spans="1:30" ht="13.5" customHeight="1">
      <c r="A287" s="10"/>
      <c r="B287" s="9"/>
      <c r="C287" s="770">
        <v>45784</v>
      </c>
      <c r="D287" s="771">
        <v>158.62</v>
      </c>
      <c r="E287" s="765">
        <v>309097</v>
      </c>
      <c r="F287" s="9"/>
      <c r="G287" s="9"/>
      <c r="H287" s="9"/>
      <c r="I287" s="9"/>
      <c r="J287" s="9"/>
      <c r="K287" s="9"/>
      <c r="L287" s="9"/>
      <c r="M287" s="9"/>
      <c r="N287" s="9"/>
      <c r="O287" s="9"/>
      <c r="P287" s="9"/>
      <c r="Q287" s="9"/>
      <c r="R287" s="9"/>
      <c r="S287" s="9"/>
      <c r="T287" s="9"/>
      <c r="U287" s="9"/>
      <c r="V287" s="9"/>
      <c r="W287" s="9"/>
      <c r="X287" s="9"/>
      <c r="Y287" s="9"/>
      <c r="Z287" s="9"/>
      <c r="AA287" s="9"/>
      <c r="AB287" s="9"/>
      <c r="AC287" s="9"/>
      <c r="AD287" s="970"/>
    </row>
    <row r="288" spans="1:30" ht="13.5" customHeight="1">
      <c r="A288" s="10"/>
      <c r="B288" s="9"/>
      <c r="C288" s="770">
        <v>45783</v>
      </c>
      <c r="D288" s="771">
        <v>157.71</v>
      </c>
      <c r="E288" s="765">
        <v>286246</v>
      </c>
      <c r="F288" s="9"/>
      <c r="G288" s="9"/>
      <c r="H288" s="9"/>
      <c r="I288" s="9"/>
      <c r="J288" s="9"/>
      <c r="K288" s="9"/>
      <c r="L288" s="9"/>
      <c r="M288" s="9"/>
      <c r="N288" s="9"/>
      <c r="O288" s="9"/>
      <c r="P288" s="9"/>
      <c r="Q288" s="9"/>
      <c r="R288" s="9"/>
      <c r="S288" s="9"/>
      <c r="T288" s="9"/>
      <c r="U288" s="9"/>
      <c r="V288" s="9"/>
      <c r="W288" s="9"/>
      <c r="X288" s="9"/>
      <c r="Y288" s="9"/>
      <c r="Z288" s="9"/>
      <c r="AA288" s="9"/>
      <c r="AB288" s="9"/>
      <c r="AC288" s="9"/>
      <c r="AD288" s="970"/>
    </row>
    <row r="289" spans="1:30" ht="13.5" customHeight="1">
      <c r="A289" s="10"/>
      <c r="B289" s="9"/>
      <c r="C289" s="770">
        <v>45782</v>
      </c>
      <c r="D289" s="771">
        <v>160.37</v>
      </c>
      <c r="E289" s="765">
        <v>308273</v>
      </c>
      <c r="F289" s="9"/>
      <c r="G289" s="9"/>
      <c r="H289" s="9"/>
      <c r="I289" s="9"/>
      <c r="J289" s="9"/>
      <c r="K289" s="9"/>
      <c r="L289" s="9"/>
      <c r="M289" s="9"/>
      <c r="N289" s="9"/>
      <c r="O289" s="9"/>
      <c r="P289" s="9"/>
      <c r="Q289" s="9"/>
      <c r="R289" s="9"/>
      <c r="S289" s="9"/>
      <c r="T289" s="9"/>
      <c r="U289" s="9"/>
      <c r="V289" s="9"/>
      <c r="W289" s="9"/>
      <c r="X289" s="9"/>
      <c r="Y289" s="9"/>
      <c r="Z289" s="9"/>
      <c r="AA289" s="9"/>
      <c r="AB289" s="9"/>
      <c r="AC289" s="9"/>
      <c r="AD289" s="970"/>
    </row>
    <row r="290" spans="1:30" ht="13.5" customHeight="1">
      <c r="A290" s="10"/>
      <c r="B290" s="9"/>
      <c r="C290" s="770">
        <v>45779</v>
      </c>
      <c r="D290" s="771">
        <v>160.59</v>
      </c>
      <c r="E290" s="765">
        <v>394377</v>
      </c>
      <c r="F290" s="9"/>
      <c r="G290" s="9"/>
      <c r="H290" s="9"/>
      <c r="I290" s="9"/>
      <c r="J290" s="9"/>
      <c r="K290" s="9"/>
      <c r="L290" s="9"/>
      <c r="M290" s="9"/>
      <c r="N290" s="9"/>
      <c r="O290" s="9"/>
      <c r="P290" s="9"/>
      <c r="Q290" s="9"/>
      <c r="R290" s="9"/>
      <c r="S290" s="9"/>
      <c r="T290" s="9"/>
      <c r="U290" s="9"/>
      <c r="V290" s="9"/>
      <c r="W290" s="9"/>
      <c r="X290" s="9"/>
      <c r="Y290" s="9"/>
      <c r="Z290" s="9"/>
      <c r="AA290" s="9"/>
      <c r="AB290" s="9"/>
      <c r="AC290" s="9"/>
      <c r="AD290" s="970"/>
    </row>
    <row r="291" spans="1:30" ht="13.5" customHeight="1">
      <c r="A291" s="10"/>
      <c r="B291" s="9"/>
      <c r="C291" s="770">
        <v>45778</v>
      </c>
      <c r="D291" s="771">
        <v>155.62</v>
      </c>
      <c r="E291" s="765">
        <v>334238</v>
      </c>
      <c r="F291" s="9"/>
      <c r="G291" s="9"/>
      <c r="H291" s="9"/>
      <c r="I291" s="9"/>
      <c r="J291" s="9"/>
      <c r="K291" s="9"/>
      <c r="L291" s="9"/>
      <c r="M291" s="9"/>
      <c r="N291" s="9"/>
      <c r="O291" s="9"/>
      <c r="P291" s="9"/>
      <c r="Q291" s="9"/>
      <c r="R291" s="9"/>
      <c r="S291" s="9"/>
      <c r="T291" s="9"/>
      <c r="U291" s="9"/>
      <c r="V291" s="9"/>
      <c r="W291" s="9"/>
      <c r="X291" s="9"/>
      <c r="Y291" s="9"/>
      <c r="Z291" s="9"/>
      <c r="AA291" s="9"/>
      <c r="AB291" s="9"/>
      <c r="AC291" s="9"/>
      <c r="AD291" s="970"/>
    </row>
    <row r="292" spans="1:30" ht="13.5" customHeight="1">
      <c r="A292" s="10"/>
      <c r="B292" s="9"/>
      <c r="C292" s="770">
        <v>45777</v>
      </c>
      <c r="D292" s="771">
        <v>154.49</v>
      </c>
      <c r="E292" s="765">
        <v>416846</v>
      </c>
      <c r="F292" s="9"/>
      <c r="G292" s="9"/>
      <c r="H292" s="9"/>
      <c r="I292" s="9"/>
      <c r="J292" s="9"/>
      <c r="K292" s="9"/>
      <c r="L292" s="9"/>
      <c r="M292" s="9"/>
      <c r="N292" s="9"/>
      <c r="O292" s="9"/>
      <c r="P292" s="9"/>
      <c r="Q292" s="9"/>
      <c r="R292" s="9"/>
      <c r="S292" s="9"/>
      <c r="T292" s="9"/>
      <c r="U292" s="9"/>
      <c r="V292" s="9"/>
      <c r="W292" s="9"/>
      <c r="X292" s="9"/>
      <c r="Y292" s="9"/>
      <c r="Z292" s="9"/>
      <c r="AA292" s="9"/>
      <c r="AB292" s="9"/>
      <c r="AC292" s="9"/>
      <c r="AD292" s="970"/>
    </row>
    <row r="293" spans="1:30" ht="13.5" customHeight="1">
      <c r="A293" s="10"/>
      <c r="B293" s="9"/>
      <c r="C293" s="770">
        <v>45776</v>
      </c>
      <c r="D293" s="771">
        <v>154.51</v>
      </c>
      <c r="E293" s="765">
        <v>401683</v>
      </c>
      <c r="F293" s="9"/>
      <c r="G293" s="9"/>
      <c r="H293" s="9"/>
      <c r="I293" s="9"/>
      <c r="J293" s="9"/>
      <c r="K293" s="9"/>
      <c r="L293" s="9"/>
      <c r="M293" s="9"/>
      <c r="N293" s="9"/>
      <c r="O293" s="9"/>
      <c r="P293" s="9"/>
      <c r="Q293" s="9"/>
      <c r="R293" s="9"/>
      <c r="S293" s="9"/>
      <c r="T293" s="9"/>
      <c r="U293" s="9"/>
      <c r="V293" s="9"/>
      <c r="W293" s="9"/>
      <c r="X293" s="9"/>
      <c r="Y293" s="9"/>
      <c r="Z293" s="9"/>
      <c r="AA293" s="9"/>
      <c r="AB293" s="9"/>
      <c r="AC293" s="9"/>
      <c r="AD293" s="970"/>
    </row>
    <row r="294" spans="1:30" ht="13.5" customHeight="1">
      <c r="A294" s="10"/>
      <c r="B294" s="9"/>
      <c r="C294" s="770">
        <v>45775</v>
      </c>
      <c r="D294" s="771">
        <v>150.59</v>
      </c>
      <c r="E294" s="765">
        <v>397075</v>
      </c>
      <c r="F294" s="9"/>
      <c r="G294" s="9"/>
      <c r="H294" s="9"/>
      <c r="I294" s="9"/>
      <c r="J294" s="9"/>
      <c r="K294" s="9"/>
      <c r="L294" s="9"/>
      <c r="M294" s="9"/>
      <c r="N294" s="9"/>
      <c r="O294" s="9"/>
      <c r="P294" s="9"/>
      <c r="Q294" s="9"/>
      <c r="R294" s="9"/>
      <c r="S294" s="9"/>
      <c r="T294" s="9"/>
      <c r="U294" s="9"/>
      <c r="V294" s="9"/>
      <c r="W294" s="9"/>
      <c r="X294" s="9"/>
      <c r="Y294" s="9"/>
      <c r="Z294" s="9"/>
      <c r="AA294" s="9"/>
      <c r="AB294" s="9"/>
      <c r="AC294" s="9"/>
      <c r="AD294" s="970"/>
    </row>
    <row r="295" spans="1:30" ht="13.5" customHeight="1">
      <c r="A295" s="10"/>
      <c r="B295" s="9"/>
      <c r="C295" s="770">
        <v>45772</v>
      </c>
      <c r="D295" s="771">
        <v>148.34</v>
      </c>
      <c r="E295" s="765">
        <v>367179</v>
      </c>
      <c r="F295" s="9"/>
      <c r="G295" s="9"/>
      <c r="H295" s="9"/>
      <c r="I295" s="9"/>
      <c r="J295" s="9"/>
      <c r="K295" s="9"/>
      <c r="L295" s="9"/>
      <c r="M295" s="9"/>
      <c r="N295" s="9"/>
      <c r="O295" s="9"/>
      <c r="P295" s="9"/>
      <c r="Q295" s="9"/>
      <c r="R295" s="9"/>
      <c r="S295" s="9"/>
      <c r="T295" s="9"/>
      <c r="U295" s="9"/>
      <c r="V295" s="9"/>
      <c r="W295" s="9"/>
      <c r="X295" s="9"/>
      <c r="Y295" s="9"/>
      <c r="Z295" s="9"/>
      <c r="AA295" s="9"/>
      <c r="AB295" s="9"/>
      <c r="AC295" s="9"/>
      <c r="AD295" s="970"/>
    </row>
    <row r="296" spans="1:30" ht="13.5" customHeight="1">
      <c r="A296" s="10"/>
      <c r="B296" s="9"/>
      <c r="C296" s="770">
        <v>45771</v>
      </c>
      <c r="D296" s="771">
        <v>148.01</v>
      </c>
      <c r="E296" s="765">
        <v>437255</v>
      </c>
      <c r="F296" s="9"/>
      <c r="G296" s="9"/>
      <c r="H296" s="9"/>
      <c r="I296" s="9"/>
      <c r="J296" s="9"/>
      <c r="K296" s="9"/>
      <c r="L296" s="9"/>
      <c r="M296" s="9"/>
      <c r="N296" s="9"/>
      <c r="O296" s="9"/>
      <c r="P296" s="9"/>
      <c r="Q296" s="9"/>
      <c r="R296" s="9"/>
      <c r="S296" s="9"/>
      <c r="T296" s="9"/>
      <c r="U296" s="9"/>
      <c r="V296" s="9"/>
      <c r="W296" s="9"/>
      <c r="X296" s="9"/>
      <c r="Y296" s="9"/>
      <c r="Z296" s="9"/>
      <c r="AA296" s="9"/>
      <c r="AB296" s="9"/>
      <c r="AC296" s="9"/>
      <c r="AD296" s="970"/>
    </row>
    <row r="297" spans="1:30" ht="13.5" customHeight="1">
      <c r="A297" s="10"/>
      <c r="B297" s="9"/>
      <c r="C297" s="770">
        <v>45770</v>
      </c>
      <c r="D297" s="771">
        <v>144.1</v>
      </c>
      <c r="E297" s="765">
        <v>569910</v>
      </c>
      <c r="F297" s="9"/>
      <c r="G297" s="9"/>
      <c r="H297" s="9"/>
      <c r="I297" s="9"/>
      <c r="J297" s="9"/>
      <c r="K297" s="9"/>
      <c r="L297" s="9"/>
      <c r="M297" s="9"/>
      <c r="N297" s="9"/>
      <c r="O297" s="9"/>
      <c r="P297" s="9"/>
      <c r="Q297" s="9"/>
      <c r="R297" s="9"/>
      <c r="S297" s="9"/>
      <c r="T297" s="9"/>
      <c r="U297" s="9"/>
      <c r="V297" s="9"/>
      <c r="W297" s="9"/>
      <c r="X297" s="9"/>
      <c r="Y297" s="9"/>
      <c r="Z297" s="9"/>
      <c r="AA297" s="9"/>
      <c r="AB297" s="9"/>
      <c r="AC297" s="9"/>
      <c r="AD297" s="970"/>
    </row>
    <row r="298" spans="1:30" ht="13.5" customHeight="1">
      <c r="A298" s="10"/>
      <c r="B298" s="9"/>
      <c r="C298" s="770">
        <v>45769</v>
      </c>
      <c r="D298" s="771">
        <v>136.68</v>
      </c>
      <c r="E298" s="765">
        <v>383028</v>
      </c>
      <c r="F298" s="9"/>
      <c r="G298" s="9"/>
      <c r="H298" s="9"/>
      <c r="I298" s="9"/>
      <c r="J298" s="9"/>
      <c r="K298" s="9"/>
      <c r="L298" s="9"/>
      <c r="M298" s="9"/>
      <c r="N298" s="9"/>
      <c r="O298" s="9"/>
      <c r="P298" s="9"/>
      <c r="Q298" s="9"/>
      <c r="R298" s="9"/>
      <c r="S298" s="9"/>
      <c r="T298" s="9"/>
      <c r="U298" s="9"/>
      <c r="V298" s="9"/>
      <c r="W298" s="9"/>
      <c r="X298" s="9"/>
      <c r="Y298" s="9"/>
      <c r="Z298" s="9"/>
      <c r="AA298" s="9"/>
      <c r="AB298" s="9"/>
      <c r="AC298" s="9"/>
      <c r="AD298" s="970"/>
    </row>
    <row r="299" spans="1:30" ht="13.5" customHeight="1">
      <c r="A299" s="10"/>
      <c r="B299" s="9"/>
      <c r="C299" s="770">
        <v>45768</v>
      </c>
      <c r="D299" s="771">
        <v>131.4</v>
      </c>
      <c r="E299" s="765">
        <v>403727</v>
      </c>
      <c r="F299" s="9"/>
      <c r="G299" s="9"/>
      <c r="H299" s="9"/>
      <c r="I299" s="9"/>
      <c r="J299" s="9"/>
      <c r="K299" s="9"/>
      <c r="L299" s="9"/>
      <c r="M299" s="9"/>
      <c r="N299" s="9"/>
      <c r="O299" s="9"/>
      <c r="P299" s="9"/>
      <c r="Q299" s="9"/>
      <c r="R299" s="9"/>
      <c r="S299" s="9"/>
      <c r="T299" s="9"/>
      <c r="U299" s="9"/>
      <c r="V299" s="9"/>
      <c r="W299" s="9"/>
      <c r="X299" s="9"/>
      <c r="Y299" s="9"/>
      <c r="Z299" s="9"/>
      <c r="AA299" s="9"/>
      <c r="AB299" s="9"/>
      <c r="AC299" s="9"/>
      <c r="AD299" s="970"/>
    </row>
    <row r="300" spans="1:30" ht="13.5" customHeight="1">
      <c r="A300" s="10"/>
      <c r="B300" s="9"/>
      <c r="C300" s="770">
        <v>45764</v>
      </c>
      <c r="D300" s="771">
        <v>137.72999999999999</v>
      </c>
      <c r="E300" s="765">
        <v>816917</v>
      </c>
      <c r="F300" s="9"/>
      <c r="G300" s="9"/>
      <c r="H300" s="9"/>
      <c r="I300" s="9"/>
      <c r="J300" s="9"/>
      <c r="K300" s="9"/>
      <c r="L300" s="9"/>
      <c r="M300" s="9"/>
      <c r="N300" s="9"/>
      <c r="O300" s="9"/>
      <c r="P300" s="9"/>
      <c r="Q300" s="9"/>
      <c r="R300" s="9"/>
      <c r="S300" s="9"/>
      <c r="T300" s="9"/>
      <c r="U300" s="9"/>
      <c r="V300" s="9"/>
      <c r="W300" s="9"/>
      <c r="X300" s="9"/>
      <c r="Y300" s="9"/>
      <c r="Z300" s="9"/>
      <c r="AA300" s="9"/>
      <c r="AB300" s="9"/>
      <c r="AC300" s="9"/>
      <c r="AD300" s="970"/>
    </row>
    <row r="301" spans="1:30" ht="13.5" customHeight="1">
      <c r="A301" s="10"/>
      <c r="B301" s="9"/>
      <c r="C301" s="770">
        <v>45763</v>
      </c>
      <c r="D301" s="771">
        <v>135.05000000000001</v>
      </c>
      <c r="E301" s="765">
        <v>923068</v>
      </c>
      <c r="F301" s="9"/>
      <c r="G301" s="9"/>
      <c r="H301" s="9"/>
      <c r="I301" s="9"/>
      <c r="J301" s="9"/>
      <c r="K301" s="9"/>
      <c r="L301" s="9"/>
      <c r="M301" s="9"/>
      <c r="N301" s="9"/>
      <c r="O301" s="9"/>
      <c r="P301" s="9"/>
      <c r="Q301" s="9"/>
      <c r="R301" s="9"/>
      <c r="S301" s="9"/>
      <c r="T301" s="9"/>
      <c r="U301" s="9"/>
      <c r="V301" s="9"/>
      <c r="W301" s="9"/>
      <c r="X301" s="9"/>
      <c r="Y301" s="9"/>
      <c r="Z301" s="9"/>
      <c r="AA301" s="9"/>
      <c r="AB301" s="9"/>
      <c r="AC301" s="9"/>
      <c r="AD301" s="970"/>
    </row>
    <row r="302" spans="1:30" ht="13.5" customHeight="1">
      <c r="A302" s="10"/>
      <c r="B302" s="9"/>
      <c r="C302" s="770">
        <v>45762</v>
      </c>
      <c r="D302" s="771">
        <v>141.35</v>
      </c>
      <c r="E302" s="765">
        <v>337491</v>
      </c>
      <c r="F302" s="9"/>
      <c r="G302" s="9"/>
      <c r="H302" s="9"/>
      <c r="I302" s="9"/>
      <c r="J302" s="9"/>
      <c r="K302" s="9"/>
      <c r="L302" s="9"/>
      <c r="M302" s="9"/>
      <c r="N302" s="9"/>
      <c r="O302" s="9"/>
      <c r="P302" s="9"/>
      <c r="Q302" s="9"/>
      <c r="R302" s="9"/>
      <c r="S302" s="9"/>
      <c r="T302" s="9"/>
      <c r="U302" s="9"/>
      <c r="V302" s="9"/>
      <c r="W302" s="9"/>
      <c r="X302" s="9"/>
      <c r="Y302" s="9"/>
      <c r="Z302" s="9"/>
      <c r="AA302" s="9"/>
      <c r="AB302" s="9"/>
      <c r="AC302" s="9"/>
      <c r="AD302" s="970"/>
    </row>
    <row r="303" spans="1:30" ht="13.5" customHeight="1">
      <c r="A303" s="10"/>
      <c r="B303" s="9"/>
      <c r="C303" s="770">
        <v>45761</v>
      </c>
      <c r="D303" s="771">
        <v>140.87</v>
      </c>
      <c r="E303" s="765">
        <v>574196</v>
      </c>
      <c r="F303" s="9"/>
      <c r="G303" s="9"/>
      <c r="H303" s="9"/>
      <c r="I303" s="9"/>
      <c r="J303" s="9"/>
      <c r="K303" s="9"/>
      <c r="L303" s="9"/>
      <c r="M303" s="9"/>
      <c r="N303" s="9"/>
      <c r="O303" s="9"/>
      <c r="P303" s="9"/>
      <c r="Q303" s="9"/>
      <c r="R303" s="9"/>
      <c r="S303" s="9"/>
      <c r="T303" s="9"/>
      <c r="U303" s="9"/>
      <c r="V303" s="9"/>
      <c r="W303" s="9"/>
      <c r="X303" s="9"/>
      <c r="Y303" s="9"/>
      <c r="Z303" s="9"/>
      <c r="AA303" s="9"/>
      <c r="AB303" s="9"/>
      <c r="AC303" s="9"/>
      <c r="AD303" s="970"/>
    </row>
    <row r="304" spans="1:30" ht="13.5" customHeight="1">
      <c r="A304" s="10"/>
      <c r="B304" s="9"/>
      <c r="C304" s="770">
        <v>45758</v>
      </c>
      <c r="D304" s="771">
        <v>137.21</v>
      </c>
      <c r="E304" s="765">
        <v>550071</v>
      </c>
      <c r="F304" s="9"/>
      <c r="G304" s="9"/>
      <c r="H304" s="9"/>
      <c r="I304" s="9"/>
      <c r="J304" s="9"/>
      <c r="K304" s="9"/>
      <c r="L304" s="9"/>
      <c r="M304" s="9"/>
      <c r="N304" s="9"/>
      <c r="O304" s="9"/>
      <c r="P304" s="9"/>
      <c r="Q304" s="9"/>
      <c r="R304" s="9"/>
      <c r="S304" s="9"/>
      <c r="T304" s="9"/>
      <c r="U304" s="9"/>
      <c r="V304" s="9"/>
      <c r="W304" s="9"/>
      <c r="X304" s="9"/>
      <c r="Y304" s="9"/>
      <c r="Z304" s="9"/>
      <c r="AA304" s="9"/>
      <c r="AB304" s="9"/>
      <c r="AC304" s="9"/>
      <c r="AD304" s="970"/>
    </row>
    <row r="305" spans="1:30" ht="13.5" customHeight="1">
      <c r="A305" s="10"/>
      <c r="B305" s="9"/>
      <c r="C305" s="770">
        <v>45757</v>
      </c>
      <c r="D305" s="771">
        <v>138.07</v>
      </c>
      <c r="E305" s="765">
        <v>558908</v>
      </c>
      <c r="F305" s="9"/>
      <c r="G305" s="9"/>
      <c r="H305" s="9"/>
      <c r="I305" s="9"/>
      <c r="J305" s="9"/>
      <c r="K305" s="9"/>
      <c r="L305" s="9"/>
      <c r="M305" s="9"/>
      <c r="N305" s="9"/>
      <c r="O305" s="9"/>
      <c r="P305" s="9"/>
      <c r="Q305" s="9"/>
      <c r="R305" s="9"/>
      <c r="S305" s="9"/>
      <c r="T305" s="9"/>
      <c r="U305" s="9"/>
      <c r="V305" s="9"/>
      <c r="W305" s="9"/>
      <c r="X305" s="9"/>
      <c r="Y305" s="9"/>
      <c r="Z305" s="9"/>
      <c r="AA305" s="9"/>
      <c r="AB305" s="9"/>
      <c r="AC305" s="9"/>
      <c r="AD305" s="970"/>
    </row>
    <row r="306" spans="1:30" ht="13.5" customHeight="1">
      <c r="A306" s="10"/>
      <c r="B306" s="9"/>
      <c r="C306" s="770">
        <v>45756</v>
      </c>
      <c r="D306" s="771">
        <v>147.08000000000001</v>
      </c>
      <c r="E306" s="765">
        <v>1251958</v>
      </c>
      <c r="F306" s="9"/>
      <c r="G306" s="9"/>
      <c r="H306" s="9"/>
      <c r="I306" s="9"/>
      <c r="J306" s="9"/>
      <c r="K306" s="9"/>
      <c r="L306" s="9"/>
      <c r="M306" s="9"/>
      <c r="N306" s="9"/>
      <c r="O306" s="9"/>
      <c r="P306" s="9"/>
      <c r="Q306" s="9"/>
      <c r="R306" s="9"/>
      <c r="S306" s="9"/>
      <c r="T306" s="9"/>
      <c r="U306" s="9"/>
      <c r="V306" s="9"/>
      <c r="W306" s="9"/>
      <c r="X306" s="9"/>
      <c r="Y306" s="9"/>
      <c r="Z306" s="9"/>
      <c r="AA306" s="9"/>
      <c r="AB306" s="9"/>
      <c r="AC306" s="9"/>
      <c r="AD306" s="970"/>
    </row>
    <row r="307" spans="1:30" ht="13.5" customHeight="1">
      <c r="A307" s="10"/>
      <c r="B307" s="9"/>
      <c r="C307" s="770">
        <v>45755</v>
      </c>
      <c r="D307" s="771">
        <v>126.65</v>
      </c>
      <c r="E307" s="765">
        <v>792481</v>
      </c>
      <c r="F307" s="9"/>
      <c r="G307" s="9"/>
      <c r="H307" s="9"/>
      <c r="I307" s="9"/>
      <c r="J307" s="9"/>
      <c r="K307" s="9"/>
      <c r="L307" s="9"/>
      <c r="M307" s="9"/>
      <c r="N307" s="9"/>
      <c r="O307" s="9"/>
      <c r="P307" s="9"/>
      <c r="Q307" s="9"/>
      <c r="R307" s="9"/>
      <c r="S307" s="9"/>
      <c r="T307" s="9"/>
      <c r="U307" s="9"/>
      <c r="V307" s="9"/>
      <c r="W307" s="9"/>
      <c r="X307" s="9"/>
      <c r="Y307" s="9"/>
      <c r="Z307" s="9"/>
      <c r="AA307" s="9"/>
      <c r="AB307" s="9"/>
      <c r="AC307" s="9"/>
      <c r="AD307" s="970"/>
    </row>
    <row r="308" spans="1:30" ht="13.5" customHeight="1">
      <c r="A308" s="10"/>
      <c r="B308" s="9"/>
      <c r="C308" s="770">
        <v>45754</v>
      </c>
      <c r="D308" s="771">
        <v>134.12</v>
      </c>
      <c r="E308" s="765">
        <v>1176736</v>
      </c>
      <c r="F308" s="9"/>
      <c r="G308" s="9"/>
      <c r="H308" s="9"/>
      <c r="I308" s="9"/>
      <c r="J308" s="9"/>
      <c r="K308" s="9"/>
      <c r="L308" s="9"/>
      <c r="M308" s="9"/>
      <c r="N308" s="9"/>
      <c r="O308" s="9"/>
      <c r="P308" s="9"/>
      <c r="Q308" s="9"/>
      <c r="R308" s="9"/>
      <c r="S308" s="9"/>
      <c r="T308" s="9"/>
      <c r="U308" s="9"/>
      <c r="V308" s="9"/>
      <c r="W308" s="9"/>
      <c r="X308" s="9"/>
      <c r="Y308" s="9"/>
      <c r="Z308" s="9"/>
      <c r="AA308" s="9"/>
      <c r="AB308" s="9"/>
      <c r="AC308" s="9"/>
      <c r="AD308" s="970"/>
    </row>
    <row r="309" spans="1:30" ht="13.5" customHeight="1">
      <c r="A309" s="10"/>
      <c r="B309" s="9"/>
      <c r="C309" s="770">
        <v>45751</v>
      </c>
      <c r="D309" s="771">
        <v>135.66</v>
      </c>
      <c r="E309" s="765">
        <v>1098402</v>
      </c>
      <c r="F309" s="9"/>
      <c r="G309" s="9"/>
      <c r="H309" s="9"/>
      <c r="I309" s="9"/>
      <c r="J309" s="9"/>
      <c r="K309" s="9"/>
      <c r="L309" s="9"/>
      <c r="M309" s="9"/>
      <c r="N309" s="9"/>
      <c r="O309" s="9"/>
      <c r="P309" s="9"/>
      <c r="Q309" s="9"/>
      <c r="R309" s="9"/>
      <c r="S309" s="9"/>
      <c r="T309" s="9"/>
      <c r="U309" s="9"/>
      <c r="V309" s="9"/>
      <c r="W309" s="9"/>
      <c r="X309" s="9"/>
      <c r="Y309" s="9"/>
      <c r="Z309" s="9"/>
      <c r="AA309" s="9"/>
      <c r="AB309" s="9"/>
      <c r="AC309" s="9"/>
      <c r="AD309" s="970"/>
    </row>
    <row r="310" spans="1:30" ht="13.5" customHeight="1">
      <c r="A310" s="10"/>
      <c r="B310" s="9"/>
      <c r="C310" s="770">
        <v>45750</v>
      </c>
      <c r="D310" s="771">
        <v>140.88999999999999</v>
      </c>
      <c r="E310" s="765">
        <v>657404</v>
      </c>
      <c r="F310" s="9"/>
      <c r="G310" s="9"/>
      <c r="H310" s="9"/>
      <c r="I310" s="9"/>
      <c r="J310" s="9"/>
      <c r="K310" s="9"/>
      <c r="L310" s="9"/>
      <c r="M310" s="9"/>
      <c r="N310" s="9"/>
      <c r="O310" s="9"/>
      <c r="P310" s="9"/>
      <c r="Q310" s="9"/>
      <c r="R310" s="9"/>
      <c r="S310" s="9"/>
      <c r="T310" s="9"/>
      <c r="U310" s="9"/>
      <c r="V310" s="9"/>
      <c r="W310" s="9"/>
      <c r="X310" s="9"/>
      <c r="Y310" s="9"/>
      <c r="Z310" s="9"/>
      <c r="AA310" s="9"/>
      <c r="AB310" s="9"/>
      <c r="AC310" s="9"/>
      <c r="AD310" s="970"/>
    </row>
    <row r="311" spans="1:30" ht="13.5" customHeight="1">
      <c r="A311" s="10"/>
      <c r="B311" s="9"/>
      <c r="C311" s="770">
        <v>45749</v>
      </c>
      <c r="D311" s="771">
        <v>155.47999999999999</v>
      </c>
      <c r="E311" s="765">
        <v>427267</v>
      </c>
      <c r="F311" s="9"/>
      <c r="G311" s="9"/>
      <c r="H311" s="9"/>
      <c r="I311" s="9"/>
      <c r="J311" s="9"/>
      <c r="K311" s="9"/>
      <c r="L311" s="9"/>
      <c r="M311" s="9"/>
      <c r="N311" s="9"/>
      <c r="O311" s="9"/>
      <c r="P311" s="9"/>
      <c r="Q311" s="9"/>
      <c r="R311" s="9"/>
      <c r="S311" s="9"/>
      <c r="T311" s="9"/>
      <c r="U311" s="9"/>
      <c r="V311" s="9"/>
      <c r="W311" s="9"/>
      <c r="X311" s="9"/>
      <c r="Y311" s="9"/>
      <c r="Z311" s="9"/>
      <c r="AA311" s="9"/>
      <c r="AB311" s="9"/>
      <c r="AC311" s="9"/>
      <c r="AD311" s="970"/>
    </row>
    <row r="312" spans="1:30" ht="13.5" customHeight="1">
      <c r="A312" s="10"/>
      <c r="B312" s="9"/>
      <c r="C312" s="770">
        <v>45748</v>
      </c>
      <c r="D312" s="771">
        <v>151.91999999999999</v>
      </c>
      <c r="E312" s="765">
        <v>413614</v>
      </c>
      <c r="F312" s="9"/>
      <c r="G312" s="9"/>
      <c r="H312" s="9"/>
      <c r="I312" s="9"/>
      <c r="J312" s="9"/>
      <c r="K312" s="9"/>
      <c r="L312" s="9"/>
      <c r="M312" s="9"/>
      <c r="N312" s="9"/>
      <c r="O312" s="9"/>
      <c r="P312" s="9"/>
      <c r="Q312" s="9"/>
      <c r="R312" s="9"/>
      <c r="S312" s="9"/>
      <c r="T312" s="9"/>
      <c r="U312" s="9"/>
      <c r="V312" s="9"/>
      <c r="W312" s="9"/>
      <c r="X312" s="9"/>
      <c r="Y312" s="9"/>
      <c r="Z312" s="9"/>
      <c r="AA312" s="9"/>
      <c r="AB312" s="9"/>
      <c r="AC312" s="9"/>
      <c r="AD312" s="970"/>
    </row>
    <row r="313" spans="1:30" ht="13.5" customHeight="1">
      <c r="A313" s="10"/>
      <c r="B313" s="9"/>
      <c r="C313" s="770">
        <v>45747</v>
      </c>
      <c r="D313" s="771">
        <v>148.66999999999999</v>
      </c>
      <c r="E313" s="765">
        <v>399818</v>
      </c>
      <c r="F313" s="9"/>
      <c r="G313" s="9"/>
      <c r="H313" s="9"/>
      <c r="I313" s="9"/>
      <c r="J313" s="9"/>
      <c r="K313" s="9"/>
      <c r="L313" s="9"/>
      <c r="M313" s="9"/>
      <c r="N313" s="9"/>
      <c r="O313" s="9"/>
      <c r="P313" s="9"/>
      <c r="Q313" s="9"/>
      <c r="R313" s="9"/>
      <c r="S313" s="9"/>
      <c r="T313" s="9"/>
      <c r="U313" s="9"/>
      <c r="V313" s="9"/>
      <c r="W313" s="9"/>
      <c r="X313" s="9"/>
      <c r="Y313" s="9"/>
      <c r="Z313" s="9"/>
      <c r="AA313" s="9"/>
      <c r="AB313" s="9"/>
      <c r="AC313" s="9"/>
      <c r="AD313" s="970"/>
    </row>
    <row r="314" spans="1:30" ht="13.5" customHeight="1">
      <c r="A314" s="10"/>
      <c r="B314" s="9"/>
      <c r="C314" s="770">
        <v>45744</v>
      </c>
      <c r="D314" s="771">
        <v>147.08000000000001</v>
      </c>
      <c r="E314" s="765">
        <v>382110</v>
      </c>
      <c r="F314" s="9"/>
      <c r="G314" s="9"/>
      <c r="H314" s="9"/>
      <c r="I314" s="9"/>
      <c r="J314" s="9"/>
      <c r="K314" s="9"/>
      <c r="L314" s="9"/>
      <c r="M314" s="9"/>
      <c r="N314" s="9"/>
      <c r="O314" s="9"/>
      <c r="P314" s="9"/>
      <c r="Q314" s="9"/>
      <c r="R314" s="9"/>
      <c r="S314" s="9"/>
      <c r="T314" s="9"/>
      <c r="U314" s="9"/>
      <c r="V314" s="9"/>
      <c r="W314" s="9"/>
      <c r="X314" s="9"/>
      <c r="Y314" s="9"/>
      <c r="Z314" s="9"/>
      <c r="AA314" s="9"/>
      <c r="AB314" s="9"/>
      <c r="AC314" s="9"/>
      <c r="AD314" s="970"/>
    </row>
    <row r="315" spans="1:30" ht="13.5" customHeight="1">
      <c r="A315" s="10"/>
      <c r="B315" s="9"/>
      <c r="C315" s="770">
        <v>45743</v>
      </c>
      <c r="D315" s="771">
        <v>150.81</v>
      </c>
      <c r="E315" s="765">
        <v>357387</v>
      </c>
      <c r="F315" s="9"/>
      <c r="G315" s="9"/>
      <c r="H315" s="9"/>
      <c r="I315" s="9"/>
      <c r="J315" s="9"/>
      <c r="K315" s="9"/>
      <c r="L315" s="9"/>
      <c r="M315" s="9"/>
      <c r="N315" s="9"/>
      <c r="O315" s="9"/>
      <c r="P315" s="9"/>
      <c r="Q315" s="9"/>
      <c r="R315" s="9"/>
      <c r="S315" s="9"/>
      <c r="T315" s="9"/>
      <c r="U315" s="9"/>
      <c r="V315" s="9"/>
      <c r="W315" s="9"/>
      <c r="X315" s="9"/>
      <c r="Y315" s="9"/>
      <c r="Z315" s="9"/>
      <c r="AA315" s="9"/>
      <c r="AB315" s="9"/>
      <c r="AC315" s="9"/>
      <c r="AD315" s="970"/>
    </row>
    <row r="316" spans="1:30" ht="13.5" customHeight="1">
      <c r="A316" s="10"/>
      <c r="B316" s="9"/>
      <c r="C316" s="770">
        <v>45742</v>
      </c>
      <c r="D316" s="771">
        <v>154.02000000000001</v>
      </c>
      <c r="E316" s="765">
        <v>309185</v>
      </c>
      <c r="F316" s="9"/>
      <c r="G316" s="9"/>
      <c r="H316" s="9"/>
      <c r="I316" s="9"/>
      <c r="J316" s="9"/>
      <c r="K316" s="9"/>
      <c r="L316" s="9"/>
      <c r="M316" s="9"/>
      <c r="N316" s="9"/>
      <c r="O316" s="9"/>
      <c r="P316" s="9"/>
      <c r="Q316" s="9"/>
      <c r="R316" s="9"/>
      <c r="S316" s="9"/>
      <c r="T316" s="9"/>
      <c r="U316" s="9"/>
      <c r="V316" s="9"/>
      <c r="W316" s="9"/>
      <c r="X316" s="9"/>
      <c r="Y316" s="9"/>
      <c r="Z316" s="9"/>
      <c r="AA316" s="9"/>
      <c r="AB316" s="9"/>
      <c r="AC316" s="9"/>
      <c r="AD316" s="970"/>
    </row>
    <row r="317" spans="1:30" ht="13.5" customHeight="1">
      <c r="A317" s="10"/>
      <c r="B317" s="9"/>
      <c r="C317" s="770">
        <v>45741</v>
      </c>
      <c r="D317" s="771">
        <v>157.61000000000001</v>
      </c>
      <c r="E317" s="765">
        <v>371258</v>
      </c>
      <c r="F317" s="9"/>
      <c r="G317" s="9"/>
      <c r="H317" s="9"/>
      <c r="I317" s="9"/>
      <c r="J317" s="9"/>
      <c r="K317" s="9"/>
      <c r="L317" s="9"/>
      <c r="M317" s="9"/>
      <c r="N317" s="9"/>
      <c r="O317" s="9"/>
      <c r="P317" s="9"/>
      <c r="Q317" s="9"/>
      <c r="R317" s="9"/>
      <c r="S317" s="9"/>
      <c r="T317" s="9"/>
      <c r="U317" s="9"/>
      <c r="V317" s="9"/>
      <c r="W317" s="9"/>
      <c r="X317" s="9"/>
      <c r="Y317" s="9"/>
      <c r="Z317" s="9"/>
      <c r="AA317" s="9"/>
      <c r="AB317" s="9"/>
      <c r="AC317" s="9"/>
      <c r="AD317" s="970"/>
    </row>
    <row r="318" spans="1:30" ht="13.5" customHeight="1">
      <c r="A318" s="10"/>
      <c r="B318" s="9"/>
      <c r="C318" s="770">
        <v>45740</v>
      </c>
      <c r="D318" s="771">
        <v>155.88999999999999</v>
      </c>
      <c r="E318" s="765">
        <v>458511</v>
      </c>
      <c r="F318" s="9"/>
      <c r="G318" s="9"/>
      <c r="H318" s="9"/>
      <c r="I318" s="9"/>
      <c r="J318" s="9"/>
      <c r="K318" s="9"/>
      <c r="L318" s="9"/>
      <c r="M318" s="9"/>
      <c r="N318" s="9"/>
      <c r="O318" s="9"/>
      <c r="P318" s="9"/>
      <c r="Q318" s="9"/>
      <c r="R318" s="9"/>
      <c r="S318" s="9"/>
      <c r="T318" s="9"/>
      <c r="U318" s="9"/>
      <c r="V318" s="9"/>
      <c r="W318" s="9"/>
      <c r="X318" s="9"/>
      <c r="Y318" s="9"/>
      <c r="Z318" s="9"/>
      <c r="AA318" s="9"/>
      <c r="AB318" s="9"/>
      <c r="AC318" s="9"/>
      <c r="AD318" s="970"/>
    </row>
    <row r="319" spans="1:30" ht="13.5" customHeight="1">
      <c r="A319" s="10"/>
      <c r="B319" s="9"/>
      <c r="C319" s="770">
        <v>45737</v>
      </c>
      <c r="D319" s="771">
        <v>150.63999999999999</v>
      </c>
      <c r="E319" s="765">
        <v>1209451</v>
      </c>
      <c r="F319" s="9"/>
      <c r="G319" s="9"/>
      <c r="H319" s="9"/>
      <c r="I319" s="9"/>
      <c r="J319" s="9"/>
      <c r="K319" s="9"/>
      <c r="L319" s="9"/>
      <c r="M319" s="9"/>
      <c r="N319" s="9"/>
      <c r="O319" s="9"/>
      <c r="P319" s="9"/>
      <c r="Q319" s="9"/>
      <c r="R319" s="9"/>
      <c r="S319" s="9"/>
      <c r="T319" s="9"/>
      <c r="U319" s="9"/>
      <c r="V319" s="9"/>
      <c r="W319" s="9"/>
      <c r="X319" s="9"/>
      <c r="Y319" s="9"/>
      <c r="Z319" s="9"/>
      <c r="AA319" s="9"/>
      <c r="AB319" s="9"/>
      <c r="AC319" s="9"/>
      <c r="AD319" s="970"/>
    </row>
    <row r="320" spans="1:30" ht="13.5" customHeight="1">
      <c r="A320" s="10"/>
      <c r="B320" s="9"/>
      <c r="C320" s="770">
        <v>45736</v>
      </c>
      <c r="D320" s="771">
        <v>149.19999999999999</v>
      </c>
      <c r="E320" s="765">
        <v>469358</v>
      </c>
      <c r="F320" s="9"/>
      <c r="G320" s="9"/>
      <c r="H320" s="9"/>
      <c r="I320" s="9"/>
      <c r="J320" s="9"/>
      <c r="K320" s="9"/>
      <c r="L320" s="9"/>
      <c r="M320" s="9"/>
      <c r="N320" s="9"/>
      <c r="O320" s="9"/>
      <c r="P320" s="9"/>
      <c r="Q320" s="9"/>
      <c r="R320" s="9"/>
      <c r="S320" s="9"/>
      <c r="T320" s="9"/>
      <c r="U320" s="9"/>
      <c r="V320" s="9"/>
      <c r="W320" s="9"/>
      <c r="X320" s="9"/>
      <c r="Y320" s="9"/>
      <c r="Z320" s="9"/>
      <c r="AA320" s="9"/>
      <c r="AB320" s="9"/>
      <c r="AC320" s="9"/>
      <c r="AD320" s="970"/>
    </row>
    <row r="321" spans="1:30" ht="13.5" customHeight="1">
      <c r="A321" s="10"/>
      <c r="B321" s="9"/>
      <c r="C321" s="770">
        <v>45735</v>
      </c>
      <c r="D321" s="771">
        <v>150.57</v>
      </c>
      <c r="E321" s="765">
        <v>397275</v>
      </c>
      <c r="F321" s="9"/>
      <c r="G321" s="9"/>
      <c r="H321" s="9"/>
      <c r="I321" s="9"/>
      <c r="J321" s="9"/>
      <c r="K321" s="9"/>
      <c r="L321" s="9"/>
      <c r="M321" s="9"/>
      <c r="N321" s="9"/>
      <c r="O321" s="9"/>
      <c r="P321" s="9"/>
      <c r="Q321" s="9"/>
      <c r="R321" s="9"/>
      <c r="S321" s="9"/>
      <c r="T321" s="9"/>
      <c r="U321" s="9"/>
      <c r="V321" s="9"/>
      <c r="W321" s="9"/>
      <c r="X321" s="9"/>
      <c r="Y321" s="9"/>
      <c r="Z321" s="9"/>
      <c r="AA321" s="9"/>
      <c r="AB321" s="9"/>
      <c r="AC321" s="9"/>
      <c r="AD321" s="970"/>
    </row>
    <row r="322" spans="1:30" ht="13.5" customHeight="1">
      <c r="A322" s="10"/>
      <c r="B322" s="9"/>
      <c r="C322" s="770">
        <v>45734</v>
      </c>
      <c r="D322" s="771">
        <v>144.74</v>
      </c>
      <c r="E322" s="765">
        <v>312873</v>
      </c>
      <c r="F322" s="9"/>
      <c r="G322" s="9"/>
      <c r="H322" s="9"/>
      <c r="I322" s="9"/>
      <c r="J322" s="9"/>
      <c r="K322" s="9"/>
      <c r="L322" s="9"/>
      <c r="M322" s="9"/>
      <c r="N322" s="9"/>
      <c r="O322" s="9"/>
      <c r="P322" s="9"/>
      <c r="Q322" s="9"/>
      <c r="R322" s="9"/>
      <c r="S322" s="9"/>
      <c r="T322" s="9"/>
      <c r="U322" s="9"/>
      <c r="V322" s="9"/>
      <c r="W322" s="9"/>
      <c r="X322" s="9"/>
      <c r="Y322" s="9"/>
      <c r="Z322" s="9"/>
      <c r="AA322" s="9"/>
      <c r="AB322" s="9"/>
      <c r="AC322" s="9"/>
      <c r="AD322" s="970"/>
    </row>
    <row r="323" spans="1:30" ht="13.5" customHeight="1">
      <c r="A323" s="10"/>
      <c r="B323" s="9"/>
      <c r="C323" s="770">
        <v>45733</v>
      </c>
      <c r="D323" s="771">
        <v>145.15</v>
      </c>
      <c r="E323" s="765">
        <v>498984</v>
      </c>
      <c r="F323" s="9"/>
      <c r="G323" s="9"/>
      <c r="H323" s="9"/>
      <c r="I323" s="9"/>
      <c r="J323" s="9"/>
      <c r="K323" s="9"/>
      <c r="L323" s="9"/>
      <c r="M323" s="9"/>
      <c r="N323" s="9"/>
      <c r="O323" s="9"/>
      <c r="P323" s="9"/>
      <c r="Q323" s="9"/>
      <c r="R323" s="9"/>
      <c r="S323" s="9"/>
      <c r="T323" s="9"/>
      <c r="U323" s="9"/>
      <c r="V323" s="9"/>
      <c r="W323" s="9"/>
      <c r="X323" s="9"/>
      <c r="Y323" s="9"/>
      <c r="Z323" s="9"/>
      <c r="AA323" s="9"/>
      <c r="AB323" s="9"/>
      <c r="AC323" s="9"/>
      <c r="AD323" s="970"/>
    </row>
    <row r="324" spans="1:30" ht="13.5" customHeight="1">
      <c r="A324" s="10"/>
      <c r="B324" s="9"/>
      <c r="C324" s="770">
        <v>45730</v>
      </c>
      <c r="D324" s="771">
        <v>142.56</v>
      </c>
      <c r="E324" s="765">
        <v>585176</v>
      </c>
      <c r="F324" s="9"/>
      <c r="G324" s="9"/>
      <c r="H324" s="9"/>
      <c r="I324" s="9"/>
      <c r="J324" s="9"/>
      <c r="K324" s="9"/>
      <c r="L324" s="9"/>
      <c r="M324" s="9"/>
      <c r="N324" s="9"/>
      <c r="O324" s="9"/>
      <c r="P324" s="9"/>
      <c r="Q324" s="9"/>
      <c r="R324" s="9"/>
      <c r="S324" s="9"/>
      <c r="T324" s="9"/>
      <c r="U324" s="9"/>
      <c r="V324" s="9"/>
      <c r="W324" s="9"/>
      <c r="X324" s="9"/>
      <c r="Y324" s="9"/>
      <c r="Z324" s="9"/>
      <c r="AA324" s="9"/>
      <c r="AB324" s="9"/>
      <c r="AC324" s="9"/>
      <c r="AD324" s="970"/>
    </row>
    <row r="325" spans="1:30" ht="13.5" customHeight="1">
      <c r="A325" s="10"/>
      <c r="B325" s="9"/>
      <c r="C325" s="770">
        <v>45729</v>
      </c>
      <c r="D325" s="771">
        <v>139.01</v>
      </c>
      <c r="E325" s="765">
        <v>744651</v>
      </c>
      <c r="F325" s="9"/>
      <c r="G325" s="9"/>
      <c r="H325" s="9"/>
      <c r="I325" s="9"/>
      <c r="J325" s="9"/>
      <c r="K325" s="9"/>
      <c r="L325" s="9"/>
      <c r="M325" s="9"/>
      <c r="N325" s="9"/>
      <c r="O325" s="9"/>
      <c r="P325" s="9"/>
      <c r="Q325" s="9"/>
      <c r="R325" s="9"/>
      <c r="S325" s="9"/>
      <c r="T325" s="9"/>
      <c r="U325" s="9"/>
      <c r="V325" s="9"/>
      <c r="W325" s="9"/>
      <c r="X325" s="9"/>
      <c r="Y325" s="9"/>
      <c r="Z325" s="9"/>
      <c r="AA325" s="9"/>
      <c r="AB325" s="9"/>
      <c r="AC325" s="9"/>
      <c r="AD325" s="970"/>
    </row>
    <row r="326" spans="1:30" ht="13.5" customHeight="1">
      <c r="A326" s="10"/>
      <c r="B326" s="9"/>
      <c r="C326" s="770">
        <v>45728</v>
      </c>
      <c r="D326" s="771">
        <v>141.47</v>
      </c>
      <c r="E326" s="765">
        <v>763986</v>
      </c>
      <c r="F326" s="9"/>
      <c r="G326" s="9"/>
      <c r="H326" s="9"/>
      <c r="I326" s="9"/>
      <c r="J326" s="9"/>
      <c r="K326" s="9"/>
      <c r="L326" s="9"/>
      <c r="M326" s="9"/>
      <c r="N326" s="9"/>
      <c r="O326" s="9"/>
      <c r="P326" s="9"/>
      <c r="Q326" s="9"/>
      <c r="R326" s="9"/>
      <c r="S326" s="9"/>
      <c r="T326" s="9"/>
      <c r="U326" s="9"/>
      <c r="V326" s="9"/>
      <c r="W326" s="9"/>
      <c r="X326" s="9"/>
      <c r="Y326" s="9"/>
      <c r="Z326" s="9"/>
      <c r="AA326" s="9"/>
      <c r="AB326" s="9"/>
      <c r="AC326" s="9"/>
      <c r="AD326" s="970"/>
    </row>
    <row r="327" spans="1:30" ht="13.5" customHeight="1">
      <c r="A327" s="10"/>
      <c r="B327" s="9"/>
      <c r="C327" s="770">
        <v>45727</v>
      </c>
      <c r="D327" s="771">
        <v>140.05000000000001</v>
      </c>
      <c r="E327" s="765">
        <v>614224</v>
      </c>
      <c r="F327" s="9"/>
      <c r="G327" s="9"/>
      <c r="H327" s="9"/>
      <c r="I327" s="9"/>
      <c r="J327" s="9"/>
      <c r="K327" s="9"/>
      <c r="L327" s="9"/>
      <c r="M327" s="9"/>
      <c r="N327" s="9"/>
      <c r="O327" s="9"/>
      <c r="P327" s="9"/>
      <c r="Q327" s="9"/>
      <c r="R327" s="9"/>
      <c r="S327" s="9"/>
      <c r="T327" s="9"/>
      <c r="U327" s="9"/>
      <c r="V327" s="9"/>
      <c r="W327" s="9"/>
      <c r="X327" s="9"/>
      <c r="Y327" s="9"/>
      <c r="Z327" s="9"/>
      <c r="AA327" s="9"/>
      <c r="AB327" s="9"/>
      <c r="AC327" s="9"/>
      <c r="AD327" s="970"/>
    </row>
    <row r="328" spans="1:30" ht="13.5" customHeight="1">
      <c r="A328" s="10"/>
      <c r="B328" s="9"/>
      <c r="C328" s="770">
        <v>45726</v>
      </c>
      <c r="D328" s="771">
        <v>137.87</v>
      </c>
      <c r="E328" s="765">
        <v>587446</v>
      </c>
      <c r="F328" s="9"/>
      <c r="G328" s="9"/>
      <c r="H328" s="9"/>
      <c r="I328" s="9"/>
      <c r="J328" s="9"/>
      <c r="K328" s="9"/>
      <c r="L328" s="9"/>
      <c r="M328" s="9"/>
      <c r="N328" s="9"/>
      <c r="O328" s="9"/>
      <c r="P328" s="9"/>
      <c r="Q328" s="9"/>
      <c r="R328" s="9"/>
      <c r="S328" s="9"/>
      <c r="T328" s="9"/>
      <c r="U328" s="9"/>
      <c r="V328" s="9"/>
      <c r="W328" s="9"/>
      <c r="X328" s="9"/>
      <c r="Y328" s="9"/>
      <c r="Z328" s="9"/>
      <c r="AA328" s="9"/>
      <c r="AB328" s="9"/>
      <c r="AC328" s="9"/>
      <c r="AD328" s="970"/>
    </row>
    <row r="329" spans="1:30" ht="13.5" customHeight="1">
      <c r="A329" s="10"/>
      <c r="B329" s="9"/>
      <c r="C329" s="770">
        <v>45723</v>
      </c>
      <c r="D329" s="771">
        <v>145.94</v>
      </c>
      <c r="E329" s="765">
        <v>718095</v>
      </c>
      <c r="F329" s="9"/>
      <c r="G329" s="9"/>
      <c r="H329" s="9"/>
      <c r="I329" s="9"/>
      <c r="J329" s="9"/>
      <c r="K329" s="9"/>
      <c r="L329" s="9"/>
      <c r="M329" s="9"/>
      <c r="N329" s="9"/>
      <c r="O329" s="9"/>
      <c r="P329" s="9"/>
      <c r="Q329" s="9"/>
      <c r="R329" s="9"/>
      <c r="S329" s="9"/>
      <c r="T329" s="9"/>
      <c r="U329" s="9"/>
      <c r="V329" s="9"/>
      <c r="W329" s="9"/>
      <c r="X329" s="9"/>
      <c r="Y329" s="9"/>
      <c r="Z329" s="9"/>
      <c r="AA329" s="9"/>
      <c r="AB329" s="9"/>
      <c r="AC329" s="9"/>
      <c r="AD329" s="970"/>
    </row>
    <row r="330" spans="1:30" ht="13.5" customHeight="1">
      <c r="A330" s="10"/>
      <c r="B330" s="9"/>
      <c r="C330" s="770">
        <v>45722</v>
      </c>
      <c r="D330" s="771">
        <v>147.59</v>
      </c>
      <c r="E330" s="765">
        <v>509068</v>
      </c>
      <c r="F330" s="9"/>
      <c r="G330" s="9"/>
      <c r="H330" s="9"/>
      <c r="I330" s="9"/>
      <c r="J330" s="9"/>
      <c r="K330" s="9"/>
      <c r="L330" s="9"/>
      <c r="M330" s="9"/>
      <c r="N330" s="9"/>
      <c r="O330" s="9"/>
      <c r="P330" s="9"/>
      <c r="Q330" s="9"/>
      <c r="R330" s="9"/>
      <c r="S330" s="9"/>
      <c r="T330" s="9"/>
      <c r="U330" s="9"/>
      <c r="V330" s="9"/>
      <c r="W330" s="9"/>
      <c r="X330" s="9"/>
      <c r="Y330" s="9"/>
      <c r="Z330" s="9"/>
      <c r="AA330" s="9"/>
      <c r="AB330" s="9"/>
      <c r="AC330" s="9"/>
      <c r="AD330" s="970"/>
    </row>
    <row r="331" spans="1:30" ht="13.5" customHeight="1">
      <c r="A331" s="10"/>
      <c r="B331" s="9"/>
      <c r="C331" s="770">
        <v>45721</v>
      </c>
      <c r="D331" s="771">
        <v>153.03</v>
      </c>
      <c r="E331" s="765">
        <v>466543</v>
      </c>
      <c r="F331" s="9"/>
      <c r="G331" s="9"/>
      <c r="H331" s="9"/>
      <c r="I331" s="9"/>
      <c r="J331" s="9"/>
      <c r="K331" s="9"/>
      <c r="L331" s="9"/>
      <c r="M331" s="9"/>
      <c r="N331" s="9"/>
      <c r="O331" s="9"/>
      <c r="P331" s="9"/>
      <c r="Q331" s="9"/>
      <c r="R331" s="9"/>
      <c r="S331" s="9"/>
      <c r="T331" s="9"/>
      <c r="U331" s="9"/>
      <c r="V331" s="9"/>
      <c r="W331" s="9"/>
      <c r="X331" s="9"/>
      <c r="Y331" s="9"/>
      <c r="Z331" s="9"/>
      <c r="AA331" s="9"/>
      <c r="AB331" s="9"/>
      <c r="AC331" s="9"/>
      <c r="AD331" s="970"/>
    </row>
    <row r="332" spans="1:30" ht="13.5" customHeight="1">
      <c r="A332" s="10"/>
      <c r="B332" s="9"/>
      <c r="C332" s="770">
        <v>45720</v>
      </c>
      <c r="D332" s="771">
        <v>146.94</v>
      </c>
      <c r="E332" s="765">
        <v>454552</v>
      </c>
      <c r="F332" s="9"/>
      <c r="G332" s="9"/>
      <c r="H332" s="9"/>
      <c r="I332" s="9"/>
      <c r="J332" s="9"/>
      <c r="K332" s="9"/>
      <c r="L332" s="9"/>
      <c r="M332" s="9"/>
      <c r="N332" s="9"/>
      <c r="O332" s="9"/>
      <c r="P332" s="9"/>
      <c r="Q332" s="9"/>
      <c r="R332" s="9"/>
      <c r="S332" s="9"/>
      <c r="T332" s="9"/>
      <c r="U332" s="9"/>
      <c r="V332" s="9"/>
      <c r="W332" s="9"/>
      <c r="X332" s="9"/>
      <c r="Y332" s="9"/>
      <c r="Z332" s="9"/>
      <c r="AA332" s="9"/>
      <c r="AB332" s="9"/>
      <c r="AC332" s="9"/>
      <c r="AD332" s="970"/>
    </row>
    <row r="333" spans="1:30" ht="13.5" customHeight="1">
      <c r="A333" s="10"/>
      <c r="B333" s="9"/>
      <c r="C333" s="770">
        <v>45719</v>
      </c>
      <c r="D333" s="771">
        <v>152.59</v>
      </c>
      <c r="E333" s="765">
        <v>479342</v>
      </c>
      <c r="F333" s="9"/>
      <c r="G333" s="9"/>
      <c r="H333" s="9"/>
      <c r="I333" s="9"/>
      <c r="J333" s="9"/>
      <c r="K333" s="9"/>
      <c r="L333" s="9"/>
      <c r="M333" s="9"/>
      <c r="N333" s="9"/>
      <c r="O333" s="9"/>
      <c r="P333" s="9"/>
      <c r="Q333" s="9"/>
      <c r="R333" s="9"/>
      <c r="S333" s="9"/>
      <c r="T333" s="9"/>
      <c r="U333" s="9"/>
      <c r="V333" s="9"/>
      <c r="W333" s="9"/>
      <c r="X333" s="9"/>
      <c r="Y333" s="9"/>
      <c r="Z333" s="9"/>
      <c r="AA333" s="9"/>
      <c r="AB333" s="9"/>
      <c r="AC333" s="9"/>
      <c r="AD333" s="970"/>
    </row>
    <row r="334" spans="1:30" ht="13.5" customHeight="1">
      <c r="A334" s="10"/>
      <c r="B334" s="9"/>
      <c r="C334" s="770">
        <v>45716</v>
      </c>
      <c r="D334" s="771">
        <v>156.32</v>
      </c>
      <c r="E334" s="765">
        <v>621524</v>
      </c>
      <c r="F334" s="9"/>
      <c r="G334" s="9"/>
      <c r="H334" s="9"/>
      <c r="I334" s="9"/>
      <c r="J334" s="9"/>
      <c r="K334" s="9"/>
      <c r="L334" s="9"/>
      <c r="M334" s="9"/>
      <c r="N334" s="9"/>
      <c r="O334" s="9"/>
      <c r="P334" s="9"/>
      <c r="Q334" s="9"/>
      <c r="R334" s="9"/>
      <c r="S334" s="9"/>
      <c r="T334" s="9"/>
      <c r="U334" s="9"/>
      <c r="V334" s="9"/>
      <c r="W334" s="9"/>
      <c r="X334" s="9"/>
      <c r="Y334" s="9"/>
      <c r="Z334" s="9"/>
      <c r="AA334" s="9"/>
      <c r="AB334" s="9"/>
      <c r="AC334" s="9"/>
      <c r="AD334" s="970"/>
    </row>
    <row r="335" spans="1:30" ht="13.5" customHeight="1">
      <c r="A335" s="10"/>
      <c r="B335" s="9"/>
      <c r="C335" s="770">
        <v>45715</v>
      </c>
      <c r="D335" s="771">
        <v>151.65</v>
      </c>
      <c r="E335" s="765">
        <v>430584</v>
      </c>
      <c r="F335" s="9"/>
      <c r="G335" s="9"/>
      <c r="H335" s="9"/>
      <c r="I335" s="9"/>
      <c r="J335" s="9"/>
      <c r="K335" s="9"/>
      <c r="L335" s="9"/>
      <c r="M335" s="9"/>
      <c r="N335" s="9"/>
      <c r="O335" s="9"/>
      <c r="P335" s="9"/>
      <c r="Q335" s="9"/>
      <c r="R335" s="9"/>
      <c r="S335" s="9"/>
      <c r="T335" s="9"/>
      <c r="U335" s="9"/>
      <c r="V335" s="9"/>
      <c r="W335" s="9"/>
      <c r="X335" s="9"/>
      <c r="Y335" s="9"/>
      <c r="Z335" s="9"/>
      <c r="AA335" s="9"/>
      <c r="AB335" s="9"/>
      <c r="AC335" s="9"/>
      <c r="AD335" s="970"/>
    </row>
    <row r="336" spans="1:30" ht="13.5" customHeight="1">
      <c r="A336" s="10"/>
      <c r="B336" s="9"/>
      <c r="C336" s="770">
        <v>45714</v>
      </c>
      <c r="D336" s="771">
        <v>153.78</v>
      </c>
      <c r="E336" s="765">
        <v>500716</v>
      </c>
      <c r="F336" s="9"/>
      <c r="G336" s="9"/>
      <c r="H336" s="9"/>
      <c r="I336" s="9"/>
      <c r="J336" s="9"/>
      <c r="K336" s="9"/>
      <c r="L336" s="9"/>
      <c r="M336" s="9"/>
      <c r="N336" s="9"/>
      <c r="O336" s="9"/>
      <c r="P336" s="9"/>
      <c r="Q336" s="9"/>
      <c r="R336" s="9"/>
      <c r="S336" s="9"/>
      <c r="T336" s="9"/>
      <c r="U336" s="9"/>
      <c r="V336" s="9"/>
      <c r="W336" s="9"/>
      <c r="X336" s="9"/>
      <c r="Y336" s="9"/>
      <c r="Z336" s="9"/>
      <c r="AA336" s="9"/>
      <c r="AB336" s="9"/>
      <c r="AC336" s="9"/>
      <c r="AD336" s="970"/>
    </row>
    <row r="337" spans="1:30" ht="13.5" customHeight="1">
      <c r="A337" s="10"/>
      <c r="B337" s="9"/>
      <c r="C337" s="770">
        <v>45713</v>
      </c>
      <c r="D337" s="771">
        <v>153.97999999999999</v>
      </c>
      <c r="E337" s="765">
        <v>449798</v>
      </c>
      <c r="F337" s="9"/>
      <c r="G337" s="9"/>
      <c r="H337" s="9"/>
      <c r="I337" s="9"/>
      <c r="J337" s="9"/>
      <c r="K337" s="9"/>
      <c r="L337" s="9"/>
      <c r="M337" s="9"/>
      <c r="N337" s="9"/>
      <c r="O337" s="9"/>
      <c r="P337" s="9"/>
      <c r="Q337" s="9"/>
      <c r="R337" s="9"/>
      <c r="S337" s="9"/>
      <c r="T337" s="9"/>
      <c r="U337" s="9"/>
      <c r="V337" s="9"/>
      <c r="W337" s="9"/>
      <c r="X337" s="9"/>
      <c r="Y337" s="9"/>
      <c r="Z337" s="9"/>
      <c r="AA337" s="9"/>
      <c r="AB337" s="9"/>
      <c r="AC337" s="9"/>
      <c r="AD337" s="970"/>
    </row>
    <row r="338" spans="1:30" ht="13.5" customHeight="1">
      <c r="A338" s="10"/>
      <c r="B338" s="9"/>
      <c r="C338" s="770">
        <v>45712</v>
      </c>
      <c r="D338" s="771">
        <v>153.13999999999999</v>
      </c>
      <c r="E338" s="765">
        <v>775101</v>
      </c>
      <c r="F338" s="9"/>
      <c r="G338" s="9"/>
      <c r="H338" s="9"/>
      <c r="I338" s="9"/>
      <c r="J338" s="9"/>
      <c r="K338" s="9"/>
      <c r="L338" s="9"/>
      <c r="M338" s="9"/>
      <c r="N338" s="9"/>
      <c r="O338" s="9"/>
      <c r="P338" s="9"/>
      <c r="Q338" s="9"/>
      <c r="R338" s="9"/>
      <c r="S338" s="9"/>
      <c r="T338" s="9"/>
      <c r="U338" s="9"/>
      <c r="V338" s="9"/>
      <c r="W338" s="9"/>
      <c r="X338" s="9"/>
      <c r="Y338" s="9"/>
      <c r="Z338" s="9"/>
      <c r="AA338" s="9"/>
      <c r="AB338" s="9"/>
      <c r="AC338" s="9"/>
      <c r="AD338" s="970"/>
    </row>
    <row r="339" spans="1:30" ht="13.5" customHeight="1">
      <c r="A339" s="10"/>
      <c r="B339" s="9"/>
      <c r="C339" s="770">
        <v>45709</v>
      </c>
      <c r="D339" s="771">
        <v>151.46</v>
      </c>
      <c r="E339" s="765">
        <v>641616</v>
      </c>
      <c r="F339" s="9"/>
      <c r="G339" s="9"/>
      <c r="H339" s="9"/>
      <c r="I339" s="9"/>
      <c r="J339" s="9"/>
      <c r="K339" s="9"/>
      <c r="L339" s="9"/>
      <c r="M339" s="9"/>
      <c r="N339" s="9"/>
      <c r="O339" s="9"/>
      <c r="P339" s="9"/>
      <c r="Q339" s="9"/>
      <c r="R339" s="9"/>
      <c r="S339" s="9"/>
      <c r="T339" s="9"/>
      <c r="U339" s="9"/>
      <c r="V339" s="9"/>
      <c r="W339" s="9"/>
      <c r="X339" s="9"/>
      <c r="Y339" s="9"/>
      <c r="Z339" s="9"/>
      <c r="AA339" s="9"/>
      <c r="AB339" s="9"/>
      <c r="AC339" s="9"/>
      <c r="AD339" s="970"/>
    </row>
    <row r="340" spans="1:30" ht="13.5" customHeight="1">
      <c r="A340" s="10"/>
      <c r="B340" s="9"/>
      <c r="C340" s="770">
        <v>45708</v>
      </c>
      <c r="D340" s="771">
        <v>157.26</v>
      </c>
      <c r="E340" s="765">
        <v>844043</v>
      </c>
      <c r="F340" s="9"/>
      <c r="G340" s="9"/>
      <c r="H340" s="9"/>
      <c r="I340" s="9"/>
      <c r="J340" s="9"/>
      <c r="K340" s="9"/>
      <c r="L340" s="9"/>
      <c r="M340" s="9"/>
      <c r="N340" s="9"/>
      <c r="O340" s="9"/>
      <c r="P340" s="9"/>
      <c r="Q340" s="9"/>
      <c r="R340" s="9"/>
      <c r="S340" s="9"/>
      <c r="T340" s="9"/>
      <c r="U340" s="9"/>
      <c r="V340" s="9"/>
      <c r="W340" s="9"/>
      <c r="X340" s="9"/>
      <c r="Y340" s="9"/>
      <c r="Z340" s="9"/>
      <c r="AA340" s="9"/>
      <c r="AB340" s="9"/>
      <c r="AC340" s="9"/>
      <c r="AD340" s="970"/>
    </row>
    <row r="341" spans="1:30" ht="13.5" customHeight="1">
      <c r="A341" s="10"/>
      <c r="B341" s="9"/>
      <c r="C341" s="770">
        <v>45707</v>
      </c>
      <c r="D341" s="771">
        <v>159.96</v>
      </c>
      <c r="E341" s="765">
        <v>517878</v>
      </c>
      <c r="F341" s="9"/>
      <c r="G341" s="9"/>
      <c r="H341" s="9"/>
      <c r="I341" s="9"/>
      <c r="J341" s="9"/>
      <c r="K341" s="9"/>
      <c r="L341" s="9"/>
      <c r="M341" s="9"/>
      <c r="N341" s="9"/>
      <c r="O341" s="9"/>
      <c r="P341" s="9"/>
      <c r="Q341" s="9"/>
      <c r="R341" s="9"/>
      <c r="S341" s="9"/>
      <c r="T341" s="9"/>
      <c r="U341" s="9"/>
      <c r="V341" s="9"/>
      <c r="W341" s="9"/>
      <c r="X341" s="9"/>
      <c r="Y341" s="9"/>
      <c r="Z341" s="9"/>
      <c r="AA341" s="9"/>
      <c r="AB341" s="9"/>
      <c r="AC341" s="9"/>
      <c r="AD341" s="970"/>
    </row>
    <row r="342" spans="1:30" ht="13.5" customHeight="1">
      <c r="A342" s="10"/>
      <c r="B342" s="9"/>
      <c r="C342" s="770">
        <v>45706</v>
      </c>
      <c r="D342" s="771">
        <v>159.52000000000001</v>
      </c>
      <c r="E342" s="765">
        <v>445034</v>
      </c>
      <c r="F342" s="9"/>
      <c r="G342" s="9"/>
      <c r="H342" s="9"/>
      <c r="I342" s="9"/>
      <c r="J342" s="9"/>
      <c r="K342" s="9"/>
      <c r="L342" s="9"/>
      <c r="M342" s="9"/>
      <c r="N342" s="9"/>
      <c r="O342" s="9"/>
      <c r="P342" s="9"/>
      <c r="Q342" s="9"/>
      <c r="R342" s="9"/>
      <c r="S342" s="9"/>
      <c r="T342" s="9"/>
      <c r="U342" s="9"/>
      <c r="V342" s="9"/>
      <c r="W342" s="9"/>
      <c r="X342" s="9"/>
      <c r="Y342" s="9"/>
      <c r="Z342" s="9"/>
      <c r="AA342" s="9"/>
      <c r="AB342" s="9"/>
      <c r="AC342" s="9"/>
      <c r="AD342" s="970"/>
    </row>
    <row r="343" spans="1:30" ht="13.5" customHeight="1">
      <c r="A343" s="10"/>
      <c r="B343" s="9"/>
      <c r="C343" s="770">
        <v>45702</v>
      </c>
      <c r="D343" s="771">
        <v>156.19</v>
      </c>
      <c r="E343" s="765">
        <v>413127</v>
      </c>
      <c r="F343" s="9"/>
      <c r="G343" s="9"/>
      <c r="H343" s="9"/>
      <c r="I343" s="9"/>
      <c r="J343" s="9"/>
      <c r="K343" s="9"/>
      <c r="L343" s="9"/>
      <c r="M343" s="9"/>
      <c r="N343" s="9"/>
      <c r="O343" s="9"/>
      <c r="P343" s="9"/>
      <c r="Q343" s="9"/>
      <c r="R343" s="9"/>
      <c r="S343" s="9"/>
      <c r="T343" s="9"/>
      <c r="U343" s="9"/>
      <c r="V343" s="9"/>
      <c r="W343" s="9"/>
      <c r="X343" s="9"/>
      <c r="Y343" s="9"/>
      <c r="Z343" s="9"/>
      <c r="AA343" s="9"/>
      <c r="AB343" s="9"/>
      <c r="AC343" s="9"/>
      <c r="AD343" s="970"/>
    </row>
    <row r="344" spans="1:30" ht="13.5" customHeight="1">
      <c r="A344" s="10"/>
      <c r="B344" s="9"/>
      <c r="C344" s="770">
        <v>45701</v>
      </c>
      <c r="D344" s="771">
        <v>151.83000000000001</v>
      </c>
      <c r="E344" s="765">
        <v>463246</v>
      </c>
      <c r="F344" s="9"/>
      <c r="G344" s="9"/>
      <c r="H344" s="9"/>
      <c r="I344" s="9"/>
      <c r="J344" s="9"/>
      <c r="K344" s="9"/>
      <c r="L344" s="9"/>
      <c r="M344" s="9"/>
      <c r="N344" s="9"/>
      <c r="O344" s="9"/>
      <c r="P344" s="9"/>
      <c r="Q344" s="9"/>
      <c r="R344" s="9"/>
      <c r="S344" s="9"/>
      <c r="T344" s="9"/>
      <c r="U344" s="9"/>
      <c r="V344" s="9"/>
      <c r="W344" s="9"/>
      <c r="X344" s="9"/>
      <c r="Y344" s="9"/>
      <c r="Z344" s="9"/>
      <c r="AA344" s="9"/>
      <c r="AB344" s="9"/>
      <c r="AC344" s="9"/>
      <c r="AD344" s="970"/>
    </row>
    <row r="345" spans="1:30" ht="13.5" customHeight="1">
      <c r="A345" s="10"/>
      <c r="B345" s="9"/>
      <c r="C345" s="770">
        <v>45700</v>
      </c>
      <c r="D345" s="771">
        <v>153.87</v>
      </c>
      <c r="E345" s="765">
        <v>656643</v>
      </c>
      <c r="F345" s="9"/>
      <c r="G345" s="9"/>
      <c r="H345" s="9"/>
      <c r="I345" s="9"/>
      <c r="J345" s="9"/>
      <c r="K345" s="9"/>
      <c r="L345" s="9"/>
      <c r="M345" s="9"/>
      <c r="N345" s="9"/>
      <c r="O345" s="9"/>
      <c r="P345" s="9"/>
      <c r="Q345" s="9"/>
      <c r="R345" s="9"/>
      <c r="S345" s="9"/>
      <c r="T345" s="9"/>
      <c r="U345" s="9"/>
      <c r="V345" s="9"/>
      <c r="W345" s="9"/>
      <c r="X345" s="9"/>
      <c r="Y345" s="9"/>
      <c r="Z345" s="9"/>
      <c r="AA345" s="9"/>
      <c r="AB345" s="9"/>
      <c r="AC345" s="9"/>
      <c r="AD345" s="970"/>
    </row>
    <row r="346" spans="1:30" ht="13.5" customHeight="1">
      <c r="A346" s="10"/>
      <c r="B346" s="9"/>
      <c r="C346" s="770">
        <v>45699</v>
      </c>
      <c r="D346" s="771">
        <v>156.59</v>
      </c>
      <c r="E346" s="765">
        <v>2030735</v>
      </c>
      <c r="F346" s="9"/>
      <c r="G346" s="9"/>
      <c r="H346" s="9"/>
      <c r="I346" s="9"/>
      <c r="J346" s="9"/>
      <c r="K346" s="9"/>
      <c r="L346" s="9"/>
      <c r="M346" s="9"/>
      <c r="N346" s="9"/>
      <c r="O346" s="9"/>
      <c r="P346" s="9"/>
      <c r="Q346" s="9"/>
      <c r="R346" s="9"/>
      <c r="S346" s="9"/>
      <c r="T346" s="9"/>
      <c r="U346" s="9"/>
      <c r="V346" s="9"/>
      <c r="W346" s="9"/>
      <c r="X346" s="9"/>
      <c r="Y346" s="9"/>
      <c r="Z346" s="9"/>
      <c r="AA346" s="9"/>
      <c r="AB346" s="9"/>
      <c r="AC346" s="9"/>
      <c r="AD346" s="970"/>
    </row>
    <row r="347" spans="1:30" ht="13.5" customHeight="1">
      <c r="A347" s="10"/>
      <c r="B347" s="9"/>
      <c r="C347" s="770">
        <v>45698</v>
      </c>
      <c r="D347" s="771">
        <v>166.39</v>
      </c>
      <c r="E347" s="765">
        <v>350579</v>
      </c>
      <c r="F347" s="9"/>
      <c r="G347" s="9"/>
      <c r="H347" s="9"/>
      <c r="I347" s="9"/>
      <c r="J347" s="9"/>
      <c r="K347" s="9"/>
      <c r="L347" s="9"/>
      <c r="M347" s="9"/>
      <c r="N347" s="9"/>
      <c r="O347" s="9"/>
      <c r="P347" s="9"/>
      <c r="Q347" s="9"/>
      <c r="R347" s="9"/>
      <c r="S347" s="9"/>
      <c r="T347" s="9"/>
      <c r="U347" s="9"/>
      <c r="V347" s="9"/>
      <c r="W347" s="9"/>
      <c r="X347" s="9"/>
      <c r="Y347" s="9"/>
      <c r="Z347" s="9"/>
      <c r="AA347" s="9"/>
      <c r="AB347" s="9"/>
      <c r="AC347" s="9"/>
      <c r="AD347" s="970"/>
    </row>
    <row r="348" spans="1:30" ht="13.5" customHeight="1">
      <c r="A348" s="10"/>
      <c r="B348" s="9"/>
      <c r="C348" s="770">
        <v>45695</v>
      </c>
      <c r="D348" s="771">
        <v>167.19</v>
      </c>
      <c r="E348" s="765">
        <v>445072</v>
      </c>
      <c r="F348" s="9"/>
      <c r="G348" s="9"/>
      <c r="H348" s="9"/>
      <c r="I348" s="9"/>
      <c r="J348" s="9"/>
      <c r="K348" s="9"/>
      <c r="L348" s="9"/>
      <c r="M348" s="9"/>
      <c r="N348" s="9"/>
      <c r="O348" s="9"/>
      <c r="P348" s="9"/>
      <c r="Q348" s="9"/>
      <c r="R348" s="9"/>
      <c r="S348" s="9"/>
      <c r="T348" s="9"/>
      <c r="U348" s="9"/>
      <c r="V348" s="9"/>
      <c r="W348" s="9"/>
      <c r="X348" s="9"/>
      <c r="Y348" s="9"/>
      <c r="Z348" s="9"/>
      <c r="AA348" s="9"/>
      <c r="AB348" s="9"/>
      <c r="AC348" s="9"/>
      <c r="AD348" s="970"/>
    </row>
    <row r="349" spans="1:30" ht="13.5" customHeight="1">
      <c r="A349" s="10"/>
      <c r="B349" s="9"/>
      <c r="C349" s="770">
        <v>45694</v>
      </c>
      <c r="D349" s="771">
        <v>166.83</v>
      </c>
      <c r="E349" s="765">
        <v>500632</v>
      </c>
      <c r="F349" s="9"/>
      <c r="G349" s="9"/>
      <c r="H349" s="9"/>
      <c r="I349" s="9"/>
      <c r="J349" s="9"/>
      <c r="K349" s="9"/>
      <c r="L349" s="9"/>
      <c r="M349" s="9"/>
      <c r="N349" s="9"/>
      <c r="O349" s="9"/>
      <c r="P349" s="9"/>
      <c r="Q349" s="9"/>
      <c r="R349" s="9"/>
      <c r="S349" s="9"/>
      <c r="T349" s="9"/>
      <c r="U349" s="9"/>
      <c r="V349" s="9"/>
      <c r="W349" s="9"/>
      <c r="X349" s="9"/>
      <c r="Y349" s="9"/>
      <c r="Z349" s="9"/>
      <c r="AA349" s="9"/>
      <c r="AB349" s="9"/>
      <c r="AC349" s="9"/>
      <c r="AD349" s="970"/>
    </row>
    <row r="350" spans="1:30" ht="13.5" customHeight="1">
      <c r="A350" s="10"/>
      <c r="B350" s="9"/>
      <c r="C350" s="770">
        <v>45693</v>
      </c>
      <c r="D350" s="771">
        <v>170.18</v>
      </c>
      <c r="E350" s="765">
        <v>727105</v>
      </c>
      <c r="F350" s="9"/>
      <c r="G350" s="9"/>
      <c r="H350" s="9"/>
      <c r="I350" s="9"/>
      <c r="J350" s="9"/>
      <c r="K350" s="9"/>
      <c r="L350" s="9"/>
      <c r="M350" s="9"/>
      <c r="N350" s="9"/>
      <c r="O350" s="9"/>
      <c r="P350" s="9"/>
      <c r="Q350" s="9"/>
      <c r="R350" s="9"/>
      <c r="S350" s="9"/>
      <c r="T350" s="9"/>
      <c r="U350" s="9"/>
      <c r="V350" s="9"/>
      <c r="W350" s="9"/>
      <c r="X350" s="9"/>
      <c r="Y350" s="9"/>
      <c r="Z350" s="9"/>
      <c r="AA350" s="9"/>
      <c r="AB350" s="9"/>
      <c r="AC350" s="9"/>
      <c r="AD350" s="970"/>
    </row>
    <row r="351" spans="1:30" ht="13.5" customHeight="1">
      <c r="A351" s="10"/>
      <c r="B351" s="9"/>
      <c r="C351" s="770">
        <v>45692</v>
      </c>
      <c r="D351" s="771">
        <v>161.4</v>
      </c>
      <c r="E351" s="765">
        <v>890514</v>
      </c>
      <c r="F351" s="9"/>
      <c r="G351" s="9"/>
      <c r="H351" s="9"/>
      <c r="I351" s="9"/>
      <c r="J351" s="9"/>
      <c r="K351" s="9"/>
      <c r="L351" s="9"/>
      <c r="M351" s="9"/>
      <c r="N351" s="9"/>
      <c r="O351" s="9"/>
      <c r="P351" s="9"/>
      <c r="Q351" s="9"/>
      <c r="R351" s="9"/>
      <c r="S351" s="9"/>
      <c r="T351" s="9"/>
      <c r="U351" s="9"/>
      <c r="V351" s="9"/>
      <c r="W351" s="9"/>
      <c r="X351" s="9"/>
      <c r="Y351" s="9"/>
      <c r="Z351" s="9"/>
      <c r="AA351" s="9"/>
      <c r="AB351" s="9"/>
      <c r="AC351" s="9"/>
      <c r="AD351" s="970"/>
    </row>
    <row r="352" spans="1:30" ht="13.5" customHeight="1">
      <c r="A352" s="10"/>
      <c r="B352" s="9"/>
      <c r="C352" s="770">
        <v>45691</v>
      </c>
      <c r="D352" s="771">
        <v>158</v>
      </c>
      <c r="E352" s="765">
        <v>536242</v>
      </c>
      <c r="F352" s="9"/>
      <c r="G352" s="9"/>
      <c r="H352" s="9"/>
      <c r="I352" s="9"/>
      <c r="J352" s="9"/>
      <c r="K352" s="9"/>
      <c r="L352" s="9"/>
      <c r="M352" s="9"/>
      <c r="N352" s="9"/>
      <c r="O352" s="9"/>
      <c r="P352" s="9"/>
      <c r="Q352" s="9"/>
      <c r="R352" s="9"/>
      <c r="S352" s="9"/>
      <c r="T352" s="9"/>
      <c r="U352" s="9"/>
      <c r="V352" s="9"/>
      <c r="W352" s="9"/>
      <c r="X352" s="9"/>
      <c r="Y352" s="9"/>
      <c r="Z352" s="9"/>
      <c r="AA352" s="9"/>
      <c r="AB352" s="9"/>
      <c r="AC352" s="9"/>
      <c r="AD352" s="970"/>
    </row>
    <row r="353" spans="1:30" ht="13.5" customHeight="1">
      <c r="A353" s="10"/>
      <c r="B353" s="9"/>
      <c r="C353" s="770">
        <v>45688</v>
      </c>
      <c r="D353" s="771">
        <v>159.18</v>
      </c>
      <c r="E353" s="765">
        <v>294793</v>
      </c>
      <c r="F353" s="9"/>
      <c r="G353" s="9"/>
      <c r="H353" s="9"/>
      <c r="I353" s="9"/>
      <c r="J353" s="9"/>
      <c r="K353" s="9"/>
      <c r="L353" s="9"/>
      <c r="M353" s="9"/>
      <c r="N353" s="9"/>
      <c r="O353" s="9"/>
      <c r="P353" s="9"/>
      <c r="Q353" s="9"/>
      <c r="R353" s="9"/>
      <c r="S353" s="9"/>
      <c r="T353" s="9"/>
      <c r="U353" s="9"/>
      <c r="V353" s="9"/>
      <c r="W353" s="9"/>
      <c r="X353" s="9"/>
      <c r="Y353" s="9"/>
      <c r="Z353" s="9"/>
      <c r="AA353" s="9"/>
      <c r="AB353" s="9"/>
      <c r="AC353" s="9"/>
      <c r="AD353" s="970"/>
    </row>
    <row r="354" spans="1:30" ht="13.5" customHeight="1">
      <c r="A354" s="10"/>
      <c r="B354" s="9"/>
      <c r="C354" s="770">
        <v>45687</v>
      </c>
      <c r="D354" s="771">
        <v>159.46</v>
      </c>
      <c r="E354" s="765">
        <v>212830</v>
      </c>
      <c r="F354" s="9"/>
      <c r="G354" s="9"/>
      <c r="H354" s="9"/>
      <c r="I354" s="9"/>
      <c r="J354" s="9"/>
      <c r="K354" s="9"/>
      <c r="L354" s="9"/>
      <c r="M354" s="9"/>
      <c r="N354" s="9"/>
      <c r="O354" s="9"/>
      <c r="P354" s="9"/>
      <c r="Q354" s="9"/>
      <c r="R354" s="9"/>
      <c r="S354" s="9"/>
      <c r="T354" s="9"/>
      <c r="U354" s="9"/>
      <c r="V354" s="9"/>
      <c r="W354" s="9"/>
      <c r="X354" s="9"/>
      <c r="Y354" s="9"/>
      <c r="Z354" s="9"/>
      <c r="AA354" s="9"/>
      <c r="AB354" s="9"/>
      <c r="AC354" s="9"/>
      <c r="AD354" s="970"/>
    </row>
    <row r="355" spans="1:30" ht="13.5" customHeight="1">
      <c r="A355" s="10"/>
      <c r="B355" s="9"/>
      <c r="C355" s="770">
        <v>45686</v>
      </c>
      <c r="D355" s="771">
        <v>157.38</v>
      </c>
      <c r="E355" s="765">
        <v>327016</v>
      </c>
      <c r="F355" s="9"/>
      <c r="G355" s="9"/>
      <c r="H355" s="9"/>
      <c r="I355" s="9"/>
      <c r="J355" s="9"/>
      <c r="K355" s="9"/>
      <c r="L355" s="9"/>
      <c r="M355" s="9"/>
      <c r="N355" s="9"/>
      <c r="O355" s="9"/>
      <c r="P355" s="9"/>
      <c r="Q355" s="9"/>
      <c r="R355" s="9"/>
      <c r="S355" s="9"/>
      <c r="T355" s="9"/>
      <c r="U355" s="9"/>
      <c r="V355" s="9"/>
      <c r="W355" s="9"/>
      <c r="X355" s="9"/>
      <c r="Y355" s="9"/>
      <c r="Z355" s="9"/>
      <c r="AA355" s="9"/>
      <c r="AB355" s="9"/>
      <c r="AC355" s="9"/>
      <c r="AD355" s="970"/>
    </row>
    <row r="356" spans="1:30" ht="13.5" customHeight="1">
      <c r="A356" s="10"/>
      <c r="B356" s="9"/>
      <c r="C356" s="770">
        <v>45685</v>
      </c>
      <c r="D356" s="771">
        <v>159.6</v>
      </c>
      <c r="E356" s="765">
        <v>386896</v>
      </c>
      <c r="F356" s="9"/>
      <c r="G356" s="9"/>
      <c r="H356" s="9"/>
      <c r="I356" s="9"/>
      <c r="J356" s="9"/>
      <c r="K356" s="9"/>
      <c r="L356" s="9"/>
      <c r="M356" s="9"/>
      <c r="N356" s="9"/>
      <c r="O356" s="9"/>
      <c r="P356" s="9"/>
      <c r="Q356" s="9"/>
      <c r="R356" s="9"/>
      <c r="S356" s="9"/>
      <c r="T356" s="9"/>
      <c r="U356" s="9"/>
      <c r="V356" s="9"/>
      <c r="W356" s="9"/>
      <c r="X356" s="9"/>
      <c r="Y356" s="9"/>
      <c r="Z356" s="9"/>
      <c r="AA356" s="9"/>
      <c r="AB356" s="9"/>
      <c r="AC356" s="9"/>
      <c r="AD356" s="970"/>
    </row>
    <row r="357" spans="1:30" ht="13.5" customHeight="1">
      <c r="A357" s="10"/>
      <c r="B357" s="9"/>
      <c r="C357" s="770">
        <v>45684</v>
      </c>
      <c r="D357" s="771">
        <v>158.63</v>
      </c>
      <c r="E357" s="765">
        <v>448722</v>
      </c>
      <c r="F357" s="9"/>
      <c r="G357" s="9"/>
      <c r="H357" s="9"/>
      <c r="I357" s="9"/>
      <c r="J357" s="9"/>
      <c r="K357" s="9"/>
      <c r="L357" s="9"/>
      <c r="M357" s="9"/>
      <c r="N357" s="9"/>
      <c r="O357" s="9"/>
      <c r="P357" s="9"/>
      <c r="Q357" s="9"/>
      <c r="R357" s="9"/>
      <c r="S357" s="9"/>
      <c r="T357" s="9"/>
      <c r="U357" s="9"/>
      <c r="V357" s="9"/>
      <c r="W357" s="9"/>
      <c r="X357" s="9"/>
      <c r="Y357" s="9"/>
      <c r="Z357" s="9"/>
      <c r="AA357" s="9"/>
      <c r="AB357" s="9"/>
      <c r="AC357" s="9"/>
      <c r="AD357" s="970"/>
    </row>
    <row r="358" spans="1:30" ht="13.5" customHeight="1">
      <c r="A358" s="10"/>
      <c r="B358" s="9"/>
      <c r="C358" s="770">
        <v>45681</v>
      </c>
      <c r="D358" s="771">
        <v>160.99</v>
      </c>
      <c r="E358" s="765">
        <v>302379</v>
      </c>
      <c r="F358" s="9"/>
      <c r="G358" s="9"/>
      <c r="H358" s="9"/>
      <c r="I358" s="9"/>
      <c r="J358" s="9"/>
      <c r="K358" s="9"/>
      <c r="L358" s="9"/>
      <c r="M358" s="9"/>
      <c r="N358" s="9"/>
      <c r="O358" s="9"/>
      <c r="P358" s="9"/>
      <c r="Q358" s="9"/>
      <c r="R358" s="9"/>
      <c r="S358" s="9"/>
      <c r="T358" s="9"/>
      <c r="U358" s="9"/>
      <c r="V358" s="9"/>
      <c r="W358" s="9"/>
      <c r="X358" s="9"/>
      <c r="Y358" s="9"/>
      <c r="Z358" s="9"/>
      <c r="AA358" s="9"/>
      <c r="AB358" s="9"/>
      <c r="AC358" s="9"/>
      <c r="AD358" s="970"/>
    </row>
    <row r="359" spans="1:30" ht="13.5" customHeight="1">
      <c r="A359" s="10"/>
      <c r="B359" s="9"/>
      <c r="C359" s="770">
        <v>45680</v>
      </c>
      <c r="D359" s="771">
        <v>159.86000000000001</v>
      </c>
      <c r="E359" s="765">
        <v>356997</v>
      </c>
      <c r="F359" s="9"/>
      <c r="G359" s="9"/>
      <c r="H359" s="9"/>
      <c r="I359" s="9"/>
      <c r="J359" s="9"/>
      <c r="K359" s="9"/>
      <c r="L359" s="9"/>
      <c r="M359" s="9"/>
      <c r="N359" s="9"/>
      <c r="O359" s="9"/>
      <c r="P359" s="9"/>
      <c r="Q359" s="9"/>
      <c r="R359" s="9"/>
      <c r="S359" s="9"/>
      <c r="T359" s="9"/>
      <c r="U359" s="9"/>
      <c r="V359" s="9"/>
      <c r="W359" s="9"/>
      <c r="X359" s="9"/>
      <c r="Y359" s="9"/>
      <c r="Z359" s="9"/>
      <c r="AA359" s="9"/>
      <c r="AB359" s="9"/>
      <c r="AC359" s="9"/>
      <c r="AD359" s="970"/>
    </row>
    <row r="360" spans="1:30" ht="13.5" customHeight="1">
      <c r="A360" s="10"/>
      <c r="B360" s="9"/>
      <c r="C360" s="770">
        <v>45679</v>
      </c>
      <c r="D360" s="771">
        <v>160.13999999999999</v>
      </c>
      <c r="E360" s="765">
        <v>552383</v>
      </c>
      <c r="F360" s="9"/>
      <c r="G360" s="9"/>
      <c r="H360" s="9"/>
      <c r="I360" s="9"/>
      <c r="J360" s="9"/>
      <c r="K360" s="9"/>
      <c r="L360" s="9"/>
      <c r="M360" s="9"/>
      <c r="N360" s="9"/>
      <c r="O360" s="9"/>
      <c r="P360" s="9"/>
      <c r="Q360" s="9"/>
      <c r="R360" s="9"/>
      <c r="S360" s="9"/>
      <c r="T360" s="9"/>
      <c r="U360" s="9"/>
      <c r="V360" s="9"/>
      <c r="W360" s="9"/>
      <c r="X360" s="9"/>
      <c r="Y360" s="9"/>
      <c r="Z360" s="9"/>
      <c r="AA360" s="9"/>
      <c r="AB360" s="9"/>
      <c r="AC360" s="9"/>
      <c r="AD360" s="970"/>
    </row>
    <row r="361" spans="1:30" ht="13.5" customHeight="1">
      <c r="A361" s="10"/>
      <c r="B361" s="9"/>
      <c r="C361" s="770">
        <v>45678</v>
      </c>
      <c r="D361" s="771">
        <v>157.13</v>
      </c>
      <c r="E361" s="765">
        <v>428630</v>
      </c>
      <c r="F361" s="9"/>
      <c r="G361" s="9"/>
      <c r="H361" s="9"/>
      <c r="I361" s="9"/>
      <c r="J361" s="9"/>
      <c r="K361" s="9"/>
      <c r="L361" s="9"/>
      <c r="M361" s="9"/>
      <c r="N361" s="9"/>
      <c r="O361" s="9"/>
      <c r="P361" s="9"/>
      <c r="Q361" s="9"/>
      <c r="R361" s="9"/>
      <c r="S361" s="9"/>
      <c r="T361" s="9"/>
      <c r="U361" s="9"/>
      <c r="V361" s="9"/>
      <c r="W361" s="9"/>
      <c r="X361" s="9"/>
      <c r="Y361" s="9"/>
      <c r="Z361" s="9"/>
      <c r="AA361" s="9"/>
      <c r="AB361" s="9"/>
      <c r="AC361" s="9"/>
      <c r="AD361" s="970"/>
    </row>
    <row r="362" spans="1:30" ht="13.5" customHeight="1">
      <c r="A362" s="10"/>
      <c r="B362" s="9"/>
      <c r="C362" s="770">
        <v>45674</v>
      </c>
      <c r="D362" s="771">
        <v>150.26</v>
      </c>
      <c r="E362" s="765">
        <v>457867</v>
      </c>
      <c r="F362" s="9"/>
      <c r="G362" s="9"/>
      <c r="H362" s="9"/>
      <c r="I362" s="9"/>
      <c r="J362" s="9"/>
      <c r="K362" s="9"/>
      <c r="L362" s="9"/>
      <c r="M362" s="9"/>
      <c r="N362" s="9"/>
      <c r="O362" s="9"/>
      <c r="P362" s="9"/>
      <c r="Q362" s="9"/>
      <c r="R362" s="9"/>
      <c r="S362" s="9"/>
      <c r="T362" s="9"/>
      <c r="U362" s="9"/>
      <c r="V362" s="9"/>
      <c r="W362" s="9"/>
      <c r="X362" s="9"/>
      <c r="Y362" s="9"/>
      <c r="Z362" s="9"/>
      <c r="AA362" s="9"/>
      <c r="AB362" s="9"/>
      <c r="AC362" s="9"/>
      <c r="AD362" s="970"/>
    </row>
    <row r="363" spans="1:30" ht="13.5" customHeight="1">
      <c r="A363" s="10"/>
      <c r="B363" s="9"/>
      <c r="C363" s="770">
        <v>45673</v>
      </c>
      <c r="D363" s="771">
        <v>149.59</v>
      </c>
      <c r="E363" s="765">
        <v>353412</v>
      </c>
      <c r="F363" s="9"/>
      <c r="G363" s="9"/>
      <c r="H363" s="9"/>
      <c r="I363" s="9"/>
      <c r="J363" s="9"/>
      <c r="K363" s="9"/>
      <c r="L363" s="9"/>
      <c r="M363" s="9"/>
      <c r="N363" s="9"/>
      <c r="O363" s="9"/>
      <c r="P363" s="9"/>
      <c r="Q363" s="9"/>
      <c r="R363" s="9"/>
      <c r="S363" s="9"/>
      <c r="T363" s="9"/>
      <c r="U363" s="9"/>
      <c r="V363" s="9"/>
      <c r="W363" s="9"/>
      <c r="X363" s="9"/>
      <c r="Y363" s="9"/>
      <c r="Z363" s="9"/>
      <c r="AA363" s="9"/>
      <c r="AB363" s="9"/>
      <c r="AC363" s="9"/>
      <c r="AD363" s="970"/>
    </row>
    <row r="364" spans="1:30" ht="13.5" customHeight="1">
      <c r="A364" s="10"/>
      <c r="B364" s="9"/>
      <c r="C364" s="770">
        <v>45672</v>
      </c>
      <c r="D364" s="771">
        <v>144.61000000000001</v>
      </c>
      <c r="E364" s="765">
        <v>272192</v>
      </c>
      <c r="F364" s="9"/>
      <c r="G364" s="9"/>
      <c r="H364" s="9"/>
      <c r="I364" s="9"/>
      <c r="J364" s="9"/>
      <c r="K364" s="9"/>
      <c r="L364" s="9"/>
      <c r="M364" s="9"/>
      <c r="N364" s="9"/>
      <c r="O364" s="9"/>
      <c r="P364" s="9"/>
      <c r="Q364" s="9"/>
      <c r="R364" s="9"/>
      <c r="S364" s="9"/>
      <c r="T364" s="9"/>
      <c r="U364" s="9"/>
      <c r="V364" s="9"/>
      <c r="W364" s="9"/>
      <c r="X364" s="9"/>
      <c r="Y364" s="9"/>
      <c r="Z364" s="9"/>
      <c r="AA364" s="9"/>
      <c r="AB364" s="9"/>
      <c r="AC364" s="9"/>
      <c r="AD364" s="970"/>
    </row>
    <row r="365" spans="1:30" ht="13.5" customHeight="1">
      <c r="A365" s="10"/>
      <c r="B365" s="9"/>
      <c r="C365" s="770">
        <v>45671</v>
      </c>
      <c r="D365" s="771">
        <v>141.13999999999999</v>
      </c>
      <c r="E365" s="765">
        <v>564830</v>
      </c>
      <c r="F365" s="9"/>
      <c r="G365" s="9"/>
      <c r="H365" s="9"/>
      <c r="I365" s="9"/>
      <c r="J365" s="9"/>
      <c r="K365" s="9"/>
      <c r="L365" s="9"/>
      <c r="M365" s="9"/>
      <c r="N365" s="9"/>
      <c r="O365" s="9"/>
      <c r="P365" s="9"/>
      <c r="Q365" s="9"/>
      <c r="R365" s="9"/>
      <c r="S365" s="9"/>
      <c r="T365" s="9"/>
      <c r="U365" s="9"/>
      <c r="V365" s="9"/>
      <c r="W365" s="9"/>
      <c r="X365" s="9"/>
      <c r="Y365" s="9"/>
      <c r="Z365" s="9"/>
      <c r="AA365" s="9"/>
      <c r="AB365" s="9"/>
      <c r="AC365" s="9"/>
      <c r="AD365" s="970"/>
    </row>
    <row r="366" spans="1:30" ht="13.5" customHeight="1">
      <c r="A366" s="10"/>
      <c r="B366" s="9"/>
      <c r="C366" s="770">
        <v>45670</v>
      </c>
      <c r="D366" s="771">
        <v>138.05000000000001</v>
      </c>
      <c r="E366" s="765">
        <v>475426</v>
      </c>
      <c r="F366" s="9"/>
      <c r="G366" s="9"/>
      <c r="H366" s="9"/>
      <c r="I366" s="9"/>
      <c r="J366" s="9"/>
      <c r="K366" s="9"/>
      <c r="L366" s="9"/>
      <c r="M366" s="9"/>
      <c r="N366" s="9"/>
      <c r="O366" s="9"/>
      <c r="P366" s="9"/>
      <c r="Q366" s="9"/>
      <c r="R366" s="9"/>
      <c r="S366" s="9"/>
      <c r="T366" s="9"/>
      <c r="U366" s="9"/>
      <c r="V366" s="9"/>
      <c r="W366" s="9"/>
      <c r="X366" s="9"/>
      <c r="Y366" s="9"/>
      <c r="Z366" s="9"/>
      <c r="AA366" s="9"/>
      <c r="AB366" s="9"/>
      <c r="AC366" s="9"/>
      <c r="AD366" s="970"/>
    </row>
    <row r="367" spans="1:30" ht="13.5" customHeight="1">
      <c r="A367" s="10"/>
      <c r="B367" s="9"/>
      <c r="C367" s="770">
        <v>45667</v>
      </c>
      <c r="D367" s="771">
        <v>139.76</v>
      </c>
      <c r="E367" s="765">
        <v>300891</v>
      </c>
      <c r="F367" s="9"/>
      <c r="G367" s="9"/>
      <c r="H367" s="9"/>
      <c r="I367" s="9"/>
      <c r="J367" s="9"/>
      <c r="K367" s="9"/>
      <c r="L367" s="9"/>
      <c r="M367" s="9"/>
      <c r="N367" s="9"/>
      <c r="O367" s="9"/>
      <c r="P367" s="9"/>
      <c r="Q367" s="9"/>
      <c r="R367" s="9"/>
      <c r="S367" s="9"/>
      <c r="T367" s="9"/>
      <c r="U367" s="9"/>
      <c r="V367" s="9"/>
      <c r="W367" s="9"/>
      <c r="X367" s="9"/>
      <c r="Y367" s="9"/>
      <c r="Z367" s="9"/>
      <c r="AA367" s="9"/>
      <c r="AB367" s="9"/>
      <c r="AC367" s="9"/>
      <c r="AD367" s="970"/>
    </row>
    <row r="368" spans="1:30" ht="13.5" customHeight="1">
      <c r="A368" s="10"/>
      <c r="B368" s="9"/>
      <c r="C368" s="770">
        <v>45665</v>
      </c>
      <c r="D368" s="771">
        <v>147.93</v>
      </c>
      <c r="E368" s="765">
        <v>338492</v>
      </c>
      <c r="F368" s="9"/>
      <c r="G368" s="9"/>
      <c r="H368" s="9"/>
      <c r="I368" s="9"/>
      <c r="J368" s="9"/>
      <c r="K368" s="9"/>
      <c r="L368" s="9"/>
      <c r="M368" s="9"/>
      <c r="N368" s="9"/>
      <c r="O368" s="9"/>
      <c r="P368" s="9"/>
      <c r="Q368" s="9"/>
      <c r="R368" s="9"/>
      <c r="S368" s="9"/>
      <c r="T368" s="9"/>
      <c r="U368" s="9"/>
      <c r="V368" s="9"/>
      <c r="W368" s="9"/>
      <c r="X368" s="9"/>
      <c r="Y368" s="9"/>
      <c r="Z368" s="9"/>
      <c r="AA368" s="9"/>
      <c r="AB368" s="9"/>
      <c r="AC368" s="9"/>
      <c r="AD368" s="970"/>
    </row>
    <row r="369" spans="1:30" ht="13.5" customHeight="1">
      <c r="A369" s="10"/>
      <c r="B369" s="9"/>
      <c r="C369" s="770">
        <v>45664</v>
      </c>
      <c r="D369" s="771">
        <v>147.26499999999999</v>
      </c>
      <c r="E369" s="765">
        <v>428978</v>
      </c>
      <c r="F369" s="9"/>
      <c r="G369" s="9"/>
      <c r="H369" s="9"/>
      <c r="I369" s="9"/>
      <c r="J369" s="9"/>
      <c r="K369" s="9"/>
      <c r="L369" s="9"/>
      <c r="M369" s="9"/>
      <c r="N369" s="9"/>
      <c r="O369" s="9"/>
      <c r="P369" s="9"/>
      <c r="Q369" s="9"/>
      <c r="R369" s="9"/>
      <c r="S369" s="9"/>
      <c r="T369" s="9"/>
      <c r="U369" s="9"/>
      <c r="V369" s="9"/>
      <c r="W369" s="9"/>
      <c r="X369" s="9"/>
      <c r="Y369" s="9"/>
      <c r="Z369" s="9"/>
      <c r="AA369" s="9"/>
      <c r="AB369" s="9"/>
      <c r="AC369" s="9"/>
      <c r="AD369" s="970"/>
    </row>
    <row r="370" spans="1:30" ht="13.5" customHeight="1">
      <c r="A370" s="10"/>
      <c r="B370" s="9"/>
      <c r="C370" s="770">
        <v>45663</v>
      </c>
      <c r="D370" s="771">
        <v>146.74</v>
      </c>
      <c r="E370" s="765">
        <v>402721</v>
      </c>
      <c r="F370" s="9"/>
      <c r="G370" s="9"/>
      <c r="H370" s="9"/>
      <c r="I370" s="9"/>
      <c r="J370" s="9"/>
      <c r="K370" s="9"/>
      <c r="L370" s="9"/>
      <c r="M370" s="9"/>
      <c r="N370" s="9"/>
      <c r="O370" s="9"/>
      <c r="P370" s="9"/>
      <c r="Q370" s="9"/>
      <c r="R370" s="9"/>
      <c r="S370" s="9"/>
      <c r="T370" s="9"/>
      <c r="U370" s="9"/>
      <c r="V370" s="9"/>
      <c r="W370" s="9"/>
      <c r="X370" s="9"/>
      <c r="Y370" s="9"/>
      <c r="Z370" s="9"/>
      <c r="AA370" s="9"/>
      <c r="AB370" s="9"/>
      <c r="AC370" s="9"/>
      <c r="AD370" s="970"/>
    </row>
    <row r="371" spans="1:30" ht="13.5" customHeight="1">
      <c r="A371" s="10"/>
      <c r="B371" s="9"/>
      <c r="C371" s="770">
        <v>45660</v>
      </c>
      <c r="D371" s="771">
        <v>150.27000000000001</v>
      </c>
      <c r="E371" s="765">
        <v>349201</v>
      </c>
      <c r="F371" s="9"/>
      <c r="G371" s="9"/>
      <c r="H371" s="9"/>
      <c r="I371" s="9"/>
      <c r="J371" s="9"/>
      <c r="K371" s="9"/>
      <c r="L371" s="9"/>
      <c r="M371" s="9"/>
      <c r="N371" s="9"/>
      <c r="O371" s="9"/>
      <c r="P371" s="9"/>
      <c r="Q371" s="9"/>
      <c r="R371" s="9"/>
      <c r="S371" s="9"/>
      <c r="T371" s="9"/>
      <c r="U371" s="9"/>
      <c r="V371" s="9"/>
      <c r="W371" s="9"/>
      <c r="X371" s="9"/>
      <c r="Y371" s="9"/>
      <c r="Z371" s="9"/>
      <c r="AA371" s="9"/>
      <c r="AB371" s="9"/>
      <c r="AC371" s="9"/>
      <c r="AD371" s="970"/>
    </row>
    <row r="372" spans="1:30" ht="13.5" customHeight="1">
      <c r="A372" s="10"/>
      <c r="B372" s="9"/>
      <c r="C372" s="770">
        <v>45659</v>
      </c>
      <c r="D372" s="771">
        <v>149.15</v>
      </c>
      <c r="E372" s="765">
        <v>333011</v>
      </c>
      <c r="F372" s="9"/>
      <c r="G372" s="9"/>
      <c r="H372" s="9"/>
      <c r="I372" s="9"/>
      <c r="J372" s="9"/>
      <c r="K372" s="9"/>
      <c r="L372" s="9"/>
      <c r="M372" s="9"/>
      <c r="N372" s="9"/>
      <c r="O372" s="9"/>
      <c r="P372" s="9"/>
      <c r="Q372" s="9"/>
      <c r="R372" s="9"/>
      <c r="S372" s="9"/>
      <c r="T372" s="9"/>
      <c r="U372" s="9"/>
      <c r="V372" s="9"/>
      <c r="W372" s="9"/>
      <c r="X372" s="9"/>
      <c r="Y372" s="9"/>
      <c r="Z372" s="9"/>
      <c r="AA372" s="9"/>
      <c r="AB372" s="9"/>
      <c r="AC372" s="9"/>
      <c r="AD372" s="970"/>
    </row>
    <row r="373" spans="1:30" ht="13.5" customHeight="1">
      <c r="A373" s="10"/>
      <c r="B373" s="9"/>
      <c r="C373" s="770">
        <v>45657</v>
      </c>
      <c r="D373" s="771">
        <v>148.05000000000001</v>
      </c>
      <c r="E373" s="765">
        <v>268403</v>
      </c>
      <c r="F373" s="9"/>
      <c r="G373" s="9"/>
      <c r="H373" s="9"/>
      <c r="I373" s="9"/>
      <c r="J373" s="9"/>
      <c r="K373" s="9"/>
      <c r="L373" s="9"/>
      <c r="M373" s="9"/>
      <c r="N373" s="9"/>
      <c r="O373" s="9"/>
      <c r="P373" s="9"/>
      <c r="Q373" s="9"/>
      <c r="R373" s="9"/>
      <c r="S373" s="9"/>
      <c r="T373" s="9"/>
      <c r="U373" s="9"/>
      <c r="V373" s="9"/>
      <c r="W373" s="9"/>
      <c r="X373" s="9"/>
      <c r="Y373" s="9"/>
      <c r="Z373" s="9"/>
      <c r="AA373" s="9"/>
      <c r="AB373" s="9"/>
      <c r="AC373" s="9"/>
      <c r="AD373" s="970"/>
    </row>
    <row r="374" spans="1:30" ht="13.5" customHeight="1">
      <c r="A374" s="10"/>
      <c r="B374" s="9"/>
      <c r="C374" s="770">
        <v>45656</v>
      </c>
      <c r="D374" s="771">
        <v>147.78</v>
      </c>
      <c r="E374" s="765">
        <v>290581</v>
      </c>
      <c r="F374" s="9"/>
      <c r="G374" s="9"/>
      <c r="H374" s="9"/>
      <c r="I374" s="9"/>
      <c r="J374" s="9"/>
      <c r="K374" s="9"/>
      <c r="L374" s="9"/>
      <c r="M374" s="9"/>
      <c r="N374" s="9"/>
      <c r="O374" s="9"/>
      <c r="P374" s="9"/>
      <c r="Q374" s="9"/>
      <c r="R374" s="9"/>
      <c r="S374" s="9"/>
      <c r="T374" s="9"/>
      <c r="U374" s="9"/>
      <c r="V374" s="9"/>
      <c r="W374" s="9"/>
      <c r="X374" s="9"/>
      <c r="Y374" s="9"/>
      <c r="Z374" s="9"/>
      <c r="AA374" s="9"/>
      <c r="AB374" s="9"/>
      <c r="AC374" s="9"/>
      <c r="AD374" s="970"/>
    </row>
    <row r="375" spans="1:30" ht="13.5" customHeight="1">
      <c r="A375" s="10"/>
      <c r="B375" s="9"/>
      <c r="C375" s="770">
        <v>45653</v>
      </c>
      <c r="D375" s="771">
        <v>151.55000000000001</v>
      </c>
      <c r="E375" s="765">
        <v>301598</v>
      </c>
      <c r="F375" s="9"/>
      <c r="G375" s="9"/>
      <c r="H375" s="9"/>
      <c r="I375" s="9"/>
      <c r="J375" s="9"/>
      <c r="K375" s="9"/>
      <c r="L375" s="9"/>
      <c r="M375" s="9"/>
      <c r="N375" s="9"/>
      <c r="O375" s="9"/>
      <c r="P375" s="9"/>
      <c r="Q375" s="9"/>
      <c r="R375" s="9"/>
      <c r="S375" s="9"/>
      <c r="T375" s="9"/>
      <c r="U375" s="9"/>
      <c r="V375" s="9"/>
      <c r="W375" s="9"/>
      <c r="X375" s="9"/>
      <c r="Y375" s="9"/>
      <c r="Z375" s="9"/>
      <c r="AA375" s="9"/>
      <c r="AB375" s="9"/>
      <c r="AC375" s="9"/>
      <c r="AD375" s="970"/>
    </row>
    <row r="376" spans="1:30" ht="13.5" customHeight="1">
      <c r="A376" s="10"/>
      <c r="B376" s="9"/>
      <c r="C376" s="770">
        <v>45652</v>
      </c>
      <c r="D376" s="771">
        <v>154</v>
      </c>
      <c r="E376" s="765">
        <v>344516</v>
      </c>
      <c r="F376" s="9"/>
      <c r="G376" s="9"/>
      <c r="H376" s="9"/>
      <c r="I376" s="9"/>
      <c r="J376" s="9"/>
      <c r="K376" s="9"/>
      <c r="L376" s="9"/>
      <c r="M376" s="9"/>
      <c r="N376" s="9"/>
      <c r="O376" s="9"/>
      <c r="P376" s="9"/>
      <c r="Q376" s="9"/>
      <c r="R376" s="9"/>
      <c r="S376" s="9"/>
      <c r="T376" s="9"/>
      <c r="U376" s="9"/>
      <c r="V376" s="9"/>
      <c r="W376" s="9"/>
      <c r="X376" s="9"/>
      <c r="Y376" s="9"/>
      <c r="Z376" s="9"/>
      <c r="AA376" s="9"/>
      <c r="AB376" s="9"/>
      <c r="AC376" s="9"/>
      <c r="AD376" s="970"/>
    </row>
    <row r="377" spans="1:30" ht="13.5" customHeight="1">
      <c r="A377" s="10"/>
      <c r="B377" s="9"/>
      <c r="C377" s="770">
        <v>45650</v>
      </c>
      <c r="D377" s="771">
        <v>150.58000000000001</v>
      </c>
      <c r="E377" s="765">
        <v>238105</v>
      </c>
      <c r="F377" s="9"/>
      <c r="G377" s="9"/>
      <c r="H377" s="9"/>
      <c r="I377" s="9"/>
      <c r="J377" s="9"/>
      <c r="K377" s="9"/>
      <c r="L377" s="9"/>
      <c r="M377" s="9"/>
      <c r="N377" s="9"/>
      <c r="O377" s="9"/>
      <c r="P377" s="9"/>
      <c r="Q377" s="9"/>
      <c r="R377" s="9"/>
      <c r="S377" s="9"/>
      <c r="T377" s="9"/>
      <c r="U377" s="9"/>
      <c r="V377" s="9"/>
      <c r="W377" s="9"/>
      <c r="X377" s="9"/>
      <c r="Y377" s="9"/>
      <c r="Z377" s="9"/>
      <c r="AA377" s="9"/>
      <c r="AB377" s="9"/>
      <c r="AC377" s="9"/>
      <c r="AD377" s="970"/>
    </row>
    <row r="378" spans="1:30" ht="13.5" customHeight="1">
      <c r="A378" s="10"/>
      <c r="B378" s="9"/>
      <c r="C378" s="770">
        <v>45649</v>
      </c>
      <c r="D378" s="771">
        <v>150.07</v>
      </c>
      <c r="E378" s="765">
        <v>529868</v>
      </c>
      <c r="F378" s="9"/>
      <c r="G378" s="9"/>
      <c r="H378" s="9"/>
      <c r="I378" s="9"/>
      <c r="J378" s="9"/>
      <c r="K378" s="9"/>
      <c r="L378" s="9"/>
      <c r="M378" s="9"/>
      <c r="N378" s="9"/>
      <c r="O378" s="9"/>
      <c r="P378" s="9"/>
      <c r="Q378" s="9"/>
      <c r="R378" s="9"/>
      <c r="S378" s="9"/>
      <c r="T378" s="9"/>
      <c r="U378" s="9"/>
      <c r="V378" s="9"/>
      <c r="W378" s="9"/>
      <c r="X378" s="9"/>
      <c r="Y378" s="9"/>
      <c r="Z378" s="9"/>
      <c r="AA378" s="9"/>
      <c r="AB378" s="9"/>
      <c r="AC378" s="9"/>
      <c r="AD378" s="970"/>
    </row>
    <row r="379" spans="1:30" ht="13.5" customHeight="1">
      <c r="A379" s="10"/>
      <c r="B379" s="9"/>
      <c r="C379" s="770">
        <v>45646</v>
      </c>
      <c r="D379" s="771">
        <v>150.68</v>
      </c>
      <c r="E379" s="765">
        <v>1662623</v>
      </c>
      <c r="F379" s="9"/>
      <c r="G379" s="9"/>
      <c r="H379" s="9"/>
      <c r="I379" s="9"/>
      <c r="J379" s="9"/>
      <c r="K379" s="9"/>
      <c r="L379" s="9"/>
      <c r="M379" s="9"/>
      <c r="N379" s="9"/>
      <c r="O379" s="9"/>
      <c r="P379" s="9"/>
      <c r="Q379" s="9"/>
      <c r="R379" s="9"/>
      <c r="S379" s="9"/>
      <c r="T379" s="9"/>
      <c r="U379" s="9"/>
      <c r="V379" s="9"/>
      <c r="W379" s="9"/>
      <c r="X379" s="9"/>
      <c r="Y379" s="9"/>
      <c r="Z379" s="9"/>
      <c r="AA379" s="9"/>
      <c r="AB379" s="9"/>
      <c r="AC379" s="9"/>
      <c r="AD379" s="970"/>
    </row>
    <row r="380" spans="1:30" ht="13.5" customHeight="1">
      <c r="A380" s="10"/>
      <c r="B380" s="9"/>
      <c r="C380" s="770">
        <v>45645</v>
      </c>
      <c r="D380" s="771">
        <v>151.4</v>
      </c>
      <c r="E380" s="765">
        <v>773061</v>
      </c>
      <c r="F380" s="9"/>
      <c r="G380" s="9"/>
      <c r="H380" s="9"/>
      <c r="I380" s="9"/>
      <c r="J380" s="9"/>
      <c r="K380" s="9"/>
      <c r="L380" s="9"/>
      <c r="M380" s="9"/>
      <c r="N380" s="9"/>
      <c r="O380" s="9"/>
      <c r="P380" s="9"/>
      <c r="Q380" s="9"/>
      <c r="R380" s="9"/>
      <c r="S380" s="9"/>
      <c r="T380" s="9"/>
      <c r="U380" s="9"/>
      <c r="V380" s="9"/>
      <c r="W380" s="9"/>
      <c r="X380" s="9"/>
      <c r="Y380" s="9"/>
      <c r="Z380" s="9"/>
      <c r="AA380" s="9"/>
      <c r="AB380" s="9"/>
      <c r="AC380" s="9"/>
      <c r="AD380" s="970"/>
    </row>
    <row r="381" spans="1:30" ht="13.5" customHeight="1">
      <c r="A381" s="10"/>
      <c r="B381" s="9"/>
      <c r="C381" s="770">
        <v>45644</v>
      </c>
      <c r="D381" s="771">
        <v>152.51</v>
      </c>
      <c r="E381" s="765">
        <v>802376</v>
      </c>
      <c r="F381" s="9"/>
      <c r="G381" s="9"/>
      <c r="H381" s="9"/>
      <c r="I381" s="9"/>
      <c r="J381" s="9"/>
      <c r="K381" s="9"/>
      <c r="L381" s="9"/>
      <c r="M381" s="9"/>
      <c r="N381" s="9"/>
      <c r="O381" s="9"/>
      <c r="P381" s="9"/>
      <c r="Q381" s="9"/>
      <c r="R381" s="9"/>
      <c r="S381" s="9"/>
      <c r="T381" s="9"/>
      <c r="U381" s="9"/>
      <c r="V381" s="9"/>
      <c r="W381" s="9"/>
      <c r="X381" s="9"/>
      <c r="Y381" s="9"/>
      <c r="Z381" s="9"/>
      <c r="AA381" s="9"/>
      <c r="AB381" s="9"/>
      <c r="AC381" s="9"/>
      <c r="AD381" s="970"/>
    </row>
    <row r="382" spans="1:30" ht="13.5" customHeight="1">
      <c r="A382" s="10"/>
      <c r="B382" s="9"/>
      <c r="C382" s="770">
        <v>45643</v>
      </c>
      <c r="D382" s="771">
        <v>163.41</v>
      </c>
      <c r="E382" s="765">
        <v>708307</v>
      </c>
      <c r="F382" s="9"/>
      <c r="G382" s="9"/>
      <c r="H382" s="9"/>
      <c r="I382" s="9"/>
      <c r="J382" s="9"/>
      <c r="K382" s="9"/>
      <c r="L382" s="9"/>
      <c r="M382" s="9"/>
      <c r="N382" s="9"/>
      <c r="O382" s="9"/>
      <c r="P382" s="9"/>
      <c r="Q382" s="9"/>
      <c r="R382" s="9"/>
      <c r="S382" s="9"/>
      <c r="T382" s="9"/>
      <c r="U382" s="9"/>
      <c r="V382" s="9"/>
      <c r="W382" s="9"/>
      <c r="X382" s="9"/>
      <c r="Y382" s="9"/>
      <c r="Z382" s="9"/>
      <c r="AA382" s="9"/>
      <c r="AB382" s="9"/>
      <c r="AC382" s="9"/>
      <c r="AD382" s="970"/>
    </row>
    <row r="383" spans="1:30" ht="13.5" customHeight="1">
      <c r="A383" s="10"/>
      <c r="B383" s="9"/>
      <c r="C383" s="770">
        <v>45642</v>
      </c>
      <c r="D383" s="771">
        <v>167.52</v>
      </c>
      <c r="E383" s="765">
        <v>1111259</v>
      </c>
      <c r="F383" s="9"/>
      <c r="G383" s="9"/>
      <c r="H383" s="9"/>
      <c r="I383" s="9"/>
      <c r="J383" s="9"/>
      <c r="K383" s="9"/>
      <c r="L383" s="9"/>
      <c r="M383" s="9"/>
      <c r="N383" s="9"/>
      <c r="O383" s="9"/>
      <c r="P383" s="9"/>
      <c r="Q383" s="9"/>
      <c r="R383" s="9"/>
      <c r="S383" s="9"/>
      <c r="T383" s="9"/>
      <c r="U383" s="9"/>
      <c r="V383" s="9"/>
      <c r="W383" s="9"/>
      <c r="X383" s="9"/>
      <c r="Y383" s="9"/>
      <c r="Z383" s="9"/>
      <c r="AA383" s="9"/>
      <c r="AB383" s="9"/>
      <c r="AC383" s="9"/>
      <c r="AD383" s="970"/>
    </row>
    <row r="384" spans="1:30" ht="13.5" customHeight="1">
      <c r="A384" s="10"/>
      <c r="B384" s="9"/>
      <c r="C384" s="770">
        <v>45639</v>
      </c>
      <c r="D384" s="771">
        <v>169.24</v>
      </c>
      <c r="E384" s="765">
        <v>510141</v>
      </c>
      <c r="F384" s="9"/>
      <c r="G384" s="9"/>
      <c r="H384" s="9"/>
      <c r="I384" s="9"/>
      <c r="J384" s="9"/>
      <c r="K384" s="9"/>
      <c r="L384" s="9"/>
      <c r="M384" s="9"/>
      <c r="N384" s="9"/>
      <c r="O384" s="9"/>
      <c r="P384" s="9"/>
      <c r="Q384" s="9"/>
      <c r="R384" s="9"/>
      <c r="S384" s="9"/>
      <c r="T384" s="9"/>
      <c r="U384" s="9"/>
      <c r="V384" s="9"/>
      <c r="W384" s="9"/>
      <c r="X384" s="9"/>
      <c r="Y384" s="9"/>
      <c r="Z384" s="9"/>
      <c r="AA384" s="9"/>
      <c r="AB384" s="9"/>
      <c r="AC384" s="9"/>
      <c r="AD384" s="970"/>
    </row>
    <row r="385" spans="1:30" ht="13.5" customHeight="1">
      <c r="A385" s="10"/>
      <c r="B385" s="9"/>
      <c r="C385" s="770">
        <v>45638</v>
      </c>
      <c r="D385" s="771">
        <v>171.23</v>
      </c>
      <c r="E385" s="765">
        <v>934718</v>
      </c>
      <c r="F385" s="9"/>
      <c r="G385" s="9"/>
      <c r="H385" s="9"/>
      <c r="I385" s="9"/>
      <c r="J385" s="9"/>
      <c r="K385" s="9"/>
      <c r="L385" s="9"/>
      <c r="M385" s="9"/>
      <c r="N385" s="9"/>
      <c r="O385" s="9"/>
      <c r="P385" s="9"/>
      <c r="Q385" s="9"/>
      <c r="R385" s="9"/>
      <c r="S385" s="9"/>
      <c r="T385" s="9"/>
      <c r="U385" s="9"/>
      <c r="V385" s="9"/>
      <c r="W385" s="9"/>
      <c r="X385" s="9"/>
      <c r="Y385" s="9"/>
      <c r="Z385" s="9"/>
      <c r="AA385" s="9"/>
      <c r="AB385" s="9"/>
      <c r="AC385" s="9"/>
      <c r="AD385" s="970"/>
    </row>
    <row r="386" spans="1:30" ht="13.5" customHeight="1">
      <c r="A386" s="10"/>
      <c r="B386" s="9"/>
      <c r="C386" s="770">
        <v>45637</v>
      </c>
      <c r="D386" s="771">
        <v>173.99</v>
      </c>
      <c r="E386" s="765">
        <v>476083</v>
      </c>
      <c r="F386" s="9"/>
      <c r="G386" s="9"/>
      <c r="H386" s="9"/>
      <c r="I386" s="9"/>
      <c r="J386" s="9"/>
      <c r="K386" s="9"/>
      <c r="L386" s="9"/>
      <c r="M386" s="9"/>
      <c r="N386" s="9"/>
      <c r="O386" s="9"/>
      <c r="P386" s="9"/>
      <c r="Q386" s="9"/>
      <c r="R386" s="9"/>
      <c r="S386" s="9"/>
      <c r="T386" s="9"/>
      <c r="U386" s="9"/>
      <c r="V386" s="9"/>
      <c r="W386" s="9"/>
      <c r="X386" s="9"/>
      <c r="Y386" s="9"/>
      <c r="Z386" s="9"/>
      <c r="AA386" s="9"/>
      <c r="AB386" s="9"/>
      <c r="AC386" s="9"/>
      <c r="AD386" s="970"/>
    </row>
    <row r="387" spans="1:30" ht="13.5" customHeight="1">
      <c r="A387" s="10"/>
      <c r="B387" s="9"/>
      <c r="C387" s="770">
        <v>45636</v>
      </c>
      <c r="D387" s="771">
        <v>174.55</v>
      </c>
      <c r="E387" s="765">
        <v>545844</v>
      </c>
      <c r="F387" s="9"/>
      <c r="G387" s="9"/>
      <c r="H387" s="9"/>
      <c r="I387" s="9"/>
      <c r="J387" s="9"/>
      <c r="K387" s="9"/>
      <c r="L387" s="9"/>
      <c r="M387" s="9"/>
      <c r="N387" s="9"/>
      <c r="O387" s="9"/>
      <c r="P387" s="9"/>
      <c r="Q387" s="9"/>
      <c r="R387" s="9"/>
      <c r="S387" s="9"/>
      <c r="T387" s="9"/>
      <c r="U387" s="9"/>
      <c r="V387" s="9"/>
      <c r="W387" s="9"/>
      <c r="X387" s="9"/>
      <c r="Y387" s="9"/>
      <c r="Z387" s="9"/>
      <c r="AA387" s="9"/>
      <c r="AB387" s="9"/>
      <c r="AC387" s="9"/>
      <c r="AD387" s="970"/>
    </row>
    <row r="388" spans="1:30" ht="13.5" customHeight="1">
      <c r="A388" s="10"/>
      <c r="B388" s="9"/>
      <c r="C388" s="770">
        <v>45635</v>
      </c>
      <c r="D388" s="771">
        <v>176.8</v>
      </c>
      <c r="E388" s="765">
        <v>481001</v>
      </c>
      <c r="F388" s="9"/>
      <c r="G388" s="9"/>
      <c r="H388" s="9"/>
      <c r="I388" s="9"/>
      <c r="J388" s="9"/>
      <c r="K388" s="9"/>
      <c r="L388" s="9"/>
      <c r="M388" s="9"/>
      <c r="N388" s="9"/>
      <c r="O388" s="9"/>
      <c r="P388" s="9"/>
      <c r="Q388" s="9"/>
      <c r="R388" s="9"/>
      <c r="S388" s="9"/>
      <c r="T388" s="9"/>
      <c r="U388" s="9"/>
      <c r="V388" s="9"/>
      <c r="W388" s="9"/>
      <c r="X388" s="9"/>
      <c r="Y388" s="9"/>
      <c r="Z388" s="9"/>
      <c r="AA388" s="9"/>
      <c r="AB388" s="9"/>
      <c r="AC388" s="9"/>
      <c r="AD388" s="970"/>
    </row>
    <row r="389" spans="1:30" ht="13.5" customHeight="1">
      <c r="A389" s="10"/>
      <c r="B389" s="9"/>
      <c r="C389" s="770">
        <v>45632</v>
      </c>
      <c r="D389" s="771">
        <v>181.48</v>
      </c>
      <c r="E389" s="765">
        <v>433942</v>
      </c>
      <c r="F389" s="9"/>
      <c r="G389" s="9"/>
      <c r="H389" s="9"/>
      <c r="I389" s="9"/>
      <c r="J389" s="9"/>
      <c r="K389" s="9"/>
      <c r="L389" s="9"/>
      <c r="M389" s="9"/>
      <c r="N389" s="9"/>
      <c r="O389" s="9"/>
      <c r="P389" s="9"/>
      <c r="Q389" s="9"/>
      <c r="R389" s="9"/>
      <c r="S389" s="9"/>
      <c r="T389" s="9"/>
      <c r="U389" s="9"/>
      <c r="V389" s="9"/>
      <c r="W389" s="9"/>
      <c r="X389" s="9"/>
      <c r="Y389" s="9"/>
      <c r="Z389" s="9"/>
      <c r="AA389" s="9"/>
      <c r="AB389" s="9"/>
      <c r="AC389" s="9"/>
      <c r="AD389" s="970"/>
    </row>
    <row r="390" spans="1:30" ht="13.5" customHeight="1">
      <c r="A390" s="10"/>
      <c r="B390" s="9"/>
      <c r="C390" s="770">
        <v>45631</v>
      </c>
      <c r="D390" s="771">
        <v>185.47</v>
      </c>
      <c r="E390" s="765">
        <v>416931</v>
      </c>
      <c r="F390" s="9"/>
      <c r="G390" s="9"/>
      <c r="H390" s="9"/>
      <c r="I390" s="9"/>
      <c r="J390" s="9"/>
      <c r="K390" s="9"/>
      <c r="L390" s="9"/>
      <c r="M390" s="9"/>
      <c r="N390" s="9"/>
      <c r="O390" s="9"/>
      <c r="P390" s="9"/>
      <c r="Q390" s="9"/>
      <c r="R390" s="9"/>
      <c r="S390" s="9"/>
      <c r="T390" s="9"/>
      <c r="U390" s="9"/>
      <c r="V390" s="9"/>
      <c r="W390" s="9"/>
      <c r="X390" s="9"/>
      <c r="Y390" s="9"/>
      <c r="Z390" s="9"/>
      <c r="AA390" s="9"/>
      <c r="AB390" s="9"/>
      <c r="AC390" s="9"/>
      <c r="AD390" s="970"/>
    </row>
    <row r="391" spans="1:30" ht="13.5" customHeight="1">
      <c r="A391" s="10"/>
      <c r="B391" s="9"/>
      <c r="C391" s="770">
        <v>45630</v>
      </c>
      <c r="D391" s="771">
        <v>190.7</v>
      </c>
      <c r="E391" s="765">
        <v>235846</v>
      </c>
      <c r="F391" s="9"/>
      <c r="G391" s="9"/>
      <c r="H391" s="9"/>
      <c r="I391" s="9"/>
      <c r="J391" s="9"/>
      <c r="K391" s="9"/>
      <c r="L391" s="9"/>
      <c r="M391" s="9"/>
      <c r="N391" s="9"/>
      <c r="O391" s="9"/>
      <c r="P391" s="9"/>
      <c r="Q391" s="9"/>
      <c r="R391" s="9"/>
      <c r="S391" s="9"/>
      <c r="T391" s="9"/>
      <c r="U391" s="9"/>
      <c r="V391" s="9"/>
      <c r="W391" s="9"/>
      <c r="X391" s="9"/>
      <c r="Y391" s="9"/>
      <c r="Z391" s="9"/>
      <c r="AA391" s="9"/>
      <c r="AB391" s="9"/>
      <c r="AC391" s="9"/>
      <c r="AD391" s="970"/>
    </row>
    <row r="392" spans="1:30" ht="13.5" customHeight="1">
      <c r="A392" s="10"/>
      <c r="B392" s="9"/>
      <c r="C392" s="770">
        <v>45629</v>
      </c>
      <c r="D392" s="771">
        <v>191.96</v>
      </c>
      <c r="E392" s="765">
        <v>254874</v>
      </c>
      <c r="F392" s="9"/>
      <c r="G392" s="9"/>
      <c r="H392" s="9"/>
      <c r="I392" s="9"/>
      <c r="J392" s="9"/>
      <c r="K392" s="9"/>
      <c r="L392" s="9"/>
      <c r="M392" s="9"/>
      <c r="N392" s="9"/>
      <c r="O392" s="9"/>
      <c r="P392" s="9"/>
      <c r="Q392" s="9"/>
      <c r="R392" s="9"/>
      <c r="S392" s="9"/>
      <c r="T392" s="9"/>
      <c r="U392" s="9"/>
      <c r="V392" s="9"/>
      <c r="W392" s="9"/>
      <c r="X392" s="9"/>
      <c r="Y392" s="9"/>
      <c r="Z392" s="9"/>
      <c r="AA392" s="9"/>
      <c r="AB392" s="9"/>
      <c r="AC392" s="9"/>
      <c r="AD392" s="970"/>
    </row>
    <row r="393" spans="1:30" ht="13.5" customHeight="1">
      <c r="A393" s="10"/>
      <c r="B393" s="9"/>
      <c r="C393" s="770">
        <v>45628</v>
      </c>
      <c r="D393" s="771">
        <v>191.92</v>
      </c>
      <c r="E393" s="765">
        <v>241533</v>
      </c>
      <c r="F393" s="9"/>
      <c r="G393" s="9"/>
      <c r="H393" s="9"/>
      <c r="I393" s="9"/>
      <c r="J393" s="9"/>
      <c r="K393" s="9"/>
      <c r="L393" s="9"/>
      <c r="M393" s="9"/>
      <c r="N393" s="9"/>
      <c r="O393" s="9"/>
      <c r="P393" s="9"/>
      <c r="Q393" s="9"/>
      <c r="R393" s="9"/>
      <c r="S393" s="9"/>
      <c r="T393" s="9"/>
      <c r="U393" s="9"/>
      <c r="V393" s="9"/>
      <c r="W393" s="9"/>
      <c r="X393" s="9"/>
      <c r="Y393" s="9"/>
      <c r="Z393" s="9"/>
      <c r="AA393" s="9"/>
      <c r="AB393" s="9"/>
      <c r="AC393" s="9"/>
      <c r="AD393" s="970"/>
    </row>
    <row r="394" spans="1:30" ht="13.5" customHeight="1">
      <c r="A394" s="10"/>
      <c r="B394" s="9"/>
      <c r="C394" s="770">
        <v>45625</v>
      </c>
      <c r="D394" s="771">
        <v>192.4</v>
      </c>
      <c r="E394" s="765">
        <v>184886</v>
      </c>
      <c r="F394" s="9"/>
      <c r="G394" s="9"/>
      <c r="H394" s="9"/>
      <c r="I394" s="9"/>
      <c r="J394" s="9"/>
      <c r="K394" s="9"/>
      <c r="L394" s="9"/>
      <c r="M394" s="9"/>
      <c r="N394" s="9"/>
      <c r="O394" s="9"/>
      <c r="P394" s="9"/>
      <c r="Q394" s="9"/>
      <c r="R394" s="9"/>
      <c r="S394" s="9"/>
      <c r="T394" s="9"/>
      <c r="U394" s="9"/>
      <c r="V394" s="9"/>
      <c r="W394" s="9"/>
      <c r="X394" s="9"/>
      <c r="Y394" s="9"/>
      <c r="Z394" s="9"/>
      <c r="AA394" s="9"/>
      <c r="AB394" s="9"/>
      <c r="AC394" s="9"/>
      <c r="AD394" s="970"/>
    </row>
    <row r="395" spans="1:30" ht="13.5" customHeight="1">
      <c r="A395" s="10"/>
      <c r="B395" s="9"/>
      <c r="C395" s="770">
        <v>45623</v>
      </c>
      <c r="D395" s="771">
        <v>192.02</v>
      </c>
      <c r="E395" s="765">
        <v>406288</v>
      </c>
      <c r="F395" s="9"/>
      <c r="G395" s="9"/>
      <c r="H395" s="9"/>
      <c r="I395" s="9"/>
      <c r="J395" s="9"/>
      <c r="K395" s="9"/>
      <c r="L395" s="9"/>
      <c r="M395" s="9"/>
      <c r="N395" s="9"/>
      <c r="O395" s="9"/>
      <c r="P395" s="9"/>
      <c r="Q395" s="9"/>
      <c r="R395" s="9"/>
      <c r="S395" s="9"/>
      <c r="T395" s="9"/>
      <c r="U395" s="9"/>
      <c r="V395" s="9"/>
      <c r="W395" s="9"/>
      <c r="X395" s="9"/>
      <c r="Y395" s="9"/>
      <c r="Z395" s="9"/>
      <c r="AA395" s="9"/>
      <c r="AB395" s="9"/>
      <c r="AC395" s="9"/>
      <c r="AD395" s="970"/>
    </row>
    <row r="396" spans="1:30" ht="13.5" customHeight="1">
      <c r="A396" s="10"/>
      <c r="B396" s="9"/>
      <c r="C396" s="770">
        <v>45622</v>
      </c>
      <c r="D396" s="771">
        <v>199.36</v>
      </c>
      <c r="E396" s="765">
        <v>204483</v>
      </c>
      <c r="F396" s="9"/>
      <c r="G396" s="9"/>
      <c r="H396" s="9"/>
      <c r="I396" s="9"/>
      <c r="J396" s="9"/>
      <c r="K396" s="9"/>
      <c r="L396" s="9"/>
      <c r="M396" s="9"/>
      <c r="N396" s="9"/>
      <c r="O396" s="9"/>
      <c r="P396" s="9"/>
      <c r="Q396" s="9"/>
      <c r="R396" s="9"/>
      <c r="S396" s="9"/>
      <c r="T396" s="9"/>
      <c r="U396" s="9"/>
      <c r="V396" s="9"/>
      <c r="W396" s="9"/>
      <c r="X396" s="9"/>
      <c r="Y396" s="9"/>
      <c r="Z396" s="9"/>
      <c r="AA396" s="9"/>
      <c r="AB396" s="9"/>
      <c r="AC396" s="9"/>
      <c r="AD396" s="970"/>
    </row>
    <row r="397" spans="1:30" ht="13.5" customHeight="1">
      <c r="A397" s="10"/>
      <c r="B397" s="9"/>
      <c r="C397" s="770">
        <v>45621</v>
      </c>
      <c r="D397" s="771">
        <v>201.57</v>
      </c>
      <c r="E397" s="765">
        <v>265012</v>
      </c>
      <c r="F397" s="9"/>
      <c r="G397" s="9"/>
      <c r="H397" s="9"/>
      <c r="I397" s="9"/>
      <c r="J397" s="9"/>
      <c r="K397" s="9"/>
      <c r="L397" s="9"/>
      <c r="M397" s="9"/>
      <c r="N397" s="9"/>
      <c r="O397" s="9"/>
      <c r="P397" s="9"/>
      <c r="Q397" s="9"/>
      <c r="R397" s="9"/>
      <c r="S397" s="9"/>
      <c r="T397" s="9"/>
      <c r="U397" s="9"/>
      <c r="V397" s="9"/>
      <c r="W397" s="9"/>
      <c r="X397" s="9"/>
      <c r="Y397" s="9"/>
      <c r="Z397" s="9"/>
      <c r="AA397" s="9"/>
      <c r="AB397" s="9"/>
      <c r="AC397" s="9"/>
      <c r="AD397" s="970"/>
    </row>
    <row r="398" spans="1:30" ht="13.5" customHeight="1">
      <c r="A398" s="10"/>
      <c r="B398" s="9"/>
      <c r="C398" s="770">
        <v>45618</v>
      </c>
      <c r="D398" s="771">
        <v>199.55</v>
      </c>
      <c r="E398" s="765">
        <v>264915</v>
      </c>
      <c r="F398" s="9"/>
      <c r="G398" s="9"/>
      <c r="H398" s="9"/>
      <c r="I398" s="9"/>
      <c r="J398" s="9"/>
      <c r="K398" s="9"/>
      <c r="L398" s="9"/>
      <c r="M398" s="9"/>
      <c r="N398" s="9"/>
      <c r="O398" s="9"/>
      <c r="P398" s="9"/>
      <c r="Q398" s="9"/>
      <c r="R398" s="9"/>
      <c r="S398" s="9"/>
      <c r="T398" s="9"/>
      <c r="U398" s="9"/>
      <c r="V398" s="9"/>
      <c r="W398" s="9"/>
      <c r="X398" s="9"/>
      <c r="Y398" s="9"/>
      <c r="Z398" s="9"/>
      <c r="AA398" s="9"/>
      <c r="AB398" s="9"/>
      <c r="AC398" s="9"/>
      <c r="AD398" s="970"/>
    </row>
    <row r="399" spans="1:30" ht="13.5" customHeight="1">
      <c r="A399" s="10"/>
      <c r="B399" s="9"/>
      <c r="C399" s="770">
        <v>45617</v>
      </c>
      <c r="D399" s="771">
        <v>198.17</v>
      </c>
      <c r="E399" s="765">
        <v>211850</v>
      </c>
      <c r="F399" s="9"/>
      <c r="G399" s="9"/>
      <c r="H399" s="9"/>
      <c r="I399" s="9"/>
      <c r="J399" s="9"/>
      <c r="K399" s="9"/>
      <c r="L399" s="9"/>
      <c r="M399" s="9"/>
      <c r="N399" s="9"/>
      <c r="O399" s="9"/>
      <c r="P399" s="9"/>
      <c r="Q399" s="9"/>
      <c r="R399" s="9"/>
      <c r="S399" s="9"/>
      <c r="T399" s="9"/>
      <c r="U399" s="9"/>
      <c r="V399" s="9"/>
      <c r="W399" s="9"/>
      <c r="X399" s="9"/>
      <c r="Y399" s="9"/>
      <c r="Z399" s="9"/>
      <c r="AA399" s="9"/>
      <c r="AB399" s="9"/>
      <c r="AC399" s="9"/>
      <c r="AD399" s="970"/>
    </row>
    <row r="400" spans="1:30" ht="13.5" customHeight="1">
      <c r="A400" s="10"/>
      <c r="B400" s="9"/>
      <c r="C400" s="770">
        <v>45616</v>
      </c>
      <c r="D400" s="771">
        <v>194.48</v>
      </c>
      <c r="E400" s="765">
        <v>157887</v>
      </c>
      <c r="F400" s="9"/>
      <c r="G400" s="9"/>
      <c r="H400" s="9"/>
      <c r="I400" s="9"/>
      <c r="J400" s="9"/>
      <c r="K400" s="9"/>
      <c r="L400" s="9"/>
      <c r="M400" s="9"/>
      <c r="N400" s="9"/>
      <c r="O400" s="9"/>
      <c r="P400" s="9"/>
      <c r="Q400" s="9"/>
      <c r="R400" s="9"/>
      <c r="S400" s="9"/>
      <c r="T400" s="9"/>
      <c r="U400" s="9"/>
      <c r="V400" s="9"/>
      <c r="W400" s="9"/>
      <c r="X400" s="9"/>
      <c r="Y400" s="9"/>
      <c r="Z400" s="9"/>
      <c r="AA400" s="9"/>
      <c r="AB400" s="9"/>
      <c r="AC400" s="9"/>
      <c r="AD400" s="970"/>
    </row>
    <row r="401" spans="1:30" ht="13.5" customHeight="1">
      <c r="A401" s="10"/>
      <c r="B401" s="9"/>
      <c r="C401" s="770">
        <v>45615</v>
      </c>
      <c r="D401" s="771">
        <v>194.41</v>
      </c>
      <c r="E401" s="765">
        <v>265887</v>
      </c>
      <c r="F401" s="9"/>
      <c r="G401" s="9"/>
      <c r="H401" s="9"/>
      <c r="I401" s="9"/>
      <c r="J401" s="9"/>
      <c r="K401" s="9"/>
      <c r="L401" s="9"/>
      <c r="M401" s="9"/>
      <c r="N401" s="9"/>
      <c r="O401" s="9"/>
      <c r="P401" s="9"/>
      <c r="Q401" s="9"/>
      <c r="R401" s="9"/>
      <c r="S401" s="9"/>
      <c r="T401" s="9"/>
      <c r="U401" s="9"/>
      <c r="V401" s="9"/>
      <c r="W401" s="9"/>
      <c r="X401" s="9"/>
      <c r="Y401" s="9"/>
      <c r="Z401" s="9"/>
      <c r="AA401" s="9"/>
      <c r="AB401" s="9"/>
      <c r="AC401" s="9"/>
      <c r="AD401" s="970"/>
    </row>
    <row r="402" spans="1:30" ht="13.5" customHeight="1">
      <c r="A402" s="10"/>
      <c r="B402" s="9"/>
      <c r="C402" s="770">
        <v>45614</v>
      </c>
      <c r="D402" s="771">
        <v>191.33</v>
      </c>
      <c r="E402" s="765">
        <v>227610</v>
      </c>
      <c r="F402" s="9"/>
      <c r="G402" s="9"/>
      <c r="H402" s="9"/>
      <c r="I402" s="9"/>
      <c r="J402" s="9"/>
      <c r="K402" s="9"/>
      <c r="L402" s="9"/>
      <c r="M402" s="9"/>
      <c r="N402" s="9"/>
      <c r="O402" s="9"/>
      <c r="P402" s="9"/>
      <c r="Q402" s="9"/>
      <c r="R402" s="9"/>
      <c r="S402" s="9"/>
      <c r="T402" s="9"/>
      <c r="U402" s="9"/>
      <c r="V402" s="9"/>
      <c r="W402" s="9"/>
      <c r="X402" s="9"/>
      <c r="Y402" s="9"/>
      <c r="Z402" s="9"/>
      <c r="AA402" s="9"/>
      <c r="AB402" s="9"/>
      <c r="AC402" s="9"/>
      <c r="AD402" s="970"/>
    </row>
    <row r="403" spans="1:30" ht="13.5" customHeight="1">
      <c r="A403" s="10"/>
      <c r="B403" s="9"/>
      <c r="C403" s="770">
        <v>45611</v>
      </c>
      <c r="D403" s="771">
        <v>191.88</v>
      </c>
      <c r="E403" s="765">
        <v>249700</v>
      </c>
      <c r="F403" s="9"/>
      <c r="G403" s="9"/>
      <c r="H403" s="9"/>
      <c r="I403" s="9"/>
      <c r="J403" s="9"/>
      <c r="K403" s="9"/>
      <c r="L403" s="9"/>
      <c r="M403" s="9"/>
      <c r="N403" s="9"/>
      <c r="O403" s="9"/>
      <c r="P403" s="9"/>
      <c r="Q403" s="9"/>
      <c r="R403" s="9"/>
      <c r="S403" s="9"/>
      <c r="T403" s="9"/>
      <c r="U403" s="9"/>
      <c r="V403" s="9"/>
      <c r="W403" s="9"/>
      <c r="X403" s="9"/>
      <c r="Y403" s="9"/>
      <c r="Z403" s="9"/>
      <c r="AA403" s="9"/>
      <c r="AB403" s="9"/>
      <c r="AC403" s="9"/>
      <c r="AD403" s="970"/>
    </row>
    <row r="404" spans="1:30" ht="13.5" customHeight="1">
      <c r="A404" s="10"/>
      <c r="B404" s="9"/>
      <c r="C404" s="770">
        <v>45610</v>
      </c>
      <c r="D404" s="771">
        <v>193.18</v>
      </c>
      <c r="E404" s="765">
        <v>300295</v>
      </c>
      <c r="F404" s="9"/>
      <c r="G404" s="9"/>
      <c r="H404" s="9"/>
      <c r="I404" s="9"/>
      <c r="J404" s="9"/>
      <c r="K404" s="9"/>
      <c r="L404" s="9"/>
      <c r="M404" s="9"/>
      <c r="N404" s="9"/>
      <c r="O404" s="9"/>
      <c r="P404" s="9"/>
      <c r="Q404" s="9"/>
      <c r="R404" s="9"/>
      <c r="S404" s="9"/>
      <c r="T404" s="9"/>
      <c r="U404" s="9"/>
      <c r="V404" s="9"/>
      <c r="W404" s="9"/>
      <c r="X404" s="9"/>
      <c r="Y404" s="9"/>
      <c r="Z404" s="9"/>
      <c r="AA404" s="9"/>
      <c r="AB404" s="9"/>
      <c r="AC404" s="9"/>
      <c r="AD404" s="970"/>
    </row>
    <row r="405" spans="1:30" ht="13.5" customHeight="1">
      <c r="A405" s="10"/>
      <c r="B405" s="9"/>
      <c r="C405" s="770">
        <v>45609</v>
      </c>
      <c r="D405" s="771">
        <v>190.39</v>
      </c>
      <c r="E405" s="765">
        <v>361481</v>
      </c>
      <c r="F405" s="9"/>
      <c r="G405" s="9"/>
      <c r="H405" s="9"/>
      <c r="I405" s="9"/>
      <c r="J405" s="9"/>
      <c r="K405" s="9"/>
      <c r="L405" s="9"/>
      <c r="M405" s="9"/>
      <c r="N405" s="9"/>
      <c r="O405" s="9"/>
      <c r="P405" s="9"/>
      <c r="Q405" s="9"/>
      <c r="R405" s="9"/>
      <c r="S405" s="9"/>
      <c r="T405" s="9"/>
      <c r="U405" s="9"/>
      <c r="V405" s="9"/>
      <c r="W405" s="9"/>
      <c r="X405" s="9"/>
      <c r="Y405" s="9"/>
      <c r="Z405" s="9"/>
      <c r="AA405" s="9"/>
      <c r="AB405" s="9"/>
      <c r="AC405" s="9"/>
      <c r="AD405" s="970"/>
    </row>
    <row r="406" spans="1:30" ht="13.5" customHeight="1">
      <c r="A406" s="10"/>
      <c r="B406" s="9"/>
      <c r="C406" s="770">
        <v>45608</v>
      </c>
      <c r="D406" s="771">
        <v>196.9</v>
      </c>
      <c r="E406" s="765">
        <v>359560</v>
      </c>
      <c r="F406" s="9"/>
      <c r="G406" s="9"/>
      <c r="H406" s="9"/>
      <c r="I406" s="9"/>
      <c r="J406" s="9"/>
      <c r="K406" s="9"/>
      <c r="L406" s="9"/>
      <c r="M406" s="9"/>
      <c r="N406" s="9"/>
      <c r="O406" s="9"/>
      <c r="P406" s="9"/>
      <c r="Q406" s="9"/>
      <c r="R406" s="9"/>
      <c r="S406" s="9"/>
      <c r="T406" s="9"/>
      <c r="U406" s="9"/>
      <c r="V406" s="9"/>
      <c r="W406" s="9"/>
      <c r="X406" s="9"/>
      <c r="Y406" s="9"/>
      <c r="Z406" s="9"/>
      <c r="AA406" s="9"/>
      <c r="AB406" s="9"/>
      <c r="AC406" s="9"/>
      <c r="AD406" s="970"/>
    </row>
    <row r="407" spans="1:30" ht="13.5" customHeight="1">
      <c r="A407" s="10"/>
      <c r="B407" s="9"/>
      <c r="C407" s="770">
        <v>45607</v>
      </c>
      <c r="D407" s="771">
        <v>201.62</v>
      </c>
      <c r="E407" s="765">
        <v>285175</v>
      </c>
      <c r="F407" s="9"/>
      <c r="G407" s="9"/>
      <c r="H407" s="9"/>
      <c r="I407" s="9"/>
      <c r="J407" s="9"/>
      <c r="K407" s="9"/>
      <c r="L407" s="9"/>
      <c r="M407" s="9"/>
      <c r="N407" s="9"/>
      <c r="O407" s="9"/>
      <c r="P407" s="9"/>
      <c r="Q407" s="9"/>
      <c r="R407" s="9"/>
      <c r="S407" s="9"/>
      <c r="T407" s="9"/>
      <c r="U407" s="9"/>
      <c r="V407" s="9"/>
      <c r="W407" s="9"/>
      <c r="X407" s="9"/>
      <c r="Y407" s="9"/>
      <c r="Z407" s="9"/>
      <c r="AA407" s="9"/>
      <c r="AB407" s="9"/>
      <c r="AC407" s="9"/>
      <c r="AD407" s="970"/>
    </row>
    <row r="408" spans="1:30" ht="13.5" customHeight="1">
      <c r="A408" s="10"/>
      <c r="B408" s="9"/>
      <c r="C408" s="770">
        <v>45604</v>
      </c>
      <c r="D408" s="771">
        <v>194.47</v>
      </c>
      <c r="E408" s="765">
        <v>450922</v>
      </c>
      <c r="F408" s="9"/>
      <c r="G408" s="9"/>
      <c r="H408" s="9"/>
      <c r="I408" s="9"/>
      <c r="J408" s="9"/>
      <c r="K408" s="9"/>
      <c r="L408" s="9"/>
      <c r="M408" s="9"/>
      <c r="N408" s="9"/>
      <c r="O408" s="9"/>
      <c r="P408" s="9"/>
      <c r="Q408" s="9"/>
      <c r="R408" s="9"/>
      <c r="S408" s="9"/>
      <c r="T408" s="9"/>
      <c r="U408" s="9"/>
      <c r="V408" s="9"/>
      <c r="W408" s="9"/>
      <c r="X408" s="9"/>
      <c r="Y408" s="9"/>
      <c r="Z408" s="9"/>
      <c r="AA408" s="9"/>
      <c r="AB408" s="9"/>
      <c r="AC408" s="9"/>
      <c r="AD408" s="970"/>
    </row>
    <row r="409" spans="1:30" ht="13.5" customHeight="1">
      <c r="A409" s="10"/>
      <c r="B409" s="9"/>
      <c r="C409" s="770">
        <v>45603</v>
      </c>
      <c r="D409" s="771">
        <v>189.42</v>
      </c>
      <c r="E409" s="765">
        <v>461216</v>
      </c>
      <c r="F409" s="9"/>
      <c r="G409" s="9"/>
      <c r="H409" s="9"/>
      <c r="I409" s="9"/>
      <c r="J409" s="9"/>
      <c r="K409" s="9"/>
      <c r="L409" s="9"/>
      <c r="M409" s="9"/>
      <c r="N409" s="9"/>
      <c r="O409" s="9"/>
      <c r="P409" s="9"/>
      <c r="Q409" s="9"/>
      <c r="R409" s="9"/>
      <c r="S409" s="9"/>
      <c r="T409" s="9"/>
      <c r="U409" s="9"/>
      <c r="V409" s="9"/>
      <c r="W409" s="9"/>
      <c r="X409" s="9"/>
      <c r="Y409" s="9"/>
      <c r="Z409" s="9"/>
      <c r="AA409" s="9"/>
      <c r="AB409" s="9"/>
      <c r="AC409" s="9"/>
      <c r="AD409" s="970"/>
    </row>
    <row r="410" spans="1:30" ht="13.5" customHeight="1">
      <c r="A410" s="10"/>
      <c r="B410" s="9"/>
      <c r="C410" s="770">
        <v>45602</v>
      </c>
      <c r="D410" s="771">
        <v>192.63</v>
      </c>
      <c r="E410" s="765">
        <v>1015084</v>
      </c>
      <c r="F410" s="9"/>
      <c r="G410" s="9"/>
      <c r="H410" s="9"/>
      <c r="I410" s="9"/>
      <c r="J410" s="9"/>
      <c r="K410" s="9"/>
      <c r="L410" s="9"/>
      <c r="M410" s="9"/>
      <c r="N410" s="9"/>
      <c r="O410" s="9"/>
      <c r="P410" s="9"/>
      <c r="Q410" s="9"/>
      <c r="R410" s="9"/>
      <c r="S410" s="9"/>
      <c r="T410" s="9"/>
      <c r="U410" s="9"/>
      <c r="V410" s="9"/>
      <c r="W410" s="9"/>
      <c r="X410" s="9"/>
      <c r="Y410" s="9"/>
      <c r="Z410" s="9"/>
      <c r="AA410" s="9"/>
      <c r="AB410" s="9"/>
      <c r="AC410" s="9"/>
      <c r="AD410" s="970"/>
    </row>
    <row r="411" spans="1:30" ht="13.5" customHeight="1">
      <c r="A411" s="10"/>
      <c r="B411" s="9"/>
      <c r="C411" s="770">
        <v>45601</v>
      </c>
      <c r="D411" s="771">
        <v>180.24</v>
      </c>
      <c r="E411" s="765">
        <v>450985</v>
      </c>
      <c r="F411" s="9"/>
      <c r="G411" s="9"/>
      <c r="H411" s="9"/>
      <c r="I411" s="9"/>
      <c r="J411" s="9"/>
      <c r="K411" s="9"/>
      <c r="L411" s="9"/>
      <c r="M411" s="9"/>
      <c r="N411" s="9"/>
      <c r="O411" s="9"/>
      <c r="P411" s="9"/>
      <c r="Q411" s="9"/>
      <c r="R411" s="9"/>
      <c r="S411" s="9"/>
      <c r="T411" s="9"/>
      <c r="U411" s="9"/>
      <c r="V411" s="9"/>
      <c r="W411" s="9"/>
      <c r="X411" s="9"/>
      <c r="Y411" s="9"/>
      <c r="Z411" s="9"/>
      <c r="AA411" s="9"/>
      <c r="AB411" s="9"/>
      <c r="AC411" s="9"/>
      <c r="AD411" s="970"/>
    </row>
    <row r="412" spans="1:30" ht="13.5" customHeight="1">
      <c r="A412" s="10"/>
      <c r="B412" s="9"/>
      <c r="C412" s="770">
        <v>45600</v>
      </c>
      <c r="D412" s="771">
        <v>178.65</v>
      </c>
      <c r="E412" s="765">
        <v>341145</v>
      </c>
      <c r="F412" s="9"/>
      <c r="G412" s="9"/>
      <c r="H412" s="9"/>
      <c r="I412" s="9"/>
      <c r="J412" s="9"/>
      <c r="K412" s="9"/>
      <c r="L412" s="9"/>
      <c r="M412" s="9"/>
      <c r="N412" s="9"/>
      <c r="O412" s="9"/>
      <c r="P412" s="9"/>
      <c r="Q412" s="9"/>
      <c r="R412" s="9"/>
      <c r="S412" s="9"/>
      <c r="T412" s="9"/>
      <c r="U412" s="9"/>
      <c r="V412" s="9"/>
      <c r="W412" s="9"/>
      <c r="X412" s="9"/>
      <c r="Y412" s="9"/>
      <c r="Z412" s="9"/>
      <c r="AA412" s="9"/>
      <c r="AB412" s="9"/>
      <c r="AC412" s="9"/>
      <c r="AD412" s="970"/>
    </row>
    <row r="413" spans="1:30" ht="13.5" customHeight="1">
      <c r="A413" s="10"/>
      <c r="B413" s="9"/>
      <c r="C413" s="770">
        <v>45597</v>
      </c>
      <c r="D413" s="771">
        <v>179.9</v>
      </c>
      <c r="E413" s="765">
        <v>340854</v>
      </c>
      <c r="F413" s="9"/>
      <c r="G413" s="9"/>
      <c r="H413" s="9"/>
      <c r="I413" s="9"/>
      <c r="J413" s="9"/>
      <c r="K413" s="9"/>
      <c r="L413" s="9"/>
      <c r="M413" s="9"/>
      <c r="N413" s="9"/>
      <c r="O413" s="9"/>
      <c r="P413" s="9"/>
      <c r="Q413" s="9"/>
      <c r="R413" s="9"/>
      <c r="S413" s="9"/>
      <c r="T413" s="9"/>
      <c r="U413" s="9"/>
      <c r="V413" s="9"/>
      <c r="W413" s="9"/>
      <c r="X413" s="9"/>
      <c r="Y413" s="9"/>
      <c r="Z413" s="9"/>
      <c r="AA413" s="9"/>
      <c r="AB413" s="9"/>
      <c r="AC413" s="9"/>
      <c r="AD413" s="970"/>
    </row>
    <row r="414" spans="1:30" ht="13.5" customHeight="1">
      <c r="A414" s="10"/>
      <c r="B414" s="9"/>
      <c r="C414" s="770">
        <v>45596</v>
      </c>
      <c r="D414" s="771">
        <v>179.64</v>
      </c>
      <c r="E414" s="765">
        <v>255399</v>
      </c>
      <c r="F414" s="9"/>
      <c r="G414" s="9"/>
      <c r="H414" s="9"/>
      <c r="I414" s="9"/>
      <c r="J414" s="9"/>
      <c r="K414" s="9"/>
      <c r="L414" s="9"/>
      <c r="M414" s="9"/>
      <c r="N414" s="9"/>
      <c r="O414" s="9"/>
      <c r="P414" s="9"/>
      <c r="Q414" s="9"/>
      <c r="R414" s="9"/>
      <c r="S414" s="9"/>
      <c r="T414" s="9"/>
      <c r="U414" s="9"/>
      <c r="V414" s="9"/>
      <c r="W414" s="9"/>
      <c r="X414" s="9"/>
      <c r="Y414" s="9"/>
      <c r="Z414" s="9"/>
      <c r="AA414" s="9"/>
      <c r="AB414" s="9"/>
      <c r="AC414" s="9"/>
      <c r="AD414" s="970"/>
    </row>
    <row r="415" spans="1:30" ht="13.5" customHeight="1">
      <c r="A415" s="10"/>
      <c r="B415" s="9"/>
      <c r="C415" s="770">
        <v>45595</v>
      </c>
      <c r="D415" s="771">
        <v>182.22</v>
      </c>
      <c r="E415" s="765">
        <v>291462</v>
      </c>
      <c r="F415" s="9"/>
      <c r="G415" s="9"/>
      <c r="H415" s="9"/>
      <c r="I415" s="9"/>
      <c r="J415" s="9"/>
      <c r="K415" s="9"/>
      <c r="L415" s="9"/>
      <c r="M415" s="9"/>
      <c r="N415" s="9"/>
      <c r="O415" s="9"/>
      <c r="P415" s="9"/>
      <c r="Q415" s="9"/>
      <c r="R415" s="9"/>
      <c r="S415" s="9"/>
      <c r="T415" s="9"/>
      <c r="U415" s="9"/>
      <c r="V415" s="9"/>
      <c r="W415" s="9"/>
      <c r="X415" s="9"/>
      <c r="Y415" s="9"/>
      <c r="Z415" s="9"/>
      <c r="AA415" s="9"/>
      <c r="AB415" s="9"/>
      <c r="AC415" s="9"/>
      <c r="AD415" s="970"/>
    </row>
    <row r="416" spans="1:30" ht="13.5" customHeight="1">
      <c r="A416" s="10"/>
      <c r="B416" s="9"/>
      <c r="C416" s="770">
        <v>45594</v>
      </c>
      <c r="D416" s="771">
        <v>182.82</v>
      </c>
      <c r="E416" s="765">
        <v>330056</v>
      </c>
      <c r="F416" s="9"/>
      <c r="G416" s="9"/>
      <c r="H416" s="9"/>
      <c r="I416" s="9"/>
      <c r="J416" s="9"/>
      <c r="K416" s="9"/>
      <c r="L416" s="9"/>
      <c r="M416" s="9"/>
      <c r="N416" s="9"/>
      <c r="O416" s="9"/>
      <c r="P416" s="9"/>
      <c r="Q416" s="9"/>
      <c r="R416" s="9"/>
      <c r="S416" s="9"/>
      <c r="T416" s="9"/>
      <c r="U416" s="9"/>
      <c r="V416" s="9"/>
      <c r="W416" s="9"/>
      <c r="X416" s="9"/>
      <c r="Y416" s="9"/>
      <c r="Z416" s="9"/>
      <c r="AA416" s="9"/>
      <c r="AB416" s="9"/>
      <c r="AC416" s="9"/>
      <c r="AD416" s="970"/>
    </row>
    <row r="417" spans="1:30" ht="13.5" customHeight="1">
      <c r="A417" s="10"/>
      <c r="B417" s="9"/>
      <c r="C417" s="770">
        <v>45593</v>
      </c>
      <c r="D417" s="771">
        <v>182.61</v>
      </c>
      <c r="E417" s="765">
        <v>475713</v>
      </c>
      <c r="F417" s="9"/>
      <c r="G417" s="9"/>
      <c r="H417" s="9"/>
      <c r="I417" s="9"/>
      <c r="J417" s="9"/>
      <c r="K417" s="9"/>
      <c r="L417" s="9"/>
      <c r="M417" s="9"/>
      <c r="N417" s="9"/>
      <c r="O417" s="9"/>
      <c r="P417" s="9"/>
      <c r="Q417" s="9"/>
      <c r="R417" s="9"/>
      <c r="S417" s="9"/>
      <c r="T417" s="9"/>
      <c r="U417" s="9"/>
      <c r="V417" s="9"/>
      <c r="W417" s="9"/>
      <c r="X417" s="9"/>
      <c r="Y417" s="9"/>
      <c r="Z417" s="9"/>
      <c r="AA417" s="9"/>
      <c r="AB417" s="9"/>
      <c r="AC417" s="9"/>
      <c r="AD417" s="970"/>
    </row>
    <row r="418" spans="1:30" ht="13.5" customHeight="1">
      <c r="A418" s="10"/>
      <c r="B418" s="9"/>
      <c r="C418" s="770">
        <v>45590</v>
      </c>
      <c r="D418" s="771">
        <v>177.85</v>
      </c>
      <c r="E418" s="765">
        <v>193608</v>
      </c>
      <c r="F418" s="9"/>
      <c r="G418" s="9"/>
      <c r="H418" s="9"/>
      <c r="I418" s="9"/>
      <c r="J418" s="9"/>
      <c r="K418" s="9"/>
      <c r="L418" s="9"/>
      <c r="M418" s="9"/>
      <c r="N418" s="9"/>
      <c r="O418" s="9"/>
      <c r="P418" s="9"/>
      <c r="Q418" s="9"/>
      <c r="R418" s="9"/>
      <c r="S418" s="9"/>
      <c r="T418" s="9"/>
      <c r="U418" s="9"/>
      <c r="V418" s="9"/>
      <c r="W418" s="9"/>
      <c r="X418" s="9"/>
      <c r="Y418" s="9"/>
      <c r="Z418" s="9"/>
      <c r="AA418" s="9"/>
      <c r="AB418" s="9"/>
      <c r="AC418" s="9"/>
      <c r="AD418" s="970"/>
    </row>
    <row r="419" spans="1:30" ht="13.5" customHeight="1">
      <c r="A419" s="10"/>
      <c r="B419" s="9"/>
      <c r="C419" s="770">
        <v>45589</v>
      </c>
      <c r="D419" s="771">
        <v>177.93</v>
      </c>
      <c r="E419" s="765">
        <v>239006</v>
      </c>
      <c r="F419" s="9"/>
      <c r="G419" s="9"/>
      <c r="H419" s="9"/>
      <c r="I419" s="9"/>
      <c r="J419" s="9"/>
      <c r="K419" s="9"/>
      <c r="L419" s="9"/>
      <c r="M419" s="9"/>
      <c r="N419" s="9"/>
      <c r="O419" s="9"/>
      <c r="P419" s="9"/>
      <c r="Q419" s="9"/>
      <c r="R419" s="9"/>
      <c r="S419" s="9"/>
      <c r="T419" s="9"/>
      <c r="U419" s="9"/>
      <c r="V419" s="9"/>
      <c r="W419" s="9"/>
      <c r="X419" s="9"/>
      <c r="Y419" s="9"/>
      <c r="Z419" s="9"/>
      <c r="AA419" s="9"/>
      <c r="AB419" s="9"/>
      <c r="AC419" s="9"/>
      <c r="AD419" s="970"/>
    </row>
    <row r="420" spans="1:30" ht="13.5" customHeight="1">
      <c r="A420" s="10"/>
      <c r="B420" s="9"/>
      <c r="C420" s="770">
        <v>45588</v>
      </c>
      <c r="D420" s="771">
        <v>175.64</v>
      </c>
      <c r="E420" s="765">
        <v>252118</v>
      </c>
      <c r="F420" s="9"/>
      <c r="G420" s="9"/>
      <c r="H420" s="9"/>
      <c r="I420" s="9"/>
      <c r="J420" s="9"/>
      <c r="K420" s="9"/>
      <c r="L420" s="9"/>
      <c r="M420" s="9"/>
      <c r="N420" s="9"/>
      <c r="O420" s="9"/>
      <c r="P420" s="9"/>
      <c r="Q420" s="9"/>
      <c r="R420" s="9"/>
      <c r="S420" s="9"/>
      <c r="T420" s="9"/>
      <c r="U420" s="9"/>
      <c r="V420" s="9"/>
      <c r="W420" s="9"/>
      <c r="X420" s="9"/>
      <c r="Y420" s="9"/>
      <c r="Z420" s="9"/>
      <c r="AA420" s="9"/>
      <c r="AB420" s="9"/>
      <c r="AC420" s="9"/>
      <c r="AD420" s="970"/>
    </row>
    <row r="421" spans="1:30" ht="13.5" customHeight="1">
      <c r="A421" s="10"/>
      <c r="B421" s="9"/>
      <c r="C421" s="770">
        <v>45587</v>
      </c>
      <c r="D421" s="771">
        <v>177.78</v>
      </c>
      <c r="E421" s="765">
        <v>249006</v>
      </c>
      <c r="F421" s="9"/>
      <c r="G421" s="9"/>
      <c r="H421" s="9"/>
      <c r="I421" s="9"/>
      <c r="J421" s="9"/>
      <c r="K421" s="9"/>
      <c r="L421" s="9"/>
      <c r="M421" s="9"/>
      <c r="N421" s="9"/>
      <c r="O421" s="9"/>
      <c r="P421" s="9"/>
      <c r="Q421" s="9"/>
      <c r="R421" s="9"/>
      <c r="S421" s="9"/>
      <c r="T421" s="9"/>
      <c r="U421" s="9"/>
      <c r="V421" s="9"/>
      <c r="W421" s="9"/>
      <c r="X421" s="9"/>
      <c r="Y421" s="9"/>
      <c r="Z421" s="9"/>
      <c r="AA421" s="9"/>
      <c r="AB421" s="9"/>
      <c r="AC421" s="9"/>
      <c r="AD421" s="970"/>
    </row>
    <row r="422" spans="1:30" ht="13.5" customHeight="1">
      <c r="A422" s="10"/>
      <c r="B422" s="9"/>
      <c r="C422" s="770">
        <v>45586</v>
      </c>
      <c r="D422" s="771">
        <v>179.13</v>
      </c>
      <c r="E422" s="765">
        <v>217617</v>
      </c>
      <c r="F422" s="9"/>
      <c r="G422" s="9"/>
      <c r="H422" s="9"/>
      <c r="I422" s="9"/>
      <c r="J422" s="9"/>
      <c r="K422" s="9"/>
      <c r="L422" s="9"/>
      <c r="M422" s="9"/>
      <c r="N422" s="9"/>
      <c r="O422" s="9"/>
      <c r="P422" s="9"/>
      <c r="Q422" s="9"/>
      <c r="R422" s="9"/>
      <c r="S422" s="9"/>
      <c r="T422" s="9"/>
      <c r="U422" s="9"/>
      <c r="V422" s="9"/>
      <c r="W422" s="9"/>
      <c r="X422" s="9"/>
      <c r="Y422" s="9"/>
      <c r="Z422" s="9"/>
      <c r="AA422" s="9"/>
      <c r="AB422" s="9"/>
      <c r="AC422" s="9"/>
      <c r="AD422" s="970"/>
    </row>
    <row r="423" spans="1:30" ht="13.5" customHeight="1">
      <c r="A423" s="10"/>
      <c r="B423" s="9"/>
      <c r="C423" s="770">
        <v>45583</v>
      </c>
      <c r="D423" s="771">
        <v>180.92</v>
      </c>
      <c r="E423" s="765">
        <v>232474</v>
      </c>
      <c r="F423" s="9"/>
      <c r="G423" s="9"/>
      <c r="H423" s="9"/>
      <c r="I423" s="9"/>
      <c r="J423" s="9"/>
      <c r="K423" s="9"/>
      <c r="L423" s="9"/>
      <c r="M423" s="9"/>
      <c r="N423" s="9"/>
      <c r="O423" s="9"/>
      <c r="P423" s="9"/>
      <c r="Q423" s="9"/>
      <c r="R423" s="9"/>
      <c r="S423" s="9"/>
      <c r="T423" s="9"/>
      <c r="U423" s="9"/>
      <c r="V423" s="9"/>
      <c r="W423" s="9"/>
      <c r="X423" s="9"/>
      <c r="Y423" s="9"/>
      <c r="Z423" s="9"/>
      <c r="AA423" s="9"/>
      <c r="AB423" s="9"/>
      <c r="AC423" s="9"/>
      <c r="AD423" s="970"/>
    </row>
    <row r="424" spans="1:30" ht="13.5" customHeight="1">
      <c r="A424" s="10"/>
      <c r="B424" s="9"/>
      <c r="C424" s="770">
        <v>45582</v>
      </c>
      <c r="D424" s="771">
        <v>181</v>
      </c>
      <c r="E424" s="765">
        <v>295658</v>
      </c>
      <c r="F424" s="9"/>
      <c r="G424" s="9"/>
      <c r="H424" s="9"/>
      <c r="I424" s="9"/>
      <c r="J424" s="9"/>
      <c r="K424" s="9"/>
      <c r="L424" s="9"/>
      <c r="M424" s="9"/>
      <c r="N424" s="9"/>
      <c r="O424" s="9"/>
      <c r="P424" s="9"/>
      <c r="Q424" s="9"/>
      <c r="R424" s="9"/>
      <c r="S424" s="9"/>
      <c r="T424" s="9"/>
      <c r="U424" s="9"/>
      <c r="V424" s="9"/>
      <c r="W424" s="9"/>
      <c r="X424" s="9"/>
      <c r="Y424" s="9"/>
      <c r="Z424" s="9"/>
      <c r="AA424" s="9"/>
      <c r="AB424" s="9"/>
      <c r="AC424" s="9"/>
      <c r="AD424" s="970"/>
    </row>
    <row r="425" spans="1:30" ht="13.5" customHeight="1">
      <c r="A425" s="10"/>
      <c r="B425" s="9"/>
      <c r="C425" s="770">
        <v>45581</v>
      </c>
      <c r="D425" s="771">
        <v>178.27500000000001</v>
      </c>
      <c r="E425" s="765">
        <v>206950</v>
      </c>
      <c r="F425" s="9"/>
      <c r="G425" s="9"/>
      <c r="H425" s="9"/>
      <c r="I425" s="9"/>
      <c r="J425" s="9"/>
      <c r="K425" s="9"/>
      <c r="L425" s="9"/>
      <c r="M425" s="9"/>
      <c r="N425" s="9"/>
      <c r="O425" s="9"/>
      <c r="P425" s="9"/>
      <c r="Q425" s="9"/>
      <c r="R425" s="9"/>
      <c r="S425" s="9"/>
      <c r="T425" s="9"/>
      <c r="U425" s="9"/>
      <c r="V425" s="9"/>
      <c r="W425" s="9"/>
      <c r="X425" s="9"/>
      <c r="Y425" s="9"/>
      <c r="Z425" s="9"/>
      <c r="AA425" s="9"/>
      <c r="AB425" s="9"/>
      <c r="AC425" s="9"/>
      <c r="AD425" s="970"/>
    </row>
    <row r="426" spans="1:30" ht="13.5" customHeight="1">
      <c r="A426" s="10"/>
      <c r="B426" s="9"/>
      <c r="C426" s="770">
        <v>45580</v>
      </c>
      <c r="D426" s="771">
        <v>176.13</v>
      </c>
      <c r="E426" s="765">
        <v>236340</v>
      </c>
      <c r="F426" s="9"/>
      <c r="G426" s="9"/>
      <c r="H426" s="9"/>
      <c r="I426" s="9"/>
      <c r="J426" s="9"/>
      <c r="K426" s="9"/>
      <c r="L426" s="9"/>
      <c r="M426" s="9"/>
      <c r="N426" s="9"/>
      <c r="O426" s="9"/>
      <c r="P426" s="9"/>
      <c r="Q426" s="9"/>
      <c r="R426" s="9"/>
      <c r="S426" s="9"/>
      <c r="T426" s="9"/>
      <c r="U426" s="9"/>
      <c r="V426" s="9"/>
      <c r="W426" s="9"/>
      <c r="X426" s="9"/>
      <c r="Y426" s="9"/>
      <c r="Z426" s="9"/>
      <c r="AA426" s="9"/>
      <c r="AB426" s="9"/>
      <c r="AC426" s="9"/>
      <c r="AD426" s="970"/>
    </row>
    <row r="427" spans="1:30" ht="13.5" customHeight="1">
      <c r="A427" s="10"/>
      <c r="B427" s="9"/>
      <c r="C427" s="770">
        <v>45579</v>
      </c>
      <c r="D427" s="771">
        <v>177.16</v>
      </c>
      <c r="E427" s="765">
        <v>211893</v>
      </c>
      <c r="F427" s="9"/>
      <c r="G427" s="9"/>
      <c r="H427" s="9"/>
      <c r="I427" s="9"/>
      <c r="J427" s="9"/>
      <c r="K427" s="9"/>
      <c r="L427" s="9"/>
      <c r="M427" s="9"/>
      <c r="N427" s="9"/>
      <c r="O427" s="9"/>
      <c r="P427" s="9"/>
      <c r="Q427" s="9"/>
      <c r="R427" s="9"/>
      <c r="S427" s="9"/>
      <c r="T427" s="9"/>
      <c r="U427" s="9"/>
      <c r="V427" s="9"/>
      <c r="W427" s="9"/>
      <c r="X427" s="9"/>
      <c r="Y427" s="9"/>
      <c r="Z427" s="9"/>
      <c r="AA427" s="9"/>
      <c r="AB427" s="9"/>
      <c r="AC427" s="9"/>
      <c r="AD427" s="970"/>
    </row>
    <row r="428" spans="1:30" ht="13.5" customHeight="1">
      <c r="A428" s="10"/>
      <c r="B428" s="9"/>
      <c r="C428" s="770">
        <v>45576</v>
      </c>
      <c r="D428" s="771">
        <v>174.74</v>
      </c>
      <c r="E428" s="765">
        <v>340893</v>
      </c>
      <c r="F428" s="9"/>
      <c r="G428" s="9"/>
      <c r="H428" s="9"/>
      <c r="I428" s="9"/>
      <c r="J428" s="9"/>
      <c r="K428" s="9"/>
      <c r="L428" s="9"/>
      <c r="M428" s="9"/>
      <c r="N428" s="9"/>
      <c r="O428" s="9"/>
      <c r="P428" s="9"/>
      <c r="Q428" s="9"/>
      <c r="R428" s="9"/>
      <c r="S428" s="9"/>
      <c r="T428" s="9"/>
      <c r="U428" s="9"/>
      <c r="V428" s="9"/>
      <c r="W428" s="9"/>
      <c r="X428" s="9"/>
      <c r="Y428" s="9"/>
      <c r="Z428" s="9"/>
      <c r="AA428" s="9"/>
      <c r="AB428" s="9"/>
      <c r="AC428" s="9"/>
      <c r="AD428" s="970"/>
    </row>
    <row r="429" spans="1:30" ht="13.5" customHeight="1">
      <c r="A429" s="10"/>
      <c r="B429" s="9"/>
      <c r="C429" s="770">
        <v>45575</v>
      </c>
      <c r="D429" s="771">
        <v>172.58</v>
      </c>
      <c r="E429" s="765">
        <v>401564</v>
      </c>
      <c r="F429" s="9"/>
      <c r="G429" s="9"/>
      <c r="H429" s="9"/>
      <c r="I429" s="9"/>
      <c r="J429" s="9"/>
      <c r="K429" s="9"/>
      <c r="L429" s="9"/>
      <c r="M429" s="9"/>
      <c r="N429" s="9"/>
      <c r="O429" s="9"/>
      <c r="P429" s="9"/>
      <c r="Q429" s="9"/>
      <c r="R429" s="9"/>
      <c r="S429" s="9"/>
      <c r="T429" s="9"/>
      <c r="U429" s="9"/>
      <c r="V429" s="9"/>
      <c r="W429" s="9"/>
      <c r="X429" s="9"/>
      <c r="Y429" s="9"/>
      <c r="Z429" s="9"/>
      <c r="AA429" s="9"/>
      <c r="AB429" s="9"/>
      <c r="AC429" s="9"/>
      <c r="AD429" s="970"/>
    </row>
    <row r="430" spans="1:30" ht="13.5" customHeight="1">
      <c r="A430" s="10"/>
      <c r="B430" s="9"/>
      <c r="C430" s="770">
        <v>45574</v>
      </c>
      <c r="D430" s="771">
        <v>175.14</v>
      </c>
      <c r="E430" s="765">
        <v>449702</v>
      </c>
      <c r="F430" s="9"/>
      <c r="G430" s="9"/>
      <c r="H430" s="9"/>
      <c r="I430" s="9"/>
      <c r="J430" s="9"/>
      <c r="K430" s="9"/>
      <c r="L430" s="9"/>
      <c r="M430" s="9"/>
      <c r="N430" s="9"/>
      <c r="O430" s="9"/>
      <c r="P430" s="9"/>
      <c r="Q430" s="9"/>
      <c r="R430" s="9"/>
      <c r="S430" s="9"/>
      <c r="T430" s="9"/>
      <c r="U430" s="9"/>
      <c r="V430" s="9"/>
      <c r="W430" s="9"/>
      <c r="X430" s="9"/>
      <c r="Y430" s="9"/>
      <c r="Z430" s="9"/>
      <c r="AA430" s="9"/>
      <c r="AB430" s="9"/>
      <c r="AC430" s="9"/>
      <c r="AD430" s="970"/>
    </row>
    <row r="431" spans="1:30" ht="13.5" customHeight="1">
      <c r="A431" s="10"/>
      <c r="B431" s="9"/>
      <c r="C431" s="770">
        <v>45573</v>
      </c>
      <c r="D431" s="771">
        <v>173.01</v>
      </c>
      <c r="E431" s="765">
        <v>292152</v>
      </c>
      <c r="F431" s="9"/>
      <c r="G431" s="9"/>
      <c r="H431" s="9"/>
      <c r="I431" s="9"/>
      <c r="J431" s="9"/>
      <c r="K431" s="9"/>
      <c r="L431" s="9"/>
      <c r="M431" s="9"/>
      <c r="N431" s="9"/>
      <c r="O431" s="9"/>
      <c r="P431" s="9"/>
      <c r="Q431" s="9"/>
      <c r="R431" s="9"/>
      <c r="S431" s="9"/>
      <c r="T431" s="9"/>
      <c r="U431" s="9"/>
      <c r="V431" s="9"/>
      <c r="W431" s="9"/>
      <c r="X431" s="9"/>
      <c r="Y431" s="9"/>
      <c r="Z431" s="9"/>
      <c r="AA431" s="9"/>
      <c r="AB431" s="9"/>
      <c r="AC431" s="9"/>
      <c r="AD431" s="970"/>
    </row>
    <row r="432" spans="1:30" ht="13.5" customHeight="1">
      <c r="A432" s="10"/>
      <c r="B432" s="9"/>
      <c r="C432" s="770">
        <v>44071</v>
      </c>
      <c r="D432" s="771">
        <v>163.20230100000001</v>
      </c>
      <c r="E432" s="765">
        <v>3291400</v>
      </c>
      <c r="F432" s="9"/>
      <c r="G432" s="9"/>
      <c r="H432" s="9"/>
      <c r="I432" s="9"/>
      <c r="J432" s="9"/>
      <c r="K432" s="9"/>
      <c r="L432" s="9"/>
      <c r="M432" s="9"/>
      <c r="N432" s="9"/>
      <c r="O432" s="9"/>
      <c r="P432" s="9"/>
      <c r="Q432" s="9"/>
      <c r="R432" s="9"/>
      <c r="S432" s="9"/>
      <c r="T432" s="9"/>
      <c r="U432" s="9"/>
      <c r="V432" s="9"/>
      <c r="W432" s="9"/>
      <c r="X432" s="9"/>
      <c r="Y432" s="9"/>
      <c r="Z432" s="9"/>
      <c r="AA432" s="9"/>
      <c r="AB432" s="9"/>
      <c r="AC432" s="9"/>
      <c r="AD432" s="970"/>
    </row>
    <row r="433" spans="1:30" ht="13.5" customHeight="1">
      <c r="A433" s="10"/>
      <c r="B433" s="9"/>
      <c r="C433" s="770">
        <v>44070</v>
      </c>
      <c r="D433" s="771">
        <v>163.99115</v>
      </c>
      <c r="E433" s="765">
        <v>4425000</v>
      </c>
      <c r="F433" s="9"/>
      <c r="G433" s="9"/>
      <c r="H433" s="9"/>
      <c r="I433" s="9"/>
      <c r="J433" s="9"/>
      <c r="K433" s="9"/>
      <c r="L433" s="9"/>
      <c r="M433" s="9"/>
      <c r="N433" s="9"/>
      <c r="O433" s="9"/>
      <c r="P433" s="9"/>
      <c r="Q433" s="9"/>
      <c r="R433" s="9"/>
      <c r="S433" s="9"/>
      <c r="T433" s="9"/>
      <c r="U433" s="9"/>
      <c r="V433" s="9"/>
      <c r="W433" s="9"/>
      <c r="X433" s="9"/>
      <c r="Y433" s="9"/>
      <c r="Z433" s="9"/>
      <c r="AA433" s="9"/>
      <c r="AB433" s="9"/>
      <c r="AC433" s="9"/>
      <c r="AD433" s="970"/>
    </row>
    <row r="434" spans="1:30" ht="13.5" customHeight="1">
      <c r="A434" s="10"/>
      <c r="B434" s="9"/>
      <c r="C434" s="770"/>
      <c r="D434" s="771"/>
      <c r="E434" s="765"/>
      <c r="F434" s="9"/>
      <c r="G434" s="9"/>
      <c r="H434" s="9"/>
      <c r="I434" s="9"/>
      <c r="J434" s="9"/>
      <c r="K434" s="9"/>
      <c r="L434" s="9"/>
      <c r="M434" s="9"/>
      <c r="N434" s="9"/>
      <c r="O434" s="9"/>
      <c r="P434" s="9"/>
      <c r="Q434" s="9"/>
      <c r="R434" s="9"/>
      <c r="S434" s="9"/>
      <c r="T434" s="9"/>
      <c r="U434" s="9"/>
      <c r="V434" s="9"/>
      <c r="W434" s="9"/>
      <c r="X434" s="9"/>
      <c r="Y434" s="9"/>
      <c r="Z434" s="9"/>
      <c r="AA434" s="9"/>
      <c r="AB434" s="9"/>
      <c r="AC434" s="9"/>
      <c r="AD434" s="970"/>
    </row>
    <row r="435" spans="1:30" ht="13.5" customHeight="1">
      <c r="A435" s="10"/>
      <c r="B435" s="9"/>
      <c r="C435" s="770"/>
      <c r="D435" s="771"/>
      <c r="E435" s="765"/>
      <c r="F435" s="9"/>
      <c r="G435" s="9"/>
      <c r="H435" s="9"/>
      <c r="I435" s="9"/>
      <c r="J435" s="9"/>
      <c r="K435" s="9"/>
      <c r="L435" s="9"/>
      <c r="M435" s="9"/>
      <c r="N435" s="9"/>
      <c r="O435" s="9"/>
      <c r="P435" s="9"/>
      <c r="Q435" s="9"/>
      <c r="R435" s="9"/>
      <c r="S435" s="9"/>
      <c r="T435" s="9"/>
      <c r="U435" s="9"/>
      <c r="V435" s="9"/>
      <c r="W435" s="9"/>
      <c r="X435" s="9"/>
      <c r="Y435" s="9"/>
      <c r="Z435" s="9"/>
      <c r="AA435" s="9"/>
      <c r="AB435" s="9"/>
      <c r="AC435" s="9"/>
      <c r="AD435" s="970"/>
    </row>
    <row r="436" spans="1:30" ht="13.5" customHeight="1">
      <c r="A436" s="10"/>
      <c r="B436" s="9"/>
      <c r="C436" s="770"/>
      <c r="D436" s="771"/>
      <c r="E436" s="765"/>
      <c r="F436" s="9"/>
      <c r="G436" s="9"/>
      <c r="H436" s="9"/>
      <c r="I436" s="9"/>
      <c r="J436" s="9"/>
      <c r="K436" s="9"/>
      <c r="L436" s="9"/>
      <c r="M436" s="9"/>
      <c r="N436" s="9"/>
      <c r="O436" s="9"/>
      <c r="P436" s="9"/>
      <c r="Q436" s="9"/>
      <c r="R436" s="9"/>
      <c r="S436" s="9"/>
      <c r="T436" s="9"/>
      <c r="U436" s="9"/>
      <c r="V436" s="9"/>
      <c r="W436" s="9"/>
      <c r="X436" s="9"/>
      <c r="Y436" s="9"/>
      <c r="Z436" s="9"/>
      <c r="AA436" s="9"/>
      <c r="AB436" s="9"/>
      <c r="AC436" s="9"/>
      <c r="AD436" s="970"/>
    </row>
    <row r="437" spans="1:30" ht="13.5" customHeight="1">
      <c r="A437" s="10"/>
      <c r="B437" s="9"/>
      <c r="C437" s="770"/>
      <c r="D437" s="771"/>
      <c r="E437" s="765"/>
      <c r="F437" s="9"/>
      <c r="G437" s="9"/>
      <c r="H437" s="9"/>
      <c r="I437" s="9"/>
      <c r="J437" s="9"/>
      <c r="K437" s="9"/>
      <c r="L437" s="9"/>
      <c r="M437" s="9"/>
      <c r="N437" s="9"/>
      <c r="O437" s="9"/>
      <c r="P437" s="9"/>
      <c r="Q437" s="9"/>
      <c r="R437" s="9"/>
      <c r="S437" s="9"/>
      <c r="T437" s="9"/>
      <c r="U437" s="9"/>
      <c r="V437" s="9"/>
      <c r="W437" s="9"/>
      <c r="X437" s="9"/>
      <c r="Y437" s="9"/>
      <c r="Z437" s="9"/>
      <c r="AA437" s="9"/>
      <c r="AB437" s="9"/>
      <c r="AC437" s="9"/>
      <c r="AD437" s="970"/>
    </row>
    <row r="438" spans="1:30" ht="13.5" customHeight="1">
      <c r="A438" s="10"/>
      <c r="B438" s="9"/>
      <c r="C438" s="770"/>
      <c r="D438" s="771"/>
      <c r="E438" s="765"/>
      <c r="F438" s="9"/>
      <c r="G438" s="9"/>
      <c r="H438" s="9"/>
      <c r="I438" s="9"/>
      <c r="J438" s="9"/>
      <c r="K438" s="9"/>
      <c r="L438" s="9"/>
      <c r="M438" s="9"/>
      <c r="N438" s="9"/>
      <c r="O438" s="9"/>
      <c r="P438" s="9"/>
      <c r="Q438" s="9"/>
      <c r="R438" s="9"/>
      <c r="S438" s="9"/>
      <c r="T438" s="9"/>
      <c r="U438" s="9"/>
      <c r="V438" s="9"/>
      <c r="W438" s="9"/>
      <c r="X438" s="9"/>
      <c r="Y438" s="9"/>
      <c r="Z438" s="9"/>
      <c r="AA438" s="9"/>
      <c r="AB438" s="9"/>
      <c r="AC438" s="9"/>
      <c r="AD438" s="970"/>
    </row>
    <row r="439" spans="1:30" ht="13.5" customHeight="1">
      <c r="A439" s="10"/>
      <c r="B439" s="9"/>
      <c r="C439" s="770"/>
      <c r="D439" s="771"/>
      <c r="E439" s="765"/>
      <c r="F439" s="9"/>
      <c r="G439" s="9"/>
      <c r="H439" s="9"/>
      <c r="I439" s="9"/>
      <c r="J439" s="9"/>
      <c r="K439" s="9"/>
      <c r="L439" s="9"/>
      <c r="M439" s="9"/>
      <c r="N439" s="9"/>
      <c r="O439" s="9"/>
      <c r="P439" s="9"/>
      <c r="Q439" s="9"/>
      <c r="R439" s="9"/>
      <c r="S439" s="9"/>
      <c r="T439" s="9"/>
      <c r="U439" s="9"/>
      <c r="V439" s="9"/>
      <c r="W439" s="9"/>
      <c r="X439" s="9"/>
      <c r="Y439" s="9"/>
      <c r="Z439" s="9"/>
      <c r="AA439" s="9"/>
      <c r="AB439" s="9"/>
      <c r="AC439" s="9"/>
      <c r="AD439" s="970"/>
    </row>
    <row r="440" spans="1:30" ht="13.5" customHeight="1">
      <c r="A440" s="10"/>
      <c r="B440" s="9"/>
      <c r="C440" s="770"/>
      <c r="D440" s="771"/>
      <c r="E440" s="765"/>
      <c r="F440" s="9"/>
      <c r="G440" s="9"/>
      <c r="H440" s="9"/>
      <c r="I440" s="9"/>
      <c r="J440" s="9"/>
      <c r="K440" s="9"/>
      <c r="L440" s="9"/>
      <c r="M440" s="9"/>
      <c r="N440" s="9"/>
      <c r="O440" s="9"/>
      <c r="P440" s="9"/>
      <c r="Q440" s="9"/>
      <c r="R440" s="9"/>
      <c r="S440" s="9"/>
      <c r="T440" s="9"/>
      <c r="U440" s="9"/>
      <c r="V440" s="9"/>
      <c r="W440" s="9"/>
      <c r="X440" s="9"/>
      <c r="Y440" s="9"/>
      <c r="Z440" s="9"/>
      <c r="AA440" s="9"/>
      <c r="AB440" s="9"/>
      <c r="AC440" s="9"/>
      <c r="AD440" s="970"/>
    </row>
    <row r="441" spans="1:30" ht="13.5" customHeight="1">
      <c r="A441" s="10"/>
      <c r="B441" s="9"/>
      <c r="C441" s="770"/>
      <c r="D441" s="771"/>
      <c r="E441" s="765"/>
      <c r="F441" s="9"/>
      <c r="G441" s="9"/>
      <c r="H441" s="9"/>
      <c r="I441" s="9"/>
      <c r="J441" s="9"/>
      <c r="K441" s="9"/>
      <c r="L441" s="9"/>
      <c r="M441" s="9"/>
      <c r="N441" s="9"/>
      <c r="O441" s="9"/>
      <c r="P441" s="9"/>
      <c r="Q441" s="9"/>
      <c r="R441" s="9"/>
      <c r="S441" s="9"/>
      <c r="T441" s="9"/>
      <c r="U441" s="9"/>
      <c r="V441" s="9"/>
      <c r="W441" s="9"/>
      <c r="X441" s="9"/>
      <c r="Y441" s="9"/>
      <c r="Z441" s="9"/>
      <c r="AA441" s="9"/>
      <c r="AB441" s="9"/>
      <c r="AC441" s="9"/>
      <c r="AD441" s="970"/>
    </row>
    <row r="442" spans="1:30" ht="13.5" customHeight="1">
      <c r="A442" s="10"/>
      <c r="B442" s="9"/>
      <c r="C442" s="770"/>
      <c r="D442" s="771"/>
      <c r="E442" s="765"/>
      <c r="F442" s="9"/>
      <c r="G442" s="9"/>
      <c r="H442" s="9"/>
      <c r="I442" s="9"/>
      <c r="J442" s="9"/>
      <c r="K442" s="9"/>
      <c r="L442" s="9"/>
      <c r="M442" s="9"/>
      <c r="N442" s="9"/>
      <c r="O442" s="9"/>
      <c r="P442" s="9"/>
      <c r="Q442" s="9"/>
      <c r="R442" s="9"/>
      <c r="S442" s="9"/>
      <c r="T442" s="9"/>
      <c r="U442" s="9"/>
      <c r="V442" s="9"/>
      <c r="W442" s="9"/>
      <c r="X442" s="9"/>
      <c r="Y442" s="9"/>
      <c r="Z442" s="9"/>
      <c r="AA442" s="9"/>
      <c r="AB442" s="9"/>
      <c r="AC442" s="9"/>
      <c r="AD442" s="970"/>
    </row>
    <row r="443" spans="1:30" ht="13.5" customHeight="1">
      <c r="A443" s="10"/>
      <c r="B443" s="9"/>
      <c r="C443" s="770"/>
      <c r="D443" s="771"/>
      <c r="E443" s="765"/>
      <c r="F443" s="9"/>
      <c r="G443" s="9"/>
      <c r="H443" s="9"/>
      <c r="I443" s="9"/>
      <c r="J443" s="9"/>
      <c r="K443" s="9"/>
      <c r="L443" s="9"/>
      <c r="M443" s="9"/>
      <c r="N443" s="9"/>
      <c r="O443" s="9"/>
      <c r="P443" s="9"/>
      <c r="Q443" s="9"/>
      <c r="R443" s="9"/>
      <c r="S443" s="9"/>
      <c r="T443" s="9"/>
      <c r="U443" s="9"/>
      <c r="V443" s="9"/>
      <c r="W443" s="9"/>
      <c r="X443" s="9"/>
      <c r="Y443" s="9"/>
      <c r="Z443" s="9"/>
      <c r="AA443" s="9"/>
      <c r="AB443" s="9"/>
      <c r="AC443" s="9"/>
      <c r="AD443" s="970"/>
    </row>
    <row r="444" spans="1:30" ht="13.5" customHeight="1">
      <c r="A444" s="10"/>
      <c r="B444" s="9"/>
      <c r="C444" s="770"/>
      <c r="D444" s="771"/>
      <c r="E444" s="765"/>
      <c r="F444" s="9"/>
      <c r="G444" s="9"/>
      <c r="H444" s="9"/>
      <c r="I444" s="9"/>
      <c r="J444" s="9"/>
      <c r="K444" s="9"/>
      <c r="L444" s="9"/>
      <c r="M444" s="9"/>
      <c r="N444" s="9"/>
      <c r="O444" s="9"/>
      <c r="P444" s="9"/>
      <c r="Q444" s="9"/>
      <c r="R444" s="9"/>
      <c r="S444" s="9"/>
      <c r="T444" s="9"/>
      <c r="U444" s="9"/>
      <c r="V444" s="9"/>
      <c r="W444" s="9"/>
      <c r="X444" s="9"/>
      <c r="Y444" s="9"/>
      <c r="Z444" s="9"/>
      <c r="AA444" s="9"/>
      <c r="AB444" s="9"/>
      <c r="AC444" s="9"/>
      <c r="AD444" s="970"/>
    </row>
    <row r="445" spans="1:30" ht="13.5" customHeight="1">
      <c r="A445" s="10"/>
      <c r="B445" s="9"/>
      <c r="C445" s="770"/>
      <c r="D445" s="771"/>
      <c r="E445" s="765"/>
      <c r="F445" s="9"/>
      <c r="G445" s="9"/>
      <c r="H445" s="9"/>
      <c r="I445" s="9"/>
      <c r="J445" s="9"/>
      <c r="K445" s="9"/>
      <c r="L445" s="9"/>
      <c r="M445" s="9"/>
      <c r="N445" s="9"/>
      <c r="O445" s="9"/>
      <c r="P445" s="9"/>
      <c r="Q445" s="9"/>
      <c r="R445" s="9"/>
      <c r="S445" s="9"/>
      <c r="T445" s="9"/>
      <c r="U445" s="9"/>
      <c r="V445" s="9"/>
      <c r="W445" s="9"/>
      <c r="X445" s="9"/>
      <c r="Y445" s="9"/>
      <c r="Z445" s="9"/>
      <c r="AA445" s="9"/>
      <c r="AB445" s="9"/>
      <c r="AC445" s="9"/>
      <c r="AD445" s="970"/>
    </row>
    <row r="446" spans="1:30" ht="13.5" customHeight="1">
      <c r="A446" s="10"/>
      <c r="B446" s="9"/>
      <c r="C446" s="770"/>
      <c r="D446" s="771"/>
      <c r="E446" s="765"/>
      <c r="F446" s="9"/>
      <c r="G446" s="9"/>
      <c r="H446" s="9"/>
      <c r="I446" s="9"/>
      <c r="J446" s="9"/>
      <c r="K446" s="9"/>
      <c r="L446" s="9"/>
      <c r="M446" s="9"/>
      <c r="N446" s="9"/>
      <c r="O446" s="9"/>
      <c r="P446" s="9"/>
      <c r="Q446" s="9"/>
      <c r="R446" s="9"/>
      <c r="S446" s="9"/>
      <c r="T446" s="9"/>
      <c r="U446" s="9"/>
      <c r="V446" s="9"/>
      <c r="W446" s="9"/>
      <c r="X446" s="9"/>
      <c r="Y446" s="9"/>
      <c r="Z446" s="9"/>
      <c r="AA446" s="9"/>
      <c r="AB446" s="9"/>
      <c r="AC446" s="9"/>
      <c r="AD446" s="970"/>
    </row>
    <row r="447" spans="1:30" ht="13.5" customHeight="1">
      <c r="A447" s="10"/>
      <c r="B447" s="9"/>
      <c r="C447" s="770"/>
      <c r="D447" s="771"/>
      <c r="E447" s="765"/>
      <c r="F447" s="9"/>
      <c r="G447" s="9"/>
      <c r="H447" s="9"/>
      <c r="I447" s="9"/>
      <c r="J447" s="9"/>
      <c r="K447" s="9"/>
      <c r="L447" s="9"/>
      <c r="M447" s="9"/>
      <c r="N447" s="9"/>
      <c r="O447" s="9"/>
      <c r="P447" s="9"/>
      <c r="Q447" s="9"/>
      <c r="R447" s="9"/>
      <c r="S447" s="9"/>
      <c r="T447" s="9"/>
      <c r="U447" s="9"/>
      <c r="V447" s="9"/>
      <c r="W447" s="9"/>
      <c r="X447" s="9"/>
      <c r="Y447" s="9"/>
      <c r="Z447" s="9"/>
      <c r="AA447" s="9"/>
      <c r="AB447" s="9"/>
      <c r="AC447" s="9"/>
      <c r="AD447" s="970"/>
    </row>
    <row r="448" spans="1:30" ht="13.5" customHeight="1">
      <c r="A448" s="10" t="s">
        <v>0</v>
      </c>
      <c r="B448" s="9"/>
      <c r="C448" s="9"/>
      <c r="D448" s="9"/>
      <c r="E448" s="9"/>
      <c r="F448" s="9"/>
      <c r="G448" s="9"/>
      <c r="H448" s="9"/>
      <c r="I448" s="9"/>
      <c r="J448" s="9"/>
      <c r="K448" s="9"/>
      <c r="L448" s="9"/>
      <c r="M448" s="9"/>
      <c r="N448" s="9"/>
      <c r="O448" s="9"/>
      <c r="P448" s="9"/>
      <c r="Q448" s="9"/>
      <c r="R448" s="9"/>
      <c r="S448" s="9" t="s">
        <v>0</v>
      </c>
      <c r="T448" s="9"/>
      <c r="U448" s="9"/>
      <c r="V448" s="9"/>
      <c r="W448" s="9"/>
      <c r="X448" s="9"/>
      <c r="Y448" s="9"/>
      <c r="Z448" s="9"/>
      <c r="AA448" s="9"/>
      <c r="AB448" s="9"/>
      <c r="AC448" s="9"/>
      <c r="AD448" s="970"/>
    </row>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F178:H178"/>
    <mergeCell ref="N179:P179"/>
  </mergeCells>
  <pageMargins left="0.7" right="0.7" top="0.75" bottom="0.75" header="0" footer="0"/>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sheetPr>
  <dimension ref="A1:Z1000"/>
  <sheetViews>
    <sheetView showGridLines="0" zoomScale="80" zoomScaleNormal="80" workbookViewId="0">
      <pane ySplit="2" topLeftCell="A3" activePane="bottomLeft" state="frozen"/>
      <selection pane="bottomLeft"/>
    </sheetView>
  </sheetViews>
  <sheetFormatPr defaultColWidth="14.44140625" defaultRowHeight="15" customHeight="1"/>
  <cols>
    <col min="1" max="2" width="1.6640625" customWidth="1"/>
    <col min="3" max="17" width="10.5546875" customWidth="1"/>
    <col min="18" max="18" width="2.5546875" customWidth="1"/>
    <col min="19" max="26" width="8.6640625" customWidth="1"/>
  </cols>
  <sheetData>
    <row r="1" spans="1:26" ht="13.5" customHeight="1">
      <c r="A1" s="4"/>
      <c r="B1" s="4"/>
      <c r="C1" s="5" t="str">
        <f ca="1">Company_Name&amp;" - "&amp;MID(CELL("filename",A1),FIND("]",CELL("filename",A1))+1,255)&amp;": "&amp;Case_Scenario&amp;" Case"</f>
        <v>Hamilton Lane Inc. - Benchmark: Base Case</v>
      </c>
      <c r="D1" s="4"/>
      <c r="E1" s="4"/>
      <c r="F1" s="4"/>
      <c r="G1" s="4"/>
      <c r="H1" s="4"/>
      <c r="I1" s="4"/>
      <c r="J1" s="4"/>
      <c r="K1" s="4"/>
      <c r="L1" s="4"/>
      <c r="M1" s="4"/>
      <c r="N1" s="4"/>
      <c r="O1" s="4"/>
      <c r="P1" s="4"/>
      <c r="Q1" s="4"/>
      <c r="R1" s="4"/>
      <c r="S1" s="4"/>
      <c r="T1" s="4"/>
      <c r="U1" s="4"/>
      <c r="V1" s="4"/>
      <c r="W1" s="4"/>
      <c r="X1" s="4"/>
      <c r="Y1" s="4"/>
      <c r="Z1" s="4"/>
    </row>
    <row r="2" spans="1:26" ht="13.5" customHeight="1">
      <c r="A2" s="2"/>
      <c r="B2" s="2"/>
      <c r="C2" s="7" t="str">
        <f>Cover!C2</f>
        <v>$ in Millions Except Per Share Data</v>
      </c>
      <c r="D2" s="2"/>
      <c r="E2" s="2"/>
      <c r="F2" s="2"/>
      <c r="G2" s="2"/>
      <c r="H2" s="2"/>
      <c r="I2" s="2"/>
      <c r="J2" s="2"/>
      <c r="K2" s="2"/>
      <c r="L2" s="2"/>
      <c r="M2" s="2"/>
      <c r="N2" s="2"/>
      <c r="O2" s="2"/>
      <c r="P2" s="2"/>
      <c r="Q2" s="2"/>
      <c r="R2" s="2"/>
      <c r="S2" s="2"/>
      <c r="T2" s="2"/>
      <c r="U2" s="2"/>
      <c r="V2" s="2"/>
      <c r="W2" s="2"/>
      <c r="X2" s="2"/>
      <c r="Y2" s="2"/>
      <c r="Z2" s="2"/>
    </row>
    <row r="3" spans="1:26" ht="13.5" customHeight="1">
      <c r="A3" s="3" t="s">
        <v>0</v>
      </c>
      <c r="B3" s="9"/>
      <c r="C3" s="216"/>
      <c r="D3" s="9"/>
      <c r="E3" s="9"/>
      <c r="F3" s="9"/>
      <c r="G3" s="9"/>
      <c r="H3" s="9"/>
      <c r="I3" s="9"/>
      <c r="J3" s="9"/>
      <c r="K3" s="9"/>
      <c r="L3" s="9"/>
      <c r="M3" s="9"/>
      <c r="N3" s="9"/>
      <c r="O3" s="9"/>
      <c r="P3" s="9"/>
      <c r="Q3" s="9"/>
      <c r="R3" s="9"/>
      <c r="S3" s="9"/>
      <c r="T3" s="9"/>
      <c r="U3" s="9"/>
      <c r="V3" s="9"/>
      <c r="W3" s="9"/>
      <c r="X3" s="9"/>
      <c r="Y3" s="9"/>
      <c r="Z3" s="9"/>
    </row>
    <row r="4" spans="1:26" ht="13.5" customHeight="1">
      <c r="A4" s="10"/>
      <c r="B4" s="9"/>
      <c r="C4" s="136" t="s">
        <v>821</v>
      </c>
      <c r="D4" s="96"/>
      <c r="E4" s="772">
        <f>EDATE(E5,-12)</f>
        <v>45575</v>
      </c>
      <c r="F4" s="9"/>
      <c r="G4" s="64"/>
      <c r="H4" s="64"/>
      <c r="I4" s="64"/>
      <c r="J4" s="64"/>
      <c r="K4" s="64"/>
      <c r="L4" s="64"/>
      <c r="M4" s="9"/>
      <c r="N4" s="9"/>
      <c r="O4" s="9"/>
      <c r="P4" s="9"/>
      <c r="Q4" s="9"/>
      <c r="R4" s="9"/>
      <c r="S4" s="9"/>
      <c r="T4" s="9"/>
      <c r="U4" s="9"/>
      <c r="V4" s="9"/>
      <c r="W4" s="9"/>
      <c r="X4" s="9"/>
      <c r="Y4" s="9"/>
      <c r="Z4" s="9"/>
    </row>
    <row r="5" spans="1:26" ht="13.5" customHeight="1">
      <c r="A5" s="10"/>
      <c r="B5" s="9"/>
      <c r="C5" s="134" t="s">
        <v>822</v>
      </c>
      <c r="D5" s="9"/>
      <c r="E5" s="773">
        <f>Current_Date</f>
        <v>45940</v>
      </c>
      <c r="F5" s="9"/>
      <c r="G5" s="731" t="str">
        <f>Comparables!F10</f>
        <v>HLNE</v>
      </c>
      <c r="H5" s="731" t="str">
        <f>Comparables!F12</f>
        <v>STEP</v>
      </c>
      <c r="I5" s="731" t="str">
        <f>Comparables!F13</f>
        <v>ARES</v>
      </c>
      <c r="J5" s="731" t="str">
        <f>Comparables!F14</f>
        <v>CG</v>
      </c>
      <c r="K5" s="731" t="str">
        <f>Comparables!F15</f>
        <v>TPG</v>
      </c>
      <c r="L5" s="731" t="str">
        <f>Comparables!F16</f>
        <v>AMG</v>
      </c>
      <c r="M5" s="9"/>
      <c r="N5" s="9"/>
      <c r="O5" s="9"/>
      <c r="P5" s="9"/>
      <c r="Q5" s="9"/>
      <c r="R5" s="9"/>
      <c r="S5" s="9"/>
      <c r="T5" s="9"/>
      <c r="U5" s="9"/>
      <c r="V5" s="9"/>
      <c r="W5" s="9"/>
      <c r="X5" s="9"/>
      <c r="Y5" s="9"/>
      <c r="Z5" s="9"/>
    </row>
    <row r="6" spans="1:26" ht="13.5" customHeight="1">
      <c r="A6" s="10"/>
      <c r="B6" s="9"/>
      <c r="C6" s="137" t="s">
        <v>823</v>
      </c>
      <c r="D6" s="95"/>
      <c r="E6" s="774">
        <f>EDATE(E5,24)</f>
        <v>46670</v>
      </c>
      <c r="F6" s="9"/>
      <c r="G6" s="9"/>
      <c r="H6" s="9"/>
      <c r="I6" s="9"/>
      <c r="J6" s="9"/>
      <c r="K6" s="9"/>
      <c r="L6" s="9"/>
      <c r="M6" s="9"/>
      <c r="N6" s="9"/>
      <c r="O6" s="9"/>
      <c r="P6" s="9"/>
      <c r="Q6" s="9"/>
      <c r="R6" s="9"/>
      <c r="S6" s="9"/>
      <c r="T6" s="9"/>
      <c r="U6" s="9"/>
      <c r="V6" s="9"/>
      <c r="W6" s="9"/>
      <c r="X6" s="9"/>
      <c r="Y6" s="9"/>
      <c r="Z6" s="9"/>
    </row>
    <row r="7" spans="1:26" ht="13.5" customHeight="1">
      <c r="A7" s="10"/>
      <c r="B7" s="9"/>
      <c r="C7" s="9"/>
      <c r="D7" s="9"/>
      <c r="E7" s="9"/>
      <c r="F7" s="9"/>
      <c r="G7" s="9"/>
      <c r="H7" s="9"/>
      <c r="I7" s="9"/>
      <c r="J7" s="9"/>
      <c r="K7" s="9"/>
      <c r="L7" s="9"/>
      <c r="M7" s="9"/>
      <c r="N7" s="9"/>
      <c r="O7" s="9"/>
      <c r="P7" s="9"/>
      <c r="Q7" s="9"/>
      <c r="R7" s="9"/>
      <c r="S7" s="9"/>
      <c r="T7" s="9"/>
      <c r="U7" s="9"/>
      <c r="V7" s="9"/>
      <c r="W7" s="9"/>
      <c r="X7" s="9"/>
      <c r="Y7" s="9"/>
      <c r="Z7" s="9"/>
    </row>
    <row r="8" spans="1:26" ht="13.5" customHeight="1">
      <c r="A8" s="10" t="s">
        <v>0</v>
      </c>
      <c r="B8" s="9"/>
      <c r="C8" s="995" t="str">
        <f>"Revenue Growth "&amp;TEXT(E5,"yyyy")&amp;"e"</f>
        <v>Revenue Growth 2025e</v>
      </c>
      <c r="D8" s="974"/>
      <c r="E8" s="974"/>
      <c r="F8" s="974"/>
      <c r="G8" s="974"/>
      <c r="H8" s="974"/>
      <c r="I8" s="974"/>
      <c r="J8" s="974"/>
      <c r="K8" s="974"/>
      <c r="L8" s="974"/>
      <c r="M8" s="974"/>
      <c r="N8" s="974"/>
      <c r="O8" s="974"/>
      <c r="P8" s="974"/>
      <c r="Q8" s="974"/>
      <c r="R8" s="1035"/>
      <c r="S8" s="9"/>
      <c r="T8" s="9"/>
      <c r="U8" s="9"/>
      <c r="V8" s="9"/>
      <c r="W8" s="9"/>
      <c r="X8" s="9"/>
      <c r="Y8" s="9"/>
      <c r="Z8" s="9"/>
    </row>
    <row r="9" spans="1:26" ht="13.5" customHeight="1">
      <c r="A9" s="10"/>
      <c r="B9" s="9"/>
      <c r="C9" s="9"/>
      <c r="D9" s="9"/>
      <c r="E9" s="9"/>
      <c r="F9" s="9"/>
      <c r="G9" s="9"/>
      <c r="H9" s="9"/>
      <c r="I9" s="9"/>
      <c r="J9" s="9"/>
      <c r="K9" s="9"/>
      <c r="L9" s="9"/>
      <c r="M9" s="9"/>
      <c r="N9" s="9"/>
      <c r="O9" s="9"/>
      <c r="P9" s="9"/>
      <c r="Q9" s="9"/>
      <c r="R9" s="9"/>
      <c r="S9" s="9"/>
      <c r="T9" s="9"/>
      <c r="U9" s="9"/>
      <c r="V9" s="9"/>
      <c r="W9" s="9"/>
      <c r="X9" s="9"/>
      <c r="Y9" s="9"/>
      <c r="Z9" s="9"/>
    </row>
    <row r="10" spans="1:26" ht="13.5" customHeight="1">
      <c r="A10" s="10"/>
      <c r="B10" s="9"/>
      <c r="C10" s="1050" t="s">
        <v>824</v>
      </c>
      <c r="D10" s="1000"/>
      <c r="E10" s="1001"/>
      <c r="F10" s="37"/>
      <c r="G10" s="9"/>
      <c r="H10" s="9"/>
      <c r="I10" s="9"/>
      <c r="J10" s="9"/>
      <c r="K10" s="9"/>
      <c r="L10" s="9"/>
      <c r="M10" s="9"/>
      <c r="N10" s="9"/>
      <c r="O10" s="1050" t="s">
        <v>825</v>
      </c>
      <c r="P10" s="1000"/>
      <c r="Q10" s="1001"/>
      <c r="R10" s="9"/>
      <c r="S10" s="9"/>
      <c r="T10" s="9"/>
      <c r="U10" s="9"/>
      <c r="V10" s="9"/>
      <c r="W10" s="9"/>
      <c r="X10" s="9"/>
      <c r="Y10" s="9"/>
      <c r="Z10" s="9"/>
    </row>
    <row r="11" spans="1:26" ht="13.5" customHeight="1">
      <c r="A11" s="10"/>
      <c r="B11" s="9"/>
      <c r="C11" s="9"/>
      <c r="D11" s="9"/>
      <c r="E11" s="9"/>
      <c r="F11" s="9"/>
      <c r="G11" s="9"/>
      <c r="H11" s="9"/>
      <c r="I11" s="9"/>
      <c r="J11" s="9"/>
      <c r="K11" s="9"/>
      <c r="L11" s="9"/>
      <c r="M11" s="9"/>
      <c r="N11" s="9"/>
      <c r="O11" s="9"/>
      <c r="P11" s="9"/>
      <c r="Q11" s="9"/>
      <c r="R11" s="9"/>
      <c r="S11" s="9"/>
      <c r="T11" s="9"/>
      <c r="U11" s="9"/>
      <c r="V11" s="9"/>
      <c r="W11" s="9"/>
      <c r="X11" s="9"/>
      <c r="Y11" s="9"/>
      <c r="Z11" s="9"/>
    </row>
    <row r="12" spans="1:26" ht="13.5" customHeight="1">
      <c r="A12" s="10"/>
      <c r="B12" s="9"/>
      <c r="C12" s="775" t="str">
        <f t="array" ref="C12:C17">TRANSPOSE(G5:L5)</f>
        <v>HLNE</v>
      </c>
      <c r="D12" s="776">
        <f>Comparables!J10</f>
        <v>2.8328931515380296E-2</v>
      </c>
      <c r="E12" s="777"/>
      <c r="F12" s="9"/>
      <c r="G12" s="9"/>
      <c r="H12" s="9"/>
      <c r="I12" s="9"/>
      <c r="J12" s="9"/>
      <c r="K12" s="9"/>
      <c r="L12" s="9"/>
      <c r="M12" s="9"/>
      <c r="N12" s="9"/>
      <c r="O12" s="775" t="str">
        <f>C12</f>
        <v>HLNE</v>
      </c>
      <c r="P12" s="777">
        <f>D12</f>
        <v>2.8328931515380296E-2</v>
      </c>
      <c r="Q12" s="777"/>
      <c r="R12" s="9"/>
      <c r="S12" s="9"/>
      <c r="T12" s="9"/>
      <c r="U12" s="9"/>
      <c r="V12" s="9"/>
      <c r="W12" s="9"/>
      <c r="X12" s="9"/>
      <c r="Y12" s="9"/>
      <c r="Z12" s="9"/>
    </row>
    <row r="13" spans="1:26" ht="13.5" customHeight="1">
      <c r="A13" s="10"/>
      <c r="B13" s="540">
        <v>1</v>
      </c>
      <c r="C13" s="630" t="str">
        <v>STEP</v>
      </c>
      <c r="D13" s="778">
        <f ca="1">Comparables!J12+RAND()/1000000</f>
        <v>-3.7307305027312124E-2</v>
      </c>
      <c r="E13" s="779">
        <f ca="1">MEDIAN(D13:D17)</f>
        <v>-3.7307305027312124E-2</v>
      </c>
      <c r="F13" s="9"/>
      <c r="G13" s="9"/>
      <c r="H13" s="9"/>
      <c r="I13" s="9"/>
      <c r="J13" s="9"/>
      <c r="K13" s="9"/>
      <c r="L13" s="9"/>
      <c r="M13" s="9"/>
      <c r="N13" s="9"/>
      <c r="O13" s="630" t="str">
        <f ca="1">INDEX($C$13:$C$16,MATCH(P13,$D$13:$D$16,0),1)</f>
        <v>ARES</v>
      </c>
      <c r="P13" s="779">
        <f ca="1">LARGE($D$13:$D$17,B13)</f>
        <v>0.1071207171052518</v>
      </c>
      <c r="Q13" s="779">
        <f ca="1">E13</f>
        <v>-3.7307305027312124E-2</v>
      </c>
      <c r="R13" s="779"/>
      <c r="S13" s="9"/>
      <c r="T13" s="9"/>
      <c r="U13" s="9"/>
      <c r="V13" s="9"/>
      <c r="W13" s="9"/>
      <c r="X13" s="9"/>
      <c r="Y13" s="9"/>
      <c r="Z13" s="9"/>
    </row>
    <row r="14" spans="1:26" ht="13.5" customHeight="1">
      <c r="A14" s="10"/>
      <c r="B14" s="9">
        <f>B13+1</f>
        <v>2</v>
      </c>
      <c r="C14" s="630" t="str">
        <v>ARES</v>
      </c>
      <c r="D14" s="778">
        <f ca="1">Comparables!J13+RAND()/1000000</f>
        <v>0.1071207171052518</v>
      </c>
      <c r="E14" s="779">
        <f ca="1">E13</f>
        <v>-3.7307305027312124E-2</v>
      </c>
      <c r="F14" s="9"/>
      <c r="G14" s="9"/>
      <c r="H14" s="9"/>
      <c r="I14" s="9"/>
      <c r="J14" s="9"/>
      <c r="K14" s="9"/>
      <c r="L14" s="9"/>
      <c r="M14" s="9"/>
      <c r="N14" s="9"/>
      <c r="O14" s="630" t="str">
        <f ca="1">INDEX($C$13:$C$17,MATCH(P14,$D$13:$D$17,0),1)</f>
        <v>AMG</v>
      </c>
      <c r="P14" s="779">
        <f ca="1">LARGE($D$13:$D$17,B14)</f>
        <v>2.5456512444539663E-2</v>
      </c>
      <c r="Q14" s="779">
        <f ca="1">E14</f>
        <v>-3.7307305027312124E-2</v>
      </c>
      <c r="R14" s="779"/>
      <c r="S14" s="9"/>
      <c r="T14" s="9"/>
      <c r="U14" s="9"/>
      <c r="V14" s="9"/>
      <c r="W14" s="9"/>
      <c r="X14" s="9"/>
      <c r="Y14" s="9"/>
      <c r="Z14" s="9"/>
    </row>
    <row r="15" spans="1:26" ht="13.5" customHeight="1">
      <c r="A15" s="10"/>
      <c r="B15" s="9">
        <f>B14+1</f>
        <v>3</v>
      </c>
      <c r="C15" s="630" t="str">
        <v>CG</v>
      </c>
      <c r="D15" s="778">
        <f ca="1">Comparables!J14+RAND()/1000000</f>
        <v>-0.12544602563716642</v>
      </c>
      <c r="E15" s="779">
        <f ca="1">E14</f>
        <v>-3.7307305027312124E-2</v>
      </c>
      <c r="F15" s="9"/>
      <c r="G15" s="9"/>
      <c r="H15" s="9"/>
      <c r="I15" s="9"/>
      <c r="J15" s="9"/>
      <c r="K15" s="9"/>
      <c r="L15" s="9"/>
      <c r="M15" s="9"/>
      <c r="N15" s="9"/>
      <c r="O15" s="630" t="str">
        <f ca="1">INDEX($C$13:$C$17,MATCH(P15,$D$13:$D$17,0),1)</f>
        <v>STEP</v>
      </c>
      <c r="P15" s="779">
        <f ca="1">LARGE($D$13:$D$17,B15)</f>
        <v>-3.7307305027312124E-2</v>
      </c>
      <c r="Q15" s="779">
        <f ca="1">E15</f>
        <v>-3.7307305027312124E-2</v>
      </c>
      <c r="R15" s="779"/>
      <c r="S15" s="9"/>
      <c r="T15" s="9"/>
      <c r="U15" s="9"/>
      <c r="V15" s="9"/>
      <c r="W15" s="9"/>
      <c r="X15" s="9"/>
      <c r="Y15" s="9"/>
      <c r="Z15" s="9"/>
    </row>
    <row r="16" spans="1:26" ht="13.5" customHeight="1">
      <c r="A16" s="10"/>
      <c r="B16" s="9">
        <f>B15+1</f>
        <v>4</v>
      </c>
      <c r="C16" s="630" t="str">
        <v>TPG</v>
      </c>
      <c r="D16" s="778">
        <f ca="1">Comparables!J15+RAND()/1000000</f>
        <v>-0.41707636234367534</v>
      </c>
      <c r="E16" s="779">
        <f ca="1">E15</f>
        <v>-3.7307305027312124E-2</v>
      </c>
      <c r="F16" s="9"/>
      <c r="G16" s="9"/>
      <c r="H16" s="9"/>
      <c r="I16" s="9"/>
      <c r="J16" s="9"/>
      <c r="K16" s="9"/>
      <c r="L16" s="9"/>
      <c r="M16" s="9"/>
      <c r="N16" s="9"/>
      <c r="O16" s="630" t="str">
        <f ca="1">INDEX($C$13:$C$17,MATCH(P16,$D$13:$D$17,0),1)</f>
        <v>CG</v>
      </c>
      <c r="P16" s="779">
        <f ca="1">LARGE($D$13:$D$17,B16)</f>
        <v>-0.12544602563716642</v>
      </c>
      <c r="Q16" s="779">
        <f ca="1">E16</f>
        <v>-3.7307305027312124E-2</v>
      </c>
      <c r="R16" s="779"/>
      <c r="S16" s="9"/>
      <c r="T16" s="9"/>
      <c r="U16" s="9"/>
      <c r="V16" s="9"/>
      <c r="W16" s="9"/>
      <c r="X16" s="9"/>
      <c r="Y16" s="9"/>
      <c r="Z16" s="9"/>
    </row>
    <row r="17" spans="1:26" ht="13.5" customHeight="1">
      <c r="A17" s="10"/>
      <c r="B17" s="9">
        <f>B16+1</f>
        <v>5</v>
      </c>
      <c r="C17" s="630" t="str">
        <v>AMG</v>
      </c>
      <c r="D17" s="778">
        <f ca="1">Comparables!J16+RAND()/1000000</f>
        <v>2.5456512444539663E-2</v>
      </c>
      <c r="E17" s="779">
        <f ca="1">E16</f>
        <v>-3.7307305027312124E-2</v>
      </c>
      <c r="F17" s="9"/>
      <c r="G17" s="9"/>
      <c r="H17" s="9"/>
      <c r="I17" s="9"/>
      <c r="J17" s="9"/>
      <c r="K17" s="9"/>
      <c r="L17" s="9"/>
      <c r="M17" s="9"/>
      <c r="N17" s="9"/>
      <c r="O17" s="630" t="str">
        <f ca="1">INDEX($C$13:$C$17,MATCH(P17,$D$13:$D$17,0),1)</f>
        <v>TPG</v>
      </c>
      <c r="P17" s="779">
        <f ca="1">LARGE($D$13:$D$17,B17)</f>
        <v>-0.41707636234367534</v>
      </c>
      <c r="Q17" s="779">
        <f ca="1">E17</f>
        <v>-3.7307305027312124E-2</v>
      </c>
      <c r="R17" s="779"/>
      <c r="S17" s="9"/>
      <c r="T17" s="9"/>
      <c r="U17" s="9"/>
      <c r="V17" s="9"/>
      <c r="W17" s="9"/>
      <c r="X17" s="9"/>
      <c r="Y17" s="9"/>
      <c r="Z17" s="9"/>
    </row>
    <row r="18" spans="1:26" ht="13.5" customHeight="1">
      <c r="A18" s="10"/>
      <c r="B18" s="9"/>
      <c r="C18" s="9"/>
      <c r="D18" s="9"/>
      <c r="E18" s="9"/>
      <c r="F18" s="9"/>
      <c r="G18" s="9"/>
      <c r="H18" s="9"/>
      <c r="I18" s="9"/>
      <c r="J18" s="9"/>
      <c r="K18" s="9"/>
      <c r="L18" s="9"/>
      <c r="M18" s="9"/>
      <c r="N18" s="9"/>
      <c r="O18" s="9"/>
      <c r="P18" s="9"/>
      <c r="Q18" s="9"/>
      <c r="R18" s="9"/>
      <c r="S18" s="9"/>
      <c r="T18" s="9"/>
      <c r="U18" s="9"/>
      <c r="V18" s="9"/>
      <c r="W18" s="9"/>
      <c r="X18" s="9"/>
      <c r="Y18" s="9"/>
      <c r="Z18" s="9"/>
    </row>
    <row r="19" spans="1:26" ht="13.5" customHeight="1">
      <c r="A19" s="10"/>
      <c r="B19" s="9"/>
      <c r="C19" s="9"/>
      <c r="D19" s="9"/>
      <c r="E19" s="780" t="str">
        <f ca="1">"Median "&amp;TEXT(E13,"0.0%")</f>
        <v>Median -3.7%</v>
      </c>
      <c r="F19" s="9"/>
      <c r="G19" s="9"/>
      <c r="H19" s="9"/>
      <c r="I19" s="9"/>
      <c r="J19" s="9"/>
      <c r="K19" s="9"/>
      <c r="L19" s="9"/>
      <c r="M19" s="9"/>
      <c r="N19" s="9"/>
      <c r="O19" s="9"/>
      <c r="P19" s="9"/>
      <c r="Q19" s="780" t="str">
        <f ca="1">E19</f>
        <v>Median -3.7%</v>
      </c>
      <c r="R19" s="9"/>
      <c r="S19" s="9"/>
      <c r="T19" s="9"/>
      <c r="U19" s="9"/>
      <c r="V19" s="9"/>
      <c r="W19" s="9"/>
      <c r="X19" s="9"/>
      <c r="Y19" s="9"/>
      <c r="Z19" s="9"/>
    </row>
    <row r="20" spans="1:26" ht="13.5" customHeight="1">
      <c r="A20" s="10"/>
      <c r="B20" s="9"/>
      <c r="C20" s="9"/>
      <c r="D20" s="9"/>
      <c r="E20" s="9"/>
      <c r="F20" s="9"/>
      <c r="G20" s="9"/>
      <c r="H20" s="9"/>
      <c r="I20" s="9"/>
      <c r="J20" s="9"/>
      <c r="K20" s="9"/>
      <c r="L20" s="9"/>
      <c r="M20" s="9"/>
      <c r="N20" s="9"/>
      <c r="O20" s="9"/>
      <c r="P20" s="779"/>
      <c r="Q20" s="9"/>
      <c r="R20" s="9"/>
      <c r="S20" s="9"/>
      <c r="T20" s="9"/>
      <c r="U20" s="9"/>
      <c r="V20" s="9"/>
      <c r="W20" s="9"/>
      <c r="X20" s="9"/>
      <c r="Y20" s="9"/>
      <c r="Z20" s="9"/>
    </row>
    <row r="21" spans="1:26" ht="13.5" customHeight="1">
      <c r="A21" s="10"/>
      <c r="B21" s="9"/>
      <c r="C21" s="9"/>
      <c r="D21" s="9"/>
      <c r="E21" s="9"/>
      <c r="F21" s="9"/>
      <c r="G21" s="9"/>
      <c r="H21" s="9"/>
      <c r="I21" s="9"/>
      <c r="J21" s="9"/>
      <c r="K21" s="9"/>
      <c r="L21" s="9"/>
      <c r="M21" s="9"/>
      <c r="N21" s="9"/>
      <c r="O21" s="9"/>
      <c r="P21" s="779"/>
      <c r="Q21" s="9"/>
      <c r="R21" s="9"/>
      <c r="S21" s="9"/>
      <c r="T21" s="9"/>
      <c r="U21" s="9"/>
      <c r="V21" s="9"/>
      <c r="W21" s="9"/>
      <c r="X21" s="9"/>
      <c r="Y21" s="9"/>
      <c r="Z21" s="9"/>
    </row>
    <row r="22" spans="1:26" ht="13.5" customHeight="1">
      <c r="A22" s="10"/>
      <c r="B22" s="9"/>
      <c r="C22" s="9"/>
      <c r="D22" s="9"/>
      <c r="E22" s="9"/>
      <c r="F22" s="9"/>
      <c r="G22" s="9"/>
      <c r="H22" s="9"/>
      <c r="I22" s="9"/>
      <c r="J22" s="9"/>
      <c r="K22" s="9"/>
      <c r="L22" s="9"/>
      <c r="M22" s="9"/>
      <c r="N22" s="9"/>
      <c r="O22" s="9"/>
      <c r="P22" s="779"/>
      <c r="Q22" s="9"/>
      <c r="R22" s="9"/>
      <c r="S22" s="9"/>
      <c r="T22" s="9"/>
      <c r="U22" s="9"/>
      <c r="V22" s="9"/>
      <c r="W22" s="9"/>
      <c r="X22" s="9"/>
      <c r="Y22" s="9"/>
      <c r="Z22" s="9"/>
    </row>
    <row r="23" spans="1:26" ht="13.5" customHeight="1">
      <c r="A23" s="10"/>
      <c r="B23" s="9"/>
      <c r="C23" s="9"/>
      <c r="D23" s="9"/>
      <c r="E23" s="9"/>
      <c r="F23" s="9"/>
      <c r="G23" s="9"/>
      <c r="H23" s="9"/>
      <c r="I23" s="9"/>
      <c r="J23" s="9"/>
      <c r="K23" s="9"/>
      <c r="L23" s="9"/>
      <c r="M23" s="9"/>
      <c r="N23" s="9"/>
      <c r="O23" s="9"/>
      <c r="P23" s="779"/>
      <c r="Q23" s="9"/>
      <c r="R23" s="9"/>
      <c r="S23" s="9"/>
      <c r="T23" s="9"/>
      <c r="U23" s="9"/>
      <c r="V23" s="9"/>
      <c r="W23" s="9"/>
      <c r="X23" s="9"/>
      <c r="Y23" s="9"/>
      <c r="Z23" s="9"/>
    </row>
    <row r="24" spans="1:26" ht="13.5" customHeight="1">
      <c r="A24" s="10" t="s">
        <v>0</v>
      </c>
      <c r="B24" s="9"/>
      <c r="C24" s="995" t="str">
        <f>"EPS Growth "&amp;TEXT(E5,"yyyy")&amp;"e"</f>
        <v>EPS Growth 2025e</v>
      </c>
      <c r="D24" s="974"/>
      <c r="E24" s="974"/>
      <c r="F24" s="974"/>
      <c r="G24" s="974"/>
      <c r="H24" s="974"/>
      <c r="I24" s="974"/>
      <c r="J24" s="974"/>
      <c r="K24" s="974"/>
      <c r="L24" s="974"/>
      <c r="M24" s="974"/>
      <c r="N24" s="974"/>
      <c r="O24" s="974"/>
      <c r="P24" s="974"/>
      <c r="Q24" s="975"/>
      <c r="R24" s="9"/>
      <c r="S24" s="9"/>
      <c r="T24" s="9"/>
      <c r="U24" s="9"/>
      <c r="V24" s="9"/>
      <c r="W24" s="9"/>
      <c r="X24" s="9"/>
      <c r="Y24" s="9"/>
      <c r="Z24" s="9"/>
    </row>
    <row r="25" spans="1:26" ht="13.5" customHeight="1">
      <c r="A25" s="10"/>
      <c r="B25" s="9"/>
      <c r="C25" s="9"/>
      <c r="D25" s="9"/>
      <c r="E25" s="9"/>
      <c r="F25" s="9"/>
      <c r="G25" s="9"/>
      <c r="H25" s="9"/>
      <c r="I25" s="9"/>
      <c r="J25" s="9"/>
      <c r="K25" s="9"/>
      <c r="L25" s="9"/>
      <c r="M25" s="9"/>
      <c r="N25" s="9"/>
      <c r="O25" s="9"/>
      <c r="P25" s="9"/>
      <c r="Q25" s="9"/>
      <c r="R25" s="9"/>
      <c r="S25" s="9"/>
      <c r="T25" s="9"/>
      <c r="U25" s="9"/>
      <c r="V25" s="9"/>
      <c r="W25" s="9"/>
      <c r="X25" s="9"/>
      <c r="Y25" s="9"/>
      <c r="Z25" s="9"/>
    </row>
    <row r="26" spans="1:26" ht="13.5" customHeight="1">
      <c r="A26" s="10"/>
      <c r="B26" s="9"/>
      <c r="C26" s="1050" t="str">
        <f>C10</f>
        <v>Raw Data</v>
      </c>
      <c r="D26" s="1000"/>
      <c r="E26" s="1001"/>
      <c r="F26" s="37"/>
      <c r="G26" s="9"/>
      <c r="H26" s="9"/>
      <c r="I26" s="9"/>
      <c r="J26" s="9"/>
      <c r="K26" s="9"/>
      <c r="L26" s="9"/>
      <c r="M26" s="9"/>
      <c r="N26" s="9"/>
      <c r="O26" s="1050" t="str">
        <f>O10</f>
        <v>Chart Data</v>
      </c>
      <c r="P26" s="1000"/>
      <c r="Q26" s="1001"/>
      <c r="R26" s="9"/>
      <c r="S26" s="9"/>
      <c r="T26" s="9"/>
      <c r="U26" s="9"/>
      <c r="V26" s="9"/>
      <c r="W26" s="9"/>
      <c r="X26" s="9"/>
      <c r="Y26" s="9"/>
      <c r="Z26" s="9"/>
    </row>
    <row r="27" spans="1:26" ht="13.5" customHeight="1">
      <c r="A27" s="10"/>
      <c r="B27" s="9"/>
      <c r="C27" s="9"/>
      <c r="D27" s="9"/>
      <c r="E27" s="9"/>
      <c r="F27" s="9"/>
      <c r="G27" s="9"/>
      <c r="H27" s="9"/>
      <c r="I27" s="9"/>
      <c r="J27" s="9"/>
      <c r="K27" s="9"/>
      <c r="L27" s="9"/>
      <c r="M27" s="9"/>
      <c r="N27" s="9"/>
      <c r="O27" s="9"/>
      <c r="P27" s="9"/>
      <c r="Q27" s="9"/>
      <c r="R27" s="9"/>
      <c r="S27" s="9"/>
      <c r="T27" s="9"/>
      <c r="U27" s="9"/>
      <c r="V27" s="9"/>
      <c r="W27" s="9"/>
      <c r="X27" s="9"/>
      <c r="Y27" s="9"/>
      <c r="Z27" s="9"/>
    </row>
    <row r="28" spans="1:26" ht="13.5" customHeight="1">
      <c r="A28" s="10"/>
      <c r="B28" s="540"/>
      <c r="C28" s="775" t="str">
        <f t="shared" ref="C28:C33" si="0">C12</f>
        <v>HLNE</v>
      </c>
      <c r="D28" s="776">
        <f>Comparables!L10</f>
        <v>-6.1781888186765777E-2</v>
      </c>
      <c r="E28" s="777"/>
      <c r="F28" s="9"/>
      <c r="G28" s="9"/>
      <c r="H28" s="9"/>
      <c r="I28" s="9"/>
      <c r="J28" s="9"/>
      <c r="K28" s="9"/>
      <c r="L28" s="9"/>
      <c r="M28" s="9"/>
      <c r="N28" s="9"/>
      <c r="O28" s="775" t="str">
        <f>C28</f>
        <v>HLNE</v>
      </c>
      <c r="P28" s="777">
        <f>D28</f>
        <v>-6.1781888186765777E-2</v>
      </c>
      <c r="Q28" s="777"/>
      <c r="R28" s="9"/>
      <c r="S28" s="9"/>
      <c r="T28" s="9"/>
      <c r="U28" s="9"/>
      <c r="V28" s="9"/>
      <c r="W28" s="9"/>
      <c r="X28" s="9"/>
      <c r="Y28" s="9"/>
      <c r="Z28" s="9"/>
    </row>
    <row r="29" spans="1:26" ht="13.5" customHeight="1">
      <c r="A29" s="10"/>
      <c r="B29" s="540">
        <v>1</v>
      </c>
      <c r="C29" s="630" t="str">
        <f t="shared" si="0"/>
        <v>STEP</v>
      </c>
      <c r="D29" s="778">
        <f ca="1">Comparables!L12+RAND()/1000000</f>
        <v>-1.7649023003206097</v>
      </c>
      <c r="E29" s="779">
        <f ca="1">MEDIAN(D29:D33)</f>
        <v>0.48675833826993736</v>
      </c>
      <c r="F29" s="9"/>
      <c r="G29" s="9"/>
      <c r="H29" s="9"/>
      <c r="I29" s="9"/>
      <c r="J29" s="9"/>
      <c r="K29" s="9"/>
      <c r="L29" s="9"/>
      <c r="M29" s="9"/>
      <c r="N29" s="9"/>
      <c r="O29" s="630" t="str">
        <f ca="1">INDEX($C$29:$C$33,MATCH(P29,$D$29:$D$33,0),1)</f>
        <v>ARES</v>
      </c>
      <c r="P29" s="779">
        <f ca="1">LARGE($D$29:$D$33,B29)</f>
        <v>1.4334853810497048</v>
      </c>
      <c r="Q29" s="779">
        <f ca="1">E29</f>
        <v>0.48675833826993736</v>
      </c>
      <c r="R29" s="9"/>
      <c r="S29" s="9"/>
      <c r="T29" s="9"/>
      <c r="U29" s="9"/>
      <c r="V29" s="9"/>
      <c r="W29" s="9"/>
      <c r="X29" s="9"/>
      <c r="Y29" s="9"/>
      <c r="Z29" s="9"/>
    </row>
    <row r="30" spans="1:26" ht="13.5" customHeight="1">
      <c r="A30" s="10"/>
      <c r="B30" s="9">
        <f>B29+1</f>
        <v>2</v>
      </c>
      <c r="C30" s="630" t="str">
        <f t="shared" si="0"/>
        <v>ARES</v>
      </c>
      <c r="D30" s="778">
        <f ca="1">Comparables!L13+RAND()/1000000</f>
        <v>1.4334853810497048</v>
      </c>
      <c r="E30" s="779">
        <f ca="1">E29</f>
        <v>0.48675833826993736</v>
      </c>
      <c r="F30" s="9"/>
      <c r="G30" s="9"/>
      <c r="H30" s="9"/>
      <c r="I30" s="9"/>
      <c r="J30" s="9"/>
      <c r="K30" s="9"/>
      <c r="L30" s="9"/>
      <c r="M30" s="9"/>
      <c r="N30" s="9"/>
      <c r="O30" s="630" t="str">
        <f ca="1">INDEX($C$29:$C$33,MATCH(P30,$D$29:$D$33,0),1)</f>
        <v>AMG</v>
      </c>
      <c r="P30" s="779">
        <f ca="1">LARGE($D$29:$D$33,B30)</f>
        <v>0.62604078383413198</v>
      </c>
      <c r="Q30" s="779">
        <f ca="1">E30</f>
        <v>0.48675833826993736</v>
      </c>
      <c r="R30" s="9"/>
      <c r="S30" s="9"/>
      <c r="T30" s="9"/>
      <c r="U30" s="9"/>
      <c r="V30" s="9"/>
      <c r="W30" s="9"/>
      <c r="X30" s="9"/>
      <c r="Y30" s="9"/>
      <c r="Z30" s="9"/>
    </row>
    <row r="31" spans="1:26" ht="13.5" customHeight="1">
      <c r="A31" s="10"/>
      <c r="B31" s="9">
        <f>B30+1</f>
        <v>3</v>
      </c>
      <c r="C31" s="630" t="str">
        <f t="shared" si="0"/>
        <v>CG</v>
      </c>
      <c r="D31" s="778">
        <f ca="1">Comparables!L14+RAND()/1000000</f>
        <v>0.48675833826993736</v>
      </c>
      <c r="E31" s="779">
        <f ca="1">E30</f>
        <v>0.48675833826993736</v>
      </c>
      <c r="F31" s="9"/>
      <c r="G31" s="9"/>
      <c r="H31" s="9"/>
      <c r="I31" s="9"/>
      <c r="J31" s="9"/>
      <c r="K31" s="9"/>
      <c r="L31" s="9"/>
      <c r="M31" s="9"/>
      <c r="N31" s="9"/>
      <c r="O31" s="630" t="str">
        <f ca="1">INDEX($C$29:$C$33,MATCH(P31,$D$29:$D$33,0),1)</f>
        <v>CG</v>
      </c>
      <c r="P31" s="779">
        <f ca="1">LARGE($D$29:$D$33,B31)</f>
        <v>0.48675833826993736</v>
      </c>
      <c r="Q31" s="779">
        <f ca="1">E31</f>
        <v>0.48675833826993736</v>
      </c>
      <c r="R31" s="9"/>
      <c r="S31" s="9"/>
      <c r="T31" s="9"/>
      <c r="U31" s="9"/>
      <c r="V31" s="9"/>
      <c r="W31" s="9"/>
      <c r="X31" s="9"/>
      <c r="Y31" s="9"/>
      <c r="Z31" s="9"/>
    </row>
    <row r="32" spans="1:26" ht="13.5" customHeight="1">
      <c r="A32" s="10"/>
      <c r="B32" s="9">
        <f>B31+1</f>
        <v>4</v>
      </c>
      <c r="C32" s="630" t="str">
        <f t="shared" si="0"/>
        <v>TPG</v>
      </c>
      <c r="D32" s="778">
        <f ca="1">Comparables!L15+RAND()/1000000</f>
        <v>-6.7716388863392112</v>
      </c>
      <c r="E32" s="779">
        <f ca="1">E31</f>
        <v>0.48675833826993736</v>
      </c>
      <c r="F32" s="9"/>
      <c r="G32" s="9"/>
      <c r="H32" s="9"/>
      <c r="I32" s="9"/>
      <c r="J32" s="9"/>
      <c r="K32" s="9"/>
      <c r="L32" s="9"/>
      <c r="M32" s="9"/>
      <c r="N32" s="9"/>
      <c r="O32" s="630" t="str">
        <f ca="1">INDEX($C$29:$C$33,MATCH(P32,$D$29:$D$33,0),1)</f>
        <v>STEP</v>
      </c>
      <c r="P32" s="779">
        <f ca="1">LARGE($D$29:$D$33,B32)</f>
        <v>-1.7649023003206097</v>
      </c>
      <c r="Q32" s="779">
        <f ca="1">E32</f>
        <v>0.48675833826993736</v>
      </c>
      <c r="R32" s="9"/>
      <c r="S32" s="9"/>
      <c r="T32" s="9"/>
      <c r="U32" s="9"/>
      <c r="V32" s="9"/>
      <c r="W32" s="9"/>
      <c r="X32" s="9"/>
      <c r="Y32" s="9"/>
      <c r="Z32" s="9"/>
    </row>
    <row r="33" spans="1:26" ht="13.5" customHeight="1">
      <c r="A33" s="10"/>
      <c r="B33" s="9">
        <f>B32+1</f>
        <v>5</v>
      </c>
      <c r="C33" s="630" t="str">
        <f t="shared" si="0"/>
        <v>AMG</v>
      </c>
      <c r="D33" s="778">
        <f ca="1">Comparables!L16+RAND()/1000000</f>
        <v>0.62604078383413198</v>
      </c>
      <c r="E33" s="779">
        <f ca="1">E32</f>
        <v>0.48675833826993736</v>
      </c>
      <c r="F33" s="9"/>
      <c r="G33" s="9"/>
      <c r="H33" s="9"/>
      <c r="I33" s="9"/>
      <c r="J33" s="9"/>
      <c r="K33" s="9"/>
      <c r="L33" s="9"/>
      <c r="M33" s="9"/>
      <c r="N33" s="9"/>
      <c r="O33" s="630" t="str">
        <f ca="1">INDEX($C$29:$C$33,MATCH(P33,$D$29:$D$33,0),1)</f>
        <v>TPG</v>
      </c>
      <c r="P33" s="779">
        <f ca="1">LARGE($D$29:$D$33,B33)</f>
        <v>-6.7716388863392112</v>
      </c>
      <c r="Q33" s="779">
        <f ca="1">E33</f>
        <v>0.48675833826993736</v>
      </c>
      <c r="R33" s="9"/>
      <c r="S33" s="9"/>
      <c r="T33" s="9"/>
      <c r="U33" s="9"/>
      <c r="V33" s="9"/>
      <c r="W33" s="9"/>
      <c r="X33" s="9"/>
      <c r="Y33" s="9"/>
      <c r="Z33" s="9"/>
    </row>
    <row r="34" spans="1:26" ht="13.5" customHeight="1">
      <c r="A34" s="10"/>
      <c r="B34" s="9"/>
      <c r="C34" s="9"/>
      <c r="D34" s="9"/>
      <c r="E34" s="9"/>
      <c r="F34" s="9"/>
      <c r="G34" s="9"/>
      <c r="H34" s="9"/>
      <c r="I34" s="9"/>
      <c r="J34" s="9"/>
      <c r="K34" s="9"/>
      <c r="L34" s="9"/>
      <c r="M34" s="9"/>
      <c r="N34" s="9"/>
      <c r="O34" s="9"/>
      <c r="P34" s="9"/>
      <c r="Q34" s="9"/>
      <c r="R34" s="9"/>
      <c r="S34" s="9"/>
      <c r="T34" s="9"/>
      <c r="U34" s="9"/>
      <c r="V34" s="9"/>
      <c r="W34" s="9"/>
      <c r="X34" s="9"/>
      <c r="Y34" s="9"/>
      <c r="Z34" s="9"/>
    </row>
    <row r="35" spans="1:26" ht="13.5" customHeight="1">
      <c r="A35" s="10"/>
      <c r="B35" s="9"/>
      <c r="C35" s="9"/>
      <c r="D35" s="9"/>
      <c r="E35" s="780" t="str">
        <f ca="1">"Median "&amp;TEXT(E29,"0.0%")</f>
        <v>Median 48.7%</v>
      </c>
      <c r="F35" s="9"/>
      <c r="G35" s="9"/>
      <c r="H35" s="9"/>
      <c r="I35" s="9"/>
      <c r="J35" s="9"/>
      <c r="K35" s="9"/>
      <c r="L35" s="9"/>
      <c r="M35" s="9"/>
      <c r="N35" s="9"/>
      <c r="O35" s="9"/>
      <c r="P35" s="9"/>
      <c r="Q35" s="780" t="str">
        <f ca="1">E35</f>
        <v>Median 48.7%</v>
      </c>
      <c r="R35" s="9"/>
      <c r="S35" s="9"/>
      <c r="T35" s="9"/>
      <c r="U35" s="9"/>
      <c r="V35" s="9"/>
      <c r="W35" s="9"/>
      <c r="X35" s="9"/>
      <c r="Y35" s="9"/>
      <c r="Z35" s="9"/>
    </row>
    <row r="36" spans="1:26" ht="13.5" customHeight="1">
      <c r="A36" s="10"/>
      <c r="B36" s="9"/>
      <c r="C36" s="9"/>
      <c r="D36" s="9"/>
      <c r="E36" s="9"/>
      <c r="F36" s="9"/>
      <c r="G36" s="9"/>
      <c r="H36" s="9"/>
      <c r="I36" s="9"/>
      <c r="J36" s="9"/>
      <c r="K36" s="9"/>
      <c r="L36" s="9"/>
      <c r="M36" s="9"/>
      <c r="N36" s="9"/>
      <c r="O36" s="9"/>
      <c r="P36" s="9"/>
      <c r="Q36" s="9"/>
      <c r="R36" s="9"/>
      <c r="S36" s="9"/>
      <c r="T36" s="9"/>
      <c r="U36" s="9"/>
      <c r="V36" s="9"/>
      <c r="W36" s="9"/>
      <c r="X36" s="9"/>
      <c r="Y36" s="9"/>
      <c r="Z36" s="9"/>
    </row>
    <row r="37" spans="1:26" ht="13.5" customHeight="1">
      <c r="A37" s="10"/>
      <c r="B37" s="9"/>
      <c r="C37" s="9"/>
      <c r="D37" s="9"/>
      <c r="E37" s="9"/>
      <c r="F37" s="9"/>
      <c r="G37" s="9"/>
      <c r="H37" s="9"/>
      <c r="I37" s="9"/>
      <c r="J37" s="9"/>
      <c r="K37" s="9"/>
      <c r="L37" s="9"/>
      <c r="M37" s="9"/>
      <c r="N37" s="9"/>
      <c r="O37" s="9"/>
      <c r="P37" s="9"/>
      <c r="Q37" s="9"/>
      <c r="R37" s="9"/>
      <c r="S37" s="9"/>
      <c r="T37" s="9"/>
      <c r="U37" s="9"/>
      <c r="V37" s="9"/>
      <c r="W37" s="9"/>
      <c r="X37" s="9"/>
      <c r="Y37" s="9"/>
      <c r="Z37" s="9"/>
    </row>
    <row r="38" spans="1:26" ht="13.5" customHeight="1">
      <c r="A38" s="10"/>
      <c r="B38" s="9"/>
      <c r="C38" s="9"/>
      <c r="D38" s="9"/>
      <c r="E38" s="9"/>
      <c r="F38" s="9"/>
      <c r="G38" s="9"/>
      <c r="H38" s="9"/>
      <c r="I38" s="9"/>
      <c r="J38" s="9"/>
      <c r="K38" s="9"/>
      <c r="L38" s="9"/>
      <c r="M38" s="9"/>
      <c r="N38" s="9"/>
      <c r="O38" s="9"/>
      <c r="P38" s="9"/>
      <c r="Q38" s="9"/>
      <c r="R38" s="9"/>
      <c r="S38" s="9"/>
      <c r="T38" s="9"/>
      <c r="U38" s="9"/>
      <c r="V38" s="9"/>
      <c r="W38" s="9"/>
      <c r="X38" s="9"/>
      <c r="Y38" s="9"/>
      <c r="Z38" s="9"/>
    </row>
    <row r="39" spans="1:26" ht="13.5" customHeight="1">
      <c r="A39" s="10"/>
      <c r="B39" s="9"/>
      <c r="C39" s="9"/>
      <c r="D39" s="9"/>
      <c r="E39" s="9"/>
      <c r="F39" s="9"/>
      <c r="G39" s="9"/>
      <c r="H39" s="9"/>
      <c r="I39" s="9"/>
      <c r="J39" s="9"/>
      <c r="K39" s="9"/>
      <c r="L39" s="9"/>
      <c r="M39" s="9"/>
      <c r="N39" s="9"/>
      <c r="O39" s="9"/>
      <c r="P39" s="9"/>
      <c r="Q39" s="9"/>
      <c r="R39" s="9"/>
      <c r="S39" s="9"/>
      <c r="T39" s="9"/>
      <c r="U39" s="9"/>
      <c r="V39" s="9"/>
      <c r="W39" s="9"/>
      <c r="X39" s="9"/>
      <c r="Y39" s="9"/>
      <c r="Z39" s="9"/>
    </row>
    <row r="40" spans="1:26" ht="13.5" customHeight="1">
      <c r="A40" s="10" t="s">
        <v>0</v>
      </c>
      <c r="B40" s="9"/>
      <c r="C40" s="995" t="s">
        <v>826</v>
      </c>
      <c r="D40" s="974"/>
      <c r="E40" s="974"/>
      <c r="F40" s="974"/>
      <c r="G40" s="974"/>
      <c r="H40" s="974"/>
      <c r="I40" s="974"/>
      <c r="J40" s="974"/>
      <c r="K40" s="974"/>
      <c r="L40" s="974"/>
      <c r="M40" s="974"/>
      <c r="N40" s="974"/>
      <c r="O40" s="974"/>
      <c r="P40" s="974"/>
      <c r="Q40" s="975"/>
      <c r="R40" s="9"/>
      <c r="S40" s="9"/>
      <c r="T40" s="9"/>
      <c r="U40" s="9"/>
      <c r="V40" s="9"/>
      <c r="W40" s="9"/>
      <c r="X40" s="9"/>
      <c r="Y40" s="9"/>
      <c r="Z40" s="9"/>
    </row>
    <row r="41" spans="1:26" ht="13.5" customHeight="1">
      <c r="A41" s="10"/>
      <c r="B41" s="9"/>
      <c r="C41" s="9"/>
      <c r="D41" s="9"/>
      <c r="E41" s="9"/>
      <c r="F41" s="9"/>
      <c r="G41" s="9"/>
      <c r="H41" s="9"/>
      <c r="I41" s="9"/>
      <c r="J41" s="9"/>
      <c r="K41" s="9"/>
      <c r="L41" s="9"/>
      <c r="M41" s="9"/>
      <c r="N41" s="9"/>
      <c r="O41" s="9"/>
      <c r="P41" s="9"/>
      <c r="Q41" s="9"/>
      <c r="R41" s="9"/>
      <c r="S41" s="9"/>
      <c r="T41" s="9"/>
      <c r="U41" s="9"/>
      <c r="V41" s="9"/>
      <c r="W41" s="9"/>
      <c r="X41" s="9"/>
      <c r="Y41" s="9"/>
      <c r="Z41" s="9"/>
    </row>
    <row r="42" spans="1:26" ht="13.5" customHeight="1">
      <c r="A42" s="10"/>
      <c r="B42" s="9"/>
      <c r="C42" s="1050" t="str">
        <f>C26</f>
        <v>Raw Data</v>
      </c>
      <c r="D42" s="1000"/>
      <c r="E42" s="1001"/>
      <c r="F42" s="37"/>
      <c r="G42" s="9"/>
      <c r="H42" s="9"/>
      <c r="I42" s="9"/>
      <c r="J42" s="9"/>
      <c r="K42" s="9"/>
      <c r="L42" s="9"/>
      <c r="M42" s="9"/>
      <c r="N42" s="9"/>
      <c r="O42" s="1050" t="str">
        <f>O26</f>
        <v>Chart Data</v>
      </c>
      <c r="P42" s="1000"/>
      <c r="Q42" s="1001"/>
      <c r="R42" s="9"/>
      <c r="S42" s="9"/>
      <c r="T42" s="9"/>
      <c r="U42" s="9"/>
      <c r="V42" s="9"/>
      <c r="W42" s="9"/>
      <c r="X42" s="9"/>
      <c r="Y42" s="9"/>
      <c r="Z42" s="9"/>
    </row>
    <row r="43" spans="1:26" ht="13.5" customHeight="1">
      <c r="A43" s="10"/>
      <c r="B43" s="9"/>
      <c r="C43" s="9"/>
      <c r="D43" s="9"/>
      <c r="E43" s="9"/>
      <c r="F43" s="9"/>
      <c r="G43" s="9"/>
      <c r="H43" s="9"/>
      <c r="I43" s="9"/>
      <c r="J43" s="9"/>
      <c r="K43" s="9"/>
      <c r="L43" s="9"/>
      <c r="M43" s="9"/>
      <c r="N43" s="9"/>
      <c r="O43" s="9"/>
      <c r="P43" s="9"/>
      <c r="Q43" s="9"/>
      <c r="R43" s="9"/>
      <c r="S43" s="9"/>
      <c r="T43" s="9"/>
      <c r="U43" s="9"/>
      <c r="V43" s="9"/>
      <c r="W43" s="9"/>
      <c r="X43" s="9"/>
      <c r="Y43" s="9"/>
      <c r="Z43" s="9"/>
    </row>
    <row r="44" spans="1:26" ht="13.5" customHeight="1">
      <c r="A44" s="10"/>
      <c r="B44" s="9"/>
      <c r="C44" s="775" t="str">
        <f t="shared" ref="C44:C49" si="1">C28</f>
        <v>HLNE</v>
      </c>
      <c r="D44" s="781">
        <f>Comparables!R10</f>
        <v>17.879371491572172</v>
      </c>
      <c r="E44" s="777"/>
      <c r="F44" s="9"/>
      <c r="G44" s="9"/>
      <c r="H44" s="9"/>
      <c r="I44" s="9"/>
      <c r="J44" s="9"/>
      <c r="K44" s="9"/>
      <c r="L44" s="9"/>
      <c r="M44" s="9"/>
      <c r="N44" s="9"/>
      <c r="O44" s="775" t="str">
        <f>C44</f>
        <v>HLNE</v>
      </c>
      <c r="P44" s="782">
        <f>D44</f>
        <v>17.879371491572172</v>
      </c>
      <c r="Q44" s="777"/>
      <c r="R44" s="9"/>
      <c r="S44" s="9"/>
      <c r="T44" s="9"/>
      <c r="U44" s="9"/>
      <c r="V44" s="9"/>
      <c r="W44" s="9"/>
      <c r="X44" s="9"/>
      <c r="Y44" s="9"/>
      <c r="Z44" s="9"/>
    </row>
    <row r="45" spans="1:26" ht="13.5" customHeight="1">
      <c r="A45" s="10"/>
      <c r="B45" s="540">
        <v>1</v>
      </c>
      <c r="C45" s="630" t="str">
        <f t="shared" si="1"/>
        <v>STEP</v>
      </c>
      <c r="D45" s="783">
        <f ca="1">Comparables!R12+RAND()/1000000</f>
        <v>14.622073587764341</v>
      </c>
      <c r="E45" s="784">
        <f ca="1">MEDIAN(D45:D49)</f>
        <v>14.300000195854052</v>
      </c>
      <c r="F45" s="9"/>
      <c r="G45" s="9"/>
      <c r="H45" s="9"/>
      <c r="I45" s="9"/>
      <c r="J45" s="9"/>
      <c r="K45" s="9"/>
      <c r="L45" s="9"/>
      <c r="M45" s="9"/>
      <c r="N45" s="9"/>
      <c r="O45" s="630" t="str">
        <f ca="1">INDEX($C$45:$C$49,MATCH(P45,$D$45:$D$49,0),1)</f>
        <v>ARES</v>
      </c>
      <c r="P45" s="784">
        <f ca="1">LARGE($D$45:$D$49,B45)</f>
        <v>26.213663459520202</v>
      </c>
      <c r="Q45" s="784">
        <f ca="1">E45</f>
        <v>14.300000195854052</v>
      </c>
      <c r="R45" s="9"/>
      <c r="S45" s="9"/>
      <c r="T45" s="9"/>
      <c r="U45" s="9"/>
      <c r="V45" s="9"/>
      <c r="W45" s="9"/>
      <c r="X45" s="9"/>
      <c r="Y45" s="9"/>
      <c r="Z45" s="9"/>
    </row>
    <row r="46" spans="1:26" ht="13.5" customHeight="1">
      <c r="A46" s="10"/>
      <c r="B46" s="9">
        <f>B45+1</f>
        <v>2</v>
      </c>
      <c r="C46" s="630" t="str">
        <f t="shared" si="1"/>
        <v>ARES</v>
      </c>
      <c r="D46" s="783">
        <f ca="1">Comparables!R13+RAND()/1000000</f>
        <v>26.213663459520202</v>
      </c>
      <c r="E46" s="784">
        <f ca="1">E45</f>
        <v>14.300000195854052</v>
      </c>
      <c r="F46" s="9"/>
      <c r="G46" s="9"/>
      <c r="H46" s="9"/>
      <c r="I46" s="9"/>
      <c r="J46" s="9"/>
      <c r="K46" s="9"/>
      <c r="L46" s="9"/>
      <c r="M46" s="9"/>
      <c r="N46" s="9"/>
      <c r="O46" s="630" t="str">
        <f ca="1">INDEX($C$45:$C$49,MATCH(P46,$D$45:$D$49,0),1)</f>
        <v>STEP</v>
      </c>
      <c r="P46" s="784">
        <f ca="1">LARGE($D$45:$D$49,B46)</f>
        <v>14.622073587764341</v>
      </c>
      <c r="Q46" s="784">
        <f ca="1">E46</f>
        <v>14.300000195854052</v>
      </c>
      <c r="R46" s="9"/>
      <c r="S46" s="9"/>
      <c r="T46" s="9"/>
      <c r="U46" s="9"/>
      <c r="V46" s="9"/>
      <c r="W46" s="9"/>
      <c r="X46" s="9"/>
      <c r="Y46" s="9"/>
      <c r="Z46" s="9"/>
    </row>
    <row r="47" spans="1:26" ht="13.5" customHeight="1">
      <c r="A47" s="10"/>
      <c r="B47" s="9">
        <f>B46+1</f>
        <v>3</v>
      </c>
      <c r="C47" s="630" t="str">
        <f t="shared" si="1"/>
        <v>CG</v>
      </c>
      <c r="D47" s="783">
        <f ca="1">Comparables!R14+RAND()/1000000</f>
        <v>14.300000195854052</v>
      </c>
      <c r="E47" s="784">
        <f ca="1">E46</f>
        <v>14.300000195854052</v>
      </c>
      <c r="F47" s="9"/>
      <c r="G47" s="9"/>
      <c r="H47" s="9"/>
      <c r="I47" s="9"/>
      <c r="J47" s="9"/>
      <c r="K47" s="9"/>
      <c r="L47" s="9"/>
      <c r="M47" s="9"/>
      <c r="N47" s="9"/>
      <c r="O47" s="630" t="str">
        <f ca="1">INDEX($C$45:$C$49,MATCH(P47,$D$45:$D$49,0),1)</f>
        <v>CG</v>
      </c>
      <c r="P47" s="784">
        <f ca="1">LARGE($D$45:$D$49,B47)</f>
        <v>14.300000195854052</v>
      </c>
      <c r="Q47" s="784">
        <f ca="1">E47</f>
        <v>14.300000195854052</v>
      </c>
      <c r="R47" s="9"/>
      <c r="S47" s="9"/>
      <c r="T47" s="9"/>
      <c r="U47" s="9"/>
      <c r="V47" s="9"/>
      <c r="W47" s="9"/>
      <c r="X47" s="9"/>
      <c r="Y47" s="9"/>
      <c r="Z47" s="9"/>
    </row>
    <row r="48" spans="1:26" ht="13.5" customHeight="1">
      <c r="A48" s="10"/>
      <c r="B48" s="9">
        <f>B47+1</f>
        <v>4</v>
      </c>
      <c r="C48" s="630" t="str">
        <f t="shared" si="1"/>
        <v>TPG</v>
      </c>
      <c r="D48" s="783">
        <f ca="1">Comparables!R15+RAND()/1000000</f>
        <v>10.980977554384861</v>
      </c>
      <c r="E48" s="784">
        <f ca="1">E47</f>
        <v>14.300000195854052</v>
      </c>
      <c r="F48" s="9"/>
      <c r="G48" s="9"/>
      <c r="H48" s="9"/>
      <c r="I48" s="9"/>
      <c r="J48" s="9"/>
      <c r="K48" s="9"/>
      <c r="L48" s="9"/>
      <c r="M48" s="9"/>
      <c r="N48" s="9"/>
      <c r="O48" s="630" t="str">
        <f ca="1">INDEX($C$45:$C$49,MATCH(P48,$D$45:$D$49,0),1)</f>
        <v>TPG</v>
      </c>
      <c r="P48" s="784">
        <f ca="1">LARGE($D$45:$D$49,B48)</f>
        <v>10.980977554384861</v>
      </c>
      <c r="Q48" s="784">
        <f ca="1">E48</f>
        <v>14.300000195854052</v>
      </c>
      <c r="R48" s="9"/>
      <c r="S48" s="9"/>
      <c r="T48" s="9"/>
      <c r="U48" s="9"/>
      <c r="V48" s="9"/>
      <c r="W48" s="9"/>
      <c r="X48" s="9"/>
      <c r="Y48" s="9"/>
      <c r="Z48" s="9"/>
    </row>
    <row r="49" spans="1:26" ht="13.5" customHeight="1">
      <c r="A49" s="10"/>
      <c r="B49" s="9">
        <f>B48+1</f>
        <v>5</v>
      </c>
      <c r="C49" s="630" t="str">
        <f t="shared" si="1"/>
        <v>AMG</v>
      </c>
      <c r="D49" s="783">
        <f ca="1">Comparables!R16+RAND()/1000000</f>
        <v>10.824990489186058</v>
      </c>
      <c r="E49" s="784">
        <f ca="1">E48</f>
        <v>14.300000195854052</v>
      </c>
      <c r="F49" s="9"/>
      <c r="G49" s="9"/>
      <c r="H49" s="9"/>
      <c r="I49" s="9"/>
      <c r="J49" s="9"/>
      <c r="K49" s="9"/>
      <c r="L49" s="9"/>
      <c r="M49" s="9"/>
      <c r="N49" s="9"/>
      <c r="O49" s="630" t="str">
        <f ca="1">INDEX($C$45:$C$49,MATCH(P49,$D$45:$D$49,0),1)</f>
        <v>AMG</v>
      </c>
      <c r="P49" s="784">
        <f ca="1">LARGE($D$45:$D$49,B49)</f>
        <v>10.824990489186058</v>
      </c>
      <c r="Q49" s="784">
        <f ca="1">E49</f>
        <v>14.300000195854052</v>
      </c>
      <c r="R49" s="9"/>
      <c r="S49" s="9"/>
      <c r="T49" s="9"/>
      <c r="U49" s="9"/>
      <c r="V49" s="9"/>
      <c r="W49" s="9"/>
      <c r="X49" s="9"/>
      <c r="Y49" s="9"/>
      <c r="Z49" s="9"/>
    </row>
    <row r="50" spans="1:26" ht="13.5" customHeight="1">
      <c r="A50" s="10"/>
      <c r="B50" s="9"/>
      <c r="C50" s="9"/>
      <c r="D50" s="9"/>
      <c r="E50" s="9"/>
      <c r="F50" s="9"/>
      <c r="G50" s="9"/>
      <c r="H50" s="9"/>
      <c r="I50" s="9"/>
      <c r="J50" s="9"/>
      <c r="K50" s="9"/>
      <c r="L50" s="9"/>
      <c r="M50" s="9"/>
      <c r="N50" s="9"/>
      <c r="O50" s="9"/>
      <c r="P50" s="9"/>
      <c r="Q50" s="9"/>
      <c r="R50" s="9"/>
      <c r="S50" s="9"/>
      <c r="T50" s="9"/>
      <c r="U50" s="9"/>
      <c r="V50" s="9"/>
      <c r="W50" s="9"/>
      <c r="X50" s="9"/>
      <c r="Y50" s="9"/>
      <c r="Z50" s="9"/>
    </row>
    <row r="51" spans="1:26" ht="13.5" customHeight="1">
      <c r="A51" s="10"/>
      <c r="B51" s="9"/>
      <c r="C51" s="9"/>
      <c r="D51" s="9"/>
      <c r="E51" s="780" t="str">
        <f ca="1">"Median "&amp;TEXT(E45,"0.0x")</f>
        <v>Median 14.3x</v>
      </c>
      <c r="F51" s="9"/>
      <c r="G51" s="9"/>
      <c r="H51" s="9"/>
      <c r="I51" s="9"/>
      <c r="J51" s="9"/>
      <c r="K51" s="9"/>
      <c r="L51" s="9"/>
      <c r="M51" s="9"/>
      <c r="N51" s="9"/>
      <c r="O51" s="9"/>
      <c r="P51" s="9"/>
      <c r="Q51" s="780" t="str">
        <f ca="1">E51</f>
        <v>Median 14.3x</v>
      </c>
      <c r="R51" s="9"/>
      <c r="S51" s="9"/>
      <c r="T51" s="9"/>
      <c r="U51" s="9"/>
      <c r="V51" s="9"/>
      <c r="W51" s="9"/>
      <c r="X51" s="9"/>
      <c r="Y51" s="9"/>
      <c r="Z51" s="9"/>
    </row>
    <row r="52" spans="1:26" ht="13.5" customHeight="1">
      <c r="A52" s="10"/>
      <c r="B52" s="9"/>
      <c r="C52" s="9"/>
      <c r="D52" s="9"/>
      <c r="E52" s="9"/>
      <c r="F52" s="9"/>
      <c r="G52" s="9"/>
      <c r="H52" s="9"/>
      <c r="I52" s="9"/>
      <c r="J52" s="9"/>
      <c r="K52" s="9"/>
      <c r="L52" s="9"/>
      <c r="M52" s="9"/>
      <c r="N52" s="9"/>
      <c r="O52" s="9"/>
      <c r="P52" s="9"/>
      <c r="Q52" s="9"/>
      <c r="R52" s="9"/>
      <c r="S52" s="9"/>
      <c r="T52" s="9"/>
      <c r="U52" s="9"/>
      <c r="V52" s="9"/>
      <c r="W52" s="9"/>
      <c r="X52" s="9"/>
      <c r="Y52" s="9"/>
      <c r="Z52" s="9"/>
    </row>
    <row r="53" spans="1:26" ht="13.5" customHeight="1">
      <c r="A53" s="10"/>
      <c r="B53" s="9"/>
      <c r="C53" s="9"/>
      <c r="D53" s="9"/>
      <c r="E53" s="9"/>
      <c r="F53" s="9"/>
      <c r="G53" s="9"/>
      <c r="H53" s="9"/>
      <c r="I53" s="9"/>
      <c r="J53" s="9"/>
      <c r="K53" s="9"/>
      <c r="L53" s="9"/>
      <c r="M53" s="9"/>
      <c r="N53" s="9"/>
      <c r="O53" s="9"/>
      <c r="P53" s="9"/>
      <c r="Q53" s="9"/>
      <c r="R53" s="9"/>
      <c r="S53" s="9"/>
      <c r="T53" s="9"/>
      <c r="U53" s="9"/>
      <c r="V53" s="9"/>
      <c r="W53" s="9"/>
      <c r="X53" s="9"/>
      <c r="Y53" s="9"/>
      <c r="Z53" s="9"/>
    </row>
    <row r="54" spans="1:26" ht="13.5" customHeight="1">
      <c r="A54" s="10"/>
      <c r="B54" s="9"/>
      <c r="C54" s="9"/>
      <c r="D54" s="9"/>
      <c r="E54" s="9"/>
      <c r="F54" s="9"/>
      <c r="G54" s="9"/>
      <c r="H54" s="9"/>
      <c r="I54" s="9"/>
      <c r="J54" s="9"/>
      <c r="K54" s="9"/>
      <c r="L54" s="9"/>
      <c r="M54" s="9"/>
      <c r="N54" s="9"/>
      <c r="O54" s="9"/>
      <c r="P54" s="9"/>
      <c r="Q54" s="9"/>
      <c r="R54" s="9"/>
      <c r="S54" s="9"/>
      <c r="T54" s="9"/>
      <c r="U54" s="9"/>
      <c r="V54" s="9"/>
      <c r="W54" s="9"/>
      <c r="X54" s="9"/>
      <c r="Y54" s="9"/>
      <c r="Z54" s="9"/>
    </row>
    <row r="55" spans="1:26" ht="13.5" customHeight="1">
      <c r="A55" s="10"/>
      <c r="B55" s="9"/>
      <c r="C55" s="9"/>
      <c r="D55" s="9"/>
      <c r="E55" s="9"/>
      <c r="F55" s="9"/>
      <c r="G55" s="9"/>
      <c r="H55" s="9"/>
      <c r="I55" s="9"/>
      <c r="J55" s="9"/>
      <c r="K55" s="9"/>
      <c r="L55" s="9"/>
      <c r="M55" s="9"/>
      <c r="N55" s="9"/>
      <c r="O55" s="9"/>
      <c r="P55" s="9"/>
      <c r="Q55" s="9"/>
      <c r="R55" s="9"/>
      <c r="S55" s="9"/>
      <c r="T55" s="9"/>
      <c r="U55" s="9"/>
      <c r="V55" s="9"/>
      <c r="W55" s="9"/>
      <c r="X55" s="9"/>
      <c r="Y55" s="9"/>
      <c r="Z55" s="9"/>
    </row>
    <row r="56" spans="1:26" ht="13.5" customHeight="1">
      <c r="A56" s="10" t="s">
        <v>0</v>
      </c>
      <c r="B56" s="9"/>
      <c r="C56" s="995" t="s">
        <v>827</v>
      </c>
      <c r="D56" s="974"/>
      <c r="E56" s="974"/>
      <c r="F56" s="974"/>
      <c r="G56" s="974"/>
      <c r="H56" s="974"/>
      <c r="I56" s="974"/>
      <c r="J56" s="974"/>
      <c r="K56" s="974"/>
      <c r="L56" s="974"/>
      <c r="M56" s="974"/>
      <c r="N56" s="974"/>
      <c r="O56" s="974"/>
      <c r="P56" s="974"/>
      <c r="Q56" s="975"/>
      <c r="R56" s="9"/>
      <c r="S56" s="9"/>
      <c r="T56" s="9"/>
      <c r="U56" s="9"/>
      <c r="V56" s="9"/>
      <c r="W56" s="9"/>
      <c r="X56" s="9"/>
      <c r="Y56" s="9"/>
      <c r="Z56" s="9"/>
    </row>
    <row r="57" spans="1:26" ht="13.5" customHeight="1">
      <c r="A57" s="10"/>
      <c r="B57" s="9"/>
      <c r="C57" s="9"/>
      <c r="D57" s="9"/>
      <c r="E57" s="9"/>
      <c r="F57" s="9"/>
      <c r="G57" s="9"/>
      <c r="H57" s="9"/>
      <c r="I57" s="9"/>
      <c r="J57" s="9"/>
      <c r="K57" s="9"/>
      <c r="L57" s="9"/>
      <c r="M57" s="9"/>
      <c r="N57" s="9"/>
      <c r="O57" s="9"/>
      <c r="P57" s="9"/>
      <c r="Q57" s="9"/>
      <c r="R57" s="9"/>
      <c r="S57" s="9"/>
      <c r="T57" s="9"/>
      <c r="U57" s="9"/>
      <c r="V57" s="9"/>
      <c r="W57" s="9"/>
      <c r="X57" s="9"/>
      <c r="Y57" s="9"/>
      <c r="Z57" s="9"/>
    </row>
    <row r="58" spans="1:26" ht="13.5" customHeight="1">
      <c r="A58" s="10"/>
      <c r="B58" s="9"/>
      <c r="C58" s="1050" t="str">
        <f>C42</f>
        <v>Raw Data</v>
      </c>
      <c r="D58" s="1000"/>
      <c r="E58" s="1001"/>
      <c r="F58" s="37"/>
      <c r="G58" s="9"/>
      <c r="H58" s="9"/>
      <c r="I58" s="9"/>
      <c r="J58" s="9"/>
      <c r="K58" s="9"/>
      <c r="L58" s="9"/>
      <c r="M58" s="9"/>
      <c r="N58" s="9"/>
      <c r="O58" s="1050" t="str">
        <f>O42</f>
        <v>Chart Data</v>
      </c>
      <c r="P58" s="1000"/>
      <c r="Q58" s="1001"/>
      <c r="R58" s="9"/>
      <c r="S58" s="9"/>
      <c r="T58" s="9"/>
      <c r="U58" s="9"/>
      <c r="V58" s="9"/>
      <c r="W58" s="9"/>
      <c r="X58" s="9"/>
      <c r="Y58" s="9"/>
      <c r="Z58" s="9"/>
    </row>
    <row r="59" spans="1:26" ht="13.5" customHeight="1">
      <c r="A59" s="10"/>
      <c r="B59" s="9"/>
      <c r="C59" s="9"/>
      <c r="D59" s="9"/>
      <c r="E59" s="9"/>
      <c r="F59" s="9"/>
      <c r="G59" s="9"/>
      <c r="H59" s="9"/>
      <c r="I59" s="9"/>
      <c r="J59" s="9"/>
      <c r="K59" s="9"/>
      <c r="L59" s="9"/>
      <c r="M59" s="9"/>
      <c r="N59" s="9"/>
      <c r="O59" s="9"/>
      <c r="P59" s="9"/>
      <c r="Q59" s="9"/>
      <c r="R59" s="9"/>
      <c r="S59" s="9"/>
      <c r="T59" s="9"/>
      <c r="U59" s="9"/>
      <c r="V59" s="9"/>
      <c r="W59" s="9"/>
      <c r="X59" s="9"/>
      <c r="Y59" s="9"/>
      <c r="Z59" s="9"/>
    </row>
    <row r="60" spans="1:26" ht="13.5" customHeight="1">
      <c r="A60" s="10"/>
      <c r="B60" s="9"/>
      <c r="C60" s="775" t="str">
        <f t="shared" ref="C60:C65" si="2">C44</f>
        <v>HLNE</v>
      </c>
      <c r="D60" s="781">
        <f>Comparables!V10</f>
        <v>20.238949662425284</v>
      </c>
      <c r="E60" s="777"/>
      <c r="F60" s="9"/>
      <c r="G60" s="9"/>
      <c r="H60" s="9"/>
      <c r="I60" s="9"/>
      <c r="J60" s="9"/>
      <c r="K60" s="9"/>
      <c r="L60" s="9"/>
      <c r="M60" s="9"/>
      <c r="N60" s="9"/>
      <c r="O60" s="775" t="str">
        <f>C60</f>
        <v>HLNE</v>
      </c>
      <c r="P60" s="782">
        <f>D60</f>
        <v>20.238949662425284</v>
      </c>
      <c r="Q60" s="777"/>
      <c r="R60" s="9"/>
      <c r="S60" s="9"/>
      <c r="T60" s="9"/>
      <c r="U60" s="9"/>
      <c r="V60" s="9"/>
      <c r="W60" s="9"/>
      <c r="X60" s="9"/>
      <c r="Y60" s="9"/>
      <c r="Z60" s="9"/>
    </row>
    <row r="61" spans="1:26" ht="13.5" customHeight="1">
      <c r="A61" s="10"/>
      <c r="B61" s="540">
        <v>1</v>
      </c>
      <c r="C61" s="630" t="str">
        <f t="shared" si="2"/>
        <v>STEP</v>
      </c>
      <c r="D61" s="783">
        <f ca="1">Comparables!V12+RAND()/1000000</f>
        <v>21.414099234693097</v>
      </c>
      <c r="E61" s="784">
        <f ca="1">MEDIAN(D61:D65)</f>
        <v>15.057729971361628</v>
      </c>
      <c r="F61" s="9"/>
      <c r="G61" s="9"/>
      <c r="H61" s="9"/>
      <c r="I61" s="9"/>
      <c r="J61" s="9"/>
      <c r="K61" s="9"/>
      <c r="L61" s="9"/>
      <c r="M61" s="9"/>
      <c r="N61" s="9"/>
      <c r="O61" s="630" t="str">
        <f ca="1">INDEX($C$61:$C$65,MATCH(P61,$D$61:$D$65,0),1)</f>
        <v>ARES</v>
      </c>
      <c r="P61" s="784">
        <f ca="1">LARGE($D$61:$D$65,B61)</f>
        <v>28.322625284965035</v>
      </c>
      <c r="Q61" s="784">
        <f ca="1">E61</f>
        <v>15.057729971361628</v>
      </c>
      <c r="R61" s="9"/>
      <c r="S61" s="9"/>
      <c r="T61" s="9"/>
      <c r="U61" s="9"/>
      <c r="V61" s="9"/>
      <c r="W61" s="9"/>
      <c r="X61" s="9"/>
      <c r="Y61" s="9"/>
      <c r="Z61" s="9"/>
    </row>
    <row r="62" spans="1:26" ht="13.5" customHeight="1">
      <c r="A62" s="10"/>
      <c r="B62" s="9">
        <f>B61+1</f>
        <v>2</v>
      </c>
      <c r="C62" s="630" t="str">
        <f t="shared" si="2"/>
        <v>ARES</v>
      </c>
      <c r="D62" s="783">
        <f ca="1">Comparables!V13+RAND()/1000000</f>
        <v>28.322625284965035</v>
      </c>
      <c r="E62" s="784">
        <f ca="1">E61</f>
        <v>15.057729971361628</v>
      </c>
      <c r="F62" s="9"/>
      <c r="G62" s="9"/>
      <c r="H62" s="9"/>
      <c r="I62" s="9"/>
      <c r="J62" s="9"/>
      <c r="K62" s="9"/>
      <c r="L62" s="9"/>
      <c r="M62" s="9"/>
      <c r="N62" s="9"/>
      <c r="O62" s="630" t="str">
        <f ca="1">INDEX($C$61:$C$65,MATCH(P62,$D$61:$D$65,0),1)</f>
        <v>STEP</v>
      </c>
      <c r="P62" s="784">
        <f ca="1">LARGE($D$61:$D$65,B62)</f>
        <v>21.414099234693097</v>
      </c>
      <c r="Q62" s="784">
        <f ca="1">E62</f>
        <v>15.057729971361628</v>
      </c>
      <c r="R62" s="9"/>
      <c r="S62" s="9"/>
      <c r="T62" s="9"/>
      <c r="U62" s="9"/>
      <c r="V62" s="9"/>
      <c r="W62" s="9"/>
      <c r="X62" s="9"/>
      <c r="Y62" s="9"/>
      <c r="Z62" s="9"/>
    </row>
    <row r="63" spans="1:26" ht="13.5" customHeight="1">
      <c r="A63" s="10"/>
      <c r="B63" s="9">
        <f>B62+1</f>
        <v>3</v>
      </c>
      <c r="C63" s="630" t="str">
        <f t="shared" si="2"/>
        <v>CG</v>
      </c>
      <c r="D63" s="783">
        <f ca="1">Comparables!V14+RAND()/1000000</f>
        <v>15.057729971361628</v>
      </c>
      <c r="E63" s="784">
        <f ca="1">E62</f>
        <v>15.057729971361628</v>
      </c>
      <c r="F63" s="9"/>
      <c r="G63" s="9"/>
      <c r="H63" s="9"/>
      <c r="I63" s="9"/>
      <c r="J63" s="9"/>
      <c r="K63" s="9"/>
      <c r="L63" s="9"/>
      <c r="M63" s="9"/>
      <c r="N63" s="9"/>
      <c r="O63" s="630" t="str">
        <f ca="1">INDEX($C$61:$C$65,MATCH(P63,$D$61:$D$65,0),1)</f>
        <v>CG</v>
      </c>
      <c r="P63" s="784">
        <f ca="1">LARGE($D$61:$D$65,B63)</f>
        <v>15.057729971361628</v>
      </c>
      <c r="Q63" s="784">
        <f ca="1">E63</f>
        <v>15.057729971361628</v>
      </c>
      <c r="R63" s="9"/>
      <c r="S63" s="9"/>
      <c r="T63" s="9"/>
      <c r="U63" s="9"/>
      <c r="V63" s="9"/>
      <c r="W63" s="9"/>
      <c r="X63" s="9"/>
      <c r="Y63" s="9"/>
      <c r="Z63" s="9"/>
    </row>
    <row r="64" spans="1:26" ht="13.5" customHeight="1">
      <c r="A64" s="10"/>
      <c r="B64" s="9">
        <f>B63+1</f>
        <v>4</v>
      </c>
      <c r="C64" s="630" t="str">
        <f t="shared" si="2"/>
        <v>TPG</v>
      </c>
      <c r="D64" s="783">
        <f ca="1">Comparables!V15+RAND()/1000000</f>
        <v>8.623287291366756</v>
      </c>
      <c r="E64" s="784">
        <f ca="1">E63</f>
        <v>15.057729971361628</v>
      </c>
      <c r="F64" s="9"/>
      <c r="G64" s="9"/>
      <c r="H64" s="9"/>
      <c r="I64" s="9"/>
      <c r="J64" s="9"/>
      <c r="K64" s="9"/>
      <c r="L64" s="9"/>
      <c r="M64" s="9"/>
      <c r="N64" s="9"/>
      <c r="O64" s="630" t="str">
        <f ca="1">INDEX($C$61:$C$65,MATCH(P64,$D$61:$D$65,0),1)</f>
        <v>AMG</v>
      </c>
      <c r="P64" s="784">
        <f ca="1">LARGE($D$61:$D$65,B64)</f>
        <v>9.3006607169451758</v>
      </c>
      <c r="Q64" s="784">
        <f ca="1">E64</f>
        <v>15.057729971361628</v>
      </c>
      <c r="R64" s="9"/>
      <c r="S64" s="9"/>
      <c r="T64" s="9"/>
      <c r="U64" s="9"/>
      <c r="V64" s="9"/>
      <c r="W64" s="9"/>
      <c r="X64" s="9"/>
      <c r="Y64" s="9"/>
      <c r="Z64" s="9"/>
    </row>
    <row r="65" spans="1:26" ht="13.5" customHeight="1">
      <c r="A65" s="10"/>
      <c r="B65" s="9">
        <f>B64+1</f>
        <v>5</v>
      </c>
      <c r="C65" s="630" t="str">
        <f t="shared" si="2"/>
        <v>AMG</v>
      </c>
      <c r="D65" s="783">
        <f ca="1">Comparables!V16+RAND()/1000000</f>
        <v>9.3006607169451758</v>
      </c>
      <c r="E65" s="784">
        <f ca="1">E64</f>
        <v>15.057729971361628</v>
      </c>
      <c r="F65" s="9"/>
      <c r="G65" s="9"/>
      <c r="H65" s="9"/>
      <c r="I65" s="9"/>
      <c r="J65" s="9"/>
      <c r="K65" s="9"/>
      <c r="L65" s="9"/>
      <c r="M65" s="9"/>
      <c r="N65" s="9"/>
      <c r="O65" s="630" t="str">
        <f ca="1">INDEX($C$61:$C$65,MATCH(P65,$D$61:$D$65,0),1)</f>
        <v>TPG</v>
      </c>
      <c r="P65" s="784">
        <f ca="1">LARGE($D$61:$D$65,B65)</f>
        <v>8.623287291366756</v>
      </c>
      <c r="Q65" s="784">
        <f ca="1">E65</f>
        <v>15.057729971361628</v>
      </c>
      <c r="R65" s="9"/>
      <c r="S65" s="9"/>
      <c r="T65" s="9"/>
      <c r="U65" s="9"/>
      <c r="V65" s="9"/>
      <c r="W65" s="9"/>
      <c r="X65" s="9"/>
      <c r="Y65" s="9"/>
      <c r="Z65" s="9"/>
    </row>
    <row r="66" spans="1:26" ht="13.5" customHeight="1">
      <c r="A66" s="10"/>
      <c r="B66" s="9"/>
      <c r="C66" s="9"/>
      <c r="D66" s="9"/>
      <c r="E66" s="9"/>
      <c r="F66" s="9"/>
      <c r="G66" s="9"/>
      <c r="H66" s="9"/>
      <c r="I66" s="9"/>
      <c r="J66" s="9"/>
      <c r="K66" s="9"/>
      <c r="L66" s="9"/>
      <c r="M66" s="9"/>
      <c r="N66" s="9"/>
      <c r="O66" s="9"/>
      <c r="P66" s="9"/>
      <c r="Q66" s="9"/>
      <c r="R66" s="9"/>
      <c r="S66" s="9"/>
      <c r="T66" s="9"/>
      <c r="U66" s="9"/>
      <c r="V66" s="9"/>
      <c r="W66" s="9"/>
      <c r="X66" s="9"/>
      <c r="Y66" s="9"/>
      <c r="Z66" s="9"/>
    </row>
    <row r="67" spans="1:26" ht="13.5" customHeight="1">
      <c r="A67" s="10"/>
      <c r="B67" s="9"/>
      <c r="C67" s="9"/>
      <c r="D67" s="9"/>
      <c r="E67" s="780" t="str">
        <f ca="1">"Median "&amp;TEXT(E61,"0.0x")</f>
        <v>Median 15.1x</v>
      </c>
      <c r="F67" s="9"/>
      <c r="G67" s="9"/>
      <c r="H67" s="9"/>
      <c r="I67" s="9"/>
      <c r="J67" s="9"/>
      <c r="K67" s="9"/>
      <c r="L67" s="9"/>
      <c r="M67" s="9"/>
      <c r="N67" s="9"/>
      <c r="O67" s="9"/>
      <c r="P67" s="9"/>
      <c r="Q67" s="780" t="str">
        <f ca="1">E67</f>
        <v>Median 15.1x</v>
      </c>
      <c r="R67" s="9"/>
      <c r="S67" s="9"/>
      <c r="T67" s="9"/>
      <c r="U67" s="9"/>
      <c r="V67" s="9"/>
      <c r="W67" s="9"/>
      <c r="X67" s="9"/>
      <c r="Y67" s="9"/>
      <c r="Z67" s="9"/>
    </row>
    <row r="68" spans="1:26" ht="13.5" customHeight="1">
      <c r="A68" s="10"/>
      <c r="B68" s="9"/>
      <c r="C68" s="9"/>
      <c r="D68" s="9"/>
      <c r="E68" s="9"/>
      <c r="F68" s="9"/>
      <c r="G68" s="9"/>
      <c r="H68" s="9"/>
      <c r="I68" s="9"/>
      <c r="J68" s="9"/>
      <c r="K68" s="9"/>
      <c r="L68" s="9"/>
      <c r="M68" s="9"/>
      <c r="N68" s="9"/>
      <c r="O68" s="9"/>
      <c r="P68" s="9"/>
      <c r="Q68" s="9"/>
      <c r="R68" s="9"/>
      <c r="S68" s="9"/>
      <c r="T68" s="9"/>
      <c r="U68" s="9"/>
      <c r="V68" s="9"/>
      <c r="W68" s="9"/>
      <c r="X68" s="9"/>
      <c r="Y68" s="9"/>
      <c r="Z68" s="9"/>
    </row>
    <row r="69" spans="1:26" ht="13.5" customHeight="1">
      <c r="A69" s="10"/>
      <c r="B69" s="9"/>
      <c r="C69" s="9"/>
      <c r="D69" s="9"/>
      <c r="E69" s="9"/>
      <c r="F69" s="9"/>
      <c r="G69" s="9"/>
      <c r="H69" s="9"/>
      <c r="I69" s="9"/>
      <c r="J69" s="9"/>
      <c r="K69" s="9"/>
      <c r="L69" s="9"/>
      <c r="M69" s="9"/>
      <c r="N69" s="9"/>
      <c r="O69" s="9"/>
      <c r="P69" s="9"/>
      <c r="Q69" s="9"/>
      <c r="R69" s="9"/>
      <c r="S69" s="9"/>
      <c r="T69" s="9"/>
      <c r="U69" s="9"/>
      <c r="V69" s="9"/>
      <c r="W69" s="9"/>
      <c r="X69" s="9"/>
      <c r="Y69" s="9"/>
      <c r="Z69" s="9"/>
    </row>
    <row r="70" spans="1:26" ht="13.5" customHeight="1">
      <c r="A70" s="10"/>
      <c r="B70" s="9"/>
      <c r="C70" s="9"/>
      <c r="D70" s="9"/>
      <c r="E70" s="9"/>
      <c r="F70" s="9"/>
      <c r="G70" s="9"/>
      <c r="H70" s="9"/>
      <c r="I70" s="9"/>
      <c r="J70" s="9"/>
      <c r="K70" s="9"/>
      <c r="L70" s="9"/>
      <c r="M70" s="9"/>
      <c r="N70" s="9"/>
      <c r="O70" s="9"/>
      <c r="P70" s="9"/>
      <c r="Q70" s="9"/>
      <c r="R70" s="9"/>
      <c r="S70" s="9"/>
      <c r="T70" s="9"/>
      <c r="U70" s="9"/>
      <c r="V70" s="9"/>
      <c r="W70" s="9"/>
      <c r="X70" s="9"/>
      <c r="Y70" s="9"/>
      <c r="Z70" s="9"/>
    </row>
    <row r="71" spans="1:26" ht="13.5" customHeight="1">
      <c r="A71" s="10"/>
      <c r="B71" s="9"/>
      <c r="C71" s="9"/>
      <c r="D71" s="9"/>
      <c r="E71" s="9"/>
      <c r="F71" s="9"/>
      <c r="G71" s="9"/>
      <c r="H71" s="9"/>
      <c r="I71" s="9"/>
      <c r="J71" s="9"/>
      <c r="K71" s="9"/>
      <c r="L71" s="9"/>
      <c r="M71" s="9"/>
      <c r="N71" s="9"/>
      <c r="O71" s="9"/>
      <c r="P71" s="9"/>
      <c r="Q71" s="9"/>
      <c r="R71" s="9"/>
      <c r="S71" s="9"/>
      <c r="T71" s="9"/>
      <c r="U71" s="9"/>
      <c r="V71" s="9"/>
      <c r="W71" s="9"/>
      <c r="X71" s="9"/>
      <c r="Y71" s="9"/>
      <c r="Z71" s="9"/>
    </row>
    <row r="72" spans="1:26" ht="13.5" customHeight="1">
      <c r="A72" s="10" t="s">
        <v>0</v>
      </c>
      <c r="B72" s="9"/>
      <c r="C72" s="995" t="s">
        <v>828</v>
      </c>
      <c r="D72" s="974"/>
      <c r="E72" s="974"/>
      <c r="F72" s="974"/>
      <c r="G72" s="974"/>
      <c r="H72" s="974"/>
      <c r="I72" s="974"/>
      <c r="J72" s="974"/>
      <c r="K72" s="974"/>
      <c r="L72" s="974"/>
      <c r="M72" s="974"/>
      <c r="N72" s="974"/>
      <c r="O72" s="974"/>
      <c r="P72" s="974"/>
      <c r="Q72" s="975"/>
      <c r="R72" s="9"/>
      <c r="S72" s="9"/>
      <c r="T72" s="9"/>
      <c r="U72" s="9"/>
      <c r="V72" s="9"/>
      <c r="W72" s="9"/>
      <c r="X72" s="9"/>
      <c r="Y72" s="9"/>
      <c r="Z72" s="9"/>
    </row>
    <row r="73" spans="1:26" ht="13.5" customHeight="1">
      <c r="A73" s="10"/>
      <c r="B73" s="9"/>
      <c r="C73" s="9"/>
      <c r="D73" s="9"/>
      <c r="E73" s="9"/>
      <c r="F73" s="9"/>
      <c r="G73" s="9"/>
      <c r="H73" s="9"/>
      <c r="I73" s="9"/>
      <c r="J73" s="9"/>
      <c r="K73" s="9"/>
      <c r="L73" s="9"/>
      <c r="M73" s="9"/>
      <c r="N73" s="9"/>
      <c r="O73" s="9"/>
      <c r="P73" s="9"/>
      <c r="Q73" s="9"/>
      <c r="R73" s="9"/>
      <c r="S73" s="9"/>
      <c r="T73" s="9"/>
      <c r="U73" s="9"/>
      <c r="V73" s="9"/>
      <c r="W73" s="9"/>
      <c r="X73" s="9"/>
      <c r="Y73" s="9"/>
      <c r="Z73" s="9"/>
    </row>
    <row r="74" spans="1:26" ht="13.5" customHeight="1">
      <c r="A74" s="10"/>
      <c r="B74" s="9"/>
      <c r="C74" s="1050" t="str">
        <f>C58</f>
        <v>Raw Data</v>
      </c>
      <c r="D74" s="1000"/>
      <c r="E74" s="1001"/>
      <c r="F74" s="37"/>
      <c r="G74" s="9"/>
      <c r="H74" s="9"/>
      <c r="I74" s="9"/>
      <c r="J74" s="9"/>
      <c r="K74" s="9"/>
      <c r="L74" s="9"/>
      <c r="M74" s="9"/>
      <c r="N74" s="9"/>
      <c r="O74" s="1050" t="str">
        <f>O58</f>
        <v>Chart Data</v>
      </c>
      <c r="P74" s="1000"/>
      <c r="Q74" s="1001"/>
      <c r="R74" s="9"/>
      <c r="S74" s="9"/>
      <c r="T74" s="9"/>
      <c r="U74" s="9"/>
      <c r="V74" s="9"/>
      <c r="W74" s="9"/>
      <c r="X74" s="9"/>
      <c r="Y74" s="9"/>
      <c r="Z74" s="9"/>
    </row>
    <row r="75" spans="1:26" ht="13.5" customHeight="1">
      <c r="A75" s="10"/>
      <c r="B75" s="9"/>
      <c r="C75" s="9"/>
      <c r="D75" s="9"/>
      <c r="E75" s="9"/>
      <c r="F75" s="9"/>
      <c r="G75" s="9"/>
      <c r="H75" s="9"/>
      <c r="I75" s="9"/>
      <c r="J75" s="9"/>
      <c r="K75" s="9"/>
      <c r="L75" s="9"/>
      <c r="M75" s="9"/>
      <c r="N75" s="9"/>
      <c r="O75" s="9"/>
      <c r="P75" s="9"/>
      <c r="Q75" s="9"/>
      <c r="R75" s="9"/>
      <c r="S75" s="9"/>
      <c r="T75" s="9"/>
      <c r="U75" s="9"/>
      <c r="V75" s="9"/>
      <c r="W75" s="9"/>
      <c r="X75" s="9"/>
      <c r="Y75" s="9"/>
      <c r="Z75" s="9"/>
    </row>
    <row r="76" spans="1:26" ht="13.5" customHeight="1">
      <c r="A76" s="10"/>
      <c r="B76" s="9"/>
      <c r="C76" s="775" t="str">
        <f t="shared" ref="C76:C81" si="3">C60</f>
        <v>HLNE</v>
      </c>
      <c r="D76" s="781">
        <f>Comparables!N28</f>
        <v>1.12887</v>
      </c>
      <c r="E76" s="777"/>
      <c r="F76" s="9"/>
      <c r="G76" s="9"/>
      <c r="H76" s="9"/>
      <c r="I76" s="9"/>
      <c r="J76" s="9"/>
      <c r="K76" s="9"/>
      <c r="L76" s="9"/>
      <c r="M76" s="9"/>
      <c r="N76" s="9"/>
      <c r="O76" s="775" t="str">
        <f>C76</f>
        <v>HLNE</v>
      </c>
      <c r="P76" s="782">
        <f>D76</f>
        <v>1.12887</v>
      </c>
      <c r="Q76" s="777"/>
      <c r="R76" s="9"/>
      <c r="S76" s="9"/>
      <c r="T76" s="9"/>
      <c r="U76" s="9"/>
      <c r="V76" s="9"/>
      <c r="W76" s="9"/>
      <c r="X76" s="9"/>
      <c r="Y76" s="9"/>
      <c r="Z76" s="9"/>
    </row>
    <row r="77" spans="1:26" ht="13.5" customHeight="1">
      <c r="A77" s="10"/>
      <c r="B77" s="540">
        <v>1</v>
      </c>
      <c r="C77" s="630" t="str">
        <f t="shared" si="3"/>
        <v>STEP</v>
      </c>
      <c r="D77" s="783">
        <v>0</v>
      </c>
      <c r="E77" s="784">
        <f ca="1">MEDIAN(D77:D81)</f>
        <v>0.60188893276208488</v>
      </c>
      <c r="F77" s="9"/>
      <c r="G77" s="9"/>
      <c r="H77" s="9"/>
      <c r="I77" s="9"/>
      <c r="J77" s="9"/>
      <c r="K77" s="9"/>
      <c r="L77" s="9"/>
      <c r="M77" s="9"/>
      <c r="N77" s="9"/>
      <c r="O77" s="630" t="str">
        <f ca="1">INDEX($C$77:$C$81,MATCH(P77,$D$77:$D$81,0),1)</f>
        <v>ARES</v>
      </c>
      <c r="P77" s="784">
        <f ca="1">LARGE($D$77:$D$81,B77)</f>
        <v>1.7771393597741691</v>
      </c>
      <c r="Q77" s="784">
        <f ca="1">E77</f>
        <v>0.60188893276208488</v>
      </c>
      <c r="R77" s="9"/>
      <c r="S77" s="9"/>
      <c r="T77" s="9"/>
      <c r="U77" s="9"/>
      <c r="V77" s="9"/>
      <c r="W77" s="9"/>
      <c r="X77" s="9"/>
      <c r="Y77" s="9"/>
      <c r="Z77" s="9"/>
    </row>
    <row r="78" spans="1:26" ht="13.5" customHeight="1">
      <c r="A78" s="10"/>
      <c r="B78" s="9">
        <f>B77+1</f>
        <v>2</v>
      </c>
      <c r="C78" s="630" t="str">
        <f t="shared" si="3"/>
        <v>ARES</v>
      </c>
      <c r="D78" s="783">
        <f ca="1">Comparables!O31+RAND()/1000000</f>
        <v>1.7771393597741691</v>
      </c>
      <c r="E78" s="784">
        <f ca="1">E77</f>
        <v>0.60188893276208488</v>
      </c>
      <c r="F78" s="9"/>
      <c r="G78" s="9"/>
      <c r="H78" s="9"/>
      <c r="I78" s="9"/>
      <c r="J78" s="9"/>
      <c r="K78" s="9"/>
      <c r="L78" s="9"/>
      <c r="M78" s="9"/>
      <c r="N78" s="9"/>
      <c r="O78" s="630" t="str">
        <f ca="1">INDEX($C$77:$C$81,MATCH(P78,$D$77:$D$81,0),1)</f>
        <v>CG</v>
      </c>
      <c r="P78" s="784">
        <f ca="1">LARGE($D$77:$D$81,B78)</f>
        <v>1.4960451767332283</v>
      </c>
      <c r="Q78" s="784">
        <f ca="1">E78</f>
        <v>0.60188893276208488</v>
      </c>
      <c r="R78" s="9"/>
      <c r="S78" s="9"/>
      <c r="T78" s="9"/>
      <c r="U78" s="9"/>
      <c r="V78" s="9"/>
      <c r="W78" s="9"/>
      <c r="X78" s="9"/>
      <c r="Y78" s="9"/>
      <c r="Z78" s="9"/>
    </row>
    <row r="79" spans="1:26" ht="13.5" customHeight="1">
      <c r="A79" s="10"/>
      <c r="B79" s="9">
        <f>B78+1</f>
        <v>3</v>
      </c>
      <c r="C79" s="630" t="str">
        <f t="shared" si="3"/>
        <v>CG</v>
      </c>
      <c r="D79" s="783">
        <f ca="1">Comparables!O32+RAND()/1000000</f>
        <v>1.4960451767332283</v>
      </c>
      <c r="E79" s="784">
        <f ca="1">E78</f>
        <v>0.60188893276208488</v>
      </c>
      <c r="F79" s="9"/>
      <c r="G79" s="9"/>
      <c r="H79" s="9"/>
      <c r="I79" s="9"/>
      <c r="J79" s="9"/>
      <c r="K79" s="9"/>
      <c r="L79" s="9"/>
      <c r="M79" s="9"/>
      <c r="N79" s="9"/>
      <c r="O79" s="630" t="str">
        <f ca="1">INDEX($C$77:$C$81,MATCH(P79,$D$77:$D$81,0),1)</f>
        <v>AMG</v>
      </c>
      <c r="P79" s="784">
        <f ca="1">LARGE($D$77:$D$81,B79)</f>
        <v>0.60188893276208488</v>
      </c>
      <c r="Q79" s="784">
        <f ca="1">E79</f>
        <v>0.60188893276208488</v>
      </c>
      <c r="R79" s="9"/>
      <c r="S79" s="9"/>
      <c r="T79" s="9"/>
      <c r="U79" s="9"/>
      <c r="V79" s="9"/>
      <c r="W79" s="9"/>
      <c r="X79" s="9"/>
      <c r="Y79" s="9"/>
      <c r="Z79" s="9"/>
    </row>
    <row r="80" spans="1:26" ht="13.5" customHeight="1">
      <c r="A80" s="10"/>
      <c r="B80" s="9">
        <f>B79+1</f>
        <v>4</v>
      </c>
      <c r="C80" s="630" t="str">
        <f t="shared" si="3"/>
        <v>TPG</v>
      </c>
      <c r="D80" s="783">
        <f ca="1">Comparables!O33+RAND()/1000000</f>
        <v>0.44078933305754336</v>
      </c>
      <c r="E80" s="784">
        <f ca="1">E79</f>
        <v>0.60188893276208488</v>
      </c>
      <c r="F80" s="9"/>
      <c r="G80" s="9"/>
      <c r="H80" s="9"/>
      <c r="I80" s="9"/>
      <c r="J80" s="9"/>
      <c r="K80" s="9"/>
      <c r="L80" s="9"/>
      <c r="M80" s="9"/>
      <c r="N80" s="9"/>
      <c r="O80" s="630" t="str">
        <f ca="1">INDEX($C$77:$C$81,MATCH(P80,$D$77:$D$81,0),1)</f>
        <v>TPG</v>
      </c>
      <c r="P80" s="784">
        <f ca="1">LARGE($D$77:$D$81,B80)</f>
        <v>0.44078933305754336</v>
      </c>
      <c r="Q80" s="784">
        <f ca="1">E80</f>
        <v>0.60188893276208488</v>
      </c>
      <c r="R80" s="9"/>
      <c r="S80" s="9"/>
      <c r="T80" s="9"/>
      <c r="U80" s="9"/>
      <c r="V80" s="9"/>
      <c r="W80" s="9"/>
      <c r="X80" s="9"/>
      <c r="Y80" s="9"/>
      <c r="Z80" s="9"/>
    </row>
    <row r="81" spans="1:26" ht="13.5" customHeight="1">
      <c r="A81" s="10"/>
      <c r="B81" s="9">
        <f>B80+1</f>
        <v>5</v>
      </c>
      <c r="C81" s="630" t="str">
        <f t="shared" si="3"/>
        <v>AMG</v>
      </c>
      <c r="D81" s="783">
        <f ca="1">Comparables!O34+RAND()/1000000</f>
        <v>0.60188893276208488</v>
      </c>
      <c r="E81" s="784">
        <f ca="1">E80</f>
        <v>0.60188893276208488</v>
      </c>
      <c r="F81" s="9"/>
      <c r="G81" s="9"/>
      <c r="H81" s="9"/>
      <c r="I81" s="9"/>
      <c r="J81" s="9"/>
      <c r="K81" s="9"/>
      <c r="L81" s="9"/>
      <c r="M81" s="9"/>
      <c r="N81" s="9"/>
      <c r="O81" s="630" t="str">
        <f ca="1">INDEX($C$77:$C$81,MATCH(P81,$D$77:$D$81,0),1)</f>
        <v>STEP</v>
      </c>
      <c r="P81" s="784">
        <f ca="1">LARGE($D$77:$D$81,B81)</f>
        <v>0</v>
      </c>
      <c r="Q81" s="784">
        <f ca="1">E81</f>
        <v>0.60188893276208488</v>
      </c>
      <c r="R81" s="9"/>
      <c r="S81" s="9"/>
      <c r="T81" s="9"/>
      <c r="U81" s="9"/>
      <c r="V81" s="9"/>
      <c r="W81" s="9"/>
      <c r="X81" s="9"/>
      <c r="Y81" s="9"/>
      <c r="Z81" s="9"/>
    </row>
    <row r="82" spans="1:26" ht="13.5" customHeight="1">
      <c r="A82" s="10"/>
      <c r="B82" s="9"/>
      <c r="C82" s="9"/>
      <c r="D82" s="9"/>
      <c r="E82" s="9"/>
      <c r="F82" s="9"/>
      <c r="G82" s="9"/>
      <c r="H82" s="9"/>
      <c r="I82" s="9"/>
      <c r="J82" s="9"/>
      <c r="K82" s="9"/>
      <c r="L82" s="9"/>
      <c r="M82" s="9"/>
      <c r="N82" s="9"/>
      <c r="O82" s="9"/>
      <c r="P82" s="9"/>
      <c r="Q82" s="9"/>
      <c r="R82" s="9"/>
      <c r="S82" s="9"/>
      <c r="T82" s="9"/>
      <c r="U82" s="9"/>
      <c r="V82" s="9"/>
      <c r="W82" s="9"/>
      <c r="X82" s="9"/>
      <c r="Y82" s="9"/>
      <c r="Z82" s="9"/>
    </row>
    <row r="83" spans="1:26" ht="13.5" customHeight="1">
      <c r="A83" s="10"/>
      <c r="B83" s="9"/>
      <c r="C83" s="9"/>
      <c r="D83" s="9"/>
      <c r="E83" s="780" t="str">
        <f ca="1">"Median "&amp;TEXT(E77,"0.0x")</f>
        <v>Median 0.6x</v>
      </c>
      <c r="F83" s="9"/>
      <c r="G83" s="9"/>
      <c r="H83" s="9"/>
      <c r="I83" s="9"/>
      <c r="J83" s="9"/>
      <c r="K83" s="9"/>
      <c r="L83" s="9"/>
      <c r="M83" s="9"/>
      <c r="N83" s="9"/>
      <c r="O83" s="9"/>
      <c r="P83" s="9"/>
      <c r="Q83" s="780" t="str">
        <f ca="1">E83</f>
        <v>Median 0.6x</v>
      </c>
      <c r="R83" s="9"/>
      <c r="S83" s="9"/>
      <c r="T83" s="9"/>
      <c r="U83" s="9"/>
      <c r="V83" s="9"/>
      <c r="W83" s="9"/>
      <c r="X83" s="9"/>
      <c r="Y83" s="9"/>
      <c r="Z83" s="9"/>
    </row>
    <row r="84" spans="1:26" ht="13.5" customHeight="1">
      <c r="A84" s="10"/>
      <c r="B84" s="9"/>
      <c r="C84" s="9"/>
      <c r="D84" s="9"/>
      <c r="E84" s="9"/>
      <c r="F84" s="9"/>
      <c r="G84" s="9"/>
      <c r="H84" s="9"/>
      <c r="I84" s="9"/>
      <c r="J84" s="9"/>
      <c r="K84" s="9"/>
      <c r="L84" s="9"/>
      <c r="M84" s="9"/>
      <c r="N84" s="9"/>
      <c r="O84" s="9"/>
      <c r="P84" s="9"/>
      <c r="Q84" s="9"/>
      <c r="R84" s="9"/>
      <c r="S84" s="9"/>
      <c r="T84" s="9"/>
      <c r="U84" s="9"/>
      <c r="V84" s="9"/>
      <c r="W84" s="9"/>
      <c r="X84" s="9"/>
      <c r="Y84" s="9"/>
      <c r="Z84" s="9"/>
    </row>
    <row r="85" spans="1:26" ht="13.5" customHeight="1">
      <c r="A85" s="10"/>
      <c r="B85" s="9"/>
      <c r="C85" s="9"/>
      <c r="D85" s="9"/>
      <c r="E85" s="9"/>
      <c r="F85" s="9"/>
      <c r="G85" s="9"/>
      <c r="H85" s="9"/>
      <c r="I85" s="9"/>
      <c r="J85" s="9"/>
      <c r="K85" s="9"/>
      <c r="L85" s="9"/>
      <c r="M85" s="9"/>
      <c r="N85" s="9"/>
      <c r="O85" s="9"/>
      <c r="P85" s="9"/>
      <c r="Q85" s="9"/>
      <c r="R85" s="9"/>
      <c r="S85" s="9"/>
      <c r="T85" s="9"/>
      <c r="U85" s="9"/>
      <c r="V85" s="9"/>
      <c r="W85" s="9"/>
      <c r="X85" s="9"/>
      <c r="Y85" s="9"/>
      <c r="Z85" s="9"/>
    </row>
    <row r="86" spans="1:26" ht="13.5" customHeight="1">
      <c r="A86" s="10"/>
      <c r="B86" s="9"/>
      <c r="C86" s="9"/>
      <c r="D86" s="9"/>
      <c r="E86" s="9"/>
      <c r="F86" s="9"/>
      <c r="G86" s="9"/>
      <c r="H86" s="9"/>
      <c r="I86" s="9"/>
      <c r="J86" s="9"/>
      <c r="K86" s="9"/>
      <c r="L86" s="9"/>
      <c r="M86" s="9"/>
      <c r="N86" s="9"/>
      <c r="O86" s="9"/>
      <c r="P86" s="9"/>
      <c r="Q86" s="9"/>
      <c r="R86" s="9"/>
      <c r="S86" s="9"/>
      <c r="T86" s="9"/>
      <c r="U86" s="9"/>
      <c r="V86" s="9"/>
      <c r="W86" s="9"/>
      <c r="X86" s="9"/>
      <c r="Y86" s="9"/>
      <c r="Z86" s="9"/>
    </row>
    <row r="87" spans="1:26" ht="13.5" customHeight="1">
      <c r="A87" s="10"/>
      <c r="B87" s="9"/>
      <c r="C87" s="9"/>
      <c r="D87" s="9"/>
      <c r="E87" s="9"/>
      <c r="F87" s="9"/>
      <c r="G87" s="9"/>
      <c r="H87" s="9"/>
      <c r="I87" s="9"/>
      <c r="J87" s="9"/>
      <c r="K87" s="9"/>
      <c r="L87" s="9"/>
      <c r="M87" s="9"/>
      <c r="N87" s="9"/>
      <c r="O87" s="9"/>
      <c r="P87" s="9"/>
      <c r="Q87" s="9"/>
      <c r="R87" s="9"/>
      <c r="S87" s="9"/>
      <c r="T87" s="9"/>
      <c r="U87" s="9"/>
      <c r="V87" s="9"/>
      <c r="W87" s="9"/>
      <c r="X87" s="9"/>
      <c r="Y87" s="9"/>
      <c r="Z87" s="9"/>
    </row>
    <row r="88" spans="1:26" ht="13.5" customHeight="1">
      <c r="A88" s="10" t="s">
        <v>0</v>
      </c>
      <c r="B88" s="9"/>
      <c r="C88" s="995" t="str">
        <f>TEXT(E4,"yyyy")&amp;" EBITDA / Interest Expense"</f>
        <v>2024 EBITDA / Interest Expense</v>
      </c>
      <c r="D88" s="974"/>
      <c r="E88" s="974"/>
      <c r="F88" s="974"/>
      <c r="G88" s="974"/>
      <c r="H88" s="974"/>
      <c r="I88" s="974"/>
      <c r="J88" s="974"/>
      <c r="K88" s="974"/>
      <c r="L88" s="974"/>
      <c r="M88" s="974"/>
      <c r="N88" s="974"/>
      <c r="O88" s="974"/>
      <c r="P88" s="974"/>
      <c r="Q88" s="975"/>
      <c r="R88" s="9"/>
      <c r="S88" s="9"/>
      <c r="T88" s="9"/>
      <c r="U88" s="9"/>
      <c r="V88" s="9"/>
      <c r="W88" s="9"/>
      <c r="X88" s="9"/>
      <c r="Y88" s="9"/>
      <c r="Z88" s="9"/>
    </row>
    <row r="89" spans="1:26" ht="13.5" customHeight="1">
      <c r="A89" s="10"/>
      <c r="B89" s="9"/>
      <c r="C89" s="9"/>
      <c r="D89" s="9"/>
      <c r="E89" s="9"/>
      <c r="F89" s="9"/>
      <c r="G89" s="9"/>
      <c r="H89" s="9"/>
      <c r="I89" s="9"/>
      <c r="J89" s="9"/>
      <c r="K89" s="9"/>
      <c r="L89" s="9"/>
      <c r="M89" s="9"/>
      <c r="N89" s="9"/>
      <c r="O89" s="9"/>
      <c r="P89" s="9"/>
      <c r="Q89" s="9"/>
      <c r="R89" s="9"/>
      <c r="S89" s="9"/>
      <c r="T89" s="9"/>
      <c r="U89" s="9"/>
      <c r="V89" s="9"/>
      <c r="W89" s="9"/>
      <c r="X89" s="9"/>
      <c r="Y89" s="9"/>
      <c r="Z89" s="9"/>
    </row>
    <row r="90" spans="1:26" ht="13.5" customHeight="1">
      <c r="A90" s="10"/>
      <c r="B90" s="9"/>
      <c r="C90" s="1050" t="str">
        <f>C74</f>
        <v>Raw Data</v>
      </c>
      <c r="D90" s="1000"/>
      <c r="E90" s="1001"/>
      <c r="F90" s="37"/>
      <c r="G90" s="9"/>
      <c r="H90" s="9"/>
      <c r="I90" s="9"/>
      <c r="J90" s="9"/>
      <c r="K90" s="9"/>
      <c r="L90" s="9"/>
      <c r="M90" s="9"/>
      <c r="N90" s="9"/>
      <c r="O90" s="1050" t="str">
        <f>O74</f>
        <v>Chart Data</v>
      </c>
      <c r="P90" s="1000"/>
      <c r="Q90" s="1001"/>
      <c r="R90" s="9"/>
      <c r="S90" s="9"/>
      <c r="T90" s="9"/>
      <c r="U90" s="9"/>
      <c r="V90" s="9"/>
      <c r="W90" s="9"/>
      <c r="X90" s="9"/>
      <c r="Y90" s="9"/>
      <c r="Z90" s="9"/>
    </row>
    <row r="91" spans="1:26" ht="13.5" customHeight="1">
      <c r="A91" s="10"/>
      <c r="B91" s="9"/>
      <c r="C91" s="9"/>
      <c r="D91" s="9"/>
      <c r="E91" s="9"/>
      <c r="F91" s="9"/>
      <c r="G91" s="9"/>
      <c r="H91" s="9"/>
      <c r="I91" s="9"/>
      <c r="J91" s="9"/>
      <c r="K91" s="9"/>
      <c r="L91" s="9"/>
      <c r="M91" s="9"/>
      <c r="N91" s="9"/>
      <c r="O91" s="9"/>
      <c r="P91" s="9"/>
      <c r="Q91" s="9"/>
      <c r="R91" s="9"/>
      <c r="S91" s="9"/>
      <c r="T91" s="9"/>
      <c r="U91" s="9"/>
      <c r="V91" s="9"/>
      <c r="W91" s="9"/>
      <c r="X91" s="9"/>
      <c r="Y91" s="9"/>
      <c r="Z91" s="9"/>
    </row>
    <row r="92" spans="1:26" ht="13.5" customHeight="1">
      <c r="A92" s="10"/>
      <c r="B92" s="9"/>
      <c r="C92" s="775" t="str">
        <f t="shared" ref="C92:C97" si="4">C76</f>
        <v>HLNE</v>
      </c>
      <c r="D92" s="781">
        <f>Comparables!P28</f>
        <v>25.283000000000001</v>
      </c>
      <c r="E92" s="777"/>
      <c r="F92" s="9"/>
      <c r="G92" s="9"/>
      <c r="H92" s="9"/>
      <c r="I92" s="9"/>
      <c r="J92" s="9"/>
      <c r="K92" s="9"/>
      <c r="L92" s="9"/>
      <c r="M92" s="9"/>
      <c r="N92" s="9"/>
      <c r="O92" s="775" t="str">
        <f>C92</f>
        <v>HLNE</v>
      </c>
      <c r="P92" s="782">
        <f>D92</f>
        <v>25.283000000000001</v>
      </c>
      <c r="Q92" s="777"/>
      <c r="R92" s="9"/>
      <c r="S92" s="9"/>
      <c r="T92" s="9"/>
      <c r="U92" s="9"/>
      <c r="V92" s="9"/>
      <c r="W92" s="9"/>
      <c r="X92" s="9"/>
      <c r="Y92" s="9"/>
      <c r="Z92" s="9"/>
    </row>
    <row r="93" spans="1:26" ht="13.5" customHeight="1">
      <c r="A93" s="10"/>
      <c r="B93" s="540">
        <v>1</v>
      </c>
      <c r="C93" s="630" t="str">
        <f t="shared" si="4"/>
        <v>STEP</v>
      </c>
      <c r="D93" s="783">
        <v>0</v>
      </c>
      <c r="E93" s="784">
        <f ca="1">MEDIAN(D93:D97)</f>
        <v>1.2455606084019784</v>
      </c>
      <c r="F93" s="9"/>
      <c r="G93" s="9"/>
      <c r="H93" s="9"/>
      <c r="I93" s="9"/>
      <c r="J93" s="9"/>
      <c r="K93" s="9"/>
      <c r="L93" s="9"/>
      <c r="M93" s="9"/>
      <c r="N93" s="9"/>
      <c r="O93" s="630" t="str">
        <f ca="1">INDEX($C$93:$C$97,MATCH(P93,$D$93:$D$97,0),1)</f>
        <v>AMG</v>
      </c>
      <c r="P93" s="784">
        <f ca="1">LARGE($D$93:$D$97,B93)</f>
        <v>5.5363803762580241</v>
      </c>
      <c r="Q93" s="784">
        <f ca="1">E93</f>
        <v>1.2455606084019784</v>
      </c>
      <c r="R93" s="9"/>
      <c r="S93" s="9"/>
      <c r="T93" s="9"/>
      <c r="U93" s="9"/>
      <c r="V93" s="9"/>
      <c r="W93" s="9"/>
      <c r="X93" s="9"/>
      <c r="Y93" s="9"/>
      <c r="Z93" s="9"/>
    </row>
    <row r="94" spans="1:26" ht="13.5" customHeight="1">
      <c r="A94" s="10"/>
      <c r="B94" s="9">
        <f>B93+1</f>
        <v>2</v>
      </c>
      <c r="C94" s="630" t="str">
        <f t="shared" si="4"/>
        <v>ARES</v>
      </c>
      <c r="D94" s="783">
        <f ca="1">Comparables!P31+RAND()/1000000</f>
        <v>1.2455606084019784</v>
      </c>
      <c r="E94" s="784">
        <f ca="1">E93</f>
        <v>1.2455606084019784</v>
      </c>
      <c r="F94" s="9"/>
      <c r="G94" s="9"/>
      <c r="H94" s="9"/>
      <c r="I94" s="9"/>
      <c r="J94" s="9"/>
      <c r="K94" s="9"/>
      <c r="L94" s="9"/>
      <c r="M94" s="9"/>
      <c r="N94" s="9"/>
      <c r="O94" s="630" t="str">
        <f ca="1">INDEX($C$93:$C$97,MATCH(P94,$D$93:$D$97,0),1)</f>
        <v>TPG</v>
      </c>
      <c r="P94" s="784">
        <f ca="1">LARGE($D$93:$D$97,B94)</f>
        <v>2.309700211326962</v>
      </c>
      <c r="Q94" s="784">
        <f ca="1">E94</f>
        <v>1.2455606084019784</v>
      </c>
      <c r="R94" s="9"/>
      <c r="S94" s="9"/>
      <c r="T94" s="9"/>
      <c r="U94" s="9"/>
      <c r="V94" s="9"/>
      <c r="W94" s="9"/>
      <c r="X94" s="9"/>
      <c r="Y94" s="9"/>
      <c r="Z94" s="9"/>
    </row>
    <row r="95" spans="1:26" ht="13.5" customHeight="1">
      <c r="A95" s="10"/>
      <c r="B95" s="9">
        <f>B94+1</f>
        <v>3</v>
      </c>
      <c r="C95" s="630" t="str">
        <f t="shared" si="4"/>
        <v>CG</v>
      </c>
      <c r="D95" s="783">
        <v>0</v>
      </c>
      <c r="E95" s="784">
        <f ca="1">E94</f>
        <v>1.2455606084019784</v>
      </c>
      <c r="F95" s="9"/>
      <c r="G95" s="9"/>
      <c r="H95" s="9"/>
      <c r="I95" s="9"/>
      <c r="J95" s="9"/>
      <c r="K95" s="9"/>
      <c r="L95" s="9"/>
      <c r="M95" s="9"/>
      <c r="N95" s="9"/>
      <c r="O95" s="630" t="str">
        <f ca="1">INDEX($C$93:$C$97,MATCH(P95,$D$93:$D$97,0),1)</f>
        <v>ARES</v>
      </c>
      <c r="P95" s="784">
        <f ca="1">LARGE($D$93:$D$97,B95)</f>
        <v>1.2455606084019784</v>
      </c>
      <c r="Q95" s="784">
        <f ca="1">E95</f>
        <v>1.2455606084019784</v>
      </c>
      <c r="R95" s="9"/>
      <c r="S95" s="9"/>
      <c r="T95" s="9"/>
      <c r="U95" s="9"/>
      <c r="V95" s="9"/>
      <c r="W95" s="9"/>
      <c r="X95" s="9"/>
      <c r="Y95" s="9"/>
      <c r="Z95" s="9"/>
    </row>
    <row r="96" spans="1:26" ht="13.5" customHeight="1">
      <c r="A96" s="10"/>
      <c r="B96" s="9">
        <f>B95+1</f>
        <v>4</v>
      </c>
      <c r="C96" s="630" t="str">
        <f t="shared" si="4"/>
        <v>TPG</v>
      </c>
      <c r="D96" s="783">
        <f ca="1">Comparables!P33+RAND()/1000000</f>
        <v>2.309700211326962</v>
      </c>
      <c r="E96" s="784">
        <f ca="1">E95</f>
        <v>1.2455606084019784</v>
      </c>
      <c r="F96" s="9"/>
      <c r="G96" s="9"/>
      <c r="H96" s="9"/>
      <c r="I96" s="9"/>
      <c r="J96" s="9"/>
      <c r="K96" s="9"/>
      <c r="L96" s="9"/>
      <c r="M96" s="9"/>
      <c r="N96" s="9"/>
      <c r="O96" s="630" t="str">
        <f ca="1">INDEX($C$93:$C$97,MATCH(P96,$D$93:$D$97,0),1)</f>
        <v>STEP</v>
      </c>
      <c r="P96" s="784">
        <f ca="1">LARGE($D$93:$D$97,B96)</f>
        <v>0</v>
      </c>
      <c r="Q96" s="784">
        <f ca="1">E96</f>
        <v>1.2455606084019784</v>
      </c>
      <c r="R96" s="9"/>
      <c r="S96" s="9"/>
      <c r="T96" s="9"/>
      <c r="U96" s="9"/>
      <c r="V96" s="9"/>
      <c r="W96" s="9"/>
      <c r="X96" s="9"/>
      <c r="Y96" s="9"/>
      <c r="Z96" s="9"/>
    </row>
    <row r="97" spans="1:26" ht="13.5" customHeight="1">
      <c r="A97" s="10"/>
      <c r="B97" s="9">
        <f>B96+1</f>
        <v>5</v>
      </c>
      <c r="C97" s="630" t="str">
        <f t="shared" si="4"/>
        <v>AMG</v>
      </c>
      <c r="D97" s="783">
        <f ca="1">Comparables!P34+RAND()/1000000</f>
        <v>5.5363803762580241</v>
      </c>
      <c r="E97" s="784">
        <f ca="1">E96</f>
        <v>1.2455606084019784</v>
      </c>
      <c r="F97" s="9"/>
      <c r="G97" s="9"/>
      <c r="H97" s="9"/>
      <c r="I97" s="9"/>
      <c r="J97" s="9"/>
      <c r="K97" s="9"/>
      <c r="L97" s="9"/>
      <c r="M97" s="9"/>
      <c r="N97" s="9"/>
      <c r="O97" s="630" t="str">
        <f ca="1">INDEX($C$93:$C$97,MATCH(P97,$D$93:$D$97,0),1)</f>
        <v>STEP</v>
      </c>
      <c r="P97" s="784">
        <f ca="1">LARGE($D$93:$D$97,B97)</f>
        <v>0</v>
      </c>
      <c r="Q97" s="784">
        <f ca="1">E97</f>
        <v>1.2455606084019784</v>
      </c>
      <c r="R97" s="9"/>
      <c r="S97" s="9"/>
      <c r="T97" s="9"/>
      <c r="U97" s="9"/>
      <c r="V97" s="9"/>
      <c r="W97" s="9"/>
      <c r="X97" s="9"/>
      <c r="Y97" s="9"/>
      <c r="Z97" s="9"/>
    </row>
    <row r="98" spans="1:26" ht="13.5" customHeight="1">
      <c r="A98" s="10"/>
      <c r="B98" s="9"/>
      <c r="C98" s="9"/>
      <c r="D98" s="9"/>
      <c r="E98" s="9"/>
      <c r="F98" s="9"/>
      <c r="G98" s="9"/>
      <c r="H98" s="9"/>
      <c r="I98" s="9"/>
      <c r="J98" s="9"/>
      <c r="K98" s="9"/>
      <c r="L98" s="9"/>
      <c r="M98" s="9"/>
      <c r="N98" s="9"/>
      <c r="O98" s="9"/>
      <c r="P98" s="9"/>
      <c r="Q98" s="9"/>
      <c r="R98" s="9"/>
      <c r="S98" s="9"/>
      <c r="T98" s="9"/>
      <c r="U98" s="9"/>
      <c r="V98" s="9"/>
      <c r="W98" s="9"/>
      <c r="X98" s="9"/>
      <c r="Y98" s="9"/>
      <c r="Z98" s="9"/>
    </row>
    <row r="99" spans="1:26" ht="13.5" customHeight="1">
      <c r="A99" s="10"/>
      <c r="B99" s="9"/>
      <c r="C99" s="9"/>
      <c r="D99" s="9"/>
      <c r="E99" s="780" t="str">
        <f ca="1">"Median "&amp;TEXT(E93,"0.0x")</f>
        <v>Median 1.2x</v>
      </c>
      <c r="F99" s="9"/>
      <c r="G99" s="9"/>
      <c r="H99" s="9"/>
      <c r="I99" s="9"/>
      <c r="J99" s="9"/>
      <c r="K99" s="9"/>
      <c r="L99" s="9"/>
      <c r="M99" s="9"/>
      <c r="N99" s="9"/>
      <c r="O99" s="9"/>
      <c r="P99" s="9"/>
      <c r="Q99" s="780" t="str">
        <f ca="1">E99</f>
        <v>Median 1.2x</v>
      </c>
      <c r="R99" s="9"/>
      <c r="S99" s="9"/>
      <c r="T99" s="9"/>
      <c r="U99" s="9"/>
      <c r="V99" s="9"/>
      <c r="W99" s="9"/>
      <c r="X99" s="9"/>
      <c r="Y99" s="9"/>
      <c r="Z99" s="9"/>
    </row>
    <row r="100" spans="1:26" ht="13.5" customHeight="1">
      <c r="A100" s="10"/>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3.5" customHeight="1">
      <c r="A101" s="10"/>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3.5" customHeight="1">
      <c r="A102" s="10"/>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3.5" customHeight="1">
      <c r="A103" s="10"/>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3.5" customHeight="1">
      <c r="A104" s="10" t="s">
        <v>0</v>
      </c>
      <c r="B104" s="9"/>
      <c r="C104" s="995" t="s">
        <v>829</v>
      </c>
      <c r="D104" s="974"/>
      <c r="E104" s="974"/>
      <c r="F104" s="974"/>
      <c r="G104" s="974"/>
      <c r="H104" s="974"/>
      <c r="I104" s="974"/>
      <c r="J104" s="974"/>
      <c r="K104" s="974"/>
      <c r="L104" s="974"/>
      <c r="M104" s="974"/>
      <c r="N104" s="974"/>
      <c r="O104" s="974"/>
      <c r="P104" s="974"/>
      <c r="Q104" s="975"/>
      <c r="R104" s="9"/>
      <c r="S104" s="9"/>
      <c r="T104" s="9"/>
      <c r="U104" s="9"/>
      <c r="V104" s="9"/>
      <c r="W104" s="9"/>
      <c r="X104" s="9"/>
      <c r="Y104" s="9"/>
      <c r="Z104" s="9"/>
    </row>
    <row r="105" spans="1:26" ht="13.5" customHeight="1">
      <c r="A105" s="10"/>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3.5" customHeight="1">
      <c r="A106" s="10"/>
      <c r="B106" s="9"/>
      <c r="C106" s="1050" t="str">
        <f>C90</f>
        <v>Raw Data</v>
      </c>
      <c r="D106" s="1000"/>
      <c r="E106" s="1001"/>
      <c r="F106" s="37"/>
      <c r="G106" s="9"/>
      <c r="H106" s="9"/>
      <c r="I106" s="9"/>
      <c r="J106" s="9"/>
      <c r="K106" s="9"/>
      <c r="L106" s="9"/>
      <c r="M106" s="9"/>
      <c r="N106" s="9"/>
      <c r="O106" s="1050" t="str">
        <f>O90</f>
        <v>Chart Data</v>
      </c>
      <c r="P106" s="1000"/>
      <c r="Q106" s="1001"/>
      <c r="R106" s="9"/>
      <c r="S106" s="9"/>
      <c r="T106" s="9"/>
      <c r="U106" s="9"/>
      <c r="V106" s="9"/>
      <c r="W106" s="9"/>
      <c r="X106" s="9"/>
      <c r="Y106" s="9"/>
      <c r="Z106" s="9"/>
    </row>
    <row r="107" spans="1:26" ht="13.5" customHeight="1">
      <c r="A107" s="10"/>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3.5" customHeight="1">
      <c r="A108" s="10"/>
      <c r="B108" s="9"/>
      <c r="C108" s="775" t="str">
        <f t="shared" ref="C108:C113" si="5">C92</f>
        <v>HLNE</v>
      </c>
      <c r="D108" s="776">
        <f>Comparables!M10</f>
        <v>0.45278799999999997</v>
      </c>
      <c r="E108" s="777"/>
      <c r="F108" s="9"/>
      <c r="G108" s="9"/>
      <c r="H108" s="9"/>
      <c r="I108" s="9"/>
      <c r="J108" s="9"/>
      <c r="K108" s="9"/>
      <c r="L108" s="9"/>
      <c r="M108" s="9"/>
      <c r="N108" s="9"/>
      <c r="O108" s="775" t="str">
        <f>C108</f>
        <v>HLNE</v>
      </c>
      <c r="P108" s="777">
        <f>D108</f>
        <v>0.45278799999999997</v>
      </c>
      <c r="Q108" s="777"/>
      <c r="R108" s="9"/>
      <c r="S108" s="9"/>
      <c r="T108" s="9"/>
      <c r="U108" s="9"/>
      <c r="V108" s="9"/>
      <c r="W108" s="9"/>
      <c r="X108" s="9"/>
      <c r="Y108" s="9"/>
      <c r="Z108" s="9"/>
    </row>
    <row r="109" spans="1:26" ht="13.5" customHeight="1">
      <c r="A109" s="10"/>
      <c r="B109" s="540">
        <v>1</v>
      </c>
      <c r="C109" s="630" t="str">
        <f t="shared" si="5"/>
        <v>STEP</v>
      </c>
      <c r="D109" s="778">
        <f ca="1">Comparables!M12+RAND()/1000000</f>
        <v>-0.23218829009395014</v>
      </c>
      <c r="E109" s="779">
        <f ca="1">MEDIAN(D109:D113)</f>
        <v>0.24498671011422948</v>
      </c>
      <c r="F109" s="9"/>
      <c r="G109" s="9"/>
      <c r="H109" s="9"/>
      <c r="I109" s="9"/>
      <c r="J109" s="9"/>
      <c r="K109" s="9"/>
      <c r="L109" s="9"/>
      <c r="M109" s="9"/>
      <c r="N109" s="9"/>
      <c r="O109" s="630" t="str">
        <f ca="1">INDEX($C$109:$C$113,MATCH(P109,$D$109:$D$113,0),1)</f>
        <v>CG</v>
      </c>
      <c r="P109" s="779">
        <f ca="1">LARGE($D$109:$D$113,B109)</f>
        <v>0.39500052434197036</v>
      </c>
      <c r="Q109" s="779">
        <f ca="1">E109</f>
        <v>0.24498671011422948</v>
      </c>
      <c r="R109" s="9"/>
      <c r="S109" s="9"/>
      <c r="T109" s="9"/>
      <c r="U109" s="9"/>
      <c r="V109" s="9"/>
      <c r="W109" s="9"/>
      <c r="X109" s="9"/>
      <c r="Y109" s="9"/>
      <c r="Z109" s="9"/>
    </row>
    <row r="110" spans="1:26" ht="13.5" customHeight="1">
      <c r="A110" s="10"/>
      <c r="B110" s="9">
        <f>B109+1</f>
        <v>2</v>
      </c>
      <c r="C110" s="630" t="str">
        <f t="shared" si="5"/>
        <v>ARES</v>
      </c>
      <c r="D110" s="778">
        <f ca="1">Comparables!M13+RAND()/1000000</f>
        <v>0.24498671011422948</v>
      </c>
      <c r="E110" s="779">
        <f ca="1">E109</f>
        <v>0.24498671011422948</v>
      </c>
      <c r="F110" s="9"/>
      <c r="G110" s="9"/>
      <c r="H110" s="9"/>
      <c r="I110" s="9"/>
      <c r="J110" s="9"/>
      <c r="K110" s="9"/>
      <c r="L110" s="9"/>
      <c r="M110" s="9"/>
      <c r="N110" s="9"/>
      <c r="O110" s="630" t="str">
        <f ca="1">INDEX($C$109:$C$113,MATCH(P110,$D$109:$D$113,0),1)</f>
        <v>AMG</v>
      </c>
      <c r="P110" s="779">
        <f ca="1">LARGE($D$109:$D$113,B110)</f>
        <v>0.32042904408652001</v>
      </c>
      <c r="Q110" s="779">
        <f ca="1">E110</f>
        <v>0.24498671011422948</v>
      </c>
      <c r="R110" s="9"/>
      <c r="S110" s="9"/>
      <c r="T110" s="9"/>
      <c r="U110" s="9"/>
      <c r="V110" s="9"/>
      <c r="W110" s="9"/>
      <c r="X110" s="9"/>
      <c r="Y110" s="9"/>
      <c r="Z110" s="9"/>
    </row>
    <row r="111" spans="1:26" ht="13.5" customHeight="1">
      <c r="A111" s="10"/>
      <c r="B111" s="9">
        <f>B110+1</f>
        <v>3</v>
      </c>
      <c r="C111" s="630" t="str">
        <f t="shared" si="5"/>
        <v>CG</v>
      </c>
      <c r="D111" s="778">
        <f ca="1">Comparables!M14+RAND()/1000000</f>
        <v>0.39500052434197036</v>
      </c>
      <c r="E111" s="779">
        <f ca="1">E110</f>
        <v>0.24498671011422948</v>
      </c>
      <c r="F111" s="9"/>
      <c r="G111" s="9"/>
      <c r="H111" s="9"/>
      <c r="I111" s="9"/>
      <c r="J111" s="9"/>
      <c r="K111" s="9"/>
      <c r="L111" s="9"/>
      <c r="M111" s="9"/>
      <c r="N111" s="9"/>
      <c r="O111" s="630" t="str">
        <f ca="1">INDEX($C$109:$C$113,MATCH(P111,$D$109:$D$113,0),1)</f>
        <v>ARES</v>
      </c>
      <c r="P111" s="779">
        <f ca="1">LARGE($D$109:$D$113,B111)</f>
        <v>0.24498671011422948</v>
      </c>
      <c r="Q111" s="779">
        <f ca="1">E111</f>
        <v>0.24498671011422948</v>
      </c>
      <c r="R111" s="9"/>
      <c r="S111" s="9"/>
      <c r="T111" s="9"/>
      <c r="U111" s="9"/>
      <c r="V111" s="9"/>
      <c r="W111" s="9"/>
      <c r="X111" s="9"/>
      <c r="Y111" s="9"/>
      <c r="Z111" s="9"/>
    </row>
    <row r="112" spans="1:26" ht="13.5" customHeight="1">
      <c r="A112" s="10"/>
      <c r="B112" s="9">
        <f>B111+1</f>
        <v>4</v>
      </c>
      <c r="C112" s="630" t="str">
        <f t="shared" si="5"/>
        <v>TPG</v>
      </c>
      <c r="D112" s="778">
        <f ca="1">Comparables!M15+RAND()/1000000</f>
        <v>7.9914460784044919E-2</v>
      </c>
      <c r="E112" s="779">
        <f ca="1">E111</f>
        <v>0.24498671011422948</v>
      </c>
      <c r="F112" s="9"/>
      <c r="G112" s="9"/>
      <c r="H112" s="9"/>
      <c r="I112" s="9"/>
      <c r="J112" s="9"/>
      <c r="K112" s="9"/>
      <c r="L112" s="9"/>
      <c r="M112" s="9"/>
      <c r="N112" s="9"/>
      <c r="O112" s="630" t="str">
        <f ca="1">INDEX($C$109:$C$113,MATCH(P112,$D$109:$D$113,0),1)</f>
        <v>TPG</v>
      </c>
      <c r="P112" s="779">
        <f ca="1">LARGE($D$109:$D$113,B112)</f>
        <v>7.9914460784044919E-2</v>
      </c>
      <c r="Q112" s="779">
        <f ca="1">E112</f>
        <v>0.24498671011422948</v>
      </c>
      <c r="R112" s="9"/>
      <c r="S112" s="9"/>
      <c r="T112" s="9"/>
      <c r="U112" s="9"/>
      <c r="V112" s="9"/>
      <c r="W112" s="9"/>
      <c r="X112" s="9"/>
      <c r="Y112" s="9"/>
      <c r="Z112" s="9"/>
    </row>
    <row r="113" spans="1:26" ht="13.5" customHeight="1">
      <c r="A113" s="10"/>
      <c r="B113" s="9">
        <f>B112+1</f>
        <v>5</v>
      </c>
      <c r="C113" s="630" t="str">
        <f t="shared" si="5"/>
        <v>AMG</v>
      </c>
      <c r="D113" s="778">
        <f ca="1">Comparables!M16+RAND()/1000000</f>
        <v>0.32042904408652001</v>
      </c>
      <c r="E113" s="779">
        <f ca="1">E112</f>
        <v>0.24498671011422948</v>
      </c>
      <c r="F113" s="9"/>
      <c r="G113" s="9"/>
      <c r="H113" s="9"/>
      <c r="I113" s="9"/>
      <c r="J113" s="9"/>
      <c r="K113" s="9"/>
      <c r="L113" s="9"/>
      <c r="M113" s="9"/>
      <c r="N113" s="9"/>
      <c r="O113" s="630" t="str">
        <f ca="1">INDEX($C$109:$C$113,MATCH(P113,$D$109:$D$113,0),1)</f>
        <v>STEP</v>
      </c>
      <c r="P113" s="779">
        <f ca="1">LARGE($D$109:$D$113,B113)</f>
        <v>-0.23218829009395014</v>
      </c>
      <c r="Q113" s="779">
        <f ca="1">E113</f>
        <v>0.24498671011422948</v>
      </c>
      <c r="R113" s="9"/>
      <c r="S113" s="9"/>
      <c r="T113" s="9"/>
      <c r="U113" s="9"/>
      <c r="V113" s="9"/>
      <c r="W113" s="9"/>
      <c r="X113" s="9"/>
      <c r="Y113" s="9"/>
      <c r="Z113" s="9"/>
    </row>
    <row r="114" spans="1:26" ht="13.5" customHeight="1">
      <c r="A114" s="10"/>
      <c r="B114" s="9"/>
      <c r="C114" s="9"/>
      <c r="D114" s="9"/>
      <c r="E114" s="132"/>
      <c r="F114" s="9"/>
      <c r="G114" s="9"/>
      <c r="H114" s="9"/>
      <c r="I114" s="9"/>
      <c r="J114" s="9"/>
      <c r="K114" s="9"/>
      <c r="L114" s="9"/>
      <c r="M114" s="9"/>
      <c r="N114" s="9"/>
      <c r="O114" s="9"/>
      <c r="P114" s="9"/>
      <c r="Q114" s="9"/>
      <c r="R114" s="9"/>
      <c r="S114" s="9"/>
      <c r="T114" s="9"/>
      <c r="U114" s="9"/>
      <c r="V114" s="9"/>
      <c r="W114" s="9"/>
      <c r="X114" s="9"/>
      <c r="Y114" s="9"/>
      <c r="Z114" s="9"/>
    </row>
    <row r="115" spans="1:26" ht="13.5" customHeight="1">
      <c r="A115" s="10"/>
      <c r="B115" s="9"/>
      <c r="C115" s="9"/>
      <c r="D115" s="9"/>
      <c r="E115" s="780" t="str">
        <f ca="1">"Median "&amp;TEXT(E109,"0.0%")</f>
        <v>Median 24.5%</v>
      </c>
      <c r="F115" s="9"/>
      <c r="G115" s="9"/>
      <c r="H115" s="9"/>
      <c r="I115" s="9"/>
      <c r="J115" s="9"/>
      <c r="K115" s="9"/>
      <c r="L115" s="9"/>
      <c r="M115" s="9"/>
      <c r="N115" s="9"/>
      <c r="O115" s="9"/>
      <c r="P115" s="9"/>
      <c r="Q115" s="780" t="str">
        <f ca="1">E115</f>
        <v>Median 24.5%</v>
      </c>
      <c r="R115" s="9"/>
      <c r="S115" s="9"/>
      <c r="T115" s="9"/>
      <c r="U115" s="9"/>
      <c r="V115" s="9"/>
      <c r="W115" s="9"/>
      <c r="X115" s="9"/>
      <c r="Y115" s="9"/>
      <c r="Z115" s="9"/>
    </row>
    <row r="116" spans="1:26" ht="13.5" customHeight="1">
      <c r="A116" s="10"/>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3.5" customHeight="1">
      <c r="A117" s="10"/>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3.5" customHeight="1">
      <c r="A118" s="10"/>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3.5" customHeight="1">
      <c r="A119" s="10"/>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3.5" customHeight="1">
      <c r="A120" s="10" t="s">
        <v>0</v>
      </c>
      <c r="B120" s="9"/>
      <c r="C120" s="995" t="s">
        <v>45</v>
      </c>
      <c r="D120" s="974"/>
      <c r="E120" s="974"/>
      <c r="F120" s="974"/>
      <c r="G120" s="974"/>
      <c r="H120" s="974"/>
      <c r="I120" s="974"/>
      <c r="J120" s="974"/>
      <c r="K120" s="974"/>
      <c r="L120" s="974"/>
      <c r="M120" s="974"/>
      <c r="N120" s="974"/>
      <c r="O120" s="974"/>
      <c r="P120" s="974"/>
      <c r="Q120" s="975"/>
      <c r="R120" s="9"/>
      <c r="S120" s="9"/>
      <c r="T120" s="9"/>
      <c r="U120" s="9"/>
      <c r="V120" s="9"/>
      <c r="W120" s="9"/>
      <c r="X120" s="9"/>
      <c r="Y120" s="9"/>
      <c r="Z120" s="9"/>
    </row>
    <row r="121" spans="1:26" ht="13.5" customHeight="1">
      <c r="A121" s="10"/>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3.5" customHeight="1">
      <c r="A122" s="10"/>
      <c r="B122" s="9"/>
      <c r="C122" s="1050" t="str">
        <f>C106</f>
        <v>Raw Data</v>
      </c>
      <c r="D122" s="1000"/>
      <c r="E122" s="1001"/>
      <c r="F122" s="37"/>
      <c r="G122" s="9"/>
      <c r="H122" s="9"/>
      <c r="I122" s="9"/>
      <c r="J122" s="9"/>
      <c r="K122" s="9"/>
      <c r="L122" s="9"/>
      <c r="M122" s="9"/>
      <c r="N122" s="9"/>
      <c r="O122" s="1050" t="str">
        <f>O106</f>
        <v>Chart Data</v>
      </c>
      <c r="P122" s="1000"/>
      <c r="Q122" s="1001"/>
      <c r="R122" s="9"/>
      <c r="S122" s="9"/>
      <c r="T122" s="9"/>
      <c r="U122" s="9"/>
      <c r="V122" s="9"/>
      <c r="W122" s="9"/>
      <c r="X122" s="9"/>
      <c r="Y122" s="9"/>
      <c r="Z122" s="9"/>
    </row>
    <row r="123" spans="1:26" ht="13.5" customHeight="1">
      <c r="A123" s="10"/>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3.5" customHeight="1">
      <c r="A124" s="10"/>
      <c r="B124" s="9"/>
      <c r="C124" s="775" t="str">
        <f t="shared" ref="C124:C129" si="6">C108</f>
        <v>HLNE</v>
      </c>
      <c r="D124" s="776">
        <f>Comparables!I28</f>
        <v>1.7068E-2</v>
      </c>
      <c r="E124" s="777"/>
      <c r="F124" s="9"/>
      <c r="G124" s="9"/>
      <c r="H124" s="9"/>
      <c r="I124" s="9"/>
      <c r="J124" s="9"/>
      <c r="K124" s="9"/>
      <c r="L124" s="9"/>
      <c r="M124" s="9"/>
      <c r="N124" s="9"/>
      <c r="O124" s="775" t="str">
        <f>C124</f>
        <v>HLNE</v>
      </c>
      <c r="P124" s="777">
        <f>D124</f>
        <v>1.7068E-2</v>
      </c>
      <c r="Q124" s="777"/>
      <c r="R124" s="9"/>
      <c r="S124" s="9"/>
      <c r="T124" s="9"/>
      <c r="U124" s="9"/>
      <c r="V124" s="9"/>
      <c r="W124" s="9"/>
      <c r="X124" s="9"/>
      <c r="Y124" s="9"/>
      <c r="Z124" s="9"/>
    </row>
    <row r="125" spans="1:26" ht="13.5" customHeight="1">
      <c r="A125" s="10"/>
      <c r="B125" s="540">
        <v>1</v>
      </c>
      <c r="C125" s="630" t="str">
        <f t="shared" si="6"/>
        <v>STEP</v>
      </c>
      <c r="D125" s="778">
        <f>Comparables!I30</f>
        <v>2.3503E-2</v>
      </c>
      <c r="E125" s="779">
        <f>MEDIAN(D125:D129)</f>
        <v>2.3503E-2</v>
      </c>
      <c r="F125" s="9"/>
      <c r="G125" s="9"/>
      <c r="H125" s="9"/>
      <c r="I125" s="9"/>
      <c r="J125" s="9"/>
      <c r="K125" s="9"/>
      <c r="L125" s="9"/>
      <c r="M125" s="9"/>
      <c r="N125" s="9"/>
      <c r="O125" s="630" t="str">
        <f>INDEX($C$125:$C$129,MATCH(P125,$D$125:$D$129,0),1)</f>
        <v>TPG</v>
      </c>
      <c r="P125" s="779">
        <f>LARGE($D$125:$D$129,B125)</f>
        <v>3.0870000000000002E-2</v>
      </c>
      <c r="Q125" s="779">
        <f>E125</f>
        <v>2.3503E-2</v>
      </c>
      <c r="R125" s="9"/>
      <c r="S125" s="9"/>
      <c r="T125" s="9"/>
      <c r="U125" s="9"/>
      <c r="V125" s="9"/>
      <c r="W125" s="9"/>
      <c r="X125" s="9"/>
      <c r="Y125" s="9"/>
      <c r="Z125" s="9"/>
    </row>
    <row r="126" spans="1:26" ht="13.5" customHeight="1">
      <c r="A126" s="10"/>
      <c r="B126" s="9">
        <f>B125+1</f>
        <v>2</v>
      </c>
      <c r="C126" s="630" t="str">
        <f t="shared" si="6"/>
        <v>ARES</v>
      </c>
      <c r="D126" s="778">
        <f>IF(ISNUMBER(Comparables!I31),Comparables!I31,0)</f>
        <v>2.9745000000000001E-2</v>
      </c>
      <c r="E126" s="779">
        <f>E125</f>
        <v>2.3503E-2</v>
      </c>
      <c r="F126" s="9"/>
      <c r="G126" s="9"/>
      <c r="H126" s="9"/>
      <c r="I126" s="9"/>
      <c r="J126" s="9"/>
      <c r="K126" s="9"/>
      <c r="L126" s="9"/>
      <c r="M126" s="9"/>
      <c r="N126" s="9"/>
      <c r="O126" s="630" t="str">
        <f>INDEX($C$125:$C$129,MATCH(P126,$D$125:$D$129,0),1)</f>
        <v>ARES</v>
      </c>
      <c r="P126" s="779">
        <f>LARGE($D$125:$D$129,B126)</f>
        <v>2.9745000000000001E-2</v>
      </c>
      <c r="Q126" s="779">
        <f>E126</f>
        <v>2.3503E-2</v>
      </c>
      <c r="R126" s="9"/>
      <c r="S126" s="9"/>
      <c r="T126" s="9"/>
      <c r="U126" s="9"/>
      <c r="V126" s="9"/>
      <c r="W126" s="9"/>
      <c r="X126" s="9"/>
      <c r="Y126" s="9"/>
      <c r="Z126" s="9"/>
    </row>
    <row r="127" spans="1:26" ht="13.5" customHeight="1">
      <c r="A127" s="10"/>
      <c r="B127" s="9">
        <f>B126+1</f>
        <v>3</v>
      </c>
      <c r="C127" s="630" t="str">
        <f t="shared" si="6"/>
        <v>CG</v>
      </c>
      <c r="D127" s="778">
        <f>Comparables!I32</f>
        <v>2.2682999999999998E-2</v>
      </c>
      <c r="E127" s="779">
        <f>E126</f>
        <v>2.3503E-2</v>
      </c>
      <c r="F127" s="9"/>
      <c r="G127" s="9"/>
      <c r="H127" s="9"/>
      <c r="I127" s="9"/>
      <c r="J127" s="9"/>
      <c r="K127" s="9"/>
      <c r="L127" s="9"/>
      <c r="M127" s="9"/>
      <c r="N127" s="9"/>
      <c r="O127" s="630" t="str">
        <f>INDEX($C$125:$C$129,MATCH(P127,$D$125:$D$129,0),1)</f>
        <v>STEP</v>
      </c>
      <c r="P127" s="779">
        <f>LARGE($D$125:$D$129,B127)</f>
        <v>2.3503E-2</v>
      </c>
      <c r="Q127" s="779">
        <f>E127</f>
        <v>2.3503E-2</v>
      </c>
      <c r="R127" s="9"/>
      <c r="S127" s="9"/>
      <c r="T127" s="9"/>
      <c r="U127" s="9"/>
      <c r="V127" s="9"/>
      <c r="W127" s="9"/>
      <c r="X127" s="9"/>
      <c r="Y127" s="9"/>
      <c r="Z127" s="9"/>
    </row>
    <row r="128" spans="1:26" ht="13.5" customHeight="1">
      <c r="A128" s="10"/>
      <c r="B128" s="9">
        <f>B127+1</f>
        <v>4</v>
      </c>
      <c r="C128" s="630" t="str">
        <f t="shared" si="6"/>
        <v>TPG</v>
      </c>
      <c r="D128" s="778">
        <f>Comparables!I33</f>
        <v>3.0870000000000002E-2</v>
      </c>
      <c r="E128" s="779">
        <f>E127</f>
        <v>2.3503E-2</v>
      </c>
      <c r="F128" s="9"/>
      <c r="G128" s="9"/>
      <c r="H128" s="9"/>
      <c r="I128" s="9"/>
      <c r="J128" s="9"/>
      <c r="K128" s="9"/>
      <c r="L128" s="9"/>
      <c r="M128" s="9"/>
      <c r="N128" s="9"/>
      <c r="O128" s="630" t="str">
        <f>INDEX($C$125:$C$129,MATCH(P128,$D$125:$D$129,0),1)</f>
        <v>CG</v>
      </c>
      <c r="P128" s="779">
        <f>LARGE($D$125:$D$129,B128)</f>
        <v>2.2682999999999998E-2</v>
      </c>
      <c r="Q128" s="779">
        <f>E128</f>
        <v>2.3503E-2</v>
      </c>
      <c r="R128" s="9"/>
      <c r="S128" s="9"/>
      <c r="T128" s="9"/>
      <c r="U128" s="9"/>
      <c r="V128" s="9"/>
      <c r="W128" s="9"/>
      <c r="X128" s="9"/>
      <c r="Y128" s="9"/>
      <c r="Z128" s="9"/>
    </row>
    <row r="129" spans="1:26" ht="13.5" customHeight="1">
      <c r="A129" s="10"/>
      <c r="B129" s="9">
        <f>B128+1</f>
        <v>5</v>
      </c>
      <c r="C129" s="630" t="str">
        <f t="shared" si="6"/>
        <v>AMG</v>
      </c>
      <c r="D129" s="778">
        <f>Comparables!I34</f>
        <v>1.6899999999999999E-4</v>
      </c>
      <c r="E129" s="779">
        <f>E128</f>
        <v>2.3503E-2</v>
      </c>
      <c r="F129" s="9"/>
      <c r="G129" s="9"/>
      <c r="H129" s="9"/>
      <c r="I129" s="9"/>
      <c r="J129" s="9"/>
      <c r="K129" s="9"/>
      <c r="L129" s="9"/>
      <c r="M129" s="9"/>
      <c r="N129" s="9"/>
      <c r="O129" s="630" t="str">
        <f>INDEX($C$125:$C$129,MATCH(P129,$D$125:$D$129,0),1)</f>
        <v>AMG</v>
      </c>
      <c r="P129" s="779">
        <f>LARGE($D$125:$D$129,B129)</f>
        <v>1.6899999999999999E-4</v>
      </c>
      <c r="Q129" s="779">
        <f>E129</f>
        <v>2.3503E-2</v>
      </c>
      <c r="R129" s="9"/>
      <c r="S129" s="9"/>
      <c r="T129" s="9"/>
      <c r="U129" s="9"/>
      <c r="V129" s="9"/>
      <c r="W129" s="9"/>
      <c r="X129" s="9"/>
      <c r="Y129" s="9"/>
      <c r="Z129" s="9"/>
    </row>
    <row r="130" spans="1:26" ht="13.5" customHeight="1">
      <c r="A130" s="10"/>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3.5" customHeight="1">
      <c r="A131" s="10"/>
      <c r="B131" s="9"/>
      <c r="C131" s="9"/>
      <c r="D131" s="9"/>
      <c r="E131" s="780" t="str">
        <f>"Median "&amp;TEXT(E125,"0.0%")</f>
        <v>Median 2.4%</v>
      </c>
      <c r="F131" s="9"/>
      <c r="G131" s="9"/>
      <c r="H131" s="9"/>
      <c r="I131" s="9"/>
      <c r="J131" s="9"/>
      <c r="K131" s="9"/>
      <c r="L131" s="9"/>
      <c r="M131" s="9"/>
      <c r="N131" s="9"/>
      <c r="O131" s="9"/>
      <c r="P131" s="9"/>
      <c r="Q131" s="780" t="str">
        <f>E131</f>
        <v>Median 2.4%</v>
      </c>
      <c r="R131" s="9"/>
      <c r="S131" s="9"/>
      <c r="T131" s="9"/>
      <c r="U131" s="9"/>
      <c r="V131" s="9"/>
      <c r="W131" s="9"/>
      <c r="X131" s="9"/>
      <c r="Y131" s="9"/>
      <c r="Z131" s="9"/>
    </row>
    <row r="132" spans="1:26" ht="13.5" customHeight="1">
      <c r="A132" s="10"/>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3.5" customHeight="1">
      <c r="A133" s="10"/>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3.5" customHeight="1">
      <c r="A134" s="10"/>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3.5" customHeight="1">
      <c r="A135" s="10"/>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3.5" customHeight="1">
      <c r="A136" s="10" t="s">
        <v>0</v>
      </c>
      <c r="B136" s="9"/>
      <c r="C136" s="995" t="s">
        <v>830</v>
      </c>
      <c r="D136" s="974"/>
      <c r="E136" s="974"/>
      <c r="F136" s="974"/>
      <c r="G136" s="974"/>
      <c r="H136" s="974"/>
      <c r="I136" s="974"/>
      <c r="J136" s="974"/>
      <c r="K136" s="974"/>
      <c r="L136" s="974"/>
      <c r="M136" s="974"/>
      <c r="N136" s="974"/>
      <c r="O136" s="974"/>
      <c r="P136" s="974"/>
      <c r="Q136" s="975"/>
      <c r="R136" s="9"/>
      <c r="S136" s="9"/>
      <c r="T136" s="9"/>
      <c r="U136" s="9"/>
      <c r="V136" s="9"/>
      <c r="W136" s="9"/>
      <c r="X136" s="9"/>
      <c r="Y136" s="9"/>
      <c r="Z136" s="9"/>
    </row>
    <row r="137" spans="1:26"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c r="A138" s="2"/>
      <c r="B138" s="2"/>
      <c r="C138" s="1050" t="str">
        <f>C122</f>
        <v>Raw Data</v>
      </c>
      <c r="D138" s="1000"/>
      <c r="E138" s="1001"/>
      <c r="F138" s="2"/>
      <c r="G138" s="2"/>
      <c r="H138" s="2"/>
      <c r="I138" s="2"/>
      <c r="J138" s="2"/>
      <c r="K138" s="2"/>
      <c r="L138" s="2"/>
      <c r="M138" s="2"/>
      <c r="N138" s="2"/>
      <c r="O138" s="1050" t="str">
        <f>O122</f>
        <v>Chart Data</v>
      </c>
      <c r="P138" s="1001"/>
      <c r="Q138" s="2"/>
      <c r="R138" s="2"/>
      <c r="S138" s="2"/>
      <c r="T138" s="2"/>
      <c r="U138" s="2"/>
      <c r="V138" s="2"/>
      <c r="W138" s="2"/>
      <c r="X138" s="2"/>
      <c r="Y138" s="2"/>
      <c r="Z138" s="2"/>
    </row>
    <row r="139" spans="1:26" ht="13.5" customHeight="1">
      <c r="A139" s="2"/>
      <c r="B139" s="2"/>
      <c r="D139" s="2"/>
      <c r="E139" s="2"/>
      <c r="F139" s="2"/>
      <c r="G139" s="2"/>
      <c r="H139" s="2"/>
      <c r="I139" s="2"/>
      <c r="J139" s="2"/>
      <c r="K139" s="2"/>
      <c r="L139" s="2"/>
      <c r="M139" s="2"/>
      <c r="N139" s="2"/>
      <c r="O139" s="9"/>
      <c r="P139" s="9"/>
      <c r="Q139" s="2"/>
      <c r="R139" s="2"/>
      <c r="S139" s="2"/>
      <c r="T139" s="2"/>
      <c r="U139" s="2"/>
      <c r="V139" s="2"/>
      <c r="W139" s="2"/>
      <c r="X139" s="2"/>
      <c r="Y139" s="2"/>
      <c r="Z139" s="2"/>
    </row>
    <row r="140" spans="1:26" ht="13.5" customHeight="1">
      <c r="A140" s="2"/>
      <c r="B140" s="2">
        <v>1</v>
      </c>
      <c r="C140" s="775" t="str">
        <f t="shared" ref="C140:C145" si="7">C124</f>
        <v>HLNE</v>
      </c>
      <c r="D140" s="964">
        <v>-0.20710000000000001</v>
      </c>
      <c r="E140" s="2"/>
      <c r="F140" s="2"/>
      <c r="G140" s="2"/>
      <c r="H140" s="2"/>
      <c r="I140" s="2"/>
      <c r="J140" s="2"/>
      <c r="K140" s="2"/>
      <c r="L140" s="2"/>
      <c r="M140" s="2"/>
      <c r="N140" s="2"/>
      <c r="O140" s="630" t="str">
        <f t="shared" ref="O140:O145" si="8">INDEX($C$140:$C$145,MATCH(P140,$D$140:$D$145,0),1)</f>
        <v>AMG</v>
      </c>
      <c r="P140" s="779">
        <f t="shared" ref="P140:P145" si="9">LARGE($D$140:$D$145,B140)</f>
        <v>0.23480000000000001</v>
      </c>
      <c r="Q140" s="2"/>
      <c r="R140" s="2"/>
      <c r="S140" s="2"/>
      <c r="T140" s="2"/>
      <c r="U140" s="2"/>
      <c r="V140" s="2"/>
      <c r="W140" s="2"/>
      <c r="X140" s="2"/>
      <c r="Y140" s="2"/>
      <c r="Z140" s="2"/>
    </row>
    <row r="141" spans="1:26" ht="13.5" customHeight="1">
      <c r="A141" s="2"/>
      <c r="B141" s="540">
        <f>B140+1</f>
        <v>2</v>
      </c>
      <c r="C141" s="630" t="str">
        <f t="shared" si="7"/>
        <v>STEP</v>
      </c>
      <c r="D141" s="964">
        <v>7.1900000000000006E-2</v>
      </c>
      <c r="E141" s="779"/>
      <c r="F141" s="2"/>
      <c r="G141" s="2"/>
      <c r="H141" s="2"/>
      <c r="I141" s="2"/>
      <c r="J141" s="2"/>
      <c r="K141" s="2"/>
      <c r="L141" s="2"/>
      <c r="M141" s="2"/>
      <c r="N141" s="2"/>
      <c r="O141" s="630" t="str">
        <f t="shared" si="8"/>
        <v>CG</v>
      </c>
      <c r="P141" s="779">
        <f t="shared" si="9"/>
        <v>0.106</v>
      </c>
      <c r="Q141" s="2"/>
      <c r="R141" s="2"/>
      <c r="S141" s="2"/>
      <c r="T141" s="2"/>
      <c r="U141" s="2"/>
      <c r="V141" s="2"/>
      <c r="W141" s="2"/>
      <c r="X141" s="2"/>
      <c r="Y141" s="2"/>
      <c r="Z141" s="2"/>
    </row>
    <row r="142" spans="1:26" ht="13.5" customHeight="1">
      <c r="A142" s="2"/>
      <c r="B142" s="540">
        <f>B141+1</f>
        <v>3</v>
      </c>
      <c r="C142" s="630" t="str">
        <f t="shared" si="7"/>
        <v>ARES</v>
      </c>
      <c r="D142" s="964">
        <v>-0.21199999999999999</v>
      </c>
      <c r="E142" s="779"/>
      <c r="F142" s="2"/>
      <c r="G142" s="2"/>
      <c r="H142" s="2"/>
      <c r="I142" s="2"/>
      <c r="J142" s="2"/>
      <c r="K142" s="2"/>
      <c r="L142" s="2"/>
      <c r="M142" s="2"/>
      <c r="N142" s="2"/>
      <c r="O142" s="630" t="str">
        <f t="shared" si="8"/>
        <v>STEP</v>
      </c>
      <c r="P142" s="779">
        <f t="shared" si="9"/>
        <v>7.1900000000000006E-2</v>
      </c>
      <c r="Q142" s="2"/>
      <c r="R142" s="2"/>
      <c r="S142" s="2"/>
      <c r="T142" s="2"/>
      <c r="U142" s="2"/>
      <c r="V142" s="2"/>
      <c r="W142" s="2"/>
      <c r="X142" s="2"/>
      <c r="Y142" s="2"/>
      <c r="Z142" s="2"/>
    </row>
    <row r="143" spans="1:26" ht="13.5" customHeight="1">
      <c r="A143" s="2"/>
      <c r="B143" s="540">
        <f>B142+1</f>
        <v>4</v>
      </c>
      <c r="C143" s="630" t="str">
        <f t="shared" si="7"/>
        <v>CG</v>
      </c>
      <c r="D143" s="964">
        <v>0.106</v>
      </c>
      <c r="E143" s="779"/>
      <c r="F143" s="2"/>
      <c r="G143" s="2"/>
      <c r="H143" s="2"/>
      <c r="I143" s="2"/>
      <c r="J143" s="2"/>
      <c r="K143" s="2"/>
      <c r="L143" s="2"/>
      <c r="M143" s="2"/>
      <c r="N143" s="2"/>
      <c r="O143" s="630" t="str">
        <f t="shared" si="8"/>
        <v>TPG</v>
      </c>
      <c r="P143" s="779">
        <f t="shared" si="9"/>
        <v>-0.13900000000000001</v>
      </c>
      <c r="Q143" s="2"/>
      <c r="R143" s="2"/>
      <c r="S143" s="2"/>
      <c r="T143" s="2"/>
      <c r="U143" s="2"/>
      <c r="V143" s="2"/>
      <c r="W143" s="2"/>
      <c r="X143" s="2"/>
      <c r="Y143" s="2"/>
      <c r="Z143" s="2"/>
    </row>
    <row r="144" spans="1:26" ht="13.5" customHeight="1">
      <c r="A144" s="2"/>
      <c r="B144" s="540">
        <f>B143+1</f>
        <v>5</v>
      </c>
      <c r="C144" s="630" t="str">
        <f t="shared" si="7"/>
        <v>TPG</v>
      </c>
      <c r="D144" s="964">
        <v>-0.13900000000000001</v>
      </c>
      <c r="E144" s="779"/>
      <c r="F144" s="2"/>
      <c r="G144" s="2"/>
      <c r="H144" s="2"/>
      <c r="I144" s="2"/>
      <c r="J144" s="2"/>
      <c r="K144" s="2"/>
      <c r="L144" s="2"/>
      <c r="M144" s="2"/>
      <c r="N144" s="2"/>
      <c r="O144" s="630" t="str">
        <f t="shared" si="8"/>
        <v>HLNE</v>
      </c>
      <c r="P144" s="779">
        <f t="shared" si="9"/>
        <v>-0.20710000000000001</v>
      </c>
      <c r="Q144" s="2"/>
      <c r="R144" s="2"/>
      <c r="S144" s="2"/>
      <c r="T144" s="2"/>
      <c r="U144" s="2"/>
      <c r="V144" s="2"/>
      <c r="W144" s="2"/>
      <c r="X144" s="2"/>
      <c r="Y144" s="2"/>
      <c r="Z144" s="2"/>
    </row>
    <row r="145" spans="1:26" ht="13.5" customHeight="1">
      <c r="A145" s="2"/>
      <c r="B145" s="540">
        <f>B144+1</f>
        <v>6</v>
      </c>
      <c r="C145" s="630" t="str">
        <f t="shared" si="7"/>
        <v>AMG</v>
      </c>
      <c r="D145" s="964">
        <v>0.23480000000000001</v>
      </c>
      <c r="E145" s="779"/>
      <c r="F145" s="2"/>
      <c r="G145" s="2"/>
      <c r="H145" s="2"/>
      <c r="I145" s="2"/>
      <c r="J145" s="2"/>
      <c r="K145" s="2"/>
      <c r="L145" s="2"/>
      <c r="M145" s="2"/>
      <c r="N145" s="2"/>
      <c r="O145" s="630" t="str">
        <f t="shared" si="8"/>
        <v>ARES</v>
      </c>
      <c r="P145" s="779">
        <f t="shared" si="9"/>
        <v>-0.21199999999999999</v>
      </c>
      <c r="Q145" s="2"/>
      <c r="R145" s="2"/>
      <c r="S145" s="2"/>
      <c r="T145" s="2"/>
      <c r="U145" s="2"/>
      <c r="V145" s="2"/>
      <c r="W145" s="2"/>
      <c r="X145" s="2"/>
      <c r="Y145" s="2"/>
      <c r="Z145" s="2"/>
    </row>
    <row r="146" spans="1:26" ht="13.5" customHeight="1">
      <c r="A146" s="2"/>
      <c r="B146" s="2"/>
      <c r="C146" s="2"/>
      <c r="D146" s="2"/>
      <c r="E146" s="2"/>
      <c r="F146" s="2"/>
      <c r="G146" s="2"/>
      <c r="H146" s="2"/>
      <c r="I146" s="2"/>
      <c r="J146" s="2"/>
      <c r="K146" s="2"/>
      <c r="L146" s="2"/>
      <c r="M146" s="2"/>
      <c r="N146" s="2"/>
      <c r="O146" s="9"/>
      <c r="P146" s="9"/>
      <c r="Q146" s="2"/>
      <c r="R146" s="2"/>
      <c r="S146" s="2"/>
      <c r="T146" s="2"/>
      <c r="U146" s="2"/>
      <c r="V146" s="2"/>
      <c r="W146" s="2"/>
      <c r="X146" s="2"/>
      <c r="Y146" s="2"/>
      <c r="Z146" s="2"/>
    </row>
    <row r="147" spans="1:26"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c r="A152" s="2"/>
      <c r="B152" s="2"/>
      <c r="C152" s="995" t="s">
        <v>831</v>
      </c>
      <c r="D152" s="974"/>
      <c r="E152" s="974"/>
      <c r="F152" s="974"/>
      <c r="G152" s="974"/>
      <c r="H152" s="974"/>
      <c r="I152" s="974"/>
      <c r="J152" s="974"/>
      <c r="K152" s="974"/>
      <c r="L152" s="974"/>
      <c r="M152" s="974"/>
      <c r="N152" s="974"/>
      <c r="O152" s="974"/>
      <c r="P152" s="974"/>
      <c r="Q152" s="975"/>
      <c r="R152" s="2"/>
      <c r="S152" s="2"/>
      <c r="T152" s="2"/>
      <c r="U152" s="2"/>
      <c r="V152" s="2"/>
      <c r="W152" s="2"/>
      <c r="X152" s="2"/>
      <c r="Y152" s="2"/>
      <c r="Z152" s="2"/>
    </row>
    <row r="153" spans="1:26"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c r="A154" s="2"/>
      <c r="B154" s="2"/>
      <c r="C154" s="1050" t="str">
        <f>C138</f>
        <v>Raw Data</v>
      </c>
      <c r="D154" s="1000"/>
      <c r="E154" s="1001"/>
      <c r="F154" s="2"/>
      <c r="G154" s="2"/>
      <c r="H154" s="2"/>
      <c r="I154" s="2"/>
      <c r="J154" s="2"/>
      <c r="K154" s="2"/>
      <c r="L154" s="2"/>
      <c r="M154" s="2"/>
      <c r="N154" s="2"/>
      <c r="O154" s="1050" t="str">
        <f>O138</f>
        <v>Chart Data</v>
      </c>
      <c r="P154" s="1001"/>
      <c r="Q154" s="2"/>
      <c r="R154" s="2"/>
      <c r="S154" s="2"/>
      <c r="T154" s="2"/>
      <c r="U154" s="2"/>
      <c r="V154" s="2"/>
      <c r="W154" s="2"/>
      <c r="X154" s="2"/>
      <c r="Y154" s="2"/>
      <c r="Z154" s="2"/>
    </row>
    <row r="155" spans="1:26" ht="13.5" customHeight="1">
      <c r="A155" s="2"/>
      <c r="B155" s="2"/>
      <c r="C155" s="2"/>
      <c r="D155" s="2"/>
      <c r="E155" s="2"/>
      <c r="F155" s="2"/>
      <c r="G155" s="2"/>
      <c r="H155" s="2"/>
      <c r="I155" s="2"/>
      <c r="J155" s="2"/>
      <c r="K155" s="2"/>
      <c r="L155" s="2"/>
      <c r="M155" s="2"/>
      <c r="N155" s="2"/>
      <c r="O155" s="9"/>
      <c r="P155" s="9"/>
      <c r="Q155" s="2"/>
      <c r="R155" s="2"/>
      <c r="S155" s="2"/>
      <c r="T155" s="2"/>
      <c r="U155" s="2"/>
      <c r="V155" s="2"/>
      <c r="W155" s="2"/>
      <c r="X155" s="2"/>
      <c r="Y155" s="2"/>
      <c r="Z155" s="2"/>
    </row>
    <row r="156" spans="1:26" ht="13.5" customHeight="1">
      <c r="A156" s="2"/>
      <c r="B156" s="2">
        <v>1</v>
      </c>
      <c r="C156" s="775" t="str">
        <f t="shared" ref="C156:C161" si="10">C140</f>
        <v>HLNE</v>
      </c>
      <c r="D156" s="964">
        <v>-0.31480000000000002</v>
      </c>
      <c r="E156" s="2"/>
      <c r="F156" s="2"/>
      <c r="G156" s="2"/>
      <c r="H156" s="2"/>
      <c r="I156" s="2"/>
      <c r="J156" s="2"/>
      <c r="K156" s="2"/>
      <c r="L156" s="2"/>
      <c r="M156" s="2"/>
      <c r="N156" s="2"/>
      <c r="O156" s="630" t="str">
        <f t="shared" ref="O156:O161" si="11">INDEX($C$156:$C$161,MATCH(P156,$D$156:$D$161,0),1)</f>
        <v>AMG</v>
      </c>
      <c r="P156" s="779">
        <f t="shared" ref="P156:P161" si="12">LARGE($D$156:$D$161,B156)</f>
        <v>0.2392</v>
      </c>
      <c r="Q156" s="2"/>
      <c r="R156" s="2"/>
      <c r="S156" s="2"/>
      <c r="T156" s="2"/>
      <c r="U156" s="2"/>
      <c r="V156" s="2"/>
      <c r="W156" s="2"/>
      <c r="X156" s="2"/>
      <c r="Y156" s="2"/>
      <c r="Z156" s="2"/>
    </row>
    <row r="157" spans="1:26" ht="13.5" customHeight="1">
      <c r="A157" s="2"/>
      <c r="B157" s="540">
        <f>B156+1</f>
        <v>2</v>
      </c>
      <c r="C157" s="630" t="str">
        <f t="shared" si="10"/>
        <v>STEP</v>
      </c>
      <c r="D157" s="964">
        <v>5.6000000000000001E-2</v>
      </c>
      <c r="E157" s="2"/>
      <c r="F157" s="2"/>
      <c r="G157" s="2"/>
      <c r="H157" s="2"/>
      <c r="I157" s="2"/>
      <c r="J157" s="2"/>
      <c r="K157" s="2"/>
      <c r="L157" s="2"/>
      <c r="M157" s="2"/>
      <c r="N157" s="2"/>
      <c r="O157" s="630" t="str">
        <f t="shared" si="11"/>
        <v>CG</v>
      </c>
      <c r="P157" s="779">
        <f t="shared" si="12"/>
        <v>0.1958</v>
      </c>
      <c r="Q157" s="2"/>
      <c r="R157" s="2"/>
      <c r="S157" s="2"/>
      <c r="T157" s="2"/>
      <c r="U157" s="2"/>
      <c r="V157" s="2"/>
      <c r="W157" s="2"/>
      <c r="X157" s="2"/>
      <c r="Y157" s="2"/>
      <c r="Z157" s="2"/>
    </row>
    <row r="158" spans="1:26" ht="13.5" customHeight="1">
      <c r="A158" s="2"/>
      <c r="B158" s="540">
        <f>B157+1</f>
        <v>3</v>
      </c>
      <c r="C158" s="630" t="str">
        <f t="shared" si="10"/>
        <v>ARES</v>
      </c>
      <c r="D158" s="964">
        <v>-0.107</v>
      </c>
      <c r="E158" s="2"/>
      <c r="F158" s="2"/>
      <c r="G158" s="2"/>
      <c r="H158" s="2"/>
      <c r="I158" s="2"/>
      <c r="J158" s="2"/>
      <c r="K158" s="2"/>
      <c r="L158" s="2"/>
      <c r="M158" s="2"/>
      <c r="N158" s="2"/>
      <c r="O158" s="630" t="str">
        <f t="shared" si="11"/>
        <v>STEP</v>
      </c>
      <c r="P158" s="779">
        <f t="shared" si="12"/>
        <v>5.6000000000000001E-2</v>
      </c>
      <c r="Q158" s="2"/>
      <c r="R158" s="2"/>
      <c r="S158" s="2"/>
      <c r="T158" s="2"/>
      <c r="U158" s="2"/>
      <c r="V158" s="2"/>
      <c r="W158" s="2"/>
      <c r="X158" s="2"/>
      <c r="Y158" s="2"/>
      <c r="Z158" s="2"/>
    </row>
    <row r="159" spans="1:26" ht="13.5" customHeight="1">
      <c r="A159" s="2"/>
      <c r="B159" s="540">
        <f>B158+1</f>
        <v>4</v>
      </c>
      <c r="C159" s="630" t="str">
        <f t="shared" si="10"/>
        <v>CG</v>
      </c>
      <c r="D159" s="964">
        <v>0.1958</v>
      </c>
      <c r="E159" s="2"/>
      <c r="F159" s="2"/>
      <c r="G159" s="2"/>
      <c r="H159" s="2"/>
      <c r="I159" s="2"/>
      <c r="J159" s="2"/>
      <c r="K159" s="2"/>
      <c r="L159" s="2"/>
      <c r="M159" s="2"/>
      <c r="N159" s="2"/>
      <c r="O159" s="630" t="str">
        <f t="shared" si="11"/>
        <v>TPG</v>
      </c>
      <c r="P159" s="779">
        <f t="shared" si="12"/>
        <v>-8.0100000000000005E-2</v>
      </c>
      <c r="Q159" s="2"/>
      <c r="R159" s="2"/>
      <c r="S159" s="2"/>
      <c r="T159" s="2"/>
      <c r="U159" s="2"/>
      <c r="V159" s="2"/>
      <c r="W159" s="2"/>
      <c r="X159" s="2"/>
      <c r="Y159" s="2"/>
      <c r="Z159" s="2"/>
    </row>
    <row r="160" spans="1:26" ht="13.5" customHeight="1">
      <c r="A160" s="2"/>
      <c r="B160" s="540">
        <f>B159+1</f>
        <v>5</v>
      </c>
      <c r="C160" s="630" t="str">
        <f t="shared" si="10"/>
        <v>TPG</v>
      </c>
      <c r="D160" s="964">
        <v>-8.0100000000000005E-2</v>
      </c>
      <c r="E160" s="2"/>
      <c r="F160" s="2"/>
      <c r="G160" s="2"/>
      <c r="H160" s="2"/>
      <c r="I160" s="2"/>
      <c r="J160" s="2"/>
      <c r="K160" s="2"/>
      <c r="L160" s="2"/>
      <c r="M160" s="2"/>
      <c r="N160" s="2"/>
      <c r="O160" s="630" t="str">
        <f t="shared" si="11"/>
        <v>ARES</v>
      </c>
      <c r="P160" s="779">
        <f t="shared" si="12"/>
        <v>-0.107</v>
      </c>
      <c r="Q160" s="2"/>
      <c r="R160" s="2"/>
      <c r="S160" s="2"/>
      <c r="T160" s="2"/>
      <c r="U160" s="2"/>
      <c r="V160" s="2"/>
      <c r="W160" s="2"/>
      <c r="X160" s="2"/>
      <c r="Y160" s="2"/>
      <c r="Z160" s="2"/>
    </row>
    <row r="161" spans="1:26" ht="13.5" customHeight="1">
      <c r="A161" s="2"/>
      <c r="B161" s="540">
        <f>B160+1</f>
        <v>6</v>
      </c>
      <c r="C161" s="630" t="str">
        <f t="shared" si="10"/>
        <v>AMG</v>
      </c>
      <c r="D161" s="964">
        <v>0.2392</v>
      </c>
      <c r="E161" s="2"/>
      <c r="F161" s="2"/>
      <c r="G161" s="2"/>
      <c r="H161" s="2"/>
      <c r="I161" s="2"/>
      <c r="J161" s="2"/>
      <c r="K161" s="2"/>
      <c r="L161" s="2"/>
      <c r="M161" s="2"/>
      <c r="N161" s="2"/>
      <c r="O161" s="630" t="str">
        <f t="shared" si="11"/>
        <v>HLNE</v>
      </c>
      <c r="P161" s="779">
        <f t="shared" si="12"/>
        <v>-0.31480000000000002</v>
      </c>
      <c r="Q161" s="2"/>
      <c r="R161" s="2"/>
      <c r="S161" s="2"/>
      <c r="T161" s="2"/>
      <c r="U161" s="2"/>
      <c r="V161" s="2"/>
      <c r="W161" s="2"/>
      <c r="X161" s="2"/>
      <c r="Y161" s="2"/>
      <c r="Z161" s="2"/>
    </row>
    <row r="162" spans="1:26"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0">
    <mergeCell ref="C104:Q104"/>
    <mergeCell ref="C106:E106"/>
    <mergeCell ref="O106:Q106"/>
    <mergeCell ref="C154:E154"/>
    <mergeCell ref="O154:P154"/>
    <mergeCell ref="C120:Q120"/>
    <mergeCell ref="C122:E122"/>
    <mergeCell ref="O122:Q122"/>
    <mergeCell ref="C136:Q136"/>
    <mergeCell ref="C138:E138"/>
    <mergeCell ref="O138:P138"/>
    <mergeCell ref="C152:Q152"/>
    <mergeCell ref="C72:Q72"/>
    <mergeCell ref="C74:E74"/>
    <mergeCell ref="O74:Q74"/>
    <mergeCell ref="C88:Q88"/>
    <mergeCell ref="C90:E90"/>
    <mergeCell ref="O90:Q90"/>
    <mergeCell ref="C40:Q40"/>
    <mergeCell ref="C42:E42"/>
    <mergeCell ref="O42:Q42"/>
    <mergeCell ref="C56:Q56"/>
    <mergeCell ref="C58:E58"/>
    <mergeCell ref="O58:Q58"/>
    <mergeCell ref="C8:R8"/>
    <mergeCell ref="C10:E10"/>
    <mergeCell ref="O10:Q10"/>
    <mergeCell ref="C24:Q24"/>
    <mergeCell ref="C26:E26"/>
    <mergeCell ref="O26:Q26"/>
  </mergeCells>
  <pageMargins left="0.7" right="0.7" top="0.75" bottom="0.75" header="0" footer="0"/>
  <pageSetup scale="43" orientation="portrait"/>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showGridLines="0" zoomScale="80" zoomScaleNormal="80" workbookViewId="0">
      <pane ySplit="2" topLeftCell="A3" activePane="bottomLeft" state="frozen"/>
      <selection pane="bottomLeft"/>
    </sheetView>
  </sheetViews>
  <sheetFormatPr defaultColWidth="14.44140625" defaultRowHeight="15" customHeight="1" outlineLevelRow="1"/>
  <cols>
    <col min="1" max="1" width="1.6640625" customWidth="1"/>
    <col min="2" max="2" width="1.5546875" customWidth="1"/>
    <col min="3" max="14" width="12.6640625" customWidth="1"/>
    <col min="15" max="16" width="11.6640625" customWidth="1"/>
    <col min="17" max="26" width="10.6640625" customWidth="1"/>
  </cols>
  <sheetData>
    <row r="1" spans="1:26" ht="19.5" customHeight="1">
      <c r="A1" s="4"/>
      <c r="B1" s="4"/>
      <c r="C1" s="729" t="str">
        <f ca="1">Company_Name&amp;" - "&amp;MID(CELL("filename",A1),FIND("]",CELL("filename",A1))+1,255)&amp;": "&amp;Case_Scenario&amp;" Case"</f>
        <v>Hamilton Lane Inc. - Pre-Earnings: Base Case</v>
      </c>
      <c r="D1" s="4"/>
      <c r="E1" s="4"/>
      <c r="F1" s="4"/>
      <c r="G1" s="4"/>
      <c r="H1" s="4"/>
      <c r="I1" s="4"/>
      <c r="J1" s="4"/>
      <c r="K1" s="4"/>
      <c r="L1" s="4"/>
      <c r="M1" s="4"/>
      <c r="N1" s="4"/>
      <c r="O1" s="4"/>
      <c r="P1" s="4"/>
      <c r="Q1" s="4"/>
      <c r="R1" s="4"/>
      <c r="S1" s="4"/>
      <c r="T1" s="4"/>
      <c r="U1" s="4"/>
      <c r="V1" s="4"/>
      <c r="W1" s="4"/>
      <c r="X1" s="4"/>
      <c r="Y1" s="4"/>
      <c r="Z1" s="4"/>
    </row>
    <row r="2" spans="1:26" ht="15" customHeight="1">
      <c r="A2" s="2"/>
      <c r="B2" s="2"/>
      <c r="C2" s="7" t="str">
        <f>Cover!C2</f>
        <v>$ in Millions Except Per Share Data</v>
      </c>
      <c r="D2" s="2"/>
      <c r="E2" s="2"/>
      <c r="F2" s="2"/>
      <c r="G2" s="2"/>
      <c r="H2" s="2"/>
      <c r="I2" s="2"/>
      <c r="J2" s="2"/>
      <c r="K2" s="2"/>
      <c r="L2" s="2"/>
      <c r="M2" s="2"/>
      <c r="N2" s="2"/>
      <c r="O2" s="2"/>
      <c r="P2" s="2"/>
      <c r="Q2" s="2"/>
      <c r="R2" s="2"/>
      <c r="S2" s="2"/>
      <c r="T2" s="2"/>
      <c r="U2" s="2"/>
      <c r="V2" s="2"/>
      <c r="W2" s="2"/>
      <c r="X2" s="2"/>
      <c r="Y2" s="2"/>
      <c r="Z2" s="2"/>
    </row>
    <row r="3" spans="1:26" ht="14.25" customHeight="1">
      <c r="A3" s="3"/>
      <c r="B3" s="9"/>
      <c r="C3" s="9"/>
      <c r="D3" s="9"/>
      <c r="E3" s="9"/>
      <c r="F3" s="9"/>
      <c r="G3" s="9"/>
      <c r="H3" s="9"/>
      <c r="I3" s="9"/>
      <c r="J3" s="9"/>
      <c r="K3" s="9"/>
      <c r="L3" s="9"/>
      <c r="M3" s="9"/>
      <c r="N3" s="9"/>
      <c r="O3" s="9"/>
      <c r="P3" s="9"/>
      <c r="Q3" s="2"/>
      <c r="R3" s="2"/>
      <c r="S3" s="2"/>
      <c r="T3" s="2"/>
      <c r="U3" s="2"/>
      <c r="V3" s="2"/>
      <c r="W3" s="2"/>
      <c r="X3" s="2"/>
      <c r="Y3" s="2"/>
      <c r="Z3" s="2"/>
    </row>
    <row r="4" spans="1:26" ht="14.25" customHeight="1">
      <c r="A4" s="9"/>
      <c r="B4" s="9"/>
      <c r="C4" s="9" t="s">
        <v>832</v>
      </c>
      <c r="D4" s="9"/>
      <c r="E4" s="9"/>
      <c r="F4" s="9"/>
      <c r="G4" s="9"/>
      <c r="H4" s="39" t="s">
        <v>857</v>
      </c>
      <c r="I4" s="9"/>
      <c r="J4" s="9"/>
      <c r="K4" s="9"/>
      <c r="L4" s="9"/>
      <c r="M4" s="9"/>
      <c r="N4" s="9"/>
      <c r="O4" s="9"/>
      <c r="P4" s="9"/>
      <c r="Q4" s="2"/>
      <c r="R4" s="2"/>
      <c r="S4" s="2"/>
      <c r="T4" s="2"/>
      <c r="U4" s="2"/>
      <c r="V4" s="2"/>
      <c r="W4" s="2"/>
      <c r="X4" s="2"/>
      <c r="Y4" s="2"/>
      <c r="Z4" s="2"/>
    </row>
    <row r="5" spans="1:26" ht="14.25" customHeight="1">
      <c r="A5" s="9"/>
      <c r="B5" s="9"/>
      <c r="C5" s="9" t="s">
        <v>833</v>
      </c>
      <c r="D5" s="9"/>
      <c r="E5" s="9"/>
      <c r="F5" s="9"/>
      <c r="G5" s="9"/>
      <c r="H5" s="785">
        <f>YEAR(Next_FYE)</f>
        <v>2026</v>
      </c>
      <c r="I5" s="9"/>
      <c r="J5" s="9"/>
      <c r="K5" s="9"/>
      <c r="L5" s="9"/>
      <c r="M5" s="9"/>
      <c r="N5" s="9"/>
      <c r="O5" s="9"/>
      <c r="P5" s="9"/>
      <c r="Q5" s="2"/>
      <c r="R5" s="2"/>
      <c r="S5" s="2"/>
      <c r="T5" s="2"/>
      <c r="U5" s="2"/>
      <c r="V5" s="2"/>
      <c r="W5" s="2"/>
      <c r="X5" s="2"/>
      <c r="Y5" s="2"/>
      <c r="Z5" s="2"/>
    </row>
    <row r="6" spans="1:26" ht="14.25" customHeight="1">
      <c r="A6" s="9"/>
      <c r="B6" s="9"/>
      <c r="C6" s="9" t="s">
        <v>834</v>
      </c>
      <c r="D6" s="9"/>
      <c r="E6" s="9"/>
      <c r="F6" s="9"/>
      <c r="G6" s="9"/>
      <c r="H6" s="786" t="str">
        <f>H4&amp;RIGHT(H5,2)&amp;"e"</f>
        <v>2Q26e</v>
      </c>
      <c r="I6" s="9"/>
      <c r="J6" s="9"/>
      <c r="K6" s="9"/>
      <c r="L6" s="9"/>
      <c r="M6" s="9"/>
      <c r="N6" s="9"/>
      <c r="O6" s="9"/>
      <c r="P6" s="9"/>
      <c r="Q6" s="2"/>
      <c r="R6" s="2"/>
      <c r="S6" s="2"/>
      <c r="T6" s="2"/>
      <c r="U6" s="2"/>
      <c r="V6" s="2"/>
      <c r="W6" s="2"/>
      <c r="X6" s="2"/>
      <c r="Y6" s="2"/>
      <c r="Z6" s="2"/>
    </row>
    <row r="7" spans="1:26" ht="14.25" customHeight="1">
      <c r="A7" s="9"/>
      <c r="B7" s="9"/>
      <c r="C7" s="9" t="s">
        <v>835</v>
      </c>
      <c r="D7" s="9"/>
      <c r="E7" s="9"/>
      <c r="F7" s="9"/>
      <c r="G7" s="9"/>
      <c r="H7" s="785">
        <f>YEAR(Last_FYE)</f>
        <v>2025</v>
      </c>
      <c r="I7" s="9"/>
      <c r="J7" s="9"/>
      <c r="K7" s="9"/>
      <c r="L7" s="9"/>
      <c r="M7" s="9"/>
      <c r="N7" s="9"/>
      <c r="O7" s="9"/>
      <c r="P7" s="9"/>
      <c r="Q7" s="2"/>
      <c r="R7" s="2"/>
      <c r="S7" s="2"/>
      <c r="T7" s="2"/>
      <c r="U7" s="2"/>
      <c r="V7" s="2"/>
      <c r="W7" s="2"/>
      <c r="X7" s="2"/>
      <c r="Y7" s="2"/>
      <c r="Z7" s="2"/>
    </row>
    <row r="8" spans="1:26" ht="14.25" customHeight="1">
      <c r="A8" s="9"/>
      <c r="B8" s="9"/>
      <c r="C8" s="9" t="s">
        <v>836</v>
      </c>
      <c r="D8" s="9"/>
      <c r="E8" s="9"/>
      <c r="F8" s="9"/>
      <c r="G8" s="9"/>
      <c r="H8" s="31" t="s">
        <v>1153</v>
      </c>
      <c r="I8" s="9"/>
      <c r="J8" s="9"/>
      <c r="K8" s="9"/>
      <c r="L8" s="9"/>
      <c r="M8" s="9"/>
      <c r="N8" s="9"/>
      <c r="O8" s="9"/>
      <c r="P8" s="9"/>
      <c r="Q8" s="2"/>
      <c r="R8" s="2"/>
      <c r="S8" s="2"/>
      <c r="T8" s="2"/>
      <c r="U8" s="2"/>
      <c r="V8" s="2"/>
      <c r="W8" s="2"/>
      <c r="X8" s="2"/>
      <c r="Y8" s="2"/>
      <c r="Z8" s="2"/>
    </row>
    <row r="9" spans="1:26" ht="14.25" customHeight="1">
      <c r="A9" s="9"/>
      <c r="B9" s="9"/>
      <c r="C9" s="9"/>
      <c r="D9" s="9"/>
      <c r="E9" s="9"/>
      <c r="F9" s="9"/>
      <c r="G9" s="9"/>
      <c r="H9" s="9"/>
      <c r="I9" s="9"/>
      <c r="J9" s="9"/>
      <c r="K9" s="9"/>
      <c r="L9" s="9"/>
      <c r="M9" s="9"/>
      <c r="N9" s="9"/>
      <c r="O9" s="9"/>
      <c r="P9" s="9"/>
      <c r="Q9" s="2"/>
      <c r="R9" s="2"/>
      <c r="S9" s="2"/>
      <c r="T9" s="2"/>
      <c r="U9" s="2"/>
      <c r="V9" s="2"/>
      <c r="W9" s="2"/>
      <c r="X9" s="2"/>
      <c r="Y9" s="2"/>
      <c r="Z9" s="2"/>
    </row>
    <row r="10" spans="1:26" ht="14.25" customHeight="1">
      <c r="A10" s="9"/>
      <c r="B10" s="180" t="s">
        <v>0</v>
      </c>
      <c r="C10" s="76" t="str">
        <f>Ticker&amp;" "&amp;H4&amp;RIGHT(H5,2)&amp;" Operating Expectations"</f>
        <v>HLNE 2Q26 Operating Expectations</v>
      </c>
      <c r="D10" s="76"/>
      <c r="E10" s="76"/>
      <c r="F10" s="76"/>
      <c r="G10" s="76"/>
      <c r="H10" s="78" t="s">
        <v>837</v>
      </c>
      <c r="I10" s="78" t="s">
        <v>838</v>
      </c>
      <c r="J10" s="78" t="str">
        <f>H4&amp;RIGHT(H7,2)&amp;"a"</f>
        <v>2Q25a</v>
      </c>
      <c r="K10" s="78" t="str">
        <f>IF(H4="1Q",Last_FQR&amp;RIGHT(H7,2)&amp;"a",Last_FQR&amp;RIGHT(H5,2)&amp;"a")</f>
        <v>1Q26a</v>
      </c>
      <c r="L10" s="787" t="str">
        <f>"v. "&amp;I10</f>
        <v>v. Consensus</v>
      </c>
      <c r="M10" s="78" t="str">
        <f>"v. "&amp;J10</f>
        <v>v. 2Q25a</v>
      </c>
      <c r="N10" s="78" t="str">
        <f>"v. "&amp;K10</f>
        <v>v. 1Q26a</v>
      </c>
      <c r="O10" s="139"/>
      <c r="P10" s="139"/>
      <c r="Q10" s="2"/>
      <c r="R10" s="2"/>
      <c r="S10" s="2"/>
      <c r="T10" s="2"/>
      <c r="U10" s="2"/>
      <c r="V10" s="2"/>
      <c r="W10" s="2"/>
      <c r="X10" s="2"/>
      <c r="Y10" s="2"/>
      <c r="Z10" s="2"/>
    </row>
    <row r="11" spans="1:26" ht="4.5" customHeight="1">
      <c r="A11" s="9"/>
      <c r="B11" s="180"/>
      <c r="C11" s="37"/>
      <c r="D11" s="37"/>
      <c r="E11" s="37"/>
      <c r="F11" s="37"/>
      <c r="G11" s="37"/>
      <c r="H11" s="139"/>
      <c r="I11" s="139"/>
      <c r="J11" s="139"/>
      <c r="K11" s="139"/>
      <c r="L11" s="139"/>
      <c r="M11" s="139"/>
      <c r="N11" s="139"/>
      <c r="O11" s="139"/>
      <c r="P11" s="139"/>
      <c r="Q11" s="2"/>
      <c r="R11" s="2"/>
      <c r="S11" s="2"/>
      <c r="T11" s="2"/>
      <c r="U11" s="2"/>
      <c r="V11" s="2"/>
      <c r="W11" s="2"/>
      <c r="X11" s="2"/>
      <c r="Y11" s="2"/>
      <c r="Z11" s="2"/>
    </row>
    <row r="12" spans="1:26" ht="14.25" customHeight="1">
      <c r="A12" s="9"/>
      <c r="B12" s="9"/>
      <c r="C12" s="9" t="str">
        <f>Model!C28</f>
        <v>Revenue</v>
      </c>
      <c r="D12" s="9"/>
      <c r="E12" s="9"/>
      <c r="F12" s="9"/>
      <c r="G12" s="9"/>
      <c r="H12" s="788">
        <f t="array" ref="H12">INDEX(Data,MATCH($C12,Line_Items,0),MATCH($H$6,Fiscal_Periods,0))</f>
        <v>183.91066000000001</v>
      </c>
      <c r="I12" s="789">
        <v>19670.3</v>
      </c>
      <c r="J12" s="788">
        <f t="array" ref="J12">INDEX(Data,MATCH($C12,Line_Items,0),MATCH(LEFT(J$10,4),Fiscal_Periods,0))</f>
        <v>149.999</v>
      </c>
      <c r="K12" s="788">
        <f t="array" ref="K12">INDEX(Data,MATCH($C12,Line_Items,0),MATCH(LEFT(K$10,4),Fiscal_Periods,0))</f>
        <v>175.958</v>
      </c>
      <c r="L12" s="790">
        <f t="shared" ref="L12:N13" si="0">IFERROR($H12/I12-1,"N/A")</f>
        <v>-0.99065033781894529</v>
      </c>
      <c r="M12" s="494">
        <f t="shared" si="0"/>
        <v>0.22607924052827033</v>
      </c>
      <c r="N12" s="494">
        <f t="shared" si="0"/>
        <v>4.5196353675308831E-2</v>
      </c>
      <c r="O12" s="9"/>
      <c r="P12" s="9"/>
      <c r="Q12" s="2"/>
      <c r="R12" s="2"/>
      <c r="S12" s="2"/>
      <c r="T12" s="2"/>
      <c r="U12" s="2"/>
      <c r="V12" s="2"/>
      <c r="W12" s="2"/>
      <c r="X12" s="2"/>
      <c r="Y12" s="2"/>
      <c r="Z12" s="2"/>
    </row>
    <row r="13" spans="1:26" ht="14.25" customHeight="1">
      <c r="A13" s="9"/>
      <c r="B13" s="9"/>
      <c r="C13" s="9" t="str">
        <f>Model!C30</f>
        <v>Gross Profit</v>
      </c>
      <c r="D13" s="9"/>
      <c r="E13" s="9"/>
      <c r="F13" s="9"/>
      <c r="G13" s="9"/>
      <c r="H13" s="791">
        <f t="array" ref="H13">INDEX(Data,MATCH($C13,Line_Items,0),MATCH($H$6,Fiscal_Periods,0))</f>
        <v>183.91066000000001</v>
      </c>
      <c r="I13" s="792">
        <v>3968.1</v>
      </c>
      <c r="J13" s="791">
        <f t="array" ref="J13">INDEX(Data,MATCH($C13,Line_Items,0),MATCH(LEFT(J$10,4),Fiscal_Periods,0))</f>
        <v>149.999</v>
      </c>
      <c r="K13" s="791">
        <f t="array" ref="K13">INDEX(Data,MATCH($C13,Line_Items,0),MATCH(LEFT(K$10,4),Fiscal_Periods,0))</f>
        <v>175.958</v>
      </c>
      <c r="L13" s="790">
        <f t="shared" si="0"/>
        <v>-0.95365271540535768</v>
      </c>
      <c r="M13" s="494">
        <f t="shared" si="0"/>
        <v>0.22607924052827033</v>
      </c>
      <c r="N13" s="494">
        <f t="shared" si="0"/>
        <v>4.5196353675308831E-2</v>
      </c>
      <c r="O13" s="9"/>
      <c r="P13" s="9"/>
      <c r="Q13" s="2"/>
      <c r="R13" s="2"/>
      <c r="S13" s="2"/>
      <c r="T13" s="2"/>
      <c r="U13" s="2"/>
      <c r="V13" s="2"/>
      <c r="W13" s="2"/>
      <c r="X13" s="2"/>
      <c r="Y13" s="2"/>
      <c r="Z13" s="2"/>
    </row>
    <row r="14" spans="1:26" ht="14.25" customHeight="1">
      <c r="A14" s="9"/>
      <c r="B14" s="9"/>
      <c r="C14" s="84" t="str">
        <f>Model!C66</f>
        <v>Gross Margin</v>
      </c>
      <c r="D14" s="9"/>
      <c r="E14" s="9"/>
      <c r="F14" s="9"/>
      <c r="G14" s="9"/>
      <c r="H14" s="793">
        <f t="array" ref="H14">INDEX(Data,MATCH($C14,Line_Items,0),MATCH($H$6,Fiscal_Periods,0))</f>
        <v>1</v>
      </c>
      <c r="I14" s="794">
        <v>0.20200000000000001</v>
      </c>
      <c r="J14" s="793">
        <f t="array" ref="J14">INDEX(Data,MATCH($C14,Line_Items,0),MATCH(LEFT(J$10,4),Fiscal_Periods,0))</f>
        <v>1</v>
      </c>
      <c r="K14" s="793">
        <f t="array" ref="K14">INDEX(Data,MATCH($C14,Line_Items,0),MATCH(LEFT(K$10,4),Fiscal_Periods,0))</f>
        <v>1</v>
      </c>
      <c r="L14" s="795">
        <f>$H14-I14</f>
        <v>0.79800000000000004</v>
      </c>
      <c r="M14" s="796">
        <f>$H14-J14</f>
        <v>0</v>
      </c>
      <c r="N14" s="796">
        <f>$H14-K14</f>
        <v>0</v>
      </c>
      <c r="O14" s="9"/>
      <c r="P14" s="9"/>
      <c r="Q14" s="2"/>
      <c r="R14" s="2"/>
      <c r="S14" s="2"/>
      <c r="T14" s="2"/>
      <c r="U14" s="2"/>
      <c r="V14" s="2"/>
      <c r="W14" s="2"/>
      <c r="X14" s="2"/>
      <c r="Y14" s="2"/>
      <c r="Z14" s="2"/>
    </row>
    <row r="15" spans="1:26" ht="14.25" customHeight="1">
      <c r="A15" s="9"/>
      <c r="B15" s="9"/>
      <c r="C15" s="9" t="str">
        <f>Model!C61</f>
        <v>EBITDA</v>
      </c>
      <c r="D15" s="9"/>
      <c r="E15" s="9"/>
      <c r="F15" s="9"/>
      <c r="G15" s="9"/>
      <c r="H15" s="791">
        <f t="array" aca="1" ref="H15" ca="1">INDEX(Data,MATCH($C15,Line_Items,0),MATCH($H$6,Fiscal_Periods,0))</f>
        <v>59.403143179999994</v>
      </c>
      <c r="I15" s="792">
        <v>2224.4</v>
      </c>
      <c r="J15" s="791">
        <f t="array" ref="J15">INDEX(Data,MATCH($C15,Line_Items,0),MATCH(LEFT(J$10,4),Fiscal_Periods,0))</f>
        <v>46.251999999999995</v>
      </c>
      <c r="K15" s="791">
        <f t="array" ref="K15">INDEX(Data,MATCH($C15,Line_Items,0),MATCH(LEFT(K$10,4),Fiscal_Periods,0))</f>
        <v>53.65</v>
      </c>
      <c r="L15" s="790">
        <f ca="1">IFERROR($H15/I15-1,"N/A")</f>
        <v>-0.97329475670742671</v>
      </c>
      <c r="M15" s="494">
        <f ca="1">IFERROR($H15/J15-1,"N/A")</f>
        <v>0.28433674608665571</v>
      </c>
      <c r="N15" s="494">
        <f ca="1">IFERROR($H15/K15-1,"N/A")</f>
        <v>0.10723472842497661</v>
      </c>
      <c r="O15" s="9"/>
      <c r="P15" s="9"/>
      <c r="Q15" s="2"/>
      <c r="R15" s="2"/>
      <c r="S15" s="2"/>
      <c r="T15" s="2"/>
      <c r="U15" s="2"/>
      <c r="V15" s="2"/>
      <c r="W15" s="2"/>
      <c r="X15" s="2"/>
      <c r="Y15" s="2"/>
      <c r="Z15" s="2"/>
    </row>
    <row r="16" spans="1:26" ht="14.25" customHeight="1">
      <c r="A16" s="9"/>
      <c r="B16" s="9"/>
      <c r="C16" s="84" t="str">
        <f>'Segment Analysis'!C136</f>
        <v>EBITDA Margin</v>
      </c>
      <c r="D16" s="9"/>
      <c r="E16" s="9"/>
      <c r="F16" s="9"/>
      <c r="G16" s="9"/>
      <c r="H16" s="797">
        <f ca="1">H15/$H$12</f>
        <v>0.32299999999999995</v>
      </c>
      <c r="I16" s="794">
        <v>0.113</v>
      </c>
      <c r="J16" s="797">
        <f>J15/$H$12</f>
        <v>0.25149167536019934</v>
      </c>
      <c r="K16" s="797">
        <f>K15/$H$12</f>
        <v>0.29171772859713513</v>
      </c>
      <c r="L16" s="795">
        <f ca="1">$H16-I16</f>
        <v>0.20999999999999996</v>
      </c>
      <c r="M16" s="796">
        <f ca="1">$H16-J16</f>
        <v>7.1508324639800613E-2</v>
      </c>
      <c r="N16" s="796">
        <f ca="1">$H16-K16</f>
        <v>3.1282271402864825E-2</v>
      </c>
      <c r="O16" s="9"/>
      <c r="P16" s="9"/>
      <c r="Q16" s="2"/>
      <c r="R16" s="2"/>
      <c r="S16" s="2"/>
      <c r="T16" s="2"/>
      <c r="U16" s="2"/>
      <c r="V16" s="2"/>
      <c r="W16" s="2"/>
      <c r="X16" s="2"/>
      <c r="Y16" s="2"/>
      <c r="Z16" s="2"/>
    </row>
    <row r="17" spans="1:26" ht="14.25" customHeight="1">
      <c r="A17" s="9"/>
      <c r="B17" s="9"/>
      <c r="C17" s="9" t="str">
        <f>Model!C36</f>
        <v>EBIT</v>
      </c>
      <c r="D17" s="9"/>
      <c r="E17" s="9"/>
      <c r="F17" s="9"/>
      <c r="G17" s="9"/>
      <c r="H17" s="791">
        <f t="array" ref="H17">INDEX(Data,MATCH($C17,Line_Items,0),MATCH($H$6,Fiscal_Periods,0))</f>
        <v>79.633315780000004</v>
      </c>
      <c r="I17" s="792">
        <v>1952.8</v>
      </c>
      <c r="J17" s="791">
        <f t="array" ref="J17">INDEX(Data,MATCH($C17,Line_Items,0),MATCH(LEFT(J$10,4),Fiscal_Periods,0))</f>
        <v>67.191999999999993</v>
      </c>
      <c r="K17" s="791">
        <f t="array" ref="K17">INDEX(Data,MATCH($C17,Line_Items,0),MATCH(LEFT(K$10,4),Fiscal_Periods,0))</f>
        <v>76.974999999999994</v>
      </c>
      <c r="L17" s="790">
        <f>IFERROR($H17/I17-1,"N/A")</f>
        <v>-0.9592209566878328</v>
      </c>
      <c r="M17" s="494">
        <f>IFERROR($H17/J17-1,"N/A")</f>
        <v>0.18516067061554975</v>
      </c>
      <c r="N17" s="494">
        <f>IFERROR($H17/K17-1,"N/A")</f>
        <v>3.4534794153946224E-2</v>
      </c>
      <c r="O17" s="9"/>
      <c r="P17" s="9"/>
      <c r="Q17" s="2"/>
      <c r="R17" s="2"/>
      <c r="S17" s="2"/>
      <c r="T17" s="2"/>
      <c r="U17" s="2"/>
      <c r="V17" s="2"/>
      <c r="W17" s="2"/>
      <c r="X17" s="2"/>
      <c r="Y17" s="2"/>
      <c r="Z17" s="2"/>
    </row>
    <row r="18" spans="1:26" ht="14.25" customHeight="1">
      <c r="A18" s="9"/>
      <c r="B18" s="9"/>
      <c r="C18" s="84" t="str">
        <f>'Segment Analysis'!C144</f>
        <v>EBIT Margin</v>
      </c>
      <c r="D18" s="9"/>
      <c r="E18" s="9"/>
      <c r="F18" s="9"/>
      <c r="G18" s="9"/>
      <c r="H18" s="797">
        <f>H17/$H$12</f>
        <v>0.433</v>
      </c>
      <c r="I18" s="794">
        <v>9.9000000000000005E-2</v>
      </c>
      <c r="J18" s="797">
        <f>J17/$H$12</f>
        <v>0.36535130698786022</v>
      </c>
      <c r="K18" s="797">
        <f>K17/$H$12</f>
        <v>0.41854561339728752</v>
      </c>
      <c r="L18" s="795">
        <f>$H18-I18</f>
        <v>0.33399999999999996</v>
      </c>
      <c r="M18" s="796">
        <f>$H18-J18</f>
        <v>6.7648693012139771E-2</v>
      </c>
      <c r="N18" s="796">
        <f>$H18-K18</f>
        <v>1.4454386602712477E-2</v>
      </c>
      <c r="O18" s="9"/>
      <c r="P18" s="9"/>
      <c r="Q18" s="2"/>
      <c r="R18" s="2"/>
      <c r="S18" s="2"/>
      <c r="T18" s="2"/>
      <c r="U18" s="2"/>
      <c r="V18" s="2"/>
      <c r="W18" s="2"/>
      <c r="X18" s="2"/>
      <c r="Y18" s="2"/>
      <c r="Z18" s="2"/>
    </row>
    <row r="19" spans="1:26" ht="14.25" customHeight="1">
      <c r="A19" s="9"/>
      <c r="B19" s="9"/>
      <c r="C19" s="9" t="str">
        <f>Model!C45</f>
        <v>Net Income (Loss)</v>
      </c>
      <c r="D19" s="9"/>
      <c r="E19" s="9"/>
      <c r="F19" s="9"/>
      <c r="G19" s="9"/>
      <c r="H19" s="791">
        <f t="array" aca="1" ref="H19" ca="1">INDEX(Data,MATCH($C19,Line_Items,0),MATCH($H$6,Fiscal_Periods,0))</f>
        <v>67.837286660270308</v>
      </c>
      <c r="I19" s="792">
        <v>1379.1</v>
      </c>
      <c r="J19" s="791">
        <f t="array" ref="J19">INDEX(Data,MATCH($C19,Line_Items,0),MATCH(LEFT(J$10,4),Fiscal_Periods,0))</f>
        <v>75.921999999999997</v>
      </c>
      <c r="K19" s="791">
        <f t="array" ref="K19">INDEX(Data,MATCH($C19,Line_Items,0),MATCH(LEFT(K$10,4),Fiscal_Periods,0))</f>
        <v>77.069999999999993</v>
      </c>
      <c r="L19" s="790">
        <f ca="1">IFERROR($H19/I19-1,"N/A")</f>
        <v>-0.95081046576733352</v>
      </c>
      <c r="M19" s="494">
        <f ca="1">IFERROR($H19/J19-1,"N/A")</f>
        <v>-0.1064870964902096</v>
      </c>
      <c r="N19" s="494">
        <f ca="1">IFERROR($H19/K19-1,"N/A")</f>
        <v>-0.11979646217373408</v>
      </c>
      <c r="O19" s="9"/>
      <c r="P19" s="9"/>
      <c r="Q19" s="2"/>
      <c r="R19" s="2"/>
      <c r="S19" s="2"/>
      <c r="T19" s="2"/>
      <c r="U19" s="2"/>
      <c r="V19" s="2"/>
      <c r="W19" s="2"/>
      <c r="X19" s="2"/>
      <c r="Y19" s="2"/>
      <c r="Z19" s="2"/>
    </row>
    <row r="20" spans="1:26" ht="14.25" customHeight="1">
      <c r="A20" s="9"/>
      <c r="B20" s="9"/>
      <c r="C20" s="84" t="s">
        <v>468</v>
      </c>
      <c r="D20" s="9"/>
      <c r="E20" s="9"/>
      <c r="F20" s="9"/>
      <c r="G20" s="9"/>
      <c r="H20" s="793">
        <f ca="1">H19/H12</f>
        <v>0.36886000333134744</v>
      </c>
      <c r="I20" s="794">
        <v>7.0000000000000007E-2</v>
      </c>
      <c r="J20" s="793">
        <f>J19/J12</f>
        <v>0.50615004100027328</v>
      </c>
      <c r="K20" s="793">
        <f>K19/K12</f>
        <v>0.43800225053705993</v>
      </c>
      <c r="L20" s="795">
        <f ca="1">$H20-I20</f>
        <v>0.29886000333134743</v>
      </c>
      <c r="M20" s="796">
        <f ca="1">$H20-J20</f>
        <v>-0.13729003766892584</v>
      </c>
      <c r="N20" s="796">
        <f ca="1">$H20-K20</f>
        <v>-6.9142247205712493E-2</v>
      </c>
      <c r="O20" s="9"/>
      <c r="P20" s="9"/>
      <c r="Q20" s="2"/>
      <c r="R20" s="2"/>
      <c r="S20" s="2"/>
      <c r="T20" s="2"/>
      <c r="U20" s="2"/>
      <c r="V20" s="2"/>
      <c r="W20" s="2"/>
      <c r="X20" s="2"/>
      <c r="Y20" s="2"/>
      <c r="Z20" s="2"/>
    </row>
    <row r="21" spans="1:26" ht="14.25" customHeight="1">
      <c r="A21" s="9"/>
      <c r="B21" s="9"/>
      <c r="C21" s="9" t="str">
        <f>Model!C57</f>
        <v>Adj. EPS (Diluted)</v>
      </c>
      <c r="D21" s="9"/>
      <c r="E21" s="9"/>
      <c r="F21" s="9"/>
      <c r="G21" s="9"/>
      <c r="H21" s="798">
        <f t="array" aca="1" ref="H21" ca="1">INDEX(Data,MATCH($C21,Line_Items,0),MATCH($H$6,Fiscal_Periods,0))</f>
        <v>0.87400613292216456</v>
      </c>
      <c r="I21" s="799">
        <v>2.15</v>
      </c>
      <c r="J21" s="798">
        <f t="array" ref="J21">INDEX(Data,MATCH($C21,Line_Items,0),MATCH(LEFT(J$10,4),Fiscal_Periods,0))</f>
        <v>1.0148025101513474</v>
      </c>
      <c r="K21" s="798">
        <f t="array" ref="K21">INDEX(Data,MATCH($C21,Line_Items,0),MATCH(LEFT(K$10,4),Fiscal_Periods,0))</f>
        <v>0.98668992105746267</v>
      </c>
      <c r="L21" s="790">
        <f ca="1">IFERROR($H21/I21-1,"N/A")</f>
        <v>-0.5934855195710862</v>
      </c>
      <c r="M21" s="494">
        <f ca="1">IFERROR($H21/J21-1,"N/A")</f>
        <v>-0.13874263792290431</v>
      </c>
      <c r="N21" s="494">
        <f ca="1">IFERROR($H21/K21-1,"N/A")</f>
        <v>-0.1142038503996593</v>
      </c>
      <c r="O21" s="9"/>
      <c r="P21" s="9"/>
      <c r="Q21" s="2"/>
      <c r="R21" s="2"/>
      <c r="S21" s="2"/>
      <c r="T21" s="2"/>
      <c r="U21" s="2"/>
      <c r="V21" s="2"/>
      <c r="W21" s="2"/>
      <c r="X21" s="2"/>
      <c r="Y21" s="2"/>
      <c r="Z21" s="2"/>
    </row>
    <row r="22" spans="1:26" ht="14.25" customHeight="1">
      <c r="A22" s="9"/>
      <c r="B22" s="9"/>
      <c r="C22" s="9"/>
      <c r="D22" s="9"/>
      <c r="E22" s="9"/>
      <c r="F22" s="9"/>
      <c r="G22" s="9"/>
      <c r="H22" s="64"/>
      <c r="I22" s="64"/>
      <c r="J22" s="64"/>
      <c r="K22" s="64"/>
      <c r="L22" s="64"/>
      <c r="M22" s="64"/>
      <c r="N22" s="64"/>
      <c r="O22" s="9"/>
      <c r="P22" s="9"/>
      <c r="Q22" s="2"/>
      <c r="R22" s="2"/>
      <c r="S22" s="2"/>
      <c r="T22" s="2"/>
      <c r="U22" s="2"/>
      <c r="V22" s="2"/>
      <c r="W22" s="2"/>
      <c r="X22" s="2"/>
      <c r="Y22" s="2"/>
      <c r="Z22" s="2"/>
    </row>
    <row r="23" spans="1:26" ht="14.25" customHeight="1">
      <c r="A23" s="9"/>
      <c r="B23" s="9"/>
      <c r="C23" s="9"/>
      <c r="D23" s="9"/>
      <c r="E23" s="9"/>
      <c r="F23" s="9"/>
      <c r="G23" s="9"/>
      <c r="H23" s="64"/>
      <c r="I23" s="64"/>
      <c r="J23" s="64"/>
      <c r="K23" s="64"/>
      <c r="L23" s="64"/>
      <c r="M23" s="64"/>
      <c r="N23" s="64"/>
      <c r="O23" s="9"/>
      <c r="P23" s="9"/>
      <c r="Q23" s="2"/>
      <c r="R23" s="2"/>
      <c r="S23" s="2"/>
      <c r="T23" s="2"/>
      <c r="U23" s="2"/>
      <c r="V23" s="2"/>
      <c r="W23" s="2"/>
      <c r="X23" s="2"/>
      <c r="Y23" s="2"/>
      <c r="Z23" s="2"/>
    </row>
    <row r="24" spans="1:26" ht="14.25" customHeight="1">
      <c r="A24" s="9"/>
      <c r="B24" s="180" t="s">
        <v>0</v>
      </c>
      <c r="C24" s="76" t="str">
        <f>Ticker&amp;" "&amp;H4&amp;RIGHT(H5,2)&amp;" Segment Expectations"</f>
        <v>HLNE 2Q26 Segment Expectations</v>
      </c>
      <c r="D24" s="76"/>
      <c r="E24" s="76"/>
      <c r="F24" s="76"/>
      <c r="G24" s="76"/>
      <c r="H24" s="78" t="str">
        <f t="shared" ref="H24:N24" si="1">H10</f>
        <v>OFe</v>
      </c>
      <c r="I24" s="78" t="str">
        <f t="shared" si="1"/>
        <v>Consensus</v>
      </c>
      <c r="J24" s="78" t="str">
        <f t="shared" si="1"/>
        <v>2Q25a</v>
      </c>
      <c r="K24" s="78" t="str">
        <f t="shared" si="1"/>
        <v>1Q26a</v>
      </c>
      <c r="L24" s="787" t="str">
        <f t="shared" si="1"/>
        <v>v. Consensus</v>
      </c>
      <c r="M24" s="78" t="str">
        <f t="shared" si="1"/>
        <v>v. 2Q25a</v>
      </c>
      <c r="N24" s="78" t="str">
        <f t="shared" si="1"/>
        <v>v. 1Q26a</v>
      </c>
      <c r="O24" s="9"/>
      <c r="P24" s="9"/>
      <c r="Q24" s="2"/>
      <c r="R24" s="2"/>
      <c r="S24" s="2"/>
      <c r="T24" s="2"/>
      <c r="U24" s="2"/>
      <c r="V24" s="2"/>
      <c r="W24" s="2"/>
      <c r="X24" s="2"/>
      <c r="Y24" s="2"/>
      <c r="Z24" s="2"/>
    </row>
    <row r="25" spans="1:26" ht="4.5" customHeight="1">
      <c r="A25" s="9"/>
      <c r="B25" s="180"/>
      <c r="C25" s="9"/>
      <c r="D25" s="9"/>
      <c r="E25" s="9"/>
      <c r="F25" s="9"/>
      <c r="G25" s="9"/>
      <c r="H25" s="64"/>
      <c r="I25" s="64"/>
      <c r="J25" s="64"/>
      <c r="K25" s="64"/>
      <c r="L25" s="64"/>
      <c r="M25" s="64"/>
      <c r="N25" s="64"/>
      <c r="O25" s="9"/>
      <c r="P25" s="9"/>
      <c r="Q25" s="2"/>
      <c r="R25" s="2"/>
      <c r="S25" s="2"/>
      <c r="T25" s="2"/>
      <c r="U25" s="2"/>
      <c r="V25" s="2"/>
      <c r="W25" s="2"/>
      <c r="X25" s="2"/>
      <c r="Y25" s="2"/>
      <c r="Z25" s="2"/>
    </row>
    <row r="26" spans="1:26" ht="14.25" customHeight="1">
      <c r="A26" s="9"/>
      <c r="B26" s="9"/>
      <c r="C26" s="9" t="str">
        <f>'Segment Analysis'!C8</f>
        <v>Management &amp; Advisory Fees</v>
      </c>
      <c r="D26" s="9"/>
      <c r="E26" s="9"/>
      <c r="F26" s="9"/>
      <c r="G26" s="9"/>
      <c r="H26" s="788" t="e">
        <f t="array" ref="H26">INDEX(Data,MATCH($C26,Line_Items,0),MATCH($H$6,Fiscal_Periods,0))</f>
        <v>#N/A</v>
      </c>
      <c r="I26" s="789">
        <v>6520.1</v>
      </c>
      <c r="J26" s="788" t="e">
        <f t="array" ref="J26">INDEX(Data,MATCH($C26,Line_Items,0),MATCH(LEFT(J$24,4),Fiscal_Periods,0))</f>
        <v>#N/A</v>
      </c>
      <c r="K26" s="788" t="e">
        <f t="array" ref="K26">INDEX(Data,MATCH($C26,Line_Items,0),MATCH(LEFT(K$24,4),Fiscal_Periods,0))</f>
        <v>#N/A</v>
      </c>
      <c r="L26" s="790" t="str">
        <f t="shared" ref="L26:L37" si="2">IFERROR($H26/I26-1,"N/A")</f>
        <v>N/A</v>
      </c>
      <c r="M26" s="494" t="str">
        <f t="shared" ref="M26:M37" si="3">IFERROR($H26/J26-1,"N/A")</f>
        <v>N/A</v>
      </c>
      <c r="N26" s="494" t="str">
        <f t="shared" ref="N26:N37" si="4">IFERROR($H26/K26-1,"N/A")</f>
        <v>N/A</v>
      </c>
      <c r="O26" s="9"/>
      <c r="P26" s="9"/>
      <c r="Q26" s="2"/>
      <c r="R26" s="2"/>
      <c r="S26" s="2"/>
      <c r="T26" s="2"/>
      <c r="U26" s="2"/>
      <c r="V26" s="2"/>
      <c r="W26" s="2"/>
      <c r="X26" s="2"/>
      <c r="Y26" s="2"/>
      <c r="Z26" s="2"/>
    </row>
    <row r="27" spans="1:26" ht="14.25" customHeight="1">
      <c r="A27" s="9"/>
      <c r="B27" s="9"/>
      <c r="C27" s="9" t="str">
        <f>'Segment Analysis'!C9</f>
        <v>Incentive Fees</v>
      </c>
      <c r="D27" s="9"/>
      <c r="E27" s="9"/>
      <c r="F27" s="9"/>
      <c r="G27" s="9"/>
      <c r="H27" s="791" t="e">
        <f t="array" ref="H27">INDEX(Data,MATCH($C27,Line_Items,0),MATCH($H$6,Fiscal_Periods,0))</f>
        <v>#N/A</v>
      </c>
      <c r="I27" s="792">
        <v>11000.3</v>
      </c>
      <c r="J27" s="791" t="e">
        <f t="array" ref="J27">INDEX(Data,MATCH($C27,Line_Items,0),MATCH(LEFT(J$24,4),Fiscal_Periods,0))</f>
        <v>#N/A</v>
      </c>
      <c r="K27" s="791" t="e">
        <f t="array" ref="K27">INDEX(Data,MATCH($C27,Line_Items,0),MATCH(LEFT(K$24,4),Fiscal_Periods,0))</f>
        <v>#N/A</v>
      </c>
      <c r="L27" s="790" t="str">
        <f t="shared" si="2"/>
        <v>N/A</v>
      </c>
      <c r="M27" s="494" t="str">
        <f t="shared" si="3"/>
        <v>N/A</v>
      </c>
      <c r="N27" s="494" t="str">
        <f t="shared" si="4"/>
        <v>N/A</v>
      </c>
      <c r="O27" s="9"/>
      <c r="P27" s="9"/>
      <c r="Q27" s="2"/>
      <c r="R27" s="2"/>
      <c r="S27" s="2"/>
      <c r="T27" s="2"/>
      <c r="U27" s="2"/>
      <c r="V27" s="2"/>
      <c r="W27" s="2"/>
      <c r="X27" s="2"/>
      <c r="Y27" s="2"/>
      <c r="Z27" s="2"/>
    </row>
    <row r="28" spans="1:26" ht="14.25" customHeight="1">
      <c r="A28" s="9"/>
      <c r="B28" s="9"/>
      <c r="C28" s="9" t="str">
        <f>'Segment Analysis'!C10</f>
        <v>Segment 3 Revenue</v>
      </c>
      <c r="D28" s="9"/>
      <c r="E28" s="9"/>
      <c r="F28" s="9"/>
      <c r="G28" s="9"/>
      <c r="H28" s="791" t="e">
        <f t="array" ref="H28">INDEX(Data,MATCH($C28,Line_Items,0),MATCH($H$6,Fiscal_Periods,0))</f>
        <v>#N/A</v>
      </c>
      <c r="I28" s="792">
        <v>75</v>
      </c>
      <c r="J28" s="791" t="e">
        <f t="array" ref="J28">INDEX(Data,MATCH($C28,Line_Items,0),MATCH(LEFT(J$24,4),Fiscal_Periods,0))</f>
        <v>#N/A</v>
      </c>
      <c r="K28" s="791" t="e">
        <f t="array" ref="K28">INDEX(Data,MATCH($C28,Line_Items,0),MATCH(LEFT(K$24,4),Fiscal_Periods,0))</f>
        <v>#N/A</v>
      </c>
      <c r="L28" s="790" t="str">
        <f t="shared" si="2"/>
        <v>N/A</v>
      </c>
      <c r="M28" s="494" t="str">
        <f t="shared" si="3"/>
        <v>N/A</v>
      </c>
      <c r="N28" s="494" t="str">
        <f t="shared" si="4"/>
        <v>N/A</v>
      </c>
      <c r="O28" s="9"/>
      <c r="P28" s="9"/>
      <c r="Q28" s="2"/>
      <c r="R28" s="2"/>
      <c r="S28" s="2"/>
      <c r="T28" s="2"/>
      <c r="U28" s="2"/>
      <c r="V28" s="2"/>
      <c r="W28" s="2"/>
      <c r="X28" s="2"/>
      <c r="Y28" s="2"/>
      <c r="Z28" s="2"/>
    </row>
    <row r="29" spans="1:26" ht="14.25" customHeight="1">
      <c r="A29" s="9"/>
      <c r="B29" s="9"/>
      <c r="C29" s="9" t="str">
        <f>'Segment Analysis'!C11</f>
        <v>Segment 4 Revenue</v>
      </c>
      <c r="D29" s="9"/>
      <c r="E29" s="9"/>
      <c r="F29" s="9"/>
      <c r="G29" s="9"/>
      <c r="H29" s="791" t="e">
        <f t="array" ref="H29">INDEX(Data,MATCH($C29,Line_Items,0),MATCH($H$6,Fiscal_Periods,0))</f>
        <v>#N/A</v>
      </c>
      <c r="I29" s="792">
        <v>-200</v>
      </c>
      <c r="J29" s="791" t="e">
        <f t="array" ref="J29">INDEX(Data,MATCH($C29,Line_Items,0),MATCH(LEFT(J$24,4),Fiscal_Periods,0))</f>
        <v>#N/A</v>
      </c>
      <c r="K29" s="791" t="e">
        <f t="array" ref="K29">INDEX(Data,MATCH($C29,Line_Items,0),MATCH(LEFT(K$24,4),Fiscal_Periods,0))</f>
        <v>#N/A</v>
      </c>
      <c r="L29" s="790" t="str">
        <f t="shared" si="2"/>
        <v>N/A</v>
      </c>
      <c r="M29" s="494" t="str">
        <f t="shared" si="3"/>
        <v>N/A</v>
      </c>
      <c r="N29" s="494" t="str">
        <f t="shared" si="4"/>
        <v>N/A</v>
      </c>
      <c r="O29" s="9"/>
      <c r="P29" s="9"/>
      <c r="Q29" s="2"/>
      <c r="R29" s="2"/>
      <c r="S29" s="2"/>
      <c r="T29" s="2"/>
      <c r="U29" s="2"/>
      <c r="V29" s="2"/>
      <c r="W29" s="2"/>
      <c r="X29" s="2"/>
      <c r="Y29" s="2"/>
      <c r="Z29" s="2"/>
    </row>
    <row r="30" spans="1:26" ht="14.25" customHeight="1">
      <c r="A30" s="9"/>
      <c r="B30" s="9"/>
      <c r="C30" s="489" t="str">
        <f>'Segment Analysis'!C12</f>
        <v>Segment 5 Revenue</v>
      </c>
      <c r="D30" s="489"/>
      <c r="E30" s="489"/>
      <c r="F30" s="489"/>
      <c r="G30" s="489"/>
      <c r="H30" s="800" t="e">
        <f t="array" ref="H30">INDEX(Data,MATCH($C30,Line_Items,0),MATCH($H$6,Fiscal_Periods,0))</f>
        <v>#N/A</v>
      </c>
      <c r="I30" s="801">
        <v>5000</v>
      </c>
      <c r="J30" s="800" t="e">
        <f t="array" ref="J30">INDEX(Data,MATCH($C30,Line_Items,0),MATCH(LEFT(J$24,4),Fiscal_Periods,0))</f>
        <v>#N/A</v>
      </c>
      <c r="K30" s="800" t="e">
        <f t="array" ref="K30">INDEX(Data,MATCH($C30,Line_Items,0),MATCH(LEFT(K$24,4),Fiscal_Periods,0))</f>
        <v>#N/A</v>
      </c>
      <c r="L30" s="802" t="str">
        <f t="shared" si="2"/>
        <v>N/A</v>
      </c>
      <c r="M30" s="490" t="str">
        <f t="shared" si="3"/>
        <v>N/A</v>
      </c>
      <c r="N30" s="490" t="str">
        <f t="shared" si="4"/>
        <v>N/A</v>
      </c>
      <c r="O30" s="9"/>
      <c r="P30" s="9"/>
      <c r="Q30" s="2"/>
      <c r="R30" s="2"/>
      <c r="S30" s="2"/>
      <c r="T30" s="2"/>
      <c r="U30" s="2"/>
      <c r="V30" s="2"/>
      <c r="W30" s="2"/>
      <c r="X30" s="2"/>
      <c r="Y30" s="2"/>
      <c r="Z30" s="2"/>
    </row>
    <row r="31" spans="1:26" ht="14.25" hidden="1" customHeight="1" outlineLevel="1">
      <c r="A31" s="9"/>
      <c r="B31" s="9"/>
      <c r="C31" s="489" t="str">
        <f>'Segment Analysis'!C13</f>
        <v>Segment 6 Revenue</v>
      </c>
      <c r="D31" s="489"/>
      <c r="E31" s="489"/>
      <c r="F31" s="489"/>
      <c r="G31" s="489"/>
      <c r="H31" s="803" t="e">
        <f t="array" ref="H31">INDEX(Data,MATCH($C31,Line_Items,0),MATCH($H$6,Fiscal_Periods,0))</f>
        <v>#N/A</v>
      </c>
      <c r="I31" s="804" t="e">
        <f t="array" ref="I31">INDEX(Data,MATCH($C31,Line_Items,0),MATCH($H$6,Fiscal_Periods,0))</f>
        <v>#N/A</v>
      </c>
      <c r="J31" s="803" t="e">
        <f t="array" ref="J31">INDEX(Data,MATCH($C31,Line_Items,0),MATCH(LEFT(J$24,4),Fiscal_Periods,0))</f>
        <v>#N/A</v>
      </c>
      <c r="K31" s="803" t="e">
        <f t="array" ref="K31">INDEX(Data,MATCH($C31,Line_Items,0),MATCH(LEFT(K$24,4),Fiscal_Periods,0))</f>
        <v>#N/A</v>
      </c>
      <c r="L31" s="802" t="str">
        <f t="shared" si="2"/>
        <v>N/A</v>
      </c>
      <c r="M31" s="490" t="str">
        <f t="shared" si="3"/>
        <v>N/A</v>
      </c>
      <c r="N31" s="490" t="str">
        <f t="shared" si="4"/>
        <v>N/A</v>
      </c>
      <c r="O31" s="9"/>
      <c r="P31" s="9"/>
      <c r="Q31" s="2"/>
      <c r="R31" s="2"/>
      <c r="S31" s="2"/>
      <c r="T31" s="2"/>
      <c r="U31" s="2"/>
      <c r="V31" s="2"/>
      <c r="W31" s="2"/>
      <c r="X31" s="2"/>
      <c r="Y31" s="2"/>
      <c r="Z31" s="2"/>
    </row>
    <row r="32" spans="1:26" ht="14.25" customHeight="1" collapsed="1">
      <c r="A32" s="9"/>
      <c r="B32" s="9"/>
      <c r="C32" s="9" t="e">
        <f>'Segment Analysis'!#REF!</f>
        <v>#REF!</v>
      </c>
      <c r="D32" s="9"/>
      <c r="E32" s="9"/>
      <c r="F32" s="9"/>
      <c r="G32" s="9"/>
      <c r="H32" s="788" t="e">
        <f t="array" ref="H32">INDEX(Data,MATCH($C32,Line_Items,0),MATCH($H$6,Fiscal_Periods,0))</f>
        <v>#REF!</v>
      </c>
      <c r="I32" s="789">
        <v>820</v>
      </c>
      <c r="J32" s="788" t="e">
        <f t="array" ref="J32">INDEX(Data,MATCH($C32,Line_Items,0),MATCH(LEFT(J$24,4),Fiscal_Periods,0))</f>
        <v>#REF!</v>
      </c>
      <c r="K32" s="788" t="e">
        <f t="array" ref="K32">INDEX(Data,MATCH($C32,Line_Items,0),MATCH(LEFT(K$24,4),Fiscal_Periods,0))</f>
        <v>#REF!</v>
      </c>
      <c r="L32" s="790" t="str">
        <f t="shared" si="2"/>
        <v>N/A</v>
      </c>
      <c r="M32" s="494" t="str">
        <f t="shared" si="3"/>
        <v>N/A</v>
      </c>
      <c r="N32" s="494" t="str">
        <f t="shared" si="4"/>
        <v>N/A</v>
      </c>
      <c r="O32" s="9"/>
      <c r="P32" s="9"/>
      <c r="Q32" s="2"/>
      <c r="R32" s="2"/>
      <c r="S32" s="2"/>
      <c r="T32" s="2"/>
      <c r="U32" s="2"/>
      <c r="V32" s="2"/>
      <c r="W32" s="2"/>
      <c r="X32" s="2"/>
      <c r="Y32" s="2"/>
      <c r="Z32" s="2"/>
    </row>
    <row r="33" spans="1:26" ht="14.25" customHeight="1">
      <c r="A33" s="9"/>
      <c r="B33" s="9"/>
      <c r="C33" s="9" t="e">
        <f>'Segment Analysis'!#REF!</f>
        <v>#REF!</v>
      </c>
      <c r="D33" s="9"/>
      <c r="E33" s="9"/>
      <c r="F33" s="9"/>
      <c r="G33" s="9"/>
      <c r="H33" s="791" t="e">
        <f t="array" ref="H33">INDEX(Data,MATCH($C33,Line_Items,0),MATCH($H$6,Fiscal_Periods,0))</f>
        <v>#REF!</v>
      </c>
      <c r="I33" s="792">
        <v>1400</v>
      </c>
      <c r="J33" s="791" t="e">
        <f t="array" ref="J33">INDEX(Data,MATCH($C33,Line_Items,0),MATCH(LEFT(J$24,4),Fiscal_Periods,0))</f>
        <v>#REF!</v>
      </c>
      <c r="K33" s="791" t="e">
        <f t="array" ref="K33">INDEX(Data,MATCH($C33,Line_Items,0),MATCH(LEFT(K$24,4),Fiscal_Periods,0))</f>
        <v>#REF!</v>
      </c>
      <c r="L33" s="790" t="str">
        <f t="shared" si="2"/>
        <v>N/A</v>
      </c>
      <c r="M33" s="494" t="str">
        <f t="shared" si="3"/>
        <v>N/A</v>
      </c>
      <c r="N33" s="494" t="str">
        <f t="shared" si="4"/>
        <v>N/A</v>
      </c>
      <c r="O33" s="9"/>
      <c r="P33" s="9"/>
      <c r="Q33" s="2"/>
      <c r="R33" s="2"/>
      <c r="S33" s="2"/>
      <c r="T33" s="2"/>
      <c r="U33" s="2"/>
      <c r="V33" s="2"/>
      <c r="W33" s="2"/>
      <c r="X33" s="2"/>
      <c r="Y33" s="2"/>
      <c r="Z33" s="2"/>
    </row>
    <row r="34" spans="1:26" ht="14.25" customHeight="1">
      <c r="A34" s="9"/>
      <c r="B34" s="9"/>
      <c r="C34" s="9" t="e">
        <f>'Segment Analysis'!#REF!</f>
        <v>#REF!</v>
      </c>
      <c r="D34" s="9"/>
      <c r="E34" s="9"/>
      <c r="F34" s="9"/>
      <c r="G34" s="9"/>
      <c r="H34" s="791" t="e">
        <f t="array" ref="H34">INDEX(Data,MATCH($C34,Line_Items,0),MATCH($H$6,Fiscal_Periods,0))</f>
        <v>#REF!</v>
      </c>
      <c r="I34" s="792">
        <v>10</v>
      </c>
      <c r="J34" s="791" t="e">
        <f t="array" ref="J34">INDEX(Data,MATCH($C34,Line_Items,0),MATCH(LEFT(J$24,4),Fiscal_Periods,0))</f>
        <v>#REF!</v>
      </c>
      <c r="K34" s="791" t="e">
        <f t="array" ref="K34">INDEX(Data,MATCH($C34,Line_Items,0),MATCH(LEFT(K$24,4),Fiscal_Periods,0))</f>
        <v>#REF!</v>
      </c>
      <c r="L34" s="790" t="str">
        <f t="shared" si="2"/>
        <v>N/A</v>
      </c>
      <c r="M34" s="494" t="str">
        <f t="shared" si="3"/>
        <v>N/A</v>
      </c>
      <c r="N34" s="494" t="str">
        <f t="shared" si="4"/>
        <v>N/A</v>
      </c>
      <c r="O34" s="9"/>
      <c r="P34" s="9"/>
      <c r="Q34" s="2"/>
      <c r="R34" s="2"/>
      <c r="S34" s="2"/>
      <c r="T34" s="2"/>
      <c r="U34" s="2"/>
      <c r="V34" s="2"/>
      <c r="W34" s="2"/>
      <c r="X34" s="2"/>
      <c r="Y34" s="2"/>
      <c r="Z34" s="2"/>
    </row>
    <row r="35" spans="1:26" ht="14.25" customHeight="1">
      <c r="A35" s="9"/>
      <c r="B35" s="9"/>
      <c r="C35" s="9" t="e">
        <f>'Segment Analysis'!#REF!</f>
        <v>#REF!</v>
      </c>
      <c r="D35" s="9"/>
      <c r="E35" s="9"/>
      <c r="F35" s="9"/>
      <c r="G35" s="9"/>
      <c r="H35" s="791" t="e">
        <f t="array" ref="H35">INDEX(Data,MATCH($C35,Line_Items,0),MATCH($H$6,Fiscal_Periods,0))</f>
        <v>#REF!</v>
      </c>
      <c r="I35" s="792">
        <v>-23</v>
      </c>
      <c r="J35" s="791" t="e">
        <f t="array" ref="J35">INDEX(Data,MATCH($C35,Line_Items,0),MATCH(LEFT(J$24,4),Fiscal_Periods,0))</f>
        <v>#REF!</v>
      </c>
      <c r="K35" s="791" t="e">
        <f t="array" ref="K35">INDEX(Data,MATCH($C35,Line_Items,0),MATCH(LEFT(K$24,4),Fiscal_Periods,0))</f>
        <v>#REF!</v>
      </c>
      <c r="L35" s="790" t="str">
        <f t="shared" si="2"/>
        <v>N/A</v>
      </c>
      <c r="M35" s="494" t="str">
        <f t="shared" si="3"/>
        <v>N/A</v>
      </c>
      <c r="N35" s="494" t="str">
        <f t="shared" si="4"/>
        <v>N/A</v>
      </c>
      <c r="O35" s="9"/>
      <c r="P35" s="9"/>
      <c r="Q35" s="2"/>
      <c r="R35" s="2"/>
      <c r="S35" s="2"/>
      <c r="T35" s="2"/>
      <c r="U35" s="2"/>
      <c r="V35" s="2"/>
      <c r="W35" s="2"/>
      <c r="X35" s="2"/>
      <c r="Y35" s="2"/>
      <c r="Z35" s="2"/>
    </row>
    <row r="36" spans="1:26" ht="14.25" customHeight="1">
      <c r="A36" s="9"/>
      <c r="B36" s="9"/>
      <c r="C36" s="9" t="e">
        <f>'Segment Analysis'!#REF!</f>
        <v>#REF!</v>
      </c>
      <c r="D36" s="9"/>
      <c r="E36" s="9"/>
      <c r="F36" s="9"/>
      <c r="G36" s="9"/>
      <c r="H36" s="791" t="e">
        <f t="array" ref="H36">INDEX(Data,MATCH($C36,Line_Items,0),MATCH($H$6,Fiscal_Periods,0))</f>
        <v>#REF!</v>
      </c>
      <c r="I36" s="792">
        <v>650</v>
      </c>
      <c r="J36" s="791" t="e">
        <f t="array" ref="J36">INDEX(Data,MATCH($C36,Line_Items,0),MATCH(LEFT(J$24,4),Fiscal_Periods,0))</f>
        <v>#REF!</v>
      </c>
      <c r="K36" s="791" t="e">
        <f t="array" ref="K36">INDEX(Data,MATCH($C36,Line_Items,0),MATCH(LEFT(K$24,4),Fiscal_Periods,0))</f>
        <v>#REF!</v>
      </c>
      <c r="L36" s="790" t="str">
        <f t="shared" si="2"/>
        <v>N/A</v>
      </c>
      <c r="M36" s="494" t="str">
        <f t="shared" si="3"/>
        <v>N/A</v>
      </c>
      <c r="N36" s="494" t="str">
        <f t="shared" si="4"/>
        <v>N/A</v>
      </c>
      <c r="O36" s="9"/>
      <c r="P36" s="9"/>
      <c r="Q36" s="2"/>
      <c r="R36" s="2"/>
      <c r="S36" s="2"/>
      <c r="T36" s="2"/>
      <c r="U36" s="2"/>
      <c r="V36" s="2"/>
      <c r="W36" s="2"/>
      <c r="X36" s="2"/>
      <c r="Y36" s="2"/>
      <c r="Z36" s="2"/>
    </row>
    <row r="37" spans="1:26" ht="14.25" customHeight="1">
      <c r="A37" s="9"/>
      <c r="B37" s="9"/>
      <c r="C37" s="9" t="e">
        <f>'Segment Analysis'!#REF!</f>
        <v>#REF!</v>
      </c>
      <c r="D37" s="9"/>
      <c r="E37" s="9"/>
      <c r="F37" s="9"/>
      <c r="G37" s="9"/>
      <c r="H37" s="791" t="e">
        <f t="array" ref="H37">INDEX(Data,MATCH($C37,Line_Items,0),MATCH($H$6,Fiscal_Periods,0))</f>
        <v>#REF!</v>
      </c>
      <c r="I37" s="792">
        <v>300</v>
      </c>
      <c r="J37" s="791" t="e">
        <f t="array" ref="J37">INDEX(Data,MATCH($C37,Line_Items,0),MATCH(LEFT(J$24,4),Fiscal_Periods,0))</f>
        <v>#REF!</v>
      </c>
      <c r="K37" s="791" t="e">
        <f t="array" ref="K37">INDEX(Data,MATCH($C37,Line_Items,0),MATCH(LEFT(K$24,4),Fiscal_Periods,0))</f>
        <v>#REF!</v>
      </c>
      <c r="L37" s="790" t="str">
        <f t="shared" si="2"/>
        <v>N/A</v>
      </c>
      <c r="M37" s="494" t="str">
        <f t="shared" si="3"/>
        <v>N/A</v>
      </c>
      <c r="N37" s="494" t="str">
        <f t="shared" si="4"/>
        <v>N/A</v>
      </c>
      <c r="O37" s="9"/>
      <c r="P37" s="9"/>
      <c r="Q37" s="2"/>
      <c r="R37" s="2"/>
      <c r="S37" s="2"/>
      <c r="T37" s="2"/>
      <c r="U37" s="2"/>
      <c r="V37" s="2"/>
      <c r="W37" s="2"/>
      <c r="X37" s="2"/>
      <c r="Y37" s="2"/>
      <c r="Z37" s="2"/>
    </row>
    <row r="38" spans="1:26" ht="14.25" customHeight="1">
      <c r="A38" s="9"/>
      <c r="B38" s="9"/>
      <c r="C38" s="9"/>
      <c r="D38" s="9"/>
      <c r="E38" s="9"/>
      <c r="F38" s="9"/>
      <c r="G38" s="9"/>
      <c r="H38" s="64"/>
      <c r="I38" s="64"/>
      <c r="J38" s="64"/>
      <c r="K38" s="64"/>
      <c r="L38" s="64"/>
      <c r="M38" s="64"/>
      <c r="N38" s="64"/>
      <c r="O38" s="9"/>
      <c r="P38" s="9"/>
      <c r="Q38" s="2"/>
      <c r="R38" s="2"/>
      <c r="S38" s="2"/>
      <c r="T38" s="2"/>
      <c r="U38" s="2"/>
      <c r="V38" s="2"/>
      <c r="W38" s="2"/>
      <c r="X38" s="2"/>
      <c r="Y38" s="2"/>
      <c r="Z38" s="2"/>
    </row>
    <row r="39" spans="1:26" ht="14.25" customHeight="1">
      <c r="A39" s="9"/>
      <c r="B39" s="9"/>
      <c r="C39" s="9"/>
      <c r="D39" s="9"/>
      <c r="E39" s="9"/>
      <c r="F39" s="9"/>
      <c r="G39" s="9"/>
      <c r="H39" s="64"/>
      <c r="I39" s="64"/>
      <c r="J39" s="64"/>
      <c r="K39" s="64"/>
      <c r="L39" s="64"/>
      <c r="M39" s="64"/>
      <c r="N39" s="64"/>
      <c r="O39" s="9"/>
      <c r="P39" s="9"/>
      <c r="Q39" s="2"/>
      <c r="R39" s="2"/>
      <c r="S39" s="2"/>
      <c r="T39" s="2"/>
      <c r="U39" s="2"/>
      <c r="V39" s="2"/>
      <c r="W39" s="2"/>
      <c r="X39" s="2"/>
      <c r="Y39" s="2"/>
      <c r="Z39" s="2"/>
    </row>
    <row r="40" spans="1:26" ht="14.25" customHeight="1">
      <c r="A40" s="9"/>
      <c r="B40" s="180" t="s">
        <v>0</v>
      </c>
      <c r="C40" s="76" t="str">
        <f>Ticker&amp;" "&amp;H4&amp;RIGHT(H5,2)&amp;" Cash Flow Expectations"</f>
        <v>HLNE 2Q26 Cash Flow Expectations</v>
      </c>
      <c r="D40" s="76"/>
      <c r="E40" s="76"/>
      <c r="F40" s="76"/>
      <c r="G40" s="76"/>
      <c r="H40" s="78" t="str">
        <f t="shared" ref="H40:N40" si="5">H10</f>
        <v>OFe</v>
      </c>
      <c r="I40" s="78" t="str">
        <f t="shared" si="5"/>
        <v>Consensus</v>
      </c>
      <c r="J40" s="78" t="str">
        <f t="shared" si="5"/>
        <v>2Q25a</v>
      </c>
      <c r="K40" s="78" t="str">
        <f t="shared" si="5"/>
        <v>1Q26a</v>
      </c>
      <c r="L40" s="787" t="str">
        <f t="shared" si="5"/>
        <v>v. Consensus</v>
      </c>
      <c r="M40" s="78" t="str">
        <f t="shared" si="5"/>
        <v>v. 2Q25a</v>
      </c>
      <c r="N40" s="78" t="str">
        <f t="shared" si="5"/>
        <v>v. 1Q26a</v>
      </c>
      <c r="O40" s="9"/>
      <c r="P40" s="9"/>
      <c r="Q40" s="2"/>
      <c r="R40" s="2"/>
      <c r="S40" s="2"/>
      <c r="T40" s="2"/>
      <c r="U40" s="2"/>
      <c r="V40" s="2"/>
      <c r="W40" s="2"/>
      <c r="X40" s="2"/>
      <c r="Y40" s="2"/>
      <c r="Z40" s="2"/>
    </row>
    <row r="41" spans="1:26" ht="4.5" customHeight="1">
      <c r="A41" s="9"/>
      <c r="B41" s="9"/>
      <c r="C41" s="9"/>
      <c r="D41" s="9"/>
      <c r="E41" s="9"/>
      <c r="F41" s="9"/>
      <c r="G41" s="9"/>
      <c r="H41" s="64"/>
      <c r="I41" s="64"/>
      <c r="J41" s="64"/>
      <c r="K41" s="64"/>
      <c r="L41" s="64"/>
      <c r="M41" s="64"/>
      <c r="N41" s="64"/>
      <c r="O41" s="9"/>
      <c r="P41" s="9"/>
      <c r="Q41" s="2"/>
      <c r="R41" s="2"/>
      <c r="S41" s="2"/>
      <c r="T41" s="2"/>
      <c r="U41" s="2"/>
      <c r="V41" s="2"/>
      <c r="W41" s="2"/>
      <c r="X41" s="2"/>
      <c r="Y41" s="2"/>
      <c r="Z41" s="2"/>
    </row>
    <row r="42" spans="1:26" ht="14.25" customHeight="1">
      <c r="A42" s="9"/>
      <c r="B42" s="9"/>
      <c r="C42" s="9" t="str">
        <f>Model!C82</f>
        <v>Net Cash From Operating Activities</v>
      </c>
      <c r="D42" s="9"/>
      <c r="E42" s="9"/>
      <c r="F42" s="9"/>
      <c r="G42" s="9"/>
      <c r="H42" s="788">
        <f t="array" aca="1" ref="H42" ca="1">INDEX(Data,MATCH($C42,Line_Items,0),MATCH($H$6,Fiscal_Periods,0))</f>
        <v>86.249211163462519</v>
      </c>
      <c r="I42" s="789">
        <v>50</v>
      </c>
      <c r="J42" s="788">
        <f t="array" ref="J42">INDEX(Data,MATCH($C42,Line_Items,0),MATCH(LEFT(J$40,4),Fiscal_Periods,0))</f>
        <v>0</v>
      </c>
      <c r="K42" s="788">
        <f t="array" ref="K42">INDEX(Data,MATCH($C42,Line_Items,0),MATCH(LEFT(K$40,4),Fiscal_Periods,0))</f>
        <v>0</v>
      </c>
      <c r="L42" s="790">
        <f t="shared" ref="L42:N44" ca="1" si="6">IFERROR($H42/I42-1,"N/A")</f>
        <v>0.72498422326925027</v>
      </c>
      <c r="M42" s="494" t="str">
        <f t="shared" ca="1" si="6"/>
        <v>N/A</v>
      </c>
      <c r="N42" s="494" t="str">
        <f t="shared" ca="1" si="6"/>
        <v>N/A</v>
      </c>
      <c r="O42" s="9"/>
      <c r="P42" s="9"/>
      <c r="Q42" s="2"/>
      <c r="R42" s="2"/>
      <c r="S42" s="2"/>
      <c r="T42" s="2"/>
      <c r="U42" s="2"/>
      <c r="V42" s="2"/>
      <c r="W42" s="2"/>
      <c r="X42" s="2"/>
      <c r="Y42" s="2"/>
      <c r="Z42" s="2"/>
    </row>
    <row r="43" spans="1:26" ht="14.25" customHeight="1">
      <c r="A43" s="9"/>
      <c r="B43" s="9"/>
      <c r="C43" s="9" t="str">
        <f>Model!C84</f>
        <v>Capital Expenditures</v>
      </c>
      <c r="D43" s="9"/>
      <c r="E43" s="9"/>
      <c r="F43" s="9"/>
      <c r="G43" s="9"/>
      <c r="H43" s="791">
        <f t="array" ref="H43">INDEX(Data,MATCH($C43,Line_Items,0),MATCH($H$6,Fiscal_Periods,0))</f>
        <v>-2.20692792</v>
      </c>
      <c r="I43" s="792">
        <v>-668</v>
      </c>
      <c r="J43" s="791">
        <f t="array" ref="J43">INDEX(Data,MATCH($C43,Line_Items,0),MATCH(LEFT(J$40,4),Fiscal_Periods,0))</f>
        <v>0</v>
      </c>
      <c r="K43" s="791">
        <f t="array" ref="K43">INDEX(Data,MATCH($C43,Line_Items,0),MATCH(LEFT(K$40,4),Fiscal_Periods,0))</f>
        <v>0</v>
      </c>
      <c r="L43" s="790">
        <f t="shared" si="6"/>
        <v>-0.99669621568862277</v>
      </c>
      <c r="M43" s="494" t="str">
        <f t="shared" si="6"/>
        <v>N/A</v>
      </c>
      <c r="N43" s="494" t="str">
        <f t="shared" si="6"/>
        <v>N/A</v>
      </c>
      <c r="O43" s="9"/>
      <c r="P43" s="9"/>
      <c r="Q43" s="2"/>
      <c r="R43" s="2"/>
      <c r="S43" s="2"/>
      <c r="T43" s="2"/>
      <c r="U43" s="2"/>
      <c r="V43" s="2"/>
      <c r="W43" s="2"/>
      <c r="X43" s="2"/>
      <c r="Y43" s="2"/>
      <c r="Z43" s="2"/>
    </row>
    <row r="44" spans="1:26" ht="14.25" customHeight="1">
      <c r="A44" s="9"/>
      <c r="B44" s="9"/>
      <c r="C44" s="9" t="str">
        <f>Model!C114</f>
        <v>Free Cash Flow (FCF)</v>
      </c>
      <c r="D44" s="9"/>
      <c r="E44" s="9"/>
      <c r="F44" s="9"/>
      <c r="G44" s="9"/>
      <c r="H44" s="791">
        <f t="array" aca="1" ref="H44" ca="1">INDEX(Data,MATCH($C44,Line_Items,0),MATCH($H$6,Fiscal_Periods,0))</f>
        <v>63.827130753566991</v>
      </c>
      <c r="I44" s="792">
        <v>1412.6</v>
      </c>
      <c r="J44" s="791">
        <f t="array" ref="J44">INDEX(Data,MATCH($C44,Line_Items,0),MATCH(LEFT(J$40,4),Fiscal_Periods,0))</f>
        <v>123.089</v>
      </c>
      <c r="K44" s="791">
        <f t="array" ref="K44">INDEX(Data,MATCH($C44,Line_Items,0),MATCH(LEFT(K$40,4),Fiscal_Periods,0))</f>
        <v>103.78100000000001</v>
      </c>
      <c r="L44" s="790">
        <f t="shared" ca="1" si="6"/>
        <v>-0.95481584967183419</v>
      </c>
      <c r="M44" s="494">
        <f t="shared" ca="1" si="6"/>
        <v>-0.48145544481174607</v>
      </c>
      <c r="N44" s="494">
        <f t="shared" ca="1" si="6"/>
        <v>-0.38498250398852407</v>
      </c>
      <c r="O44" s="9"/>
      <c r="P44" s="9"/>
      <c r="Q44" s="2"/>
      <c r="R44" s="2"/>
      <c r="S44" s="2"/>
      <c r="T44" s="2"/>
      <c r="U44" s="2"/>
      <c r="V44" s="2"/>
      <c r="W44" s="2"/>
      <c r="X44" s="2"/>
      <c r="Y44" s="2"/>
      <c r="Z44" s="2"/>
    </row>
    <row r="45" spans="1:26"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H13 J13:K13 H15 J15:K15 H17 J17:K17 H19 J19:K19">
    <cfRule type="expression" dxfId="26" priority="1">
      <formula>$H$8="Report"</formula>
    </cfRule>
  </conditionalFormatting>
  <conditionalFormatting sqref="H12:K21">
    <cfRule type="expression" dxfId="25" priority="2">
      <formula>$H$8="Report"</formula>
    </cfRule>
  </conditionalFormatting>
  <conditionalFormatting sqref="H26:K37">
    <cfRule type="expression" dxfId="24" priority="3">
      <formula>$H$8="Report"</formula>
    </cfRule>
  </conditionalFormatting>
  <conditionalFormatting sqref="H42:K44">
    <cfRule type="expression" dxfId="23" priority="4">
      <formula>$H$8="Report"</formula>
    </cfRule>
  </conditionalFormatting>
  <conditionalFormatting sqref="J43:K44">
    <cfRule type="expression" dxfId="22" priority="5">
      <formula>$H$8="Report"</formula>
    </cfRule>
  </conditionalFormatting>
  <conditionalFormatting sqref="L12:N21">
    <cfRule type="cellIs" dxfId="21" priority="6" operator="lessThan">
      <formula>0</formula>
    </cfRule>
    <cfRule type="cellIs" dxfId="20" priority="7" operator="greaterThan">
      <formula>0</formula>
    </cfRule>
  </conditionalFormatting>
  <conditionalFormatting sqref="L26:N37">
    <cfRule type="cellIs" dxfId="19" priority="8" operator="lessThan">
      <formula>0</formula>
    </cfRule>
    <cfRule type="cellIs" dxfId="18" priority="9" operator="greaterThan">
      <formula>0</formula>
    </cfRule>
  </conditionalFormatting>
  <conditionalFormatting sqref="L42:N44">
    <cfRule type="cellIs" dxfId="17" priority="10" operator="lessThan">
      <formula>0</formula>
    </cfRule>
    <cfRule type="cellIs" dxfId="16" priority="11" operator="greaterThan">
      <formula>0</formula>
    </cfRule>
  </conditionalFormatting>
  <dataValidations count="2">
    <dataValidation type="list" allowBlank="1" showErrorMessage="1" sqref="H8" xr:uid="{00000000-0002-0000-1100-000000000000}">
      <formula1>"Working,Report"</formula1>
    </dataValidation>
    <dataValidation type="list" allowBlank="1" showErrorMessage="1" sqref="H4" xr:uid="{00000000-0002-0000-1100-000001000000}">
      <formula1>"1Q,2Q,3Q,4Q"</formula1>
    </dataValidation>
  </dataValidations>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zoomScale="80" zoomScaleNormal="80" workbookViewId="0">
      <pane ySplit="2" topLeftCell="A5" activePane="bottomLeft" state="frozen"/>
      <selection pane="bottomLeft"/>
    </sheetView>
  </sheetViews>
  <sheetFormatPr defaultColWidth="14.44140625" defaultRowHeight="15" customHeight="1" outlineLevelRow="1"/>
  <cols>
    <col min="1" max="1" width="1.6640625" customWidth="1"/>
    <col min="2" max="2" width="1.5546875" customWidth="1"/>
    <col min="3" max="17" width="12.6640625" customWidth="1"/>
    <col min="18" max="18" width="11.6640625" customWidth="1"/>
    <col min="19" max="26" width="10.6640625" customWidth="1"/>
  </cols>
  <sheetData>
    <row r="1" spans="1:26" ht="19.5" customHeight="1">
      <c r="A1" s="4"/>
      <c r="B1" s="4"/>
      <c r="C1" s="5" t="str">
        <f ca="1">Company_Name&amp;" - "&amp;MID(CELL("filename",A1),FIND("]",CELL("filename",A1))+1,255)&amp;": "&amp;Case_Scenario&amp;" Case"</f>
        <v>Hamilton Lane Inc. - Post-Earnings: Base Case</v>
      </c>
      <c r="D1" s="4"/>
      <c r="E1" s="4"/>
      <c r="F1" s="4"/>
      <c r="G1" s="4"/>
      <c r="H1" s="4"/>
      <c r="I1" s="4"/>
      <c r="J1" s="4"/>
      <c r="K1" s="4"/>
      <c r="L1" s="4"/>
      <c r="M1" s="4"/>
      <c r="N1" s="4"/>
      <c r="O1" s="4"/>
      <c r="P1" s="4"/>
      <c r="Q1" s="4"/>
      <c r="R1" s="4"/>
      <c r="S1" s="4"/>
      <c r="T1" s="4"/>
      <c r="U1" s="4"/>
      <c r="V1" s="4"/>
      <c r="W1" s="4"/>
      <c r="X1" s="4"/>
      <c r="Y1" s="4"/>
      <c r="Z1" s="4"/>
    </row>
    <row r="2" spans="1:26" ht="15" customHeight="1">
      <c r="A2" s="2"/>
      <c r="B2" s="2"/>
      <c r="C2" s="7" t="str">
        <f>Cover!C2</f>
        <v>$ in Millions Except Per Share Data</v>
      </c>
      <c r="D2" s="2"/>
      <c r="E2" s="2"/>
      <c r="F2" s="2"/>
      <c r="G2" s="2"/>
      <c r="H2" s="2"/>
      <c r="I2" s="2"/>
      <c r="J2" s="2"/>
      <c r="K2" s="2"/>
      <c r="L2" s="2"/>
      <c r="M2" s="2"/>
      <c r="N2" s="2"/>
      <c r="O2" s="2"/>
      <c r="P2" s="2"/>
      <c r="Q2" s="2"/>
      <c r="R2" s="2"/>
      <c r="S2" s="2"/>
      <c r="T2" s="2"/>
      <c r="U2" s="2"/>
      <c r="V2" s="2"/>
      <c r="W2" s="2"/>
      <c r="X2" s="2"/>
      <c r="Y2" s="2"/>
      <c r="Z2" s="2"/>
    </row>
    <row r="3" spans="1:26" ht="14.25" customHeight="1">
      <c r="A3" s="9"/>
      <c r="B3" s="9"/>
      <c r="C3" s="9"/>
      <c r="D3" s="9"/>
      <c r="E3" s="9"/>
      <c r="F3" s="9"/>
      <c r="G3" s="9"/>
      <c r="H3" s="9"/>
      <c r="I3" s="9"/>
      <c r="J3" s="9"/>
      <c r="K3" s="9"/>
      <c r="L3" s="9"/>
      <c r="M3" s="9"/>
      <c r="N3" s="9"/>
      <c r="O3" s="9"/>
      <c r="P3" s="9"/>
      <c r="Q3" s="9"/>
      <c r="R3" s="9"/>
      <c r="S3" s="2"/>
      <c r="T3" s="2"/>
      <c r="U3" s="2"/>
      <c r="V3" s="2"/>
      <c r="W3" s="2"/>
      <c r="X3" s="2"/>
      <c r="Y3" s="2"/>
      <c r="Z3" s="2"/>
    </row>
    <row r="4" spans="1:26" ht="14.25" customHeight="1">
      <c r="A4" s="9"/>
      <c r="B4" s="9"/>
      <c r="C4" s="9" t="s">
        <v>832</v>
      </c>
      <c r="D4" s="9"/>
      <c r="E4" s="9"/>
      <c r="F4" s="9"/>
      <c r="G4" s="9"/>
      <c r="H4" s="39" t="s">
        <v>857</v>
      </c>
      <c r="I4" s="9"/>
      <c r="J4" s="805" t="s">
        <v>783</v>
      </c>
      <c r="K4" s="9"/>
      <c r="L4" s="9"/>
      <c r="M4" s="9"/>
      <c r="N4" s="9"/>
      <c r="O4" s="9"/>
      <c r="P4" s="9"/>
      <c r="Q4" s="9"/>
      <c r="R4" s="9"/>
      <c r="S4" s="2"/>
      <c r="T4" s="2"/>
      <c r="U4" s="2"/>
      <c r="V4" s="2"/>
      <c r="W4" s="2"/>
      <c r="X4" s="2"/>
      <c r="Y4" s="2"/>
      <c r="Z4" s="2"/>
    </row>
    <row r="5" spans="1:26" ht="14.25" customHeight="1">
      <c r="A5" s="9"/>
      <c r="B5" s="9"/>
      <c r="C5" s="9" t="s">
        <v>833</v>
      </c>
      <c r="D5" s="9"/>
      <c r="E5" s="9"/>
      <c r="F5" s="9"/>
      <c r="G5" s="9"/>
      <c r="H5" s="785">
        <f>YEAR(Next_FYE)</f>
        <v>2026</v>
      </c>
      <c r="I5" s="9"/>
      <c r="J5" s="9"/>
      <c r="K5" s="9"/>
      <c r="L5" s="9"/>
      <c r="M5" s="9"/>
      <c r="N5" s="9"/>
      <c r="O5" s="9"/>
      <c r="P5" s="9"/>
      <c r="Q5" s="9"/>
      <c r="R5" s="9"/>
      <c r="S5" s="2"/>
      <c r="T5" s="2"/>
      <c r="U5" s="2"/>
      <c r="V5" s="2"/>
      <c r="W5" s="2"/>
      <c r="X5" s="2"/>
      <c r="Y5" s="2"/>
      <c r="Z5" s="2"/>
    </row>
    <row r="6" spans="1:26" ht="14.25" customHeight="1">
      <c r="A6" s="9"/>
      <c r="B6" s="9"/>
      <c r="C6" s="9" t="s">
        <v>834</v>
      </c>
      <c r="D6" s="9"/>
      <c r="E6" s="9"/>
      <c r="F6" s="9"/>
      <c r="G6" s="9"/>
      <c r="H6" s="786" t="str">
        <f>H4&amp;RIGHT(H5,2)&amp;"e"</f>
        <v>2Q26e</v>
      </c>
      <c r="I6" s="9"/>
      <c r="J6" s="9"/>
      <c r="K6" s="9"/>
      <c r="L6" s="9"/>
      <c r="M6" s="9"/>
      <c r="N6" s="9"/>
      <c r="O6" s="9"/>
      <c r="P6" s="9"/>
      <c r="Q6" s="9"/>
      <c r="R6" s="9"/>
      <c r="S6" s="2"/>
      <c r="T6" s="2"/>
      <c r="U6" s="2"/>
      <c r="V6" s="2"/>
      <c r="W6" s="2"/>
      <c r="X6" s="2"/>
      <c r="Y6" s="2"/>
      <c r="Z6" s="2"/>
    </row>
    <row r="7" spans="1:26" ht="14.25" customHeight="1">
      <c r="A7" s="9"/>
      <c r="B7" s="9"/>
      <c r="C7" s="9" t="s">
        <v>835</v>
      </c>
      <c r="D7" s="9"/>
      <c r="E7" s="9"/>
      <c r="F7" s="9"/>
      <c r="G7" s="9"/>
      <c r="H7" s="785">
        <f>YEAR(Last_FYE)</f>
        <v>2025</v>
      </c>
      <c r="I7" s="9"/>
      <c r="J7" s="9"/>
      <c r="K7" s="9"/>
      <c r="L7" s="9"/>
      <c r="M7" s="9"/>
      <c r="N7" s="9"/>
      <c r="O7" s="9"/>
      <c r="P7" s="9"/>
      <c r="Q7" s="9"/>
      <c r="R7" s="9"/>
      <c r="S7" s="2"/>
      <c r="T7" s="2"/>
      <c r="U7" s="2"/>
      <c r="V7" s="2"/>
      <c r="W7" s="2"/>
      <c r="X7" s="2"/>
      <c r="Y7" s="2"/>
      <c r="Z7" s="2"/>
    </row>
    <row r="8" spans="1:26" ht="14.25" customHeight="1">
      <c r="A8" s="9"/>
      <c r="B8" s="9"/>
      <c r="C8" s="9" t="s">
        <v>836</v>
      </c>
      <c r="D8" s="9"/>
      <c r="E8" s="9"/>
      <c r="F8" s="9"/>
      <c r="G8" s="9"/>
      <c r="H8" s="31" t="s">
        <v>1153</v>
      </c>
      <c r="I8" s="9"/>
      <c r="J8" s="9"/>
      <c r="K8" s="9"/>
      <c r="L8" s="9"/>
      <c r="M8" s="9"/>
      <c r="N8" s="9"/>
      <c r="O8" s="9"/>
      <c r="P8" s="9"/>
      <c r="Q8" s="9"/>
      <c r="R8" s="9"/>
      <c r="S8" s="2"/>
      <c r="T8" s="2"/>
      <c r="U8" s="2"/>
      <c r="V8" s="2"/>
      <c r="W8" s="2"/>
      <c r="X8" s="2"/>
      <c r="Y8" s="2"/>
      <c r="Z8" s="2"/>
    </row>
    <row r="9" spans="1:26" ht="14.25" customHeight="1">
      <c r="A9" s="9"/>
      <c r="B9" s="9"/>
      <c r="C9" s="9"/>
      <c r="D9" s="9"/>
      <c r="E9" s="9"/>
      <c r="F9" s="9"/>
      <c r="G9" s="9"/>
      <c r="H9" s="9"/>
      <c r="I9" s="9"/>
      <c r="J9" s="9"/>
      <c r="K9" s="9"/>
      <c r="L9" s="9"/>
      <c r="M9" s="9"/>
      <c r="N9" s="9"/>
      <c r="O9" s="9"/>
      <c r="P9" s="9"/>
      <c r="Q9" s="9"/>
      <c r="R9" s="9"/>
      <c r="S9" s="2"/>
      <c r="T9" s="2"/>
      <c r="U9" s="2"/>
      <c r="V9" s="2"/>
      <c r="W9" s="2"/>
      <c r="X9" s="2"/>
      <c r="Y9" s="2"/>
      <c r="Z9" s="2"/>
    </row>
    <row r="10" spans="1:26" ht="14.25" customHeight="1">
      <c r="A10" s="9"/>
      <c r="B10" s="180" t="s">
        <v>0</v>
      </c>
      <c r="C10" s="76" t="str">
        <f>Ticker&amp;" "&amp;H4&amp;RIGHT(H5,2)&amp;" Operating Results"</f>
        <v>HLNE 2Q26 Operating Results</v>
      </c>
      <c r="D10" s="76"/>
      <c r="E10" s="76"/>
      <c r="F10" s="76"/>
      <c r="G10" s="76"/>
      <c r="H10" s="78" t="str">
        <f>H4&amp;RIGHT(H5,2)&amp;"a"</f>
        <v>2Q26a</v>
      </c>
      <c r="I10" s="78" t="s">
        <v>837</v>
      </c>
      <c r="J10" s="78" t="s">
        <v>838</v>
      </c>
      <c r="K10" s="78" t="str">
        <f>H4&amp;RIGHT(H7,2)&amp;"a"</f>
        <v>2Q25a</v>
      </c>
      <c r="L10" s="78" t="str">
        <f>Last_FQR&amp;RIGHT(H5,2)&amp;"a"</f>
        <v>1Q26a</v>
      </c>
      <c r="M10" s="787" t="str">
        <f>"v. "&amp;I10</f>
        <v>v. OFe</v>
      </c>
      <c r="N10" s="78" t="str">
        <f>"v. "&amp;J10</f>
        <v>v. Consensus</v>
      </c>
      <c r="O10" s="78" t="str">
        <f>"v. "&amp;K10</f>
        <v>v. 2Q25a</v>
      </c>
      <c r="P10" s="78" t="str">
        <f>"v. "&amp;L10</f>
        <v>v. 1Q26a</v>
      </c>
      <c r="Q10" s="139"/>
      <c r="R10" s="139"/>
      <c r="S10" s="2"/>
      <c r="T10" s="2"/>
      <c r="U10" s="2"/>
      <c r="V10" s="2"/>
      <c r="W10" s="2"/>
      <c r="X10" s="2"/>
      <c r="Y10" s="2"/>
      <c r="Z10" s="2"/>
    </row>
    <row r="11" spans="1:26" ht="4.5" customHeight="1">
      <c r="A11" s="9"/>
      <c r="B11" s="180"/>
      <c r="C11" s="37"/>
      <c r="D11" s="37"/>
      <c r="E11" s="37"/>
      <c r="F11" s="37"/>
      <c r="G11" s="37"/>
      <c r="H11" s="37"/>
      <c r="I11" s="139"/>
      <c r="J11" s="139"/>
      <c r="K11" s="139"/>
      <c r="L11" s="139"/>
      <c r="M11" s="139"/>
      <c r="N11" s="139"/>
      <c r="O11" s="139"/>
      <c r="P11" s="139"/>
      <c r="Q11" s="139"/>
      <c r="R11" s="139"/>
      <c r="S11" s="2"/>
      <c r="T11" s="2"/>
      <c r="U11" s="2"/>
      <c r="V11" s="2"/>
      <c r="W11" s="2"/>
      <c r="X11" s="2"/>
      <c r="Y11" s="2"/>
      <c r="Z11" s="2"/>
    </row>
    <row r="12" spans="1:26" ht="14.25" customHeight="1">
      <c r="A12" s="9"/>
      <c r="B12" s="9"/>
      <c r="C12" s="9" t="str">
        <f>Model!C28</f>
        <v>Revenue</v>
      </c>
      <c r="D12" s="9"/>
      <c r="E12" s="9"/>
      <c r="F12" s="9"/>
      <c r="G12" s="9"/>
      <c r="H12" s="788">
        <f t="array" ref="H12">INDEX(Data,MATCH($C12,Line_Items,0),MATCH($H$6,Fiscal_Periods,0))</f>
        <v>183.91066000000001</v>
      </c>
      <c r="I12" s="788">
        <f t="array" ref="I12">INDEX(Data,MATCH($C12,Line_Items,0),MATCH($H$6,Fiscal_Periods,0))</f>
        <v>183.91066000000001</v>
      </c>
      <c r="J12" s="789">
        <v>19670.3</v>
      </c>
      <c r="K12" s="788">
        <f t="array" ref="K12">INDEX(Data,MATCH($C12,Line_Items,0),MATCH(LEFT(K$10,4),Fiscal_Periods,0))</f>
        <v>149.999</v>
      </c>
      <c r="L12" s="788">
        <f t="array" ref="L12">INDEX(Data,MATCH($C12,Line_Items,0),MATCH(LEFT(L$10,4),Fiscal_Periods,0))</f>
        <v>175.958</v>
      </c>
      <c r="M12" s="790">
        <f>IFERROR($H12/I12-1,"N/A")</f>
        <v>0</v>
      </c>
      <c r="N12" s="494">
        <f>IFERROR($H12/J12-1,"N/A")</f>
        <v>-0.99065033781894529</v>
      </c>
      <c r="O12" s="494">
        <f>IFERROR($I12/K12-1,"N/A")</f>
        <v>0.22607924052827033</v>
      </c>
      <c r="P12" s="494">
        <f>IFERROR($I12/L12-1,"N/A")</f>
        <v>4.5196353675308831E-2</v>
      </c>
      <c r="Q12" s="9"/>
      <c r="R12" s="9"/>
      <c r="S12" s="2"/>
      <c r="T12" s="2"/>
      <c r="U12" s="2"/>
      <c r="V12" s="2"/>
      <c r="W12" s="2"/>
      <c r="X12" s="2"/>
      <c r="Y12" s="2"/>
      <c r="Z12" s="2"/>
    </row>
    <row r="13" spans="1:26" ht="14.25" customHeight="1">
      <c r="A13" s="9"/>
      <c r="B13" s="9"/>
      <c r="C13" s="9" t="str">
        <f>Model!C30</f>
        <v>Gross Profit</v>
      </c>
      <c r="D13" s="9"/>
      <c r="E13" s="9"/>
      <c r="F13" s="9"/>
      <c r="G13" s="9"/>
      <c r="H13" s="791">
        <f t="array" ref="H13">INDEX(Data,MATCH($C13,Line_Items,0),MATCH($H$6,Fiscal_Periods,0))</f>
        <v>183.91066000000001</v>
      </c>
      <c r="I13" s="791">
        <f t="array" ref="I13">INDEX(Data,MATCH($C13,Line_Items,0),MATCH($H$6,Fiscal_Periods,0))</f>
        <v>183.91066000000001</v>
      </c>
      <c r="J13" s="792">
        <v>3968.1</v>
      </c>
      <c r="K13" s="791">
        <f t="array" ref="K13">INDEX(Data,MATCH($C13,Line_Items,0),MATCH(LEFT(K$10,4),Fiscal_Periods,0))</f>
        <v>149.999</v>
      </c>
      <c r="L13" s="791">
        <f t="array" ref="L13">INDEX(Data,MATCH($C13,Line_Items,0),MATCH(LEFT(L$10,4),Fiscal_Periods,0))</f>
        <v>175.958</v>
      </c>
      <c r="M13" s="790">
        <f>IFERROR($H13/I13-1,"N/A")</f>
        <v>0</v>
      </c>
      <c r="N13" s="494">
        <f>IFERROR($H13/J13-1,"N/A")</f>
        <v>-0.95365271540535768</v>
      </c>
      <c r="O13" s="494">
        <f>IFERROR($H13/K13-1,"N/A")</f>
        <v>0.22607924052827033</v>
      </c>
      <c r="P13" s="494">
        <f>IFERROR($H13/L13-1,"N/A")</f>
        <v>4.5196353675308831E-2</v>
      </c>
      <c r="Q13" s="9"/>
      <c r="R13" s="9"/>
      <c r="S13" s="2"/>
      <c r="T13" s="2"/>
      <c r="U13" s="2"/>
      <c r="V13" s="2"/>
      <c r="W13" s="2"/>
      <c r="X13" s="2"/>
      <c r="Y13" s="2"/>
      <c r="Z13" s="2"/>
    </row>
    <row r="14" spans="1:26" ht="14.25" customHeight="1">
      <c r="A14" s="9"/>
      <c r="B14" s="9"/>
      <c r="C14" s="84" t="str">
        <f>Model!C66</f>
        <v>Gross Margin</v>
      </c>
      <c r="D14" s="9"/>
      <c r="E14" s="9"/>
      <c r="F14" s="9"/>
      <c r="G14" s="9"/>
      <c r="H14" s="793">
        <f t="array" ref="H14">INDEX(Data,MATCH($C14,Line_Items,0),MATCH($H$6,Fiscal_Periods,0))</f>
        <v>1</v>
      </c>
      <c r="I14" s="793">
        <f t="array" ref="I14">INDEX(Data,MATCH($C14,Line_Items,0),MATCH($H$6,Fiscal_Periods,0))</f>
        <v>1</v>
      </c>
      <c r="J14" s="794">
        <v>0.20200000000000001</v>
      </c>
      <c r="K14" s="793">
        <f t="array" ref="K14">INDEX(Data,MATCH($C14,Line_Items,0),MATCH(LEFT(K$10,4),Fiscal_Periods,0))</f>
        <v>1</v>
      </c>
      <c r="L14" s="793">
        <f t="array" ref="L14">INDEX(Data,MATCH($C14,Line_Items,0),MATCH(LEFT(L$10,4),Fiscal_Periods,0))</f>
        <v>1</v>
      </c>
      <c r="M14" s="795">
        <f>$H14-I14</f>
        <v>0</v>
      </c>
      <c r="N14" s="796">
        <f>$H14-J14</f>
        <v>0.79800000000000004</v>
      </c>
      <c r="O14" s="796">
        <f>$H14-K14</f>
        <v>0</v>
      </c>
      <c r="P14" s="796">
        <f>$H14-L14</f>
        <v>0</v>
      </c>
      <c r="Q14" s="9"/>
      <c r="R14" s="9"/>
      <c r="S14" s="2"/>
      <c r="T14" s="2"/>
      <c r="U14" s="2"/>
      <c r="V14" s="2"/>
      <c r="W14" s="2"/>
      <c r="X14" s="2"/>
      <c r="Y14" s="2"/>
      <c r="Z14" s="2"/>
    </row>
    <row r="15" spans="1:26" ht="14.25" customHeight="1">
      <c r="A15" s="9"/>
      <c r="B15" s="9"/>
      <c r="C15" s="9" t="str">
        <f>Model!C61</f>
        <v>EBITDA</v>
      </c>
      <c r="D15" s="9"/>
      <c r="E15" s="9"/>
      <c r="F15" s="9"/>
      <c r="G15" s="9"/>
      <c r="H15" s="791">
        <f t="array" aca="1" ref="H15" ca="1">INDEX(Data,MATCH($C15,Line_Items,0),MATCH($H$6,Fiscal_Periods,0))</f>
        <v>59.403143179999994</v>
      </c>
      <c r="I15" s="791">
        <f t="array" aca="1" ref="I15" ca="1">INDEX(Data,MATCH($C15,Line_Items,0),MATCH($H$6,Fiscal_Periods,0))</f>
        <v>59.403143179999994</v>
      </c>
      <c r="J15" s="792">
        <v>2224.4</v>
      </c>
      <c r="K15" s="791">
        <f t="array" ref="K15">INDEX(Data,MATCH($C15,Line_Items,0),MATCH(LEFT(K$10,4),Fiscal_Periods,0))</f>
        <v>46.251999999999995</v>
      </c>
      <c r="L15" s="791">
        <f t="array" ref="L15">INDEX(Data,MATCH($C15,Line_Items,0),MATCH(LEFT(L$10,4),Fiscal_Periods,0))</f>
        <v>53.65</v>
      </c>
      <c r="M15" s="790">
        <f ca="1">IFERROR($H15/I15-1,"N/A")</f>
        <v>0</v>
      </c>
      <c r="N15" s="494">
        <f ca="1">IFERROR($H15/J15-1,"N/A")</f>
        <v>-0.97329475670742671</v>
      </c>
      <c r="O15" s="494">
        <f ca="1">IFERROR($H15/K15-1,"N/A")</f>
        <v>0.28433674608665571</v>
      </c>
      <c r="P15" s="494">
        <f ca="1">IFERROR($H15/L15-1,"N/A")</f>
        <v>0.10723472842497661</v>
      </c>
      <c r="Q15" s="9"/>
      <c r="R15" s="9"/>
      <c r="S15" s="2"/>
      <c r="T15" s="2"/>
      <c r="U15" s="2"/>
      <c r="V15" s="2"/>
      <c r="W15" s="2"/>
      <c r="X15" s="2"/>
      <c r="Y15" s="2"/>
      <c r="Z15" s="2"/>
    </row>
    <row r="16" spans="1:26" ht="14.25" customHeight="1">
      <c r="A16" s="9"/>
      <c r="B16" s="9"/>
      <c r="C16" s="84" t="str">
        <f>'Segment Analysis'!C136</f>
        <v>EBITDA Margin</v>
      </c>
      <c r="D16" s="9"/>
      <c r="E16" s="9"/>
      <c r="F16" s="9"/>
      <c r="G16" s="9"/>
      <c r="H16" s="797">
        <f ca="1">H15/$H$12</f>
        <v>0.32299999999999995</v>
      </c>
      <c r="I16" s="797">
        <f ca="1">I15/$H$12</f>
        <v>0.32299999999999995</v>
      </c>
      <c r="J16" s="794">
        <v>0.113</v>
      </c>
      <c r="K16" s="797">
        <f>K15/$H$12</f>
        <v>0.25149167536019934</v>
      </c>
      <c r="L16" s="797">
        <f>L15/$H$12</f>
        <v>0.29171772859713513</v>
      </c>
      <c r="M16" s="795">
        <f ca="1">$H16-I16</f>
        <v>0</v>
      </c>
      <c r="N16" s="796">
        <f ca="1">$H16-J16</f>
        <v>0.20999999999999996</v>
      </c>
      <c r="O16" s="796">
        <f ca="1">$H16-K16</f>
        <v>7.1508324639800613E-2</v>
      </c>
      <c r="P16" s="796">
        <f ca="1">$H16-L16</f>
        <v>3.1282271402864825E-2</v>
      </c>
      <c r="Q16" s="9"/>
      <c r="R16" s="9"/>
      <c r="S16" s="2"/>
      <c r="T16" s="2"/>
      <c r="U16" s="2"/>
      <c r="V16" s="2"/>
      <c r="W16" s="2"/>
      <c r="X16" s="2"/>
      <c r="Y16" s="2"/>
      <c r="Z16" s="2"/>
    </row>
    <row r="17" spans="1:26" ht="14.25" customHeight="1">
      <c r="A17" s="9"/>
      <c r="B17" s="9"/>
      <c r="C17" s="9" t="str">
        <f>Model!C36</f>
        <v>EBIT</v>
      </c>
      <c r="D17" s="9"/>
      <c r="E17" s="9"/>
      <c r="F17" s="9"/>
      <c r="G17" s="9"/>
      <c r="H17" s="791">
        <f t="array" ref="H17">INDEX(Data,MATCH($C17,Line_Items,0),MATCH($H$6,Fiscal_Periods,0))</f>
        <v>79.633315780000004</v>
      </c>
      <c r="I17" s="791">
        <f t="array" ref="I17">INDEX(Data,MATCH($C17,Line_Items,0),MATCH($H$6,Fiscal_Periods,0))</f>
        <v>79.633315780000004</v>
      </c>
      <c r="J17" s="792">
        <v>1952.8</v>
      </c>
      <c r="K17" s="791">
        <f t="array" ref="K17">INDEX(Data,MATCH($C17,Line_Items,0),MATCH(LEFT(K$10,4),Fiscal_Periods,0))</f>
        <v>67.191999999999993</v>
      </c>
      <c r="L17" s="791">
        <f t="array" ref="L17">INDEX(Data,MATCH($C17,Line_Items,0),MATCH(LEFT(L$10,4),Fiscal_Periods,0))</f>
        <v>76.974999999999994</v>
      </c>
      <c r="M17" s="790">
        <f>IFERROR($H17/I17-1,"N/A")</f>
        <v>0</v>
      </c>
      <c r="N17" s="494">
        <f>IFERROR($H17/J17-1,"N/A")</f>
        <v>-0.9592209566878328</v>
      </c>
      <c r="O17" s="494">
        <f>IFERROR($H17/K17-1,"N/A")</f>
        <v>0.18516067061554975</v>
      </c>
      <c r="P17" s="494">
        <f>IFERROR($H17/L17-1,"N/A")</f>
        <v>3.4534794153946224E-2</v>
      </c>
      <c r="Q17" s="9"/>
      <c r="R17" s="9"/>
      <c r="S17" s="2"/>
      <c r="T17" s="2"/>
      <c r="U17" s="2"/>
      <c r="V17" s="2"/>
      <c r="W17" s="2"/>
      <c r="X17" s="2"/>
      <c r="Y17" s="2"/>
      <c r="Z17" s="2"/>
    </row>
    <row r="18" spans="1:26" ht="14.25" customHeight="1">
      <c r="A18" s="9"/>
      <c r="B18" s="9"/>
      <c r="C18" s="84" t="str">
        <f>'Segment Analysis'!C144</f>
        <v>EBIT Margin</v>
      </c>
      <c r="D18" s="9"/>
      <c r="E18" s="9"/>
      <c r="F18" s="9"/>
      <c r="G18" s="9"/>
      <c r="H18" s="797">
        <f>H17/$H$12</f>
        <v>0.433</v>
      </c>
      <c r="I18" s="797">
        <f>I17/$H$12</f>
        <v>0.433</v>
      </c>
      <c r="J18" s="794">
        <v>9.9000000000000005E-2</v>
      </c>
      <c r="K18" s="797">
        <f>K17/$H$12</f>
        <v>0.36535130698786022</v>
      </c>
      <c r="L18" s="797">
        <f>L17/$H$12</f>
        <v>0.41854561339728752</v>
      </c>
      <c r="M18" s="795">
        <f>$H18-I18</f>
        <v>0</v>
      </c>
      <c r="N18" s="796">
        <f>$H18-J18</f>
        <v>0.33399999999999996</v>
      </c>
      <c r="O18" s="796">
        <f>$H18-K18</f>
        <v>6.7648693012139771E-2</v>
      </c>
      <c r="P18" s="796">
        <f>$H18-L18</f>
        <v>1.4454386602712477E-2</v>
      </c>
      <c r="Q18" s="9"/>
      <c r="R18" s="9"/>
      <c r="S18" s="2"/>
      <c r="T18" s="2"/>
      <c r="U18" s="2"/>
      <c r="V18" s="2"/>
      <c r="W18" s="2"/>
      <c r="X18" s="2"/>
      <c r="Y18" s="2"/>
      <c r="Z18" s="2"/>
    </row>
    <row r="19" spans="1:26" ht="14.25" customHeight="1">
      <c r="A19" s="9"/>
      <c r="B19" s="9"/>
      <c r="C19" s="9" t="str">
        <f>Model!C45</f>
        <v>Net Income (Loss)</v>
      </c>
      <c r="D19" s="9"/>
      <c r="E19" s="9"/>
      <c r="F19" s="9"/>
      <c r="G19" s="9"/>
      <c r="H19" s="791">
        <f t="array" aca="1" ref="H19" ca="1">INDEX(Data,MATCH($C19,Line_Items,0),MATCH($H$6,Fiscal_Periods,0))</f>
        <v>67.837286660270308</v>
      </c>
      <c r="I19" s="791">
        <f t="array" aca="1" ref="I19" ca="1">INDEX(Data,MATCH($C19,Line_Items,0),MATCH($H$6,Fiscal_Periods,0))</f>
        <v>67.837286660270308</v>
      </c>
      <c r="J19" s="792">
        <v>1379.1</v>
      </c>
      <c r="K19" s="791">
        <f t="array" ref="K19">INDEX(Data,MATCH($C19,Line_Items,0),MATCH(LEFT(K$10,4),Fiscal_Periods,0))</f>
        <v>75.921999999999997</v>
      </c>
      <c r="L19" s="791">
        <f t="array" ref="L19">INDEX(Data,MATCH($C19,Line_Items,0),MATCH(LEFT(L$10,4),Fiscal_Periods,0))</f>
        <v>77.069999999999993</v>
      </c>
      <c r="M19" s="790">
        <f ca="1">IFERROR($H19/I19-1,"N/A")</f>
        <v>0</v>
      </c>
      <c r="N19" s="494">
        <f ca="1">IFERROR($H19/J19-1,"N/A")</f>
        <v>-0.95081046576733352</v>
      </c>
      <c r="O19" s="494">
        <f ca="1">IFERROR($H19/K19-1,"N/A")</f>
        <v>-0.1064870964902096</v>
      </c>
      <c r="P19" s="494">
        <f ca="1">IFERROR($H19/L19-1,"N/A")</f>
        <v>-0.11979646217373408</v>
      </c>
      <c r="Q19" s="9"/>
      <c r="R19" s="9"/>
      <c r="S19" s="2"/>
      <c r="T19" s="2"/>
      <c r="U19" s="2"/>
      <c r="V19" s="2"/>
      <c r="W19" s="2"/>
      <c r="X19" s="2"/>
      <c r="Y19" s="2"/>
      <c r="Z19" s="2"/>
    </row>
    <row r="20" spans="1:26" ht="14.25" customHeight="1">
      <c r="A20" s="9"/>
      <c r="B20" s="9"/>
      <c r="C20" s="84" t="s">
        <v>468</v>
      </c>
      <c r="D20" s="9"/>
      <c r="E20" s="9"/>
      <c r="F20" s="9"/>
      <c r="G20" s="9"/>
      <c r="H20" s="793">
        <f ca="1">H19/H12</f>
        <v>0.36886000333134744</v>
      </c>
      <c r="I20" s="793">
        <f ca="1">I19/I12</f>
        <v>0.36886000333134744</v>
      </c>
      <c r="J20" s="794">
        <v>7.0000000000000007E-2</v>
      </c>
      <c r="K20" s="793">
        <f>K19/K12</f>
        <v>0.50615004100027328</v>
      </c>
      <c r="L20" s="793">
        <f>L19/L12</f>
        <v>0.43800225053705993</v>
      </c>
      <c r="M20" s="795">
        <f ca="1">$H20-I20</f>
        <v>0</v>
      </c>
      <c r="N20" s="796">
        <f ca="1">$H20-J20</f>
        <v>0.29886000333134743</v>
      </c>
      <c r="O20" s="796">
        <f ca="1">$H20-K20</f>
        <v>-0.13729003766892584</v>
      </c>
      <c r="P20" s="796">
        <f ca="1">$H20-L20</f>
        <v>-6.9142247205712493E-2</v>
      </c>
      <c r="Q20" s="9"/>
      <c r="R20" s="9"/>
      <c r="S20" s="2"/>
      <c r="T20" s="2"/>
      <c r="U20" s="2"/>
      <c r="V20" s="2"/>
      <c r="W20" s="2"/>
      <c r="X20" s="2"/>
      <c r="Y20" s="2"/>
      <c r="Z20" s="2"/>
    </row>
    <row r="21" spans="1:26" ht="14.25" customHeight="1">
      <c r="A21" s="9"/>
      <c r="B21" s="9"/>
      <c r="C21" s="9" t="str">
        <f>Model!C57</f>
        <v>Adj. EPS (Diluted)</v>
      </c>
      <c r="D21" s="9"/>
      <c r="E21" s="9"/>
      <c r="F21" s="9"/>
      <c r="G21" s="9"/>
      <c r="H21" s="798">
        <f t="array" aca="1" ref="H21" ca="1">INDEX(Data,MATCH($C21,Line_Items,0),MATCH($H$6,Fiscal_Periods,0))</f>
        <v>0.87400613292216456</v>
      </c>
      <c r="I21" s="798">
        <f t="array" aca="1" ref="I21" ca="1">INDEX(Data,MATCH($C21,Line_Items,0),MATCH($H$6,Fiscal_Periods,0))</f>
        <v>0.87400613292216456</v>
      </c>
      <c r="J21" s="799">
        <v>2.15</v>
      </c>
      <c r="K21" s="798">
        <f t="array" ref="K21">INDEX(Data,MATCH($C21,Line_Items,0),MATCH(LEFT(K$10,4),Fiscal_Periods,0))</f>
        <v>1.0148025101513474</v>
      </c>
      <c r="L21" s="798">
        <f t="array" ref="L21">INDEX(Data,MATCH($C21,Line_Items,0),MATCH(LEFT(L$10,4),Fiscal_Periods,0))</f>
        <v>0.98668992105746267</v>
      </c>
      <c r="M21" s="790">
        <f ca="1">IFERROR($H21/I21-1,"N/A")</f>
        <v>0</v>
      </c>
      <c r="N21" s="494">
        <f ca="1">IFERROR($H21/J21-1,"N/A")</f>
        <v>-0.5934855195710862</v>
      </c>
      <c r="O21" s="494">
        <f ca="1">IFERROR($H21/K21-1,"N/A")</f>
        <v>-0.13874263792290431</v>
      </c>
      <c r="P21" s="494">
        <f ca="1">IFERROR($H21/L21-1,"N/A")</f>
        <v>-0.1142038503996593</v>
      </c>
      <c r="Q21" s="9"/>
      <c r="R21" s="9"/>
      <c r="S21" s="2"/>
      <c r="T21" s="2"/>
      <c r="U21" s="2"/>
      <c r="V21" s="2"/>
      <c r="W21" s="2"/>
      <c r="X21" s="2"/>
      <c r="Y21" s="2"/>
      <c r="Z21" s="2"/>
    </row>
    <row r="22" spans="1:26" ht="14.25" customHeight="1">
      <c r="A22" s="9"/>
      <c r="B22" s="9"/>
      <c r="C22" s="9"/>
      <c r="D22" s="9"/>
      <c r="E22" s="9"/>
      <c r="F22" s="9"/>
      <c r="G22" s="9"/>
      <c r="H22" s="64"/>
      <c r="I22" s="64"/>
      <c r="J22" s="64"/>
      <c r="K22" s="64"/>
      <c r="L22" s="64"/>
      <c r="M22" s="64"/>
      <c r="N22" s="64"/>
      <c r="O22" s="64"/>
      <c r="P22" s="64"/>
      <c r="Q22" s="9"/>
      <c r="R22" s="9"/>
      <c r="S22" s="2"/>
      <c r="T22" s="2"/>
      <c r="U22" s="2"/>
      <c r="V22" s="2"/>
      <c r="W22" s="2"/>
      <c r="X22" s="2"/>
      <c r="Y22" s="2"/>
      <c r="Z22" s="2"/>
    </row>
    <row r="23" spans="1:26" ht="14.25" customHeight="1">
      <c r="A23" s="9"/>
      <c r="B23" s="9"/>
      <c r="C23" s="9"/>
      <c r="D23" s="9"/>
      <c r="E23" s="9"/>
      <c r="F23" s="9"/>
      <c r="G23" s="9"/>
      <c r="H23" s="64"/>
      <c r="I23" s="64"/>
      <c r="J23" s="64"/>
      <c r="K23" s="64"/>
      <c r="L23" s="64"/>
      <c r="M23" s="64"/>
      <c r="N23" s="64"/>
      <c r="O23" s="64"/>
      <c r="P23" s="64"/>
      <c r="Q23" s="9"/>
      <c r="R23" s="9"/>
      <c r="S23" s="2"/>
      <c r="T23" s="2"/>
      <c r="U23" s="2"/>
      <c r="V23" s="2"/>
      <c r="W23" s="2"/>
      <c r="X23" s="2"/>
      <c r="Y23" s="2"/>
      <c r="Z23" s="2"/>
    </row>
    <row r="24" spans="1:26" ht="14.25" customHeight="1">
      <c r="A24" s="9"/>
      <c r="B24" s="180" t="s">
        <v>0</v>
      </c>
      <c r="C24" s="76" t="str">
        <f>Ticker&amp;" "&amp;H4&amp;RIGHT(H5,2)&amp;" Segment Results"</f>
        <v>HLNE 2Q26 Segment Results</v>
      </c>
      <c r="D24" s="76"/>
      <c r="E24" s="76"/>
      <c r="F24" s="76"/>
      <c r="G24" s="76"/>
      <c r="H24" s="78" t="str">
        <f t="shared" ref="H24:P24" si="0">H10</f>
        <v>2Q26a</v>
      </c>
      <c r="I24" s="78" t="str">
        <f t="shared" si="0"/>
        <v>OFe</v>
      </c>
      <c r="J24" s="78" t="str">
        <f t="shared" si="0"/>
        <v>Consensus</v>
      </c>
      <c r="K24" s="78" t="str">
        <f t="shared" si="0"/>
        <v>2Q25a</v>
      </c>
      <c r="L24" s="78" t="str">
        <f t="shared" si="0"/>
        <v>1Q26a</v>
      </c>
      <c r="M24" s="787" t="str">
        <f t="shared" si="0"/>
        <v>v. OFe</v>
      </c>
      <c r="N24" s="78" t="str">
        <f t="shared" si="0"/>
        <v>v. Consensus</v>
      </c>
      <c r="O24" s="78" t="str">
        <f t="shared" si="0"/>
        <v>v. 2Q25a</v>
      </c>
      <c r="P24" s="78" t="str">
        <f t="shared" si="0"/>
        <v>v. 1Q26a</v>
      </c>
      <c r="Q24" s="9"/>
      <c r="R24" s="9"/>
      <c r="S24" s="2"/>
      <c r="T24" s="2"/>
      <c r="U24" s="2"/>
      <c r="V24" s="2"/>
      <c r="W24" s="2"/>
      <c r="X24" s="2"/>
      <c r="Y24" s="2"/>
      <c r="Z24" s="2"/>
    </row>
    <row r="25" spans="1:26" ht="4.5" customHeight="1">
      <c r="A25" s="9"/>
      <c r="B25" s="180"/>
      <c r="C25" s="9"/>
      <c r="D25" s="9"/>
      <c r="E25" s="9"/>
      <c r="F25" s="9"/>
      <c r="G25" s="9"/>
      <c r="H25" s="64"/>
      <c r="I25" s="64"/>
      <c r="J25" s="64"/>
      <c r="K25" s="64"/>
      <c r="L25" s="64"/>
      <c r="M25" s="64"/>
      <c r="N25" s="64"/>
      <c r="O25" s="64"/>
      <c r="P25" s="64"/>
      <c r="Q25" s="9"/>
      <c r="R25" s="9"/>
      <c r="S25" s="2"/>
      <c r="T25" s="2"/>
      <c r="U25" s="2"/>
      <c r="V25" s="2"/>
      <c r="W25" s="2"/>
      <c r="X25" s="2"/>
      <c r="Y25" s="2"/>
      <c r="Z25" s="2"/>
    </row>
    <row r="26" spans="1:26" ht="14.25" customHeight="1">
      <c r="A26" s="9"/>
      <c r="B26" s="9"/>
      <c r="C26" s="9" t="str">
        <f>'Segment Analysis'!C8</f>
        <v>Management &amp; Advisory Fees</v>
      </c>
      <c r="D26" s="9"/>
      <c r="E26" s="9"/>
      <c r="F26" s="9"/>
      <c r="G26" s="9"/>
      <c r="H26" s="788" t="e">
        <f t="array" ref="H26">INDEX(Data,MATCH($C26,Line_Items,0),MATCH($H$6,Fiscal_Periods,0))</f>
        <v>#N/A</v>
      </c>
      <c r="I26" s="788" t="e">
        <f t="array" ref="I26">INDEX(Data,MATCH($C26,Line_Items,0),MATCH($H$6,Fiscal_Periods,0))</f>
        <v>#N/A</v>
      </c>
      <c r="J26" s="789">
        <v>6520.1</v>
      </c>
      <c r="K26" s="788" t="e">
        <f t="array" ref="K26">INDEX(Data,MATCH($C26,Line_Items,0),MATCH(LEFT(K$24,4),Fiscal_Periods,0))</f>
        <v>#N/A</v>
      </c>
      <c r="L26" s="788" t="e">
        <f t="array" ref="L26">INDEX(Data,MATCH($C26,Line_Items,0),MATCH(LEFT(L$24,4),Fiscal_Periods,0))</f>
        <v>#N/A</v>
      </c>
      <c r="M26" s="790" t="str">
        <f t="shared" ref="M26:M37" si="1">IFERROR($H26/I26-1,"N/A")</f>
        <v>N/A</v>
      </c>
      <c r="N26" s="494" t="str">
        <f t="shared" ref="N26:N37" si="2">IFERROR($H26/J26-1,"N/A")</f>
        <v>N/A</v>
      </c>
      <c r="O26" s="494" t="str">
        <f t="shared" ref="O26:O37" si="3">IFERROR($I26/K26-1,"N/A")</f>
        <v>N/A</v>
      </c>
      <c r="P26" s="494" t="str">
        <f t="shared" ref="P26:P37" si="4">IFERROR($I26/L26-1,"N/A")</f>
        <v>N/A</v>
      </c>
      <c r="Q26" s="9"/>
      <c r="R26" s="9"/>
      <c r="S26" s="2"/>
      <c r="T26" s="2"/>
      <c r="U26" s="2"/>
      <c r="V26" s="2"/>
      <c r="W26" s="2"/>
      <c r="X26" s="2"/>
      <c r="Y26" s="2"/>
      <c r="Z26" s="2"/>
    </row>
    <row r="27" spans="1:26" ht="14.25" customHeight="1">
      <c r="A27" s="9"/>
      <c r="B27" s="9"/>
      <c r="C27" s="9" t="str">
        <f>'Segment Analysis'!C9</f>
        <v>Incentive Fees</v>
      </c>
      <c r="D27" s="9"/>
      <c r="E27" s="9"/>
      <c r="F27" s="9"/>
      <c r="G27" s="9"/>
      <c r="H27" s="791" t="e">
        <f t="array" ref="H27">INDEX(Data,MATCH($C27,Line_Items,0),MATCH($H$6,Fiscal_Periods,0))</f>
        <v>#N/A</v>
      </c>
      <c r="I27" s="791" t="e">
        <f t="array" ref="I27">INDEX(Data,MATCH($C27,Line_Items,0),MATCH($H$6,Fiscal_Periods,0))</f>
        <v>#N/A</v>
      </c>
      <c r="J27" s="792">
        <v>11000.3</v>
      </c>
      <c r="K27" s="791" t="e">
        <f t="array" ref="K27">INDEX(Data,MATCH($C27,Line_Items,0),MATCH(LEFT(K$24,4),Fiscal_Periods,0))</f>
        <v>#N/A</v>
      </c>
      <c r="L27" s="791" t="e">
        <f t="array" ref="L27">INDEX(Data,MATCH($C27,Line_Items,0),MATCH(LEFT(L$24,4),Fiscal_Periods,0))</f>
        <v>#N/A</v>
      </c>
      <c r="M27" s="790" t="str">
        <f t="shared" si="1"/>
        <v>N/A</v>
      </c>
      <c r="N27" s="494" t="str">
        <f t="shared" si="2"/>
        <v>N/A</v>
      </c>
      <c r="O27" s="494" t="str">
        <f t="shared" si="3"/>
        <v>N/A</v>
      </c>
      <c r="P27" s="494" t="str">
        <f t="shared" si="4"/>
        <v>N/A</v>
      </c>
      <c r="Q27" s="9"/>
      <c r="R27" s="9"/>
      <c r="S27" s="2"/>
      <c r="T27" s="2"/>
      <c r="U27" s="2"/>
      <c r="V27" s="2"/>
      <c r="W27" s="2"/>
      <c r="X27" s="2"/>
      <c r="Y27" s="2"/>
      <c r="Z27" s="2"/>
    </row>
    <row r="28" spans="1:26" ht="14.25" customHeight="1">
      <c r="A28" s="9"/>
      <c r="B28" s="9"/>
      <c r="C28" s="9" t="str">
        <f>'Segment Analysis'!C10</f>
        <v>Segment 3 Revenue</v>
      </c>
      <c r="D28" s="9"/>
      <c r="E28" s="9"/>
      <c r="F28" s="9"/>
      <c r="G28" s="9"/>
      <c r="H28" s="791" t="e">
        <f t="array" ref="H28">INDEX(Data,MATCH($C28,Line_Items,0),MATCH($H$6,Fiscal_Periods,0))</f>
        <v>#N/A</v>
      </c>
      <c r="I28" s="791" t="e">
        <f t="array" ref="I28">INDEX(Data,MATCH($C28,Line_Items,0),MATCH($H$6,Fiscal_Periods,0))</f>
        <v>#N/A</v>
      </c>
      <c r="J28" s="792">
        <v>75</v>
      </c>
      <c r="K28" s="791" t="e">
        <f t="array" ref="K28">INDEX(Data,MATCH($C28,Line_Items,0),MATCH(LEFT(K$24,4),Fiscal_Periods,0))</f>
        <v>#N/A</v>
      </c>
      <c r="L28" s="791" t="e">
        <f t="array" ref="L28">INDEX(Data,MATCH($C28,Line_Items,0),MATCH(LEFT(L$24,4),Fiscal_Periods,0))</f>
        <v>#N/A</v>
      </c>
      <c r="M28" s="790" t="str">
        <f t="shared" si="1"/>
        <v>N/A</v>
      </c>
      <c r="N28" s="494" t="str">
        <f t="shared" si="2"/>
        <v>N/A</v>
      </c>
      <c r="O28" s="494" t="str">
        <f t="shared" si="3"/>
        <v>N/A</v>
      </c>
      <c r="P28" s="494" t="str">
        <f t="shared" si="4"/>
        <v>N/A</v>
      </c>
      <c r="Q28" s="9"/>
      <c r="R28" s="9"/>
      <c r="S28" s="2"/>
      <c r="T28" s="2"/>
      <c r="U28" s="2"/>
      <c r="V28" s="2"/>
      <c r="W28" s="2"/>
      <c r="X28" s="2"/>
      <c r="Y28" s="2"/>
      <c r="Z28" s="2"/>
    </row>
    <row r="29" spans="1:26" ht="14.25" customHeight="1">
      <c r="A29" s="9"/>
      <c r="B29" s="9"/>
      <c r="C29" s="9" t="str">
        <f>'Segment Analysis'!C11</f>
        <v>Segment 4 Revenue</v>
      </c>
      <c r="D29" s="9"/>
      <c r="E29" s="9"/>
      <c r="F29" s="9"/>
      <c r="G29" s="9"/>
      <c r="H29" s="791" t="e">
        <f t="array" ref="H29">INDEX(Data,MATCH($C29,Line_Items,0),MATCH($H$6,Fiscal_Periods,0))</f>
        <v>#N/A</v>
      </c>
      <c r="I29" s="791" t="e">
        <f t="array" ref="I29">INDEX(Data,MATCH($C29,Line_Items,0),MATCH($H$6,Fiscal_Periods,0))</f>
        <v>#N/A</v>
      </c>
      <c r="J29" s="792">
        <v>-200</v>
      </c>
      <c r="K29" s="791" t="e">
        <f t="array" ref="K29">INDEX(Data,MATCH($C29,Line_Items,0),MATCH(LEFT(K$24,4),Fiscal_Periods,0))</f>
        <v>#N/A</v>
      </c>
      <c r="L29" s="791" t="e">
        <f t="array" ref="L29">INDEX(Data,MATCH($C29,Line_Items,0),MATCH(LEFT(L$24,4),Fiscal_Periods,0))</f>
        <v>#N/A</v>
      </c>
      <c r="M29" s="790" t="str">
        <f t="shared" si="1"/>
        <v>N/A</v>
      </c>
      <c r="N29" s="494" t="str">
        <f t="shared" si="2"/>
        <v>N/A</v>
      </c>
      <c r="O29" s="494" t="str">
        <f t="shared" si="3"/>
        <v>N/A</v>
      </c>
      <c r="P29" s="494" t="str">
        <f t="shared" si="4"/>
        <v>N/A</v>
      </c>
      <c r="Q29" s="9"/>
      <c r="R29" s="9"/>
      <c r="S29" s="2"/>
      <c r="T29" s="2"/>
      <c r="U29" s="2"/>
      <c r="V29" s="2"/>
      <c r="W29" s="2"/>
      <c r="X29" s="2"/>
      <c r="Y29" s="2"/>
      <c r="Z29" s="2"/>
    </row>
    <row r="30" spans="1:26" ht="14.25" customHeight="1">
      <c r="A30" s="9"/>
      <c r="B30" s="9"/>
      <c r="C30" s="489" t="str">
        <f>'Segment Analysis'!C12</f>
        <v>Segment 5 Revenue</v>
      </c>
      <c r="D30" s="489"/>
      <c r="E30" s="489"/>
      <c r="F30" s="489"/>
      <c r="G30" s="489"/>
      <c r="H30" s="800" t="e">
        <f t="array" ref="H30">INDEX(Data,MATCH($C30,Line_Items,0),MATCH($H$6,Fiscal_Periods,0))</f>
        <v>#N/A</v>
      </c>
      <c r="I30" s="800" t="e">
        <f t="array" ref="I30">INDEX(Data,MATCH($C30,Line_Items,0),MATCH($H$6,Fiscal_Periods,0))</f>
        <v>#N/A</v>
      </c>
      <c r="J30" s="801">
        <v>5000</v>
      </c>
      <c r="K30" s="800" t="e">
        <f t="array" ref="K30">INDEX(Data,MATCH($C30,Line_Items,0),MATCH(LEFT(K$24,4),Fiscal_Periods,0))</f>
        <v>#N/A</v>
      </c>
      <c r="L30" s="800" t="e">
        <f t="array" ref="L30">INDEX(Data,MATCH($C30,Line_Items,0),MATCH(LEFT(L$24,4),Fiscal_Periods,0))</f>
        <v>#N/A</v>
      </c>
      <c r="M30" s="802" t="str">
        <f t="shared" si="1"/>
        <v>N/A</v>
      </c>
      <c r="N30" s="490" t="str">
        <f t="shared" si="2"/>
        <v>N/A</v>
      </c>
      <c r="O30" s="490" t="str">
        <f t="shared" si="3"/>
        <v>N/A</v>
      </c>
      <c r="P30" s="490" t="str">
        <f t="shared" si="4"/>
        <v>N/A</v>
      </c>
      <c r="Q30" s="9"/>
      <c r="R30" s="9"/>
      <c r="S30" s="2"/>
      <c r="T30" s="2"/>
      <c r="U30" s="2"/>
      <c r="V30" s="2"/>
      <c r="W30" s="2"/>
      <c r="X30" s="2"/>
      <c r="Y30" s="2"/>
      <c r="Z30" s="2"/>
    </row>
    <row r="31" spans="1:26" ht="14.25" hidden="1" customHeight="1" outlineLevel="1">
      <c r="A31" s="9"/>
      <c r="B31" s="9"/>
      <c r="C31" s="489" t="str">
        <f>'Segment Analysis'!C13</f>
        <v>Segment 6 Revenue</v>
      </c>
      <c r="D31" s="489"/>
      <c r="E31" s="489"/>
      <c r="F31" s="489"/>
      <c r="G31" s="489"/>
      <c r="H31" s="803" t="e">
        <f t="array" ref="H31">INDEX(Data,MATCH($C31,Line_Items,0),MATCH($H$6,Fiscal_Periods,0))</f>
        <v>#N/A</v>
      </c>
      <c r="I31" s="803" t="e">
        <f t="array" ref="I31">INDEX(Data,MATCH($C31,Line_Items,0),MATCH($H$6,Fiscal_Periods,0))</f>
        <v>#N/A</v>
      </c>
      <c r="J31" s="804" t="e">
        <f t="array" ref="J31">INDEX(Data,MATCH($C31,Line_Items,0),MATCH($H$6,Fiscal_Periods,0))</f>
        <v>#N/A</v>
      </c>
      <c r="K31" s="803" t="e">
        <f t="array" ref="K31">INDEX(Data,MATCH($C31,Line_Items,0),MATCH(LEFT(K$24,4),Fiscal_Periods,0))</f>
        <v>#N/A</v>
      </c>
      <c r="L31" s="803" t="e">
        <f t="array" ref="L31">INDEX(Data,MATCH($C31,Line_Items,0),MATCH(LEFT(L$24,4),Fiscal_Periods,0))</f>
        <v>#N/A</v>
      </c>
      <c r="M31" s="806" t="str">
        <f t="shared" si="1"/>
        <v>N/A</v>
      </c>
      <c r="N31" s="807" t="str">
        <f t="shared" si="2"/>
        <v>N/A</v>
      </c>
      <c r="O31" s="807" t="str">
        <f t="shared" si="3"/>
        <v>N/A</v>
      </c>
      <c r="P31" s="807" t="str">
        <f t="shared" si="4"/>
        <v>N/A</v>
      </c>
      <c r="Q31" s="9"/>
      <c r="R31" s="9"/>
      <c r="S31" s="2"/>
      <c r="T31" s="2"/>
      <c r="U31" s="2"/>
      <c r="V31" s="2"/>
      <c r="W31" s="2"/>
      <c r="X31" s="2"/>
      <c r="Y31" s="2"/>
      <c r="Z31" s="2"/>
    </row>
    <row r="32" spans="1:26" ht="14.25" customHeight="1" collapsed="1">
      <c r="A32" s="9"/>
      <c r="B32" s="9"/>
      <c r="C32" s="9" t="e">
        <f>'Segment Analysis'!#REF!</f>
        <v>#REF!</v>
      </c>
      <c r="D32" s="9"/>
      <c r="E32" s="9"/>
      <c r="F32" s="9"/>
      <c r="G32" s="9"/>
      <c r="H32" s="788" t="e">
        <f t="array" ref="H32">INDEX(Data,MATCH($C32,Line_Items,0),MATCH($H$6,Fiscal_Periods,0))</f>
        <v>#REF!</v>
      </c>
      <c r="I32" s="788" t="e">
        <f t="array" ref="I32">INDEX(Data,MATCH($C32,Line_Items,0),MATCH($H$6,Fiscal_Periods,0))</f>
        <v>#REF!</v>
      </c>
      <c r="J32" s="789">
        <v>820</v>
      </c>
      <c r="K32" s="788" t="e">
        <f t="array" ref="K32">INDEX(Data,MATCH($C32,Line_Items,0),MATCH(LEFT(K$24,4),Fiscal_Periods,0))</f>
        <v>#REF!</v>
      </c>
      <c r="L32" s="788" t="e">
        <f t="array" ref="L32">INDEX(Data,MATCH($C32,Line_Items,0),MATCH(LEFT(L$24,4),Fiscal_Periods,0))</f>
        <v>#REF!</v>
      </c>
      <c r="M32" s="790" t="str">
        <f t="shared" si="1"/>
        <v>N/A</v>
      </c>
      <c r="N32" s="494" t="str">
        <f t="shared" si="2"/>
        <v>N/A</v>
      </c>
      <c r="O32" s="494" t="str">
        <f t="shared" si="3"/>
        <v>N/A</v>
      </c>
      <c r="P32" s="494" t="str">
        <f t="shared" si="4"/>
        <v>N/A</v>
      </c>
      <c r="Q32" s="9"/>
      <c r="R32" s="9"/>
      <c r="S32" s="2"/>
      <c r="T32" s="2"/>
      <c r="U32" s="2"/>
      <c r="V32" s="2"/>
      <c r="W32" s="2"/>
      <c r="X32" s="2"/>
      <c r="Y32" s="2"/>
      <c r="Z32" s="2"/>
    </row>
    <row r="33" spans="1:26" ht="14.25" customHeight="1">
      <c r="A33" s="9"/>
      <c r="B33" s="9"/>
      <c r="C33" s="9" t="e">
        <f>'Segment Analysis'!#REF!</f>
        <v>#REF!</v>
      </c>
      <c r="D33" s="9"/>
      <c r="E33" s="9"/>
      <c r="F33" s="9"/>
      <c r="G33" s="9"/>
      <c r="H33" s="791" t="e">
        <f t="array" ref="H33">INDEX(Data,MATCH($C33,Line_Items,0),MATCH($H$6,Fiscal_Periods,0))</f>
        <v>#REF!</v>
      </c>
      <c r="I33" s="791" t="e">
        <f t="array" ref="I33">INDEX(Data,MATCH($C33,Line_Items,0),MATCH($H$6,Fiscal_Periods,0))</f>
        <v>#REF!</v>
      </c>
      <c r="J33" s="792">
        <v>1400</v>
      </c>
      <c r="K33" s="791" t="e">
        <f t="array" ref="K33">INDEX(Data,MATCH($C33,Line_Items,0),MATCH(LEFT(K$24,4),Fiscal_Periods,0))</f>
        <v>#REF!</v>
      </c>
      <c r="L33" s="791" t="e">
        <f t="array" ref="L33">INDEX(Data,MATCH($C33,Line_Items,0),MATCH(LEFT(L$24,4),Fiscal_Periods,0))</f>
        <v>#REF!</v>
      </c>
      <c r="M33" s="790" t="str">
        <f t="shared" si="1"/>
        <v>N/A</v>
      </c>
      <c r="N33" s="494" t="str">
        <f t="shared" si="2"/>
        <v>N/A</v>
      </c>
      <c r="O33" s="494" t="str">
        <f t="shared" si="3"/>
        <v>N/A</v>
      </c>
      <c r="P33" s="494" t="str">
        <f t="shared" si="4"/>
        <v>N/A</v>
      </c>
      <c r="Q33" s="9"/>
      <c r="R33" s="9"/>
      <c r="S33" s="2"/>
      <c r="T33" s="2"/>
      <c r="U33" s="2"/>
      <c r="V33" s="2"/>
      <c r="W33" s="2"/>
      <c r="X33" s="2"/>
      <c r="Y33" s="2"/>
      <c r="Z33" s="2"/>
    </row>
    <row r="34" spans="1:26" ht="14.25" customHeight="1">
      <c r="A34" s="9"/>
      <c r="B34" s="9"/>
      <c r="C34" s="9" t="e">
        <f>'Segment Analysis'!#REF!</f>
        <v>#REF!</v>
      </c>
      <c r="D34" s="9"/>
      <c r="E34" s="9"/>
      <c r="F34" s="9"/>
      <c r="G34" s="9"/>
      <c r="H34" s="791" t="e">
        <f t="array" ref="H34">INDEX(Data,MATCH($C34,Line_Items,0),MATCH($H$6,Fiscal_Periods,0))</f>
        <v>#REF!</v>
      </c>
      <c r="I34" s="791" t="e">
        <f t="array" ref="I34">INDEX(Data,MATCH($C34,Line_Items,0),MATCH($H$6,Fiscal_Periods,0))</f>
        <v>#REF!</v>
      </c>
      <c r="J34" s="792">
        <v>10</v>
      </c>
      <c r="K34" s="791" t="e">
        <f t="array" ref="K34">INDEX(Data,MATCH($C34,Line_Items,0),MATCH(LEFT(K$24,4),Fiscal_Periods,0))</f>
        <v>#REF!</v>
      </c>
      <c r="L34" s="791" t="e">
        <f t="array" ref="L34">INDEX(Data,MATCH($C34,Line_Items,0),MATCH(LEFT(L$24,4),Fiscal_Periods,0))</f>
        <v>#REF!</v>
      </c>
      <c r="M34" s="790" t="str">
        <f t="shared" si="1"/>
        <v>N/A</v>
      </c>
      <c r="N34" s="494" t="str">
        <f t="shared" si="2"/>
        <v>N/A</v>
      </c>
      <c r="O34" s="494" t="str">
        <f t="shared" si="3"/>
        <v>N/A</v>
      </c>
      <c r="P34" s="494" t="str">
        <f t="shared" si="4"/>
        <v>N/A</v>
      </c>
      <c r="Q34" s="9"/>
      <c r="R34" s="9"/>
      <c r="S34" s="2"/>
      <c r="T34" s="2"/>
      <c r="U34" s="2"/>
      <c r="V34" s="2"/>
      <c r="W34" s="2"/>
      <c r="X34" s="2"/>
      <c r="Y34" s="2"/>
      <c r="Z34" s="2"/>
    </row>
    <row r="35" spans="1:26" ht="14.25" customHeight="1">
      <c r="A35" s="9"/>
      <c r="B35" s="9"/>
      <c r="C35" s="9" t="e">
        <f>'Segment Analysis'!#REF!</f>
        <v>#REF!</v>
      </c>
      <c r="D35" s="9"/>
      <c r="E35" s="9"/>
      <c r="F35" s="9"/>
      <c r="G35" s="9"/>
      <c r="H35" s="791" t="e">
        <f t="array" ref="H35">INDEX(Data,MATCH($C35,Line_Items,0),MATCH($H$6,Fiscal_Periods,0))</f>
        <v>#REF!</v>
      </c>
      <c r="I35" s="791" t="e">
        <f t="array" ref="I35">INDEX(Data,MATCH($C35,Line_Items,0),MATCH($H$6,Fiscal_Periods,0))</f>
        <v>#REF!</v>
      </c>
      <c r="J35" s="792">
        <v>-23</v>
      </c>
      <c r="K35" s="791" t="e">
        <f t="array" ref="K35">INDEX(Data,MATCH($C35,Line_Items,0),MATCH(LEFT(K$24,4),Fiscal_Periods,0))</f>
        <v>#REF!</v>
      </c>
      <c r="L35" s="791" t="e">
        <f t="array" ref="L35">INDEX(Data,MATCH($C35,Line_Items,0),MATCH(LEFT(L$24,4),Fiscal_Periods,0))</f>
        <v>#REF!</v>
      </c>
      <c r="M35" s="790" t="str">
        <f t="shared" si="1"/>
        <v>N/A</v>
      </c>
      <c r="N35" s="494" t="str">
        <f t="shared" si="2"/>
        <v>N/A</v>
      </c>
      <c r="O35" s="494" t="str">
        <f t="shared" si="3"/>
        <v>N/A</v>
      </c>
      <c r="P35" s="494" t="str">
        <f t="shared" si="4"/>
        <v>N/A</v>
      </c>
      <c r="Q35" s="9"/>
      <c r="R35" s="9"/>
      <c r="S35" s="2"/>
      <c r="T35" s="2"/>
      <c r="U35" s="2"/>
      <c r="V35" s="2"/>
      <c r="W35" s="2"/>
      <c r="X35" s="2"/>
      <c r="Y35" s="2"/>
      <c r="Z35" s="2"/>
    </row>
    <row r="36" spans="1:26" ht="14.25" customHeight="1">
      <c r="A36" s="9"/>
      <c r="B36" s="9"/>
      <c r="C36" s="9" t="e">
        <f>'Segment Analysis'!#REF!</f>
        <v>#REF!</v>
      </c>
      <c r="D36" s="9"/>
      <c r="E36" s="9"/>
      <c r="F36" s="9"/>
      <c r="G36" s="9"/>
      <c r="H36" s="791" t="e">
        <f t="array" ref="H36">INDEX(Data,MATCH($C36,Line_Items,0),MATCH($H$6,Fiscal_Periods,0))</f>
        <v>#REF!</v>
      </c>
      <c r="I36" s="791" t="e">
        <f t="array" ref="I36">INDEX(Data,MATCH($C36,Line_Items,0),MATCH($H$6,Fiscal_Periods,0))</f>
        <v>#REF!</v>
      </c>
      <c r="J36" s="792">
        <v>650</v>
      </c>
      <c r="K36" s="791" t="e">
        <f t="array" ref="K36">INDEX(Data,MATCH($C36,Line_Items,0),MATCH(LEFT(K$24,4),Fiscal_Periods,0))</f>
        <v>#REF!</v>
      </c>
      <c r="L36" s="791" t="e">
        <f t="array" ref="L36">INDEX(Data,MATCH($C36,Line_Items,0),MATCH(LEFT(L$24,4),Fiscal_Periods,0))</f>
        <v>#REF!</v>
      </c>
      <c r="M36" s="790" t="str">
        <f t="shared" si="1"/>
        <v>N/A</v>
      </c>
      <c r="N36" s="494" t="str">
        <f t="shared" si="2"/>
        <v>N/A</v>
      </c>
      <c r="O36" s="494" t="str">
        <f t="shared" si="3"/>
        <v>N/A</v>
      </c>
      <c r="P36" s="494" t="str">
        <f t="shared" si="4"/>
        <v>N/A</v>
      </c>
      <c r="Q36" s="9"/>
      <c r="R36" s="9"/>
      <c r="S36" s="2"/>
      <c r="T36" s="2"/>
      <c r="U36" s="2"/>
      <c r="V36" s="2"/>
      <c r="W36" s="2"/>
      <c r="X36" s="2"/>
      <c r="Y36" s="2"/>
      <c r="Z36" s="2"/>
    </row>
    <row r="37" spans="1:26" ht="14.25" customHeight="1">
      <c r="A37" s="9"/>
      <c r="B37" s="9"/>
      <c r="C37" s="9" t="e">
        <f>'Segment Analysis'!#REF!</f>
        <v>#REF!</v>
      </c>
      <c r="D37" s="9"/>
      <c r="E37" s="9"/>
      <c r="F37" s="9"/>
      <c r="G37" s="9"/>
      <c r="H37" s="791" t="e">
        <f t="array" ref="H37">INDEX(Data,MATCH($C37,Line_Items,0),MATCH($H$6,Fiscal_Periods,0))</f>
        <v>#REF!</v>
      </c>
      <c r="I37" s="791" t="e">
        <f t="array" ref="I37">INDEX(Data,MATCH($C37,Line_Items,0),MATCH($H$6,Fiscal_Periods,0))</f>
        <v>#REF!</v>
      </c>
      <c r="J37" s="792">
        <v>300</v>
      </c>
      <c r="K37" s="791" t="e">
        <f t="array" ref="K37">INDEX(Data,MATCH($C37,Line_Items,0),MATCH(LEFT(K$24,4),Fiscal_Periods,0))</f>
        <v>#REF!</v>
      </c>
      <c r="L37" s="791" t="e">
        <f t="array" ref="L37">INDEX(Data,MATCH($C37,Line_Items,0),MATCH(LEFT(L$24,4),Fiscal_Periods,0))</f>
        <v>#REF!</v>
      </c>
      <c r="M37" s="790" t="str">
        <f t="shared" si="1"/>
        <v>N/A</v>
      </c>
      <c r="N37" s="494" t="str">
        <f t="shared" si="2"/>
        <v>N/A</v>
      </c>
      <c r="O37" s="494" t="str">
        <f t="shared" si="3"/>
        <v>N/A</v>
      </c>
      <c r="P37" s="494" t="str">
        <f t="shared" si="4"/>
        <v>N/A</v>
      </c>
      <c r="Q37" s="9"/>
      <c r="R37" s="9"/>
      <c r="S37" s="2"/>
      <c r="T37" s="2"/>
      <c r="U37" s="2"/>
      <c r="V37" s="2"/>
      <c r="W37" s="2"/>
      <c r="X37" s="2"/>
      <c r="Y37" s="2"/>
      <c r="Z37" s="2"/>
    </row>
    <row r="38" spans="1:26" ht="14.25" customHeight="1">
      <c r="A38" s="9"/>
      <c r="B38" s="9"/>
      <c r="C38" s="9"/>
      <c r="D38" s="9"/>
      <c r="E38" s="9"/>
      <c r="F38" s="9"/>
      <c r="G38" s="9"/>
      <c r="H38" s="64"/>
      <c r="I38" s="64"/>
      <c r="J38" s="64"/>
      <c r="K38" s="64"/>
      <c r="L38" s="64"/>
      <c r="M38" s="64"/>
      <c r="N38" s="64"/>
      <c r="O38" s="64"/>
      <c r="P38" s="64"/>
      <c r="Q38" s="9"/>
      <c r="R38" s="9"/>
      <c r="S38" s="2"/>
      <c r="T38" s="2"/>
      <c r="U38" s="2"/>
      <c r="V38" s="2"/>
      <c r="W38" s="2"/>
      <c r="X38" s="2"/>
      <c r="Y38" s="2"/>
      <c r="Z38" s="2"/>
    </row>
    <row r="39" spans="1:26" ht="14.25" customHeight="1">
      <c r="A39" s="9"/>
      <c r="B39" s="9"/>
      <c r="C39" s="9"/>
      <c r="D39" s="9"/>
      <c r="E39" s="9"/>
      <c r="F39" s="9"/>
      <c r="G39" s="9"/>
      <c r="H39" s="64"/>
      <c r="I39" s="64"/>
      <c r="J39" s="64"/>
      <c r="K39" s="64"/>
      <c r="L39" s="64"/>
      <c r="M39" s="64"/>
      <c r="N39" s="64"/>
      <c r="O39" s="64"/>
      <c r="P39" s="64"/>
      <c r="Q39" s="9"/>
      <c r="R39" s="9"/>
      <c r="S39" s="2"/>
      <c r="T39" s="2"/>
      <c r="U39" s="2"/>
      <c r="V39" s="2"/>
      <c r="W39" s="2"/>
      <c r="X39" s="2"/>
      <c r="Y39" s="2"/>
      <c r="Z39" s="2"/>
    </row>
    <row r="40" spans="1:26" ht="14.25" customHeight="1">
      <c r="A40" s="9"/>
      <c r="B40" s="180" t="s">
        <v>0</v>
      </c>
      <c r="C40" s="76" t="str">
        <f>Ticker&amp;" "&amp;H4&amp;RIGHT(H5,2)&amp;" Cash Flow Results"</f>
        <v>HLNE 2Q26 Cash Flow Results</v>
      </c>
      <c r="D40" s="76"/>
      <c r="E40" s="76"/>
      <c r="F40" s="76"/>
      <c r="G40" s="76"/>
      <c r="H40" s="78" t="str">
        <f t="shared" ref="H40:P40" si="5">H10</f>
        <v>2Q26a</v>
      </c>
      <c r="I40" s="78" t="str">
        <f t="shared" si="5"/>
        <v>OFe</v>
      </c>
      <c r="J40" s="78" t="str">
        <f t="shared" si="5"/>
        <v>Consensus</v>
      </c>
      <c r="K40" s="78" t="str">
        <f t="shared" si="5"/>
        <v>2Q25a</v>
      </c>
      <c r="L40" s="78" t="str">
        <f t="shared" si="5"/>
        <v>1Q26a</v>
      </c>
      <c r="M40" s="787" t="str">
        <f t="shared" si="5"/>
        <v>v. OFe</v>
      </c>
      <c r="N40" s="78" t="str">
        <f t="shared" si="5"/>
        <v>v. Consensus</v>
      </c>
      <c r="O40" s="78" t="str">
        <f t="shared" si="5"/>
        <v>v. 2Q25a</v>
      </c>
      <c r="P40" s="78" t="str">
        <f t="shared" si="5"/>
        <v>v. 1Q26a</v>
      </c>
      <c r="Q40" s="9"/>
      <c r="R40" s="9"/>
      <c r="S40" s="2"/>
      <c r="T40" s="2"/>
      <c r="U40" s="2"/>
      <c r="V40" s="2"/>
      <c r="W40" s="2"/>
      <c r="X40" s="2"/>
      <c r="Y40" s="2"/>
      <c r="Z40" s="2"/>
    </row>
    <row r="41" spans="1:26" ht="4.5" customHeight="1">
      <c r="A41" s="9"/>
      <c r="B41" s="9"/>
      <c r="C41" s="9"/>
      <c r="D41" s="9"/>
      <c r="E41" s="9"/>
      <c r="F41" s="9"/>
      <c r="G41" s="9"/>
      <c r="H41" s="64"/>
      <c r="I41" s="64"/>
      <c r="J41" s="64"/>
      <c r="K41" s="64"/>
      <c r="L41" s="64"/>
      <c r="M41" s="64"/>
      <c r="N41" s="64"/>
      <c r="O41" s="64"/>
      <c r="P41" s="64"/>
      <c r="Q41" s="9"/>
      <c r="R41" s="9"/>
      <c r="S41" s="2"/>
      <c r="T41" s="2"/>
      <c r="U41" s="2"/>
      <c r="V41" s="2"/>
      <c r="W41" s="2"/>
      <c r="X41" s="2"/>
      <c r="Y41" s="2"/>
      <c r="Z41" s="2"/>
    </row>
    <row r="42" spans="1:26" ht="14.25" customHeight="1">
      <c r="A42" s="9"/>
      <c r="B42" s="9"/>
      <c r="C42" s="9" t="str">
        <f>Model!C82</f>
        <v>Net Cash From Operating Activities</v>
      </c>
      <c r="D42" s="9"/>
      <c r="E42" s="9"/>
      <c r="F42" s="9"/>
      <c r="G42" s="9"/>
      <c r="H42" s="788">
        <f t="array" aca="1" ref="H42" ca="1">INDEX(Data,MATCH($C42,Line_Items,0),MATCH($H$6,Fiscal_Periods,0))</f>
        <v>86.249211163462519</v>
      </c>
      <c r="I42" s="788">
        <f t="array" aca="1" ref="I42" ca="1">INDEX(Data,MATCH($C42,Line_Items,0),MATCH($H$6,Fiscal_Periods,0))</f>
        <v>86.249211163462519</v>
      </c>
      <c r="J42" s="789">
        <v>50</v>
      </c>
      <c r="K42" s="788">
        <f t="array" ref="K42">INDEX(Data,MATCH($C42,Line_Items,0),MATCH(LEFT(K$40,4),Fiscal_Periods,0))</f>
        <v>0</v>
      </c>
      <c r="L42" s="788">
        <f t="array" ref="L42">INDEX(Data,MATCH($C42,Line_Items,0),MATCH(LEFT(L$40,4),Fiscal_Periods,0))</f>
        <v>0</v>
      </c>
      <c r="M42" s="790">
        <f t="shared" ref="M42:N44" ca="1" si="6">IFERROR($H42/I42-1,"N/A")</f>
        <v>0</v>
      </c>
      <c r="N42" s="494">
        <f t="shared" ca="1" si="6"/>
        <v>0.72498422326925027</v>
      </c>
      <c r="O42" s="494" t="str">
        <f t="shared" ref="O42:P44" ca="1" si="7">IFERROR($I42/K42-1,"N/A")</f>
        <v>N/A</v>
      </c>
      <c r="P42" s="494" t="str">
        <f t="shared" ca="1" si="7"/>
        <v>N/A</v>
      </c>
      <c r="Q42" s="9"/>
      <c r="R42" s="9"/>
      <c r="S42" s="2"/>
      <c r="T42" s="2"/>
      <c r="U42" s="2"/>
      <c r="V42" s="2"/>
      <c r="W42" s="2"/>
      <c r="X42" s="2"/>
      <c r="Y42" s="2"/>
      <c r="Z42" s="2"/>
    </row>
    <row r="43" spans="1:26" ht="14.25" customHeight="1">
      <c r="A43" s="9"/>
      <c r="B43" s="9"/>
      <c r="C43" s="9" t="str">
        <f>Model!C84</f>
        <v>Capital Expenditures</v>
      </c>
      <c r="D43" s="9"/>
      <c r="E43" s="9"/>
      <c r="F43" s="9"/>
      <c r="G43" s="9"/>
      <c r="H43" s="791">
        <f t="array" ref="H43">INDEX(Data,MATCH($C43,Line_Items,0),MATCH($H$6,Fiscal_Periods,0))</f>
        <v>-2.20692792</v>
      </c>
      <c r="I43" s="791">
        <f t="array" ref="I43">INDEX(Data,MATCH($C43,Line_Items,0),MATCH($H$6,Fiscal_Periods,0))</f>
        <v>-2.20692792</v>
      </c>
      <c r="J43" s="792">
        <v>-668</v>
      </c>
      <c r="K43" s="791">
        <f t="array" ref="K43">INDEX(Data,MATCH($C43,Line_Items,0),MATCH(LEFT(K$40,4),Fiscal_Periods,0))</f>
        <v>0</v>
      </c>
      <c r="L43" s="791">
        <f t="array" ref="L43">INDEX(Data,MATCH($C43,Line_Items,0),MATCH(LEFT(L$40,4),Fiscal_Periods,0))</f>
        <v>0</v>
      </c>
      <c r="M43" s="790">
        <f t="shared" si="6"/>
        <v>0</v>
      </c>
      <c r="N43" s="494">
        <f t="shared" si="6"/>
        <v>-0.99669621568862277</v>
      </c>
      <c r="O43" s="494" t="str">
        <f t="shared" si="7"/>
        <v>N/A</v>
      </c>
      <c r="P43" s="494" t="str">
        <f t="shared" si="7"/>
        <v>N/A</v>
      </c>
      <c r="Q43" s="9"/>
      <c r="R43" s="9"/>
      <c r="S43" s="2"/>
      <c r="T43" s="2"/>
      <c r="U43" s="2"/>
      <c r="V43" s="2"/>
      <c r="W43" s="2"/>
      <c r="X43" s="2"/>
      <c r="Y43" s="2"/>
      <c r="Z43" s="2"/>
    </row>
    <row r="44" spans="1:26" ht="14.25" customHeight="1">
      <c r="A44" s="9"/>
      <c r="B44" s="9"/>
      <c r="C44" s="9" t="str">
        <f>Model!C114</f>
        <v>Free Cash Flow (FCF)</v>
      </c>
      <c r="D44" s="9"/>
      <c r="E44" s="9"/>
      <c r="F44" s="9"/>
      <c r="G44" s="9"/>
      <c r="H44" s="791">
        <f t="array" aca="1" ref="H44" ca="1">INDEX(Data,MATCH($C44,Line_Items,0),MATCH($H$6,Fiscal_Periods,0))</f>
        <v>63.827130753566991</v>
      </c>
      <c r="I44" s="791">
        <f t="array" aca="1" ref="I44" ca="1">INDEX(Data,MATCH($C44,Line_Items,0),MATCH($H$6,Fiscal_Periods,0))</f>
        <v>63.827130753566991</v>
      </c>
      <c r="J44" s="792">
        <v>1412.6</v>
      </c>
      <c r="K44" s="791">
        <f t="array" ref="K44">INDEX(Data,MATCH($C44,Line_Items,0),MATCH(LEFT(K$40,4),Fiscal_Periods,0))</f>
        <v>123.089</v>
      </c>
      <c r="L44" s="791">
        <f t="array" ref="L44">INDEX(Data,MATCH($C44,Line_Items,0),MATCH(LEFT(L$40,4),Fiscal_Periods,0))</f>
        <v>103.78100000000001</v>
      </c>
      <c r="M44" s="790">
        <f t="shared" ca="1" si="6"/>
        <v>0</v>
      </c>
      <c r="N44" s="494">
        <f t="shared" ca="1" si="6"/>
        <v>-0.95481584967183419</v>
      </c>
      <c r="O44" s="494">
        <f t="shared" ca="1" si="7"/>
        <v>-0.48145544481174607</v>
      </c>
      <c r="P44" s="494">
        <f t="shared" ca="1" si="7"/>
        <v>-0.38498250398852407</v>
      </c>
      <c r="Q44" s="9"/>
      <c r="R44" s="9"/>
      <c r="S44" s="2"/>
      <c r="T44" s="2"/>
      <c r="U44" s="2"/>
      <c r="V44" s="2"/>
      <c r="W44" s="2"/>
      <c r="X44" s="2"/>
      <c r="Y44" s="2"/>
      <c r="Z44" s="2"/>
    </row>
    <row r="45" spans="1:26"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H12:H21">
    <cfRule type="expression" dxfId="15" priority="1">
      <formula>$H$8="Report"</formula>
    </cfRule>
  </conditionalFormatting>
  <conditionalFormatting sqref="H26:L37">
    <cfRule type="expression" dxfId="14" priority="2">
      <formula>$H$8="Report"</formula>
    </cfRule>
  </conditionalFormatting>
  <conditionalFormatting sqref="H42:L44">
    <cfRule type="expression" dxfId="13" priority="3">
      <formula>$H$8="Report"</formula>
    </cfRule>
  </conditionalFormatting>
  <conditionalFormatting sqref="I13 K13:L13 J16 J18">
    <cfRule type="expression" dxfId="12" priority="4">
      <formula>$H$8="Report"</formula>
    </cfRule>
  </conditionalFormatting>
  <conditionalFormatting sqref="I15:I19">
    <cfRule type="expression" dxfId="11" priority="5">
      <formula>$H$8="Report"</formula>
    </cfRule>
  </conditionalFormatting>
  <conditionalFormatting sqref="I12:L15">
    <cfRule type="expression" dxfId="10" priority="6">
      <formula>$H$8="Report"</formula>
    </cfRule>
  </conditionalFormatting>
  <conditionalFormatting sqref="I17:L17">
    <cfRule type="expression" dxfId="9" priority="7">
      <formula>$H$8="Report"</formula>
    </cfRule>
  </conditionalFormatting>
  <conditionalFormatting sqref="I19:L21">
    <cfRule type="expression" dxfId="8" priority="8">
      <formula>$H$8="Report"</formula>
    </cfRule>
  </conditionalFormatting>
  <conditionalFormatting sqref="K15:L19">
    <cfRule type="expression" dxfId="7" priority="9">
      <formula>$H$8="Report"</formula>
    </cfRule>
  </conditionalFormatting>
  <conditionalFormatting sqref="K43:L44">
    <cfRule type="expression" dxfId="6" priority="10">
      <formula>$H$8="Report"</formula>
    </cfRule>
  </conditionalFormatting>
  <conditionalFormatting sqref="M12:P21">
    <cfRule type="cellIs" dxfId="5" priority="11" operator="lessThan">
      <formula>0</formula>
    </cfRule>
    <cfRule type="cellIs" dxfId="4" priority="12" operator="greaterThan">
      <formula>0</formula>
    </cfRule>
  </conditionalFormatting>
  <conditionalFormatting sqref="M26:P37">
    <cfRule type="cellIs" dxfId="3" priority="13" operator="lessThan">
      <formula>0</formula>
    </cfRule>
    <cfRule type="cellIs" dxfId="2" priority="14" operator="greaterThan">
      <formula>0</formula>
    </cfRule>
  </conditionalFormatting>
  <conditionalFormatting sqref="M42:P44">
    <cfRule type="cellIs" dxfId="1" priority="15" operator="lessThan">
      <formula>0</formula>
    </cfRule>
    <cfRule type="cellIs" dxfId="0" priority="16" operator="greaterThan">
      <formula>0</formula>
    </cfRule>
  </conditionalFormatting>
  <dataValidations count="2">
    <dataValidation type="list" allowBlank="1" showErrorMessage="1" sqref="H8" xr:uid="{00000000-0002-0000-1200-000000000000}">
      <formula1>"Working,Report"</formula1>
    </dataValidation>
    <dataValidation type="list" allowBlank="1" showErrorMessage="1" sqref="H4" xr:uid="{00000000-0002-0000-1200-000001000000}">
      <formula1>"1Q,2Q,3Q,4Q"</formula1>
    </dataValidation>
  </dataValidations>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253</vt:i4>
      </vt:variant>
    </vt:vector>
  </HeadingPairs>
  <TitlesOfParts>
    <vt:vector size="271" baseType="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_bdm.001de5d049b6489bbc2025ad50c87030.edm</vt:lpstr>
      <vt:lpstr>Model!_bdm.146e958bbea04416b86a4d5943392c04.edm</vt:lpstr>
      <vt:lpstr>_bdm.1ff456f35144482ea0525e6d75d0206f.edm</vt:lpstr>
      <vt:lpstr>_bdm.a65ed6e2cd6142fea39714a1a8762f97.edm</vt:lpstr>
      <vt:lpstr>Integrity!_bdm.bf5a9ed53fe44c598e3cfb84ac34b21f.edm</vt:lpstr>
      <vt:lpstr>_bdm.dca432f6461240c98baf2847c1b05465.edm</vt:lpstr>
      <vt:lpstr>'CIQ ID Locater'!Case_Scenario</vt:lpstr>
      <vt:lpstr>Case_Scenario</vt:lpstr>
      <vt:lpstr>Company_Cyclical_Multiples_Data</vt:lpstr>
      <vt:lpstr>'CIQ ID Locater'!Company_Name</vt:lpstr>
      <vt:lpstr>Company_Name</vt:lpstr>
      <vt:lpstr>Company_Rev_Methodology</vt:lpstr>
      <vt:lpstr>'CIQ ID Locater'!Cost_of_Debt</vt:lpstr>
      <vt:lpstr>Cost_of_Debt</vt:lpstr>
      <vt:lpstr>'CIQ ID Locater'!Cost_of_Equity</vt:lpstr>
      <vt:lpstr>Cost_of_Equity</vt:lpstr>
      <vt:lpstr>'CIQ ID Locater'!Cost_of_Preferred</vt:lpstr>
      <vt:lpstr>Cost_of_Preferred</vt:lpstr>
      <vt:lpstr>'CIQ ID Locater'!Current_Date</vt:lpstr>
      <vt:lpstr>Current_Date</vt:lpstr>
      <vt:lpstr>'CIQ ID Locater'!Cycle_Period_Toggle</vt:lpstr>
      <vt:lpstr>Cycle_Period_Toggle</vt:lpstr>
      <vt:lpstr>'CIQ ID Locater'!Cycle_Toggle</vt:lpstr>
      <vt:lpstr>Cycle_Toggle</vt:lpstr>
      <vt:lpstr>'CIQ ID Locater'!Cyclical_LTM_NTM_Toggle</vt:lpstr>
      <vt:lpstr>Cyclical_LTM_NTM_Toggle</vt:lpstr>
      <vt:lpstr>Cyclical_Peer_Group_Toggle</vt:lpstr>
      <vt:lpstr>'CIQ ID Locater'!Data</vt:lpstr>
      <vt:lpstr>Data</vt:lpstr>
      <vt:lpstr>'CIQ ID Locater'!Diluted_Shares</vt:lpstr>
      <vt:lpstr>Diluted_Shares</vt:lpstr>
      <vt:lpstr>'CIQ ID Locater'!Discount_Rate</vt:lpstr>
      <vt:lpstr>Discount_Rate</vt:lpstr>
      <vt:lpstr>Div_Yield</vt:lpstr>
      <vt:lpstr>'CIQ ID Locater'!ERP</vt:lpstr>
      <vt:lpstr>ERP</vt:lpstr>
      <vt:lpstr>'CIQ ID Locater'!Fiscal_Periods</vt:lpstr>
      <vt:lpstr>Fiscal_Periods</vt:lpstr>
      <vt:lpstr>Hun</vt:lpstr>
      <vt:lpstr>IQRCIQIDLocaterI13</vt:lpstr>
      <vt:lpstr>IQRCIQIDLocaterI14</vt:lpstr>
      <vt:lpstr>IQRCIQIDLocaterI15</vt:lpstr>
      <vt:lpstr>IQRCIQIDLocaterI16</vt:lpstr>
      <vt:lpstr>IQRCIQIDLocaterI17</vt:lpstr>
      <vt:lpstr>IQRCIQIDLocaterI18</vt:lpstr>
      <vt:lpstr>IQRCIQIDLocaterI19</vt:lpstr>
      <vt:lpstr>IQRCIQIDLocaterI20</vt:lpstr>
      <vt:lpstr>IQRCIQIDLocaterI21</vt:lpstr>
      <vt:lpstr>IQRCIQIDLocaterI22</vt:lpstr>
      <vt:lpstr>IQRCIQIDLocaterI23</vt:lpstr>
      <vt:lpstr>IQRCIQIDLocaterI24</vt:lpstr>
      <vt:lpstr>IQRCIQIDLocaterI25</vt:lpstr>
      <vt:lpstr>IQRCIQIDLocaterI26</vt:lpstr>
      <vt:lpstr>IQRCIQIDLocaterI27</vt:lpstr>
      <vt:lpstr>IQRCIQIDLocaterI28</vt:lpstr>
      <vt:lpstr>IQRCIQIDLocaterI29</vt:lpstr>
      <vt:lpstr>IQRCIQIDLocaterO13</vt:lpstr>
      <vt:lpstr>IQRCIQIDLocaterO14</vt:lpstr>
      <vt:lpstr>IQRCIQIDLocaterO15</vt:lpstr>
      <vt:lpstr>IQRCIQIDLocaterO16</vt:lpstr>
      <vt:lpstr>IQRCIQIDLocaterO17</vt:lpstr>
      <vt:lpstr>IQRCIQIDLocaterO18</vt:lpstr>
      <vt:lpstr>IQRCIQIDLocaterO19</vt:lpstr>
      <vt:lpstr>IQRCIQIDLocaterO20</vt:lpstr>
      <vt:lpstr>IQRCIQIDLocaterO21</vt:lpstr>
      <vt:lpstr>IQRCIQIDLocaterO22</vt:lpstr>
      <vt:lpstr>IQRCIQIDLocaterO23</vt:lpstr>
      <vt:lpstr>IQRCIQIDLocaterO24</vt:lpstr>
      <vt:lpstr>IQRCIQIDLocaterO25</vt:lpstr>
      <vt:lpstr>IQRCIQIDLocaterO26</vt:lpstr>
      <vt:lpstr>IQRCIQIDLocaterO27</vt:lpstr>
      <vt:lpstr>IQRCIQIDLocaterO28</vt:lpstr>
      <vt:lpstr>IQRCIQIDLocaterO29</vt:lpstr>
      <vt:lpstr>IQRCompaniesH13</vt:lpstr>
      <vt:lpstr>IQRCompaniesH14</vt:lpstr>
      <vt:lpstr>IQRCompaniesH15</vt:lpstr>
      <vt:lpstr>IQRCompaniesH17</vt:lpstr>
      <vt:lpstr>IQRCompaniesH18</vt:lpstr>
      <vt:lpstr>IQRCompaniesH19</vt:lpstr>
      <vt:lpstr>IQRCompaniesH20</vt:lpstr>
      <vt:lpstr>IQRCompaniesI13</vt:lpstr>
      <vt:lpstr>IQRCompaniesI14</vt:lpstr>
      <vt:lpstr>IQRCompaniesI15</vt:lpstr>
      <vt:lpstr>IQRCompaniesI16</vt:lpstr>
      <vt:lpstr>IQRCompaniesI17</vt:lpstr>
      <vt:lpstr>IQRCompaniesI18</vt:lpstr>
      <vt:lpstr>IQRCompaniesI19</vt:lpstr>
      <vt:lpstr>IQRCompaniesI20</vt:lpstr>
      <vt:lpstr>IQRCompaniesI21</vt:lpstr>
      <vt:lpstr>IQRCompaniesI22</vt:lpstr>
      <vt:lpstr>IQRCompaniesI23</vt:lpstr>
      <vt:lpstr>IQRCompaniesI24</vt:lpstr>
      <vt:lpstr>IQRCompaniesI25</vt:lpstr>
      <vt:lpstr>IQRCompaniesI26</vt:lpstr>
      <vt:lpstr>IQRCompaniesI27</vt:lpstr>
      <vt:lpstr>IQRCompaniesI28</vt:lpstr>
      <vt:lpstr>IQRCompaniesI29</vt:lpstr>
      <vt:lpstr>IQRCompaniesI30</vt:lpstr>
      <vt:lpstr>IQRCompaniesI31</vt:lpstr>
      <vt:lpstr>IQRCompaniesN13</vt:lpstr>
      <vt:lpstr>IQRCompaniesN14</vt:lpstr>
      <vt:lpstr>IQRCompaniesN15</vt:lpstr>
      <vt:lpstr>IQRCompaniesN17</vt:lpstr>
      <vt:lpstr>IQRCompaniesN18</vt:lpstr>
      <vt:lpstr>IQRCompaniesN19</vt:lpstr>
      <vt:lpstr>IQRCompaniesN20</vt:lpstr>
      <vt:lpstr>IQRCompaniesO13</vt:lpstr>
      <vt:lpstr>IQRCompaniesO14</vt:lpstr>
      <vt:lpstr>IQRCompaniesO15</vt:lpstr>
      <vt:lpstr>IQRCompaniesO16</vt:lpstr>
      <vt:lpstr>IQRCompaniesO17</vt:lpstr>
      <vt:lpstr>IQRCompaniesO18</vt:lpstr>
      <vt:lpstr>IQRCompaniesO19</vt:lpstr>
      <vt:lpstr>IQRCompaniesO20</vt:lpstr>
      <vt:lpstr>IQRCompaniesO21</vt:lpstr>
      <vt:lpstr>IQRCompaniesO22</vt:lpstr>
      <vt:lpstr>IQRCompaniesO23</vt:lpstr>
      <vt:lpstr>IQRCompaniesO24</vt:lpstr>
      <vt:lpstr>IQRCompaniesO25</vt:lpstr>
      <vt:lpstr>IQRCompaniesO26</vt:lpstr>
      <vt:lpstr>IQRCompaniesO27</vt:lpstr>
      <vt:lpstr>IQRCompaniesO28</vt:lpstr>
      <vt:lpstr>IQRCompaniesO29</vt:lpstr>
      <vt:lpstr>IQRCompaniesO30</vt:lpstr>
      <vt:lpstr>IQRCompaniesO31</vt:lpstr>
      <vt:lpstr>IQRCompayIDLocaterI13</vt:lpstr>
      <vt:lpstr>IQRCompayIDLocaterI14</vt:lpstr>
      <vt:lpstr>IQRCompayIDLocaterI15</vt:lpstr>
      <vt:lpstr>IQRCompayIDLocaterI16</vt:lpstr>
      <vt:lpstr>IQRCompayIDLocaterI17</vt:lpstr>
      <vt:lpstr>IQRCompayIDLocaterI18</vt:lpstr>
      <vt:lpstr>IQRCompayIDLocaterI19</vt:lpstr>
      <vt:lpstr>IQRCompayIDLocaterI20</vt:lpstr>
      <vt:lpstr>IQRCompayIDLocaterI21</vt:lpstr>
      <vt:lpstr>IQRCompayIDLocaterI22</vt:lpstr>
      <vt:lpstr>IQRCompayIDLocaterI23</vt:lpstr>
      <vt:lpstr>IQRCompayIDLocaterI24</vt:lpstr>
      <vt:lpstr>IQRCompayIDLocaterI25</vt:lpstr>
      <vt:lpstr>IQRCompayIDLocaterI26</vt:lpstr>
      <vt:lpstr>IQRCompayIDLocaterI27</vt:lpstr>
      <vt:lpstr>IQRCompayIDLocaterI28</vt:lpstr>
      <vt:lpstr>IQRCompayIDLocaterI29</vt:lpstr>
      <vt:lpstr>IQRCompayIDLocaterI30</vt:lpstr>
      <vt:lpstr>IQRCompayIDLocaterO13</vt:lpstr>
      <vt:lpstr>IQRCompayIDLocaterO14</vt:lpstr>
      <vt:lpstr>IQRCompayIDLocaterO15</vt:lpstr>
      <vt:lpstr>IQRCompayIDLocaterO16</vt:lpstr>
      <vt:lpstr>IQRCompayIDLocaterO17</vt:lpstr>
      <vt:lpstr>IQRCompayIDLocaterO18</vt:lpstr>
      <vt:lpstr>IQRCompayIDLocaterO19</vt:lpstr>
      <vt:lpstr>IQRCompayIDLocaterO20</vt:lpstr>
      <vt:lpstr>IQRCompayIDLocaterO21</vt:lpstr>
      <vt:lpstr>IQRCompayIDLocaterO22</vt:lpstr>
      <vt:lpstr>IQRCompayIDLocaterO23</vt:lpstr>
      <vt:lpstr>IQRCompayIDLocaterO24</vt:lpstr>
      <vt:lpstr>IQRCompayIDLocaterO25</vt:lpstr>
      <vt:lpstr>IQRCompayIDLocaterO26</vt:lpstr>
      <vt:lpstr>IQRCompayIDLocaterO27</vt:lpstr>
      <vt:lpstr>IQRCompayIDLocaterO28</vt:lpstr>
      <vt:lpstr>IQRCompayIDLocaterO29</vt:lpstr>
      <vt:lpstr>IQRCompayIDLocaterO30</vt:lpstr>
      <vt:lpstr>IQRSheet1H13</vt:lpstr>
      <vt:lpstr>IQRSheet1H14</vt:lpstr>
      <vt:lpstr>IQRSheet1H15</vt:lpstr>
      <vt:lpstr>IQRSheet1H17</vt:lpstr>
      <vt:lpstr>IQRSheet1H18</vt:lpstr>
      <vt:lpstr>IQRSheet1H19</vt:lpstr>
      <vt:lpstr>IQRSheet1H20</vt:lpstr>
      <vt:lpstr>IQRSheet1I13</vt:lpstr>
      <vt:lpstr>IQRSheet1I14</vt:lpstr>
      <vt:lpstr>IQRSheet1I15</vt:lpstr>
      <vt:lpstr>IQRSheet1I16</vt:lpstr>
      <vt:lpstr>IQRSheet1I17</vt:lpstr>
      <vt:lpstr>IQRSheet1I18</vt:lpstr>
      <vt:lpstr>IQRSheet1I19</vt:lpstr>
      <vt:lpstr>IQRSheet1I20</vt:lpstr>
      <vt:lpstr>IQRSheet1I21</vt:lpstr>
      <vt:lpstr>IQRSheet1I22</vt:lpstr>
      <vt:lpstr>IQRSheet1I23</vt:lpstr>
      <vt:lpstr>IQRSheet1I24</vt:lpstr>
      <vt:lpstr>IQRSheet1I25</vt:lpstr>
      <vt:lpstr>IQRSheet1I26</vt:lpstr>
      <vt:lpstr>IQRSheet1I27</vt:lpstr>
      <vt:lpstr>IQRSheet1I28</vt:lpstr>
      <vt:lpstr>IQRSheet1I29</vt:lpstr>
      <vt:lpstr>IQRSheet1I30</vt:lpstr>
      <vt:lpstr>IQRSheet1N13</vt:lpstr>
      <vt:lpstr>IQRSheet1N14</vt:lpstr>
      <vt:lpstr>IQRSheet1N15</vt:lpstr>
      <vt:lpstr>IQRSheet1N17</vt:lpstr>
      <vt:lpstr>IQRSheet1N18</vt:lpstr>
      <vt:lpstr>IQRSheet1N19</vt:lpstr>
      <vt:lpstr>IQRSheet1N20</vt:lpstr>
      <vt:lpstr>IQRSheet1O13</vt:lpstr>
      <vt:lpstr>IQRSheet1O14</vt:lpstr>
      <vt:lpstr>IQRSheet1O15</vt:lpstr>
      <vt:lpstr>IQRSheet1O16</vt:lpstr>
      <vt:lpstr>IQRSheet1O17</vt:lpstr>
      <vt:lpstr>IQRSheet1O18</vt:lpstr>
      <vt:lpstr>IQRSheet1O19</vt:lpstr>
      <vt:lpstr>IQRSheet1O20</vt:lpstr>
      <vt:lpstr>IQRSheet1O21</vt:lpstr>
      <vt:lpstr>IQRSheet1O22</vt:lpstr>
      <vt:lpstr>IQRSheet1O23</vt:lpstr>
      <vt:lpstr>IQRSheet1O24</vt:lpstr>
      <vt:lpstr>IQRSheet1O25</vt:lpstr>
      <vt:lpstr>IQRSheet1O26</vt:lpstr>
      <vt:lpstr>IQRSheet1O27</vt:lpstr>
      <vt:lpstr>IQRSheet1O28</vt:lpstr>
      <vt:lpstr>IQRSheet1O29</vt:lpstr>
      <vt:lpstr>IQRSheet1O30</vt:lpstr>
      <vt:lpstr>'CIQ ID Locater'!Last_FQR</vt:lpstr>
      <vt:lpstr>Last_FQR</vt:lpstr>
      <vt:lpstr>'CIQ ID Locater'!Last_FYE</vt:lpstr>
      <vt:lpstr>Last_FYE</vt:lpstr>
      <vt:lpstr>'CIQ ID Locater'!Line_Items</vt:lpstr>
      <vt:lpstr>Line_Items</vt:lpstr>
      <vt:lpstr>Mil</vt:lpstr>
      <vt:lpstr>'CIQ ID Locater'!Next_FYE</vt:lpstr>
      <vt:lpstr>Next_FYE</vt:lpstr>
      <vt:lpstr>NTM_Earnings</vt:lpstr>
      <vt:lpstr>'CIQ ID Locater'!NTM_EBITDA</vt:lpstr>
      <vt:lpstr>NTM_EBITDA</vt:lpstr>
      <vt:lpstr>'CIQ ID Locater'!NTM_EPS</vt:lpstr>
      <vt:lpstr>NTM_EPS</vt:lpstr>
      <vt:lpstr>PeerGroup2_Cyclical_Valuation_Data</vt:lpstr>
      <vt:lpstr>PeerGroup3_Cyclical_Valuation_Data</vt:lpstr>
      <vt:lpstr>Primary_Peer_Cyclical_Valuation_Data</vt:lpstr>
      <vt:lpstr>Revenue_Data_Summary</vt:lpstr>
      <vt:lpstr>'CIQ ID Locater'!Risk_Free_Rate</vt:lpstr>
      <vt:lpstr>Risk_Free_Rate</vt:lpstr>
      <vt:lpstr>Segment1_Rev_Methodology</vt:lpstr>
      <vt:lpstr>Segment2_Rev_Methodology</vt:lpstr>
      <vt:lpstr>Segment3_Rev_Methodology</vt:lpstr>
      <vt:lpstr>Segment4_Rev_Methodology</vt:lpstr>
      <vt:lpstr>Segment5_Rev_Methodology</vt:lpstr>
      <vt:lpstr>Segment6_Rev_Methodology</vt:lpstr>
      <vt:lpstr>'CIQ ID Locater'!Share_Price</vt:lpstr>
      <vt:lpstr>Share_Price</vt:lpstr>
      <vt:lpstr>'CIQ ID Locater'!Share_Price_High</vt:lpstr>
      <vt:lpstr>Share_Price_High</vt:lpstr>
      <vt:lpstr>'CIQ ID Locater'!Share_Price_Low</vt:lpstr>
      <vt:lpstr>Share_Price_Low</vt:lpstr>
      <vt:lpstr>'CIQ ID Locater'!Tax_Rate</vt:lpstr>
      <vt:lpstr>Tax_Rate</vt:lpstr>
      <vt:lpstr>Thou</vt:lpstr>
      <vt:lpstr>'CIQ ID Locater'!Ticker</vt:lpstr>
      <vt:lpstr>Ticker</vt:lpstr>
      <vt:lpstr>'CIQ ID Locater'!Weight_of_Debt</vt:lpstr>
      <vt:lpstr>Weight_of_Debt</vt:lpstr>
      <vt:lpstr>Weight_of_Equity</vt:lpstr>
      <vt:lpstr>'CIQ ID Locater'!Weight_of_Preferred</vt:lpstr>
      <vt:lpstr>Weight_of_Preferred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Saad Q</cp:lastModifiedBy>
  <cp:lastPrinted>2025-10-04T21:00:37Z</cp:lastPrinted>
  <dcterms:created xsi:type="dcterms:W3CDTF">2019-08-15T14:34:41Z</dcterms:created>
  <dcterms:modified xsi:type="dcterms:W3CDTF">2025-10-11T00:18:04Z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0x0101003EDF1C1147E6F44F8CD35B7038471988</vt:lpwstr>
  </property>
  <property fmtid="{D5CDD505-2E9C-101B-9397-08002B2CF9AE}" pid="3" name="{A44787D4-0540-4523-9961-78E4036D8C6D}">
    <vt:lpwstr>{66E0ABD5-ED30-427C-B968-ACA35A3AD3F7}</vt:lpwstr>
  </property>
</Properties>
</file>